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showObjects="none"/>
  <sheets>
    <sheet name="Plumbing" sheetId="1" r:id="rId1"/>
    <sheet name="Upah" sheetId="2" r:id="rId2"/>
    <sheet name="Material" sheetId="3" r:id="rId3"/>
    <sheet name="Hitungan Tangga" sheetId="4" r:id="rId4"/>
    <sheet name="COVER" sheetId="5" r:id="rId5"/>
    <sheet name="REKAP RAB" sheetId="6" r:id="rId6"/>
    <sheet name="RAB (B)" sheetId="7" r:id="rId7"/>
    <sheet name="REKAP BETON BESI BEKISTING" sheetId="8" r:id="rId8"/>
    <sheet name="Retaining Wall" sheetId="9" r:id="rId9"/>
    <sheet name="Pas. Dinding" sheetId="10" r:id="rId10"/>
    <sheet name="PROSES BAJA" sheetId="11" r:id="rId11"/>
    <sheet name="DATA BAJA" sheetId="12" r:id="rId12"/>
    <sheet name="TABEL BAJA" sheetId="13" r:id="rId13"/>
    <sheet name="REKAP Plat" sheetId="14" r:id="rId14"/>
    <sheet name="Plat" sheetId="15" r:id="rId15"/>
    <sheet name="Hasil-Kolom" sheetId="16" r:id="rId16"/>
    <sheet name="Data-Kolom" sheetId="17" r:id="rId17"/>
    <sheet name="REKAP Balok" sheetId="18" r:id="rId18"/>
    <sheet name="Data Panjang Balok" sheetId="19" r:id="rId19"/>
    <sheet name="Detail Balok" sheetId="20" r:id="rId20"/>
    <sheet name="Besi Balok" sheetId="21" r:id="rId21"/>
    <sheet name="Data-PC" sheetId="22" r:id="rId22"/>
    <sheet name="Analisa" sheetId="23" r:id="rId23"/>
    <sheet name="RAB (A)" sheetId="24" r:id="rId24"/>
    <sheet name="Hasil-PC" sheetId="25" r:id="rId25"/>
    <sheet name="REKAP-PC" sheetId="26" r:id="rId26"/>
    <sheet name="Recipe Index" sheetId="27" r:id="rId27"/>
    <sheet name="Breakdown (A) III.A.1.1" sheetId="28" r:id="rId28"/>
    <sheet name="Breakdown (A) III.A.1.2" sheetId="29" r:id="rId29"/>
    <sheet name="Breakdown (A) III.A.1.3" sheetId="30" r:id="rId30"/>
    <sheet name="Breakdown (A) III.A.1.4" sheetId="31" r:id="rId31"/>
    <sheet name="Breakdown (A) III.A.2.1" sheetId="32" r:id="rId32"/>
    <sheet name="Breakdown (A) III.A.2.2" sheetId="33" r:id="rId33"/>
    <sheet name="Breakdown (A) III.A.2.3" sheetId="34" r:id="rId34"/>
    <sheet name="Breakdown (A) III.A.2.4" sheetId="35" r:id="rId35"/>
    <sheet name="Breakdown (A) III.A.3.1" sheetId="36" r:id="rId36"/>
    <sheet name="Breakdown (A) III.A.3.2" sheetId="37" r:id="rId37"/>
    <sheet name="Breakdown (A) III.A.3.3" sheetId="38" r:id="rId38"/>
    <sheet name="Breakdown (A) III.A.3.4" sheetId="39" r:id="rId39"/>
    <sheet name="Breakdown (A) III.A.4.1" sheetId="40" r:id="rId40"/>
    <sheet name="Breakdown (A) III.A.4.2" sheetId="41" r:id="rId41"/>
    <sheet name="Breakdown (A) III.A.4.3" sheetId="42" r:id="rId42"/>
    <sheet name="Breakdown (A) III.A.4.4" sheetId="43" r:id="rId43"/>
    <sheet name="Breakdown (A) III.A.5.1" sheetId="44" r:id="rId44"/>
    <sheet name="Breakdown (A) III.A.5.2" sheetId="45" r:id="rId45"/>
    <sheet name="Breakdown (A) III.A.5.3" sheetId="46" r:id="rId46"/>
    <sheet name="Breakdown (A) III.A.5.4" sheetId="47" r:id="rId47"/>
    <sheet name="Breakdown (A) III.A.6.1" sheetId="48" r:id="rId48"/>
    <sheet name="Breakdown (A) III.A.6.2" sheetId="49" r:id="rId49"/>
    <sheet name="Breakdown (A) III.A.6.3" sheetId="50" r:id="rId50"/>
    <sheet name="Breakdown (A) III.A.6.4" sheetId="51" r:id="rId51"/>
    <sheet name="Breakdown (A) III.A.7.1" sheetId="52" r:id="rId52"/>
    <sheet name="Breakdown (A) III.A.7.2" sheetId="53" r:id="rId53"/>
    <sheet name="Breakdown (A) III.A.7.3" sheetId="54" r:id="rId54"/>
    <sheet name="Breakdown (A) III.A.7.4" sheetId="55" r:id="rId55"/>
    <sheet name="Breakdown (A) III.A.8.1" sheetId="56" r:id="rId56"/>
    <sheet name="Breakdown (A) III.A.8.2" sheetId="57" r:id="rId57"/>
    <sheet name="Breakdown (A) III.A.8.3" sheetId="58" r:id="rId58"/>
    <sheet name="Breakdown (A) III.A.8.4" sheetId="59" r:id="rId59"/>
    <sheet name="Breakdown (A) III.A.9.1" sheetId="60" r:id="rId60"/>
    <sheet name="Breakdown (A) III.A.9.2" sheetId="61" r:id="rId61"/>
    <sheet name="Breakdown (A) III.A.9.3" sheetId="62" r:id="rId62"/>
    <sheet name="Breakdown (A) III.A.9.4" sheetId="63" r:id="rId63"/>
    <sheet name="Breakdown (A) III.A.10.1" sheetId="64" r:id="rId64"/>
    <sheet name="Breakdown (A) III.A.10.2" sheetId="65" r:id="rId65"/>
    <sheet name="Breakdown (A) III.A.10.3" sheetId="66" r:id="rId66"/>
    <sheet name="Breakdown (A) III.A.10.4" sheetId="67" r:id="rId67"/>
    <sheet name="Breakdown (A) III.A.11.1" sheetId="68" r:id="rId68"/>
    <sheet name="Breakdown (A) III.A.11.2" sheetId="69" r:id="rId69"/>
    <sheet name="Breakdown (A) III.A.11.3" sheetId="70" r:id="rId70"/>
    <sheet name="Breakdown (A) III.A.11.4" sheetId="71" r:id="rId71"/>
    <sheet name="Breakdown (A) III.A.11.2.1" sheetId="72" r:id="rId72"/>
    <sheet name="Breakdown (A) III.A.11.2.2" sheetId="73" r:id="rId73"/>
    <sheet name="Breakdown (A) III.A.11.2.3" sheetId="74" r:id="rId74"/>
    <sheet name="Breakdown (A) III.A.11.2.4" sheetId="75" r:id="rId75"/>
    <sheet name="Breakdown (A) III.A.11.2.5" sheetId="76" r:id="rId76"/>
    <sheet name="Breakdown (A) III.A.11.2.6" sheetId="77" r:id="rId77"/>
    <sheet name="Breakdown (A) III.A.11.2.7" sheetId="78" r:id="rId78"/>
    <sheet name="Breakdown (A) III.A.11.2.8" sheetId="79" r:id="rId79"/>
    <sheet name="Breakdown (A) III.A.11.3.1" sheetId="80" r:id="rId80"/>
    <sheet name="Breakdown (A) III.A.11.3.2" sheetId="81" r:id="rId81"/>
    <sheet name="Breakdown (A) III.A.11.3.3" sheetId="82" r:id="rId82"/>
    <sheet name="Breakdown (A) III.A.11.3.4" sheetId="83" r:id="rId83"/>
    <sheet name="Breakdown (A) III.A.11.3.5" sheetId="84" r:id="rId84"/>
    <sheet name="Breakdown (A) III.A.11.3.6" sheetId="85" r:id="rId85"/>
    <sheet name="Breakdown (A) III.A.11.3.7" sheetId="86" r:id="rId86"/>
    <sheet name="Breakdown (A) III.A.11.3.8" sheetId="87" r:id="rId87"/>
    <sheet name="Breakdown (A) III.A.11.3.9" sheetId="88" r:id="rId88"/>
    <sheet name="Breakdown (A) III.A.11.4.1" sheetId="89" r:id="rId89"/>
    <sheet name="Breakdown (A) III.A.11.4.2" sheetId="90" r:id="rId90"/>
    <sheet name="Breakdown (A) III.A.11.5.1" sheetId="91" r:id="rId91"/>
    <sheet name="Breakdown (A) III.A.11.5.2" sheetId="92" r:id="rId92"/>
    <sheet name="Breakdown (A) III.A.11.5.3" sheetId="93" r:id="rId93"/>
    <sheet name="Breakdown (A) III.A.11.5.4" sheetId="94" r:id="rId94"/>
    <sheet name="Breakdown (A) III.A.11.5.5" sheetId="95" r:id="rId95"/>
    <sheet name="Breakdown (A) III.A.11.5.6" sheetId="96" r:id="rId96"/>
    <sheet name="Breakdown (A) IV.A.1.1" sheetId="97" r:id="rId97"/>
    <sheet name="Breakdown (A) IV.A.2.1" sheetId="98" r:id="rId98"/>
    <sheet name="Breakdown (A) IV.A.2.2" sheetId="99" r:id="rId99"/>
    <sheet name="Breakdown (A) IV.A.2.3" sheetId="100" r:id="rId100"/>
    <sheet name="Breakdown (A) IV.A.2.4" sheetId="101" r:id="rId101"/>
    <sheet name="Breakdown (A) IV.A.2.5" sheetId="102" r:id="rId102"/>
    <sheet name="Breakdown (A) IV.A.2.6" sheetId="103" r:id="rId103"/>
    <sheet name="Breakdown (A) IV.A.2.7" sheetId="104" r:id="rId104"/>
    <sheet name="Breakdown (A) IV.A.2.8" sheetId="105" r:id="rId105"/>
    <sheet name="Breakdown (A) IV.A.3.1" sheetId="106" r:id="rId106"/>
    <sheet name="Breakdown (A) IV.A.3.2" sheetId="107" r:id="rId107"/>
    <sheet name="Breakdown (A) IV.A.3.3" sheetId="108" r:id="rId108"/>
    <sheet name="Breakdown (A) IV.A.3.4" sheetId="109" r:id="rId109"/>
    <sheet name="Breakdown (A) IV.A.3.5" sheetId="110" r:id="rId110"/>
    <sheet name="Breakdown (A) IV.A.5.1" sheetId="111" r:id="rId111"/>
    <sheet name="Breakdown (A) IV.A.5.2" sheetId="112" r:id="rId112"/>
    <sheet name="Breakdown (A) IV.A.5.3" sheetId="113" r:id="rId113"/>
    <sheet name="Breakdown (A) V.A.1.1" sheetId="114" r:id="rId114"/>
    <sheet name="Breakdown (A) V.A.2.1" sheetId="115" r:id="rId115"/>
    <sheet name="Breakdown (A) V.A.2.2" sheetId="116" r:id="rId116"/>
    <sheet name="Breakdown (A) V.A.2.3" sheetId="117" r:id="rId117"/>
    <sheet name="Breakdown (A) V.A.2.4" sheetId="118" r:id="rId118"/>
    <sheet name="Breakdown (A) V.A.2.5" sheetId="119" r:id="rId119"/>
    <sheet name="Breakdown (A) V.A.2.6" sheetId="120" r:id="rId120"/>
    <sheet name="Breakdown (A) V.A.2.7" sheetId="121" r:id="rId121"/>
    <sheet name="Breakdown (A) V.A.3.1" sheetId="122" r:id="rId122"/>
    <sheet name="Breakdown (A) V.A.3.2" sheetId="123" r:id="rId123"/>
    <sheet name="Breakdown (A) V.A.3.3" sheetId="124" r:id="rId124"/>
    <sheet name="Breakdown (A) V.A.3.4" sheetId="125" r:id="rId125"/>
    <sheet name="Breakdown (A) V.A.5.1" sheetId="126" r:id="rId126"/>
    <sheet name="Breakdown (A) V.A.5.2" sheetId="127" r:id="rId127"/>
    <sheet name="Breakdown (A) V.A.5.3" sheetId="128" r:id="rId128"/>
    <sheet name="Breakdown (A) V.A.5.4" sheetId="129" r:id="rId129"/>
    <sheet name="Breakdown (A) VI.A.1.1" sheetId="130" r:id="rId130"/>
    <sheet name="Breakdown (A) VI.A.2.1" sheetId="131" r:id="rId131"/>
    <sheet name="Breakdown (A) VI.A.2.2" sheetId="132" r:id="rId132"/>
    <sheet name="Breakdown (A) VI.A.2.3" sheetId="133" r:id="rId133"/>
    <sheet name="Breakdown (A) VI.A.2.4" sheetId="134" r:id="rId134"/>
    <sheet name="Breakdown (A) VI.A.2.5" sheetId="135" r:id="rId135"/>
    <sheet name="Breakdown (A) VI.A.5.1" sheetId="136" r:id="rId136"/>
    <sheet name="Breakdown (A) VIII.A.1" sheetId="137" r:id="rId137"/>
    <sheet name="Breakdown (A) VIII.A.2" sheetId="138" r:id="rId138"/>
    <sheet name="Breakdown (A) VIII.A.3" sheetId="139" r:id="rId139"/>
    <sheet name="Breakdown (A) VIII.A.4" sheetId="140" r:id="rId140"/>
    <sheet name="Breakdown (A) VIII.B.1" sheetId="141" r:id="rId141"/>
    <sheet name="Breakdown (A) VIII.B.2" sheetId="142" r:id="rId142"/>
    <sheet name="Breakdown (A) VIII.B.3" sheetId="143" r:id="rId143"/>
    <sheet name="Breakdown (A) VIII.C.1" sheetId="144" r:id="rId144"/>
    <sheet name="Breakdown (A) VIII.C.2" sheetId="145" r:id="rId145"/>
  </sheets>
  <definedNames>
    <definedName name="_____________HAL4">NA()</definedName>
    <definedName name="________AAD3">#N/A</definedName>
    <definedName name="_____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hq1" localSheetId="15" hidden="1">{#N/A,#N/A,FALSE,"REK";#N/A,#N/A,FALSE,"rab"}</definedName>
    <definedName name="________hq1" localSheetId="9" hidden="1">{#N/A,#N/A,FALSE,"REK";#N/A,#N/A,FALSE,"rab"}</definedName>
    <definedName name="________hq1" localSheetId="0" hidden="1">{#N/A,#N/A,FALSE,"REK";#N/A,#N/A,FALSE,"rab"}</definedName>
    <definedName name="________hq1" localSheetId="7" hidden="1">{#N/A,#N/A,FALSE,"REK";#N/A,#N/A,FALSE,"rab"}</definedName>
    <definedName name="________hq1" localSheetId="13" hidden="1">{#N/A,#N/A,FALSE,"REK";#N/A,#N/A,FALSE,"rab"}</definedName>
    <definedName name="________hq1" localSheetId="8" hidden="1">{#N/A,#N/A,FALSE,"REK";#N/A,#N/A,FALSE,"rab"}</definedName>
    <definedName name="________hq1" localSheetId="12" hidden="1">{#N/A,#N/A,FALSE,"REK";#N/A,#N/A,FALSE,"rab"}</definedName>
    <definedName name="________hq1" hidden="1">{#N/A,#N/A,FALSE,"REK";#N/A,#N/A,FALSE,"rab"}</definedName>
    <definedName name="________hq1_2" localSheetId="15" hidden="1">{#N/A,#N/A,FALSE,"REK";#N/A,#N/A,FALSE,"rab"}</definedName>
    <definedName name="________hq1_2" localSheetId="9" hidden="1">{#N/A,#N/A,FALSE,"REK";#N/A,#N/A,FALSE,"rab"}</definedName>
    <definedName name="________hq1_2" localSheetId="0" hidden="1">{#N/A,#N/A,FALSE,"REK";#N/A,#N/A,FALSE,"rab"}</definedName>
    <definedName name="________hq1_2" localSheetId="7" hidden="1">{#N/A,#N/A,FALSE,"REK";#N/A,#N/A,FALSE,"rab"}</definedName>
    <definedName name="________hq1_2" localSheetId="13" hidden="1">{#N/A,#N/A,FALSE,"REK";#N/A,#N/A,FALSE,"rab"}</definedName>
    <definedName name="________hq1_2" localSheetId="8" hidden="1">{#N/A,#N/A,FALSE,"REK";#N/A,#N/A,FALSE,"rab"}</definedName>
    <definedName name="________hq1_2" localSheetId="12" hidden="1">{#N/A,#N/A,FALSE,"REK";#N/A,#N/A,FALSE,"rab"}</definedName>
    <definedName name="________hq1_2" hidden="1">{#N/A,#N/A,FALSE,"REK";#N/A,#N/A,FALSE,"rab"}</definedName>
    <definedName name="________hq1_3" localSheetId="15" hidden="1">{#N/A,#N/A,FALSE,"REK";#N/A,#N/A,FALSE,"rab"}</definedName>
    <definedName name="________hq1_3" localSheetId="9" hidden="1">{#N/A,#N/A,FALSE,"REK";#N/A,#N/A,FALSE,"rab"}</definedName>
    <definedName name="________hq1_3" localSheetId="0" hidden="1">{#N/A,#N/A,FALSE,"REK";#N/A,#N/A,FALSE,"rab"}</definedName>
    <definedName name="________hq1_3" localSheetId="7" hidden="1">{#N/A,#N/A,FALSE,"REK";#N/A,#N/A,FALSE,"rab"}</definedName>
    <definedName name="________hq1_3" localSheetId="13" hidden="1">{#N/A,#N/A,FALSE,"REK";#N/A,#N/A,FALSE,"rab"}</definedName>
    <definedName name="________hq1_3" localSheetId="8" hidden="1">{#N/A,#N/A,FALSE,"REK";#N/A,#N/A,FALSE,"rab"}</definedName>
    <definedName name="________hq1_3" localSheetId="12" hidden="1">{#N/A,#N/A,FALSE,"REK";#N/A,#N/A,FALSE,"rab"}</definedName>
    <definedName name="________hq1_3" hidden="1">{#N/A,#N/A,FALSE,"REK";#N/A,#N/A,FALSE,"rab"}</definedName>
    <definedName name="________hq1_4" localSheetId="15" hidden="1">{#N/A,#N/A,FALSE,"REK";#N/A,#N/A,FALSE,"rab"}</definedName>
    <definedName name="________hq1_4" localSheetId="9" hidden="1">{#N/A,#N/A,FALSE,"REK";#N/A,#N/A,FALSE,"rab"}</definedName>
    <definedName name="________hq1_4" localSheetId="0" hidden="1">{#N/A,#N/A,FALSE,"REK";#N/A,#N/A,FALSE,"rab"}</definedName>
    <definedName name="________hq1_4" localSheetId="7" hidden="1">{#N/A,#N/A,FALSE,"REK";#N/A,#N/A,FALSE,"rab"}</definedName>
    <definedName name="________hq1_4" localSheetId="13" hidden="1">{#N/A,#N/A,FALSE,"REK";#N/A,#N/A,FALSE,"rab"}</definedName>
    <definedName name="________hq1_4" localSheetId="8" hidden="1">{#N/A,#N/A,FALSE,"REK";#N/A,#N/A,FALSE,"rab"}</definedName>
    <definedName name="________hq1_4" localSheetId="12" hidden="1">{#N/A,#N/A,FALSE,"REK";#N/A,#N/A,FALSE,"rab"}</definedName>
    <definedName name="________hq1_4" hidden="1">{#N/A,#N/A,FALSE,"REK";#N/A,#N/A,FALSE,"rab"}</definedName>
    <definedName name="________hq1_5" localSheetId="15" hidden="1">{#N/A,#N/A,FALSE,"REK";#N/A,#N/A,FALSE,"rab"}</definedName>
    <definedName name="________hq1_5" localSheetId="9" hidden="1">{#N/A,#N/A,FALSE,"REK";#N/A,#N/A,FALSE,"rab"}</definedName>
    <definedName name="________hq1_5" localSheetId="0" hidden="1">{#N/A,#N/A,FALSE,"REK";#N/A,#N/A,FALSE,"rab"}</definedName>
    <definedName name="________hq1_5" localSheetId="7" hidden="1">{#N/A,#N/A,FALSE,"REK";#N/A,#N/A,FALSE,"rab"}</definedName>
    <definedName name="________hq1_5" localSheetId="13" hidden="1">{#N/A,#N/A,FALSE,"REK";#N/A,#N/A,FALSE,"rab"}</definedName>
    <definedName name="________hq1_5" localSheetId="8" hidden="1">{#N/A,#N/A,FALSE,"REK";#N/A,#N/A,FALSE,"rab"}</definedName>
    <definedName name="________hq1_5" localSheetId="12" hidden="1">{#N/A,#N/A,FALSE,"REK";#N/A,#N/A,FALSE,"rab"}</definedName>
    <definedName name="________hq1_5" hidden="1">{#N/A,#N/A,FALSE,"REK";#N/A,#N/A,FALSE,"rab"}</definedName>
    <definedName name="________hq2" localSheetId="15" hidden="1">{#N/A,#N/A,FALSE,"REK";#N/A,#N/A,FALSE,"rab"}</definedName>
    <definedName name="________hq2" localSheetId="9" hidden="1">{#N/A,#N/A,FALSE,"REK";#N/A,#N/A,FALSE,"rab"}</definedName>
    <definedName name="________hq2" localSheetId="0" hidden="1">{#N/A,#N/A,FALSE,"REK";#N/A,#N/A,FALSE,"rab"}</definedName>
    <definedName name="________hq2" localSheetId="7" hidden="1">{#N/A,#N/A,FALSE,"REK";#N/A,#N/A,FALSE,"rab"}</definedName>
    <definedName name="________hq2" localSheetId="13" hidden="1">{#N/A,#N/A,FALSE,"REK";#N/A,#N/A,FALSE,"rab"}</definedName>
    <definedName name="________hq2" localSheetId="8" hidden="1">{#N/A,#N/A,FALSE,"REK";#N/A,#N/A,FALSE,"rab"}</definedName>
    <definedName name="________hq2" localSheetId="12" hidden="1">{#N/A,#N/A,FALSE,"REK";#N/A,#N/A,FALSE,"rab"}</definedName>
    <definedName name="________hq2" hidden="1">{#N/A,#N/A,FALSE,"REK";#N/A,#N/A,FALSE,"rab"}</definedName>
    <definedName name="________hq2_2" localSheetId="15" hidden="1">{#N/A,#N/A,FALSE,"REK";#N/A,#N/A,FALSE,"rab"}</definedName>
    <definedName name="________hq2_2" localSheetId="9" hidden="1">{#N/A,#N/A,FALSE,"REK";#N/A,#N/A,FALSE,"rab"}</definedName>
    <definedName name="________hq2_2" localSheetId="0" hidden="1">{#N/A,#N/A,FALSE,"REK";#N/A,#N/A,FALSE,"rab"}</definedName>
    <definedName name="________hq2_2" localSheetId="7" hidden="1">{#N/A,#N/A,FALSE,"REK";#N/A,#N/A,FALSE,"rab"}</definedName>
    <definedName name="________hq2_2" localSheetId="13" hidden="1">{#N/A,#N/A,FALSE,"REK";#N/A,#N/A,FALSE,"rab"}</definedName>
    <definedName name="________hq2_2" localSheetId="8" hidden="1">{#N/A,#N/A,FALSE,"REK";#N/A,#N/A,FALSE,"rab"}</definedName>
    <definedName name="________hq2_2" localSheetId="12" hidden="1">{#N/A,#N/A,FALSE,"REK";#N/A,#N/A,FALSE,"rab"}</definedName>
    <definedName name="________hq2_2" hidden="1">{#N/A,#N/A,FALSE,"REK";#N/A,#N/A,FALSE,"rab"}</definedName>
    <definedName name="________hq2_3" localSheetId="15" hidden="1">{#N/A,#N/A,FALSE,"REK";#N/A,#N/A,FALSE,"rab"}</definedName>
    <definedName name="________hq2_3" localSheetId="9" hidden="1">{#N/A,#N/A,FALSE,"REK";#N/A,#N/A,FALSE,"rab"}</definedName>
    <definedName name="________hq2_3" localSheetId="0" hidden="1">{#N/A,#N/A,FALSE,"REK";#N/A,#N/A,FALSE,"rab"}</definedName>
    <definedName name="________hq2_3" localSheetId="7" hidden="1">{#N/A,#N/A,FALSE,"REK";#N/A,#N/A,FALSE,"rab"}</definedName>
    <definedName name="________hq2_3" localSheetId="13" hidden="1">{#N/A,#N/A,FALSE,"REK";#N/A,#N/A,FALSE,"rab"}</definedName>
    <definedName name="________hq2_3" localSheetId="8" hidden="1">{#N/A,#N/A,FALSE,"REK";#N/A,#N/A,FALSE,"rab"}</definedName>
    <definedName name="________hq2_3" localSheetId="12" hidden="1">{#N/A,#N/A,FALSE,"REK";#N/A,#N/A,FALSE,"rab"}</definedName>
    <definedName name="________hq2_3" hidden="1">{#N/A,#N/A,FALSE,"REK";#N/A,#N/A,FALSE,"rab"}</definedName>
    <definedName name="________hq2_4" localSheetId="15" hidden="1">{#N/A,#N/A,FALSE,"REK";#N/A,#N/A,FALSE,"rab"}</definedName>
    <definedName name="________hq2_4" localSheetId="9" hidden="1">{#N/A,#N/A,FALSE,"REK";#N/A,#N/A,FALSE,"rab"}</definedName>
    <definedName name="________hq2_4" localSheetId="0" hidden="1">{#N/A,#N/A,FALSE,"REK";#N/A,#N/A,FALSE,"rab"}</definedName>
    <definedName name="________hq2_4" localSheetId="7" hidden="1">{#N/A,#N/A,FALSE,"REK";#N/A,#N/A,FALSE,"rab"}</definedName>
    <definedName name="________hq2_4" localSheetId="13" hidden="1">{#N/A,#N/A,FALSE,"REK";#N/A,#N/A,FALSE,"rab"}</definedName>
    <definedName name="________hq2_4" localSheetId="8" hidden="1">{#N/A,#N/A,FALSE,"REK";#N/A,#N/A,FALSE,"rab"}</definedName>
    <definedName name="________hq2_4" localSheetId="12" hidden="1">{#N/A,#N/A,FALSE,"REK";#N/A,#N/A,FALSE,"rab"}</definedName>
    <definedName name="________hq2_4" hidden="1">{#N/A,#N/A,FALSE,"REK";#N/A,#N/A,FALSE,"rab"}</definedName>
    <definedName name="________hq2_5" localSheetId="15" hidden="1">{#N/A,#N/A,FALSE,"REK";#N/A,#N/A,FALSE,"rab"}</definedName>
    <definedName name="________hq2_5" localSheetId="9" hidden="1">{#N/A,#N/A,FALSE,"REK";#N/A,#N/A,FALSE,"rab"}</definedName>
    <definedName name="________hq2_5" localSheetId="0" hidden="1">{#N/A,#N/A,FALSE,"REK";#N/A,#N/A,FALSE,"rab"}</definedName>
    <definedName name="________hq2_5" localSheetId="7" hidden="1">{#N/A,#N/A,FALSE,"REK";#N/A,#N/A,FALSE,"rab"}</definedName>
    <definedName name="________hq2_5" localSheetId="13" hidden="1">{#N/A,#N/A,FALSE,"REK";#N/A,#N/A,FALSE,"rab"}</definedName>
    <definedName name="________hq2_5" localSheetId="8" hidden="1">{#N/A,#N/A,FALSE,"REK";#N/A,#N/A,FALSE,"rab"}</definedName>
    <definedName name="________hq2_5" localSheetId="12" hidden="1">{#N/A,#N/A,FALSE,"REK";#N/A,#N/A,FALSE,"rab"}</definedName>
    <definedName name="________hq2_5" hidden="1">{#N/A,#N/A,FALSE,"REK";#N/A,#N/A,FALSE,"rab"}</definedName>
    <definedName name="_____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AAD3">#N/A</definedName>
    <definedName name="___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hq1" localSheetId="15" hidden="1">{#N/A,#N/A,FALSE,"REK";#N/A,#N/A,FALSE,"rab"}</definedName>
    <definedName name="______hq1" localSheetId="9" hidden="1">{#N/A,#N/A,FALSE,"REK";#N/A,#N/A,FALSE,"rab"}</definedName>
    <definedName name="______hq1" localSheetId="0" hidden="1">{#N/A,#N/A,FALSE,"REK";#N/A,#N/A,FALSE,"rab"}</definedName>
    <definedName name="______hq1" localSheetId="7" hidden="1">{#N/A,#N/A,FALSE,"REK";#N/A,#N/A,FALSE,"rab"}</definedName>
    <definedName name="______hq1" localSheetId="13" hidden="1">{#N/A,#N/A,FALSE,"REK";#N/A,#N/A,FALSE,"rab"}</definedName>
    <definedName name="______hq1" localSheetId="8" hidden="1">{#N/A,#N/A,FALSE,"REK";#N/A,#N/A,FALSE,"rab"}</definedName>
    <definedName name="______hq1" localSheetId="12" hidden="1">{#N/A,#N/A,FALSE,"REK";#N/A,#N/A,FALSE,"rab"}</definedName>
    <definedName name="______hq1" hidden="1">{#N/A,#N/A,FALSE,"REK";#N/A,#N/A,FALSE,"rab"}</definedName>
    <definedName name="______hq1_2" localSheetId="15" hidden="1">{#N/A,#N/A,FALSE,"REK";#N/A,#N/A,FALSE,"rab"}</definedName>
    <definedName name="______hq1_2" localSheetId="9" hidden="1">{#N/A,#N/A,FALSE,"REK";#N/A,#N/A,FALSE,"rab"}</definedName>
    <definedName name="______hq1_2" localSheetId="0" hidden="1">{#N/A,#N/A,FALSE,"REK";#N/A,#N/A,FALSE,"rab"}</definedName>
    <definedName name="______hq1_2" localSheetId="7" hidden="1">{#N/A,#N/A,FALSE,"REK";#N/A,#N/A,FALSE,"rab"}</definedName>
    <definedName name="______hq1_2" localSheetId="13" hidden="1">{#N/A,#N/A,FALSE,"REK";#N/A,#N/A,FALSE,"rab"}</definedName>
    <definedName name="______hq1_2" localSheetId="8" hidden="1">{#N/A,#N/A,FALSE,"REK";#N/A,#N/A,FALSE,"rab"}</definedName>
    <definedName name="______hq1_2" localSheetId="12" hidden="1">{#N/A,#N/A,FALSE,"REK";#N/A,#N/A,FALSE,"rab"}</definedName>
    <definedName name="______hq1_2" hidden="1">{#N/A,#N/A,FALSE,"REK";#N/A,#N/A,FALSE,"rab"}</definedName>
    <definedName name="______hq1_3" localSheetId="15" hidden="1">{#N/A,#N/A,FALSE,"REK";#N/A,#N/A,FALSE,"rab"}</definedName>
    <definedName name="______hq1_3" localSheetId="9" hidden="1">{#N/A,#N/A,FALSE,"REK";#N/A,#N/A,FALSE,"rab"}</definedName>
    <definedName name="______hq1_3" localSheetId="0" hidden="1">{#N/A,#N/A,FALSE,"REK";#N/A,#N/A,FALSE,"rab"}</definedName>
    <definedName name="______hq1_3" localSheetId="7" hidden="1">{#N/A,#N/A,FALSE,"REK";#N/A,#N/A,FALSE,"rab"}</definedName>
    <definedName name="______hq1_3" localSheetId="13" hidden="1">{#N/A,#N/A,FALSE,"REK";#N/A,#N/A,FALSE,"rab"}</definedName>
    <definedName name="______hq1_3" localSheetId="8" hidden="1">{#N/A,#N/A,FALSE,"REK";#N/A,#N/A,FALSE,"rab"}</definedName>
    <definedName name="______hq1_3" localSheetId="12" hidden="1">{#N/A,#N/A,FALSE,"REK";#N/A,#N/A,FALSE,"rab"}</definedName>
    <definedName name="______hq1_3" hidden="1">{#N/A,#N/A,FALSE,"REK";#N/A,#N/A,FALSE,"rab"}</definedName>
    <definedName name="______hq1_4" localSheetId="15" hidden="1">{#N/A,#N/A,FALSE,"REK";#N/A,#N/A,FALSE,"rab"}</definedName>
    <definedName name="______hq1_4" localSheetId="9" hidden="1">{#N/A,#N/A,FALSE,"REK";#N/A,#N/A,FALSE,"rab"}</definedName>
    <definedName name="______hq1_4" localSheetId="0" hidden="1">{#N/A,#N/A,FALSE,"REK";#N/A,#N/A,FALSE,"rab"}</definedName>
    <definedName name="______hq1_4" localSheetId="7" hidden="1">{#N/A,#N/A,FALSE,"REK";#N/A,#N/A,FALSE,"rab"}</definedName>
    <definedName name="______hq1_4" localSheetId="13" hidden="1">{#N/A,#N/A,FALSE,"REK";#N/A,#N/A,FALSE,"rab"}</definedName>
    <definedName name="______hq1_4" localSheetId="8" hidden="1">{#N/A,#N/A,FALSE,"REK";#N/A,#N/A,FALSE,"rab"}</definedName>
    <definedName name="______hq1_4" localSheetId="12" hidden="1">{#N/A,#N/A,FALSE,"REK";#N/A,#N/A,FALSE,"rab"}</definedName>
    <definedName name="______hq1_4" hidden="1">{#N/A,#N/A,FALSE,"REK";#N/A,#N/A,FALSE,"rab"}</definedName>
    <definedName name="______hq1_5" localSheetId="15" hidden="1">{#N/A,#N/A,FALSE,"REK";#N/A,#N/A,FALSE,"rab"}</definedName>
    <definedName name="______hq1_5" localSheetId="9" hidden="1">{#N/A,#N/A,FALSE,"REK";#N/A,#N/A,FALSE,"rab"}</definedName>
    <definedName name="______hq1_5" localSheetId="0" hidden="1">{#N/A,#N/A,FALSE,"REK";#N/A,#N/A,FALSE,"rab"}</definedName>
    <definedName name="______hq1_5" localSheetId="7" hidden="1">{#N/A,#N/A,FALSE,"REK";#N/A,#N/A,FALSE,"rab"}</definedName>
    <definedName name="______hq1_5" localSheetId="13" hidden="1">{#N/A,#N/A,FALSE,"REK";#N/A,#N/A,FALSE,"rab"}</definedName>
    <definedName name="______hq1_5" localSheetId="8" hidden="1">{#N/A,#N/A,FALSE,"REK";#N/A,#N/A,FALSE,"rab"}</definedName>
    <definedName name="______hq1_5" localSheetId="12" hidden="1">{#N/A,#N/A,FALSE,"REK";#N/A,#N/A,FALSE,"rab"}</definedName>
    <definedName name="______hq1_5" hidden="1">{#N/A,#N/A,FALSE,"REK";#N/A,#N/A,FALSE,"rab"}</definedName>
    <definedName name="______hq2" localSheetId="15" hidden="1">{#N/A,#N/A,FALSE,"REK";#N/A,#N/A,FALSE,"rab"}</definedName>
    <definedName name="______hq2" localSheetId="9" hidden="1">{#N/A,#N/A,FALSE,"REK";#N/A,#N/A,FALSE,"rab"}</definedName>
    <definedName name="______hq2" localSheetId="0" hidden="1">{#N/A,#N/A,FALSE,"REK";#N/A,#N/A,FALSE,"rab"}</definedName>
    <definedName name="______hq2" localSheetId="7" hidden="1">{#N/A,#N/A,FALSE,"REK";#N/A,#N/A,FALSE,"rab"}</definedName>
    <definedName name="______hq2" localSheetId="13" hidden="1">{#N/A,#N/A,FALSE,"REK";#N/A,#N/A,FALSE,"rab"}</definedName>
    <definedName name="______hq2" localSheetId="8" hidden="1">{#N/A,#N/A,FALSE,"REK";#N/A,#N/A,FALSE,"rab"}</definedName>
    <definedName name="______hq2" localSheetId="12" hidden="1">{#N/A,#N/A,FALSE,"REK";#N/A,#N/A,FALSE,"rab"}</definedName>
    <definedName name="______hq2" hidden="1">{#N/A,#N/A,FALSE,"REK";#N/A,#N/A,FALSE,"rab"}</definedName>
    <definedName name="______hq2_2" localSheetId="15" hidden="1">{#N/A,#N/A,FALSE,"REK";#N/A,#N/A,FALSE,"rab"}</definedName>
    <definedName name="______hq2_2" localSheetId="9" hidden="1">{#N/A,#N/A,FALSE,"REK";#N/A,#N/A,FALSE,"rab"}</definedName>
    <definedName name="______hq2_2" localSheetId="0" hidden="1">{#N/A,#N/A,FALSE,"REK";#N/A,#N/A,FALSE,"rab"}</definedName>
    <definedName name="______hq2_2" localSheetId="7" hidden="1">{#N/A,#N/A,FALSE,"REK";#N/A,#N/A,FALSE,"rab"}</definedName>
    <definedName name="______hq2_2" localSheetId="13" hidden="1">{#N/A,#N/A,FALSE,"REK";#N/A,#N/A,FALSE,"rab"}</definedName>
    <definedName name="______hq2_2" localSheetId="8" hidden="1">{#N/A,#N/A,FALSE,"REK";#N/A,#N/A,FALSE,"rab"}</definedName>
    <definedName name="______hq2_2" localSheetId="12" hidden="1">{#N/A,#N/A,FALSE,"REK";#N/A,#N/A,FALSE,"rab"}</definedName>
    <definedName name="______hq2_2" hidden="1">{#N/A,#N/A,FALSE,"REK";#N/A,#N/A,FALSE,"rab"}</definedName>
    <definedName name="______hq2_3" localSheetId="15" hidden="1">{#N/A,#N/A,FALSE,"REK";#N/A,#N/A,FALSE,"rab"}</definedName>
    <definedName name="______hq2_3" localSheetId="9" hidden="1">{#N/A,#N/A,FALSE,"REK";#N/A,#N/A,FALSE,"rab"}</definedName>
    <definedName name="______hq2_3" localSheetId="0" hidden="1">{#N/A,#N/A,FALSE,"REK";#N/A,#N/A,FALSE,"rab"}</definedName>
    <definedName name="______hq2_3" localSheetId="7" hidden="1">{#N/A,#N/A,FALSE,"REK";#N/A,#N/A,FALSE,"rab"}</definedName>
    <definedName name="______hq2_3" localSheetId="13" hidden="1">{#N/A,#N/A,FALSE,"REK";#N/A,#N/A,FALSE,"rab"}</definedName>
    <definedName name="______hq2_3" localSheetId="8" hidden="1">{#N/A,#N/A,FALSE,"REK";#N/A,#N/A,FALSE,"rab"}</definedName>
    <definedName name="______hq2_3" localSheetId="12" hidden="1">{#N/A,#N/A,FALSE,"REK";#N/A,#N/A,FALSE,"rab"}</definedName>
    <definedName name="______hq2_3" hidden="1">{#N/A,#N/A,FALSE,"REK";#N/A,#N/A,FALSE,"rab"}</definedName>
    <definedName name="______hq2_4" localSheetId="15" hidden="1">{#N/A,#N/A,FALSE,"REK";#N/A,#N/A,FALSE,"rab"}</definedName>
    <definedName name="______hq2_4" localSheetId="9" hidden="1">{#N/A,#N/A,FALSE,"REK";#N/A,#N/A,FALSE,"rab"}</definedName>
    <definedName name="______hq2_4" localSheetId="0" hidden="1">{#N/A,#N/A,FALSE,"REK";#N/A,#N/A,FALSE,"rab"}</definedName>
    <definedName name="______hq2_4" localSheetId="7" hidden="1">{#N/A,#N/A,FALSE,"REK";#N/A,#N/A,FALSE,"rab"}</definedName>
    <definedName name="______hq2_4" localSheetId="13" hidden="1">{#N/A,#N/A,FALSE,"REK";#N/A,#N/A,FALSE,"rab"}</definedName>
    <definedName name="______hq2_4" localSheetId="8" hidden="1">{#N/A,#N/A,FALSE,"REK";#N/A,#N/A,FALSE,"rab"}</definedName>
    <definedName name="______hq2_4" localSheetId="12" hidden="1">{#N/A,#N/A,FALSE,"REK";#N/A,#N/A,FALSE,"rab"}</definedName>
    <definedName name="______hq2_4" hidden="1">{#N/A,#N/A,FALSE,"REK";#N/A,#N/A,FALSE,"rab"}</definedName>
    <definedName name="______hq2_5" localSheetId="15" hidden="1">{#N/A,#N/A,FALSE,"REK";#N/A,#N/A,FALSE,"rab"}</definedName>
    <definedName name="______hq2_5" localSheetId="9" hidden="1">{#N/A,#N/A,FALSE,"REK";#N/A,#N/A,FALSE,"rab"}</definedName>
    <definedName name="______hq2_5" localSheetId="0" hidden="1">{#N/A,#N/A,FALSE,"REK";#N/A,#N/A,FALSE,"rab"}</definedName>
    <definedName name="______hq2_5" localSheetId="7" hidden="1">{#N/A,#N/A,FALSE,"REK";#N/A,#N/A,FALSE,"rab"}</definedName>
    <definedName name="______hq2_5" localSheetId="13" hidden="1">{#N/A,#N/A,FALSE,"REK";#N/A,#N/A,FALSE,"rab"}</definedName>
    <definedName name="______hq2_5" localSheetId="8" hidden="1">{#N/A,#N/A,FALSE,"REK";#N/A,#N/A,FALSE,"rab"}</definedName>
    <definedName name="______hq2_5" localSheetId="12" hidden="1">{#N/A,#N/A,FALSE,"REK";#N/A,#N/A,FALSE,"rab"}</definedName>
    <definedName name="______hq2_5" hidden="1">{#N/A,#N/A,FALSE,"REK";#N/A,#N/A,FALSE,"rab"}</definedName>
    <definedName name="___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new5">#N/A</definedName>
    <definedName name="__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gk2" localSheetId="9" hidden="1">#REF!</definedName>
    <definedName name="_____gk2" localSheetId="0" hidden="1">#REF!</definedName>
    <definedName name="_____gk2" localSheetId="7" hidden="1">#REF!</definedName>
    <definedName name="_____gk2" localSheetId="13" hidden="1">#REF!</definedName>
    <definedName name="_____gk2" localSheetId="8" hidden="1">#REF!</definedName>
    <definedName name="_____gk2" localSheetId="12" hidden="1">#REF!</definedName>
    <definedName name="_____gk2" hidden="1">#REF!</definedName>
    <definedName name="_____hq1" localSheetId="15" hidden="1">{#N/A,#N/A,FALSE,"REK";#N/A,#N/A,FALSE,"rab"}</definedName>
    <definedName name="_____hq1" localSheetId="9" hidden="1">{#N/A,#N/A,FALSE,"REK";#N/A,#N/A,FALSE,"rab"}</definedName>
    <definedName name="_____hq1" localSheetId="0" hidden="1">{#N/A,#N/A,FALSE,"REK";#N/A,#N/A,FALSE,"rab"}</definedName>
    <definedName name="_____hq1" localSheetId="7" hidden="1">{#N/A,#N/A,FALSE,"REK";#N/A,#N/A,FALSE,"rab"}</definedName>
    <definedName name="_____hq1" localSheetId="13" hidden="1">{#N/A,#N/A,FALSE,"REK";#N/A,#N/A,FALSE,"rab"}</definedName>
    <definedName name="_____hq1" localSheetId="8" hidden="1">{#N/A,#N/A,FALSE,"REK";#N/A,#N/A,FALSE,"rab"}</definedName>
    <definedName name="_____hq1" localSheetId="12" hidden="1">{#N/A,#N/A,FALSE,"REK";#N/A,#N/A,FALSE,"rab"}</definedName>
    <definedName name="_____hq1" hidden="1">{#N/A,#N/A,FALSE,"REK";#N/A,#N/A,FALSE,"rab"}</definedName>
    <definedName name="_____hq1_2" localSheetId="15" hidden="1">{#N/A,#N/A,FALSE,"REK";#N/A,#N/A,FALSE,"rab"}</definedName>
    <definedName name="_____hq1_2" localSheetId="9" hidden="1">{#N/A,#N/A,FALSE,"REK";#N/A,#N/A,FALSE,"rab"}</definedName>
    <definedName name="_____hq1_2" localSheetId="0" hidden="1">{#N/A,#N/A,FALSE,"REK";#N/A,#N/A,FALSE,"rab"}</definedName>
    <definedName name="_____hq1_2" localSheetId="7" hidden="1">{#N/A,#N/A,FALSE,"REK";#N/A,#N/A,FALSE,"rab"}</definedName>
    <definedName name="_____hq1_2" localSheetId="13" hidden="1">{#N/A,#N/A,FALSE,"REK";#N/A,#N/A,FALSE,"rab"}</definedName>
    <definedName name="_____hq1_2" localSheetId="8" hidden="1">{#N/A,#N/A,FALSE,"REK";#N/A,#N/A,FALSE,"rab"}</definedName>
    <definedName name="_____hq1_2" localSheetId="12" hidden="1">{#N/A,#N/A,FALSE,"REK";#N/A,#N/A,FALSE,"rab"}</definedName>
    <definedName name="_____hq1_2" hidden="1">{#N/A,#N/A,FALSE,"REK";#N/A,#N/A,FALSE,"rab"}</definedName>
    <definedName name="_____hq1_3" localSheetId="15" hidden="1">{#N/A,#N/A,FALSE,"REK";#N/A,#N/A,FALSE,"rab"}</definedName>
    <definedName name="_____hq1_3" localSheetId="9" hidden="1">{#N/A,#N/A,FALSE,"REK";#N/A,#N/A,FALSE,"rab"}</definedName>
    <definedName name="_____hq1_3" localSheetId="0" hidden="1">{#N/A,#N/A,FALSE,"REK";#N/A,#N/A,FALSE,"rab"}</definedName>
    <definedName name="_____hq1_3" localSheetId="7" hidden="1">{#N/A,#N/A,FALSE,"REK";#N/A,#N/A,FALSE,"rab"}</definedName>
    <definedName name="_____hq1_3" localSheetId="13" hidden="1">{#N/A,#N/A,FALSE,"REK";#N/A,#N/A,FALSE,"rab"}</definedName>
    <definedName name="_____hq1_3" localSheetId="8" hidden="1">{#N/A,#N/A,FALSE,"REK";#N/A,#N/A,FALSE,"rab"}</definedName>
    <definedName name="_____hq1_3" localSheetId="12" hidden="1">{#N/A,#N/A,FALSE,"REK";#N/A,#N/A,FALSE,"rab"}</definedName>
    <definedName name="_____hq1_3" hidden="1">{#N/A,#N/A,FALSE,"REK";#N/A,#N/A,FALSE,"rab"}</definedName>
    <definedName name="_____hq1_4" localSheetId="15" hidden="1">{#N/A,#N/A,FALSE,"REK";#N/A,#N/A,FALSE,"rab"}</definedName>
    <definedName name="_____hq1_4" localSheetId="9" hidden="1">{#N/A,#N/A,FALSE,"REK";#N/A,#N/A,FALSE,"rab"}</definedName>
    <definedName name="_____hq1_4" localSheetId="0" hidden="1">{#N/A,#N/A,FALSE,"REK";#N/A,#N/A,FALSE,"rab"}</definedName>
    <definedName name="_____hq1_4" localSheetId="7" hidden="1">{#N/A,#N/A,FALSE,"REK";#N/A,#N/A,FALSE,"rab"}</definedName>
    <definedName name="_____hq1_4" localSheetId="13" hidden="1">{#N/A,#N/A,FALSE,"REK";#N/A,#N/A,FALSE,"rab"}</definedName>
    <definedName name="_____hq1_4" localSheetId="8" hidden="1">{#N/A,#N/A,FALSE,"REK";#N/A,#N/A,FALSE,"rab"}</definedName>
    <definedName name="_____hq1_4" localSheetId="12" hidden="1">{#N/A,#N/A,FALSE,"REK";#N/A,#N/A,FALSE,"rab"}</definedName>
    <definedName name="_____hq1_4" hidden="1">{#N/A,#N/A,FALSE,"REK";#N/A,#N/A,FALSE,"rab"}</definedName>
    <definedName name="_____hq1_5" localSheetId="15" hidden="1">{#N/A,#N/A,FALSE,"REK";#N/A,#N/A,FALSE,"rab"}</definedName>
    <definedName name="_____hq1_5" localSheetId="9" hidden="1">{#N/A,#N/A,FALSE,"REK";#N/A,#N/A,FALSE,"rab"}</definedName>
    <definedName name="_____hq1_5" localSheetId="0" hidden="1">{#N/A,#N/A,FALSE,"REK";#N/A,#N/A,FALSE,"rab"}</definedName>
    <definedName name="_____hq1_5" localSheetId="7" hidden="1">{#N/A,#N/A,FALSE,"REK";#N/A,#N/A,FALSE,"rab"}</definedName>
    <definedName name="_____hq1_5" localSheetId="13" hidden="1">{#N/A,#N/A,FALSE,"REK";#N/A,#N/A,FALSE,"rab"}</definedName>
    <definedName name="_____hq1_5" localSheetId="8" hidden="1">{#N/A,#N/A,FALSE,"REK";#N/A,#N/A,FALSE,"rab"}</definedName>
    <definedName name="_____hq1_5" localSheetId="12" hidden="1">{#N/A,#N/A,FALSE,"REK";#N/A,#N/A,FALSE,"rab"}</definedName>
    <definedName name="_____hq1_5" hidden="1">{#N/A,#N/A,FALSE,"REK";#N/A,#N/A,FALSE,"rab"}</definedName>
    <definedName name="_____hq2" localSheetId="15" hidden="1">{#N/A,#N/A,FALSE,"REK";#N/A,#N/A,FALSE,"rab"}</definedName>
    <definedName name="_____hq2" localSheetId="9" hidden="1">{#N/A,#N/A,FALSE,"REK";#N/A,#N/A,FALSE,"rab"}</definedName>
    <definedName name="_____hq2" localSheetId="0" hidden="1">{#N/A,#N/A,FALSE,"REK";#N/A,#N/A,FALSE,"rab"}</definedName>
    <definedName name="_____hq2" localSheetId="7" hidden="1">{#N/A,#N/A,FALSE,"REK";#N/A,#N/A,FALSE,"rab"}</definedName>
    <definedName name="_____hq2" localSheetId="13" hidden="1">{#N/A,#N/A,FALSE,"REK";#N/A,#N/A,FALSE,"rab"}</definedName>
    <definedName name="_____hq2" localSheetId="8" hidden="1">{#N/A,#N/A,FALSE,"REK";#N/A,#N/A,FALSE,"rab"}</definedName>
    <definedName name="_____hq2" localSheetId="12" hidden="1">{#N/A,#N/A,FALSE,"REK";#N/A,#N/A,FALSE,"rab"}</definedName>
    <definedName name="_____hq2" hidden="1">{#N/A,#N/A,FALSE,"REK";#N/A,#N/A,FALSE,"rab"}</definedName>
    <definedName name="_____hq2_2" localSheetId="15" hidden="1">{#N/A,#N/A,FALSE,"REK";#N/A,#N/A,FALSE,"rab"}</definedName>
    <definedName name="_____hq2_2" localSheetId="9" hidden="1">{#N/A,#N/A,FALSE,"REK";#N/A,#N/A,FALSE,"rab"}</definedName>
    <definedName name="_____hq2_2" localSheetId="0" hidden="1">{#N/A,#N/A,FALSE,"REK";#N/A,#N/A,FALSE,"rab"}</definedName>
    <definedName name="_____hq2_2" localSheetId="7" hidden="1">{#N/A,#N/A,FALSE,"REK";#N/A,#N/A,FALSE,"rab"}</definedName>
    <definedName name="_____hq2_2" localSheetId="13" hidden="1">{#N/A,#N/A,FALSE,"REK";#N/A,#N/A,FALSE,"rab"}</definedName>
    <definedName name="_____hq2_2" localSheetId="8" hidden="1">{#N/A,#N/A,FALSE,"REK";#N/A,#N/A,FALSE,"rab"}</definedName>
    <definedName name="_____hq2_2" localSheetId="12" hidden="1">{#N/A,#N/A,FALSE,"REK";#N/A,#N/A,FALSE,"rab"}</definedName>
    <definedName name="_____hq2_2" hidden="1">{#N/A,#N/A,FALSE,"REK";#N/A,#N/A,FALSE,"rab"}</definedName>
    <definedName name="_____hq2_3" localSheetId="15" hidden="1">{#N/A,#N/A,FALSE,"REK";#N/A,#N/A,FALSE,"rab"}</definedName>
    <definedName name="_____hq2_3" localSheetId="9" hidden="1">{#N/A,#N/A,FALSE,"REK";#N/A,#N/A,FALSE,"rab"}</definedName>
    <definedName name="_____hq2_3" localSheetId="0" hidden="1">{#N/A,#N/A,FALSE,"REK";#N/A,#N/A,FALSE,"rab"}</definedName>
    <definedName name="_____hq2_3" localSheetId="7" hidden="1">{#N/A,#N/A,FALSE,"REK";#N/A,#N/A,FALSE,"rab"}</definedName>
    <definedName name="_____hq2_3" localSheetId="13" hidden="1">{#N/A,#N/A,FALSE,"REK";#N/A,#N/A,FALSE,"rab"}</definedName>
    <definedName name="_____hq2_3" localSheetId="8" hidden="1">{#N/A,#N/A,FALSE,"REK";#N/A,#N/A,FALSE,"rab"}</definedName>
    <definedName name="_____hq2_3" localSheetId="12" hidden="1">{#N/A,#N/A,FALSE,"REK";#N/A,#N/A,FALSE,"rab"}</definedName>
    <definedName name="_____hq2_3" hidden="1">{#N/A,#N/A,FALSE,"REK";#N/A,#N/A,FALSE,"rab"}</definedName>
    <definedName name="_____hq2_4" localSheetId="15" hidden="1">{#N/A,#N/A,FALSE,"REK";#N/A,#N/A,FALSE,"rab"}</definedName>
    <definedName name="_____hq2_4" localSheetId="9" hidden="1">{#N/A,#N/A,FALSE,"REK";#N/A,#N/A,FALSE,"rab"}</definedName>
    <definedName name="_____hq2_4" localSheetId="0" hidden="1">{#N/A,#N/A,FALSE,"REK";#N/A,#N/A,FALSE,"rab"}</definedName>
    <definedName name="_____hq2_4" localSheetId="7" hidden="1">{#N/A,#N/A,FALSE,"REK";#N/A,#N/A,FALSE,"rab"}</definedName>
    <definedName name="_____hq2_4" localSheetId="13" hidden="1">{#N/A,#N/A,FALSE,"REK";#N/A,#N/A,FALSE,"rab"}</definedName>
    <definedName name="_____hq2_4" localSheetId="8" hidden="1">{#N/A,#N/A,FALSE,"REK";#N/A,#N/A,FALSE,"rab"}</definedName>
    <definedName name="_____hq2_4" localSheetId="12" hidden="1">{#N/A,#N/A,FALSE,"REK";#N/A,#N/A,FALSE,"rab"}</definedName>
    <definedName name="_____hq2_4" hidden="1">{#N/A,#N/A,FALSE,"REK";#N/A,#N/A,FALSE,"rab"}</definedName>
    <definedName name="_____hq2_5" localSheetId="15" hidden="1">{#N/A,#N/A,FALSE,"REK";#N/A,#N/A,FALSE,"rab"}</definedName>
    <definedName name="_____hq2_5" localSheetId="9" hidden="1">{#N/A,#N/A,FALSE,"REK";#N/A,#N/A,FALSE,"rab"}</definedName>
    <definedName name="_____hq2_5" localSheetId="0" hidden="1">{#N/A,#N/A,FALSE,"REK";#N/A,#N/A,FALSE,"rab"}</definedName>
    <definedName name="_____hq2_5" localSheetId="7" hidden="1">{#N/A,#N/A,FALSE,"REK";#N/A,#N/A,FALSE,"rab"}</definedName>
    <definedName name="_____hq2_5" localSheetId="13" hidden="1">{#N/A,#N/A,FALSE,"REK";#N/A,#N/A,FALSE,"rab"}</definedName>
    <definedName name="_____hq2_5" localSheetId="8" hidden="1">{#N/A,#N/A,FALSE,"REK";#N/A,#N/A,FALSE,"rab"}</definedName>
    <definedName name="_____hq2_5" localSheetId="12" hidden="1">{#N/A,#N/A,FALSE,"REK";#N/A,#N/A,FALSE,"rab"}</definedName>
    <definedName name="_____hq2_5" hidden="1">{#N/A,#N/A,FALSE,"REK";#N/A,#N/A,FALSE,"rab"}</definedName>
    <definedName name="__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ey1" localSheetId="9" hidden="1">#REF!</definedName>
    <definedName name="_____key1" localSheetId="0" hidden="1">#REF!</definedName>
    <definedName name="_____key1" localSheetId="7" hidden="1">#REF!</definedName>
    <definedName name="_____key1" localSheetId="13" hidden="1">#REF!</definedName>
    <definedName name="_____key1" localSheetId="8" hidden="1">#REF!</definedName>
    <definedName name="_____key1" localSheetId="12" hidden="1">#REF!</definedName>
    <definedName name="_____key1" hidden="1">#REF!</definedName>
    <definedName name="_____new5">#N/A</definedName>
    <definedName name="____AAD3">#N/A</definedName>
    <definedName name="_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gk2" localSheetId="9" hidden="1">#REF!</definedName>
    <definedName name="____gk2" localSheetId="0" hidden="1">#REF!</definedName>
    <definedName name="____gk2" localSheetId="7" hidden="1">#REF!</definedName>
    <definedName name="____gk2" localSheetId="13" hidden="1">#REF!</definedName>
    <definedName name="____gk2" localSheetId="8" hidden="1">#REF!</definedName>
    <definedName name="____gk2" localSheetId="12" hidden="1">#REF!</definedName>
    <definedName name="____gk2" hidden="1">#REF!</definedName>
    <definedName name="____HAL4_2">NA()</definedName>
    <definedName name="____hq1" localSheetId="15" hidden="1">{#N/A,#N/A,FALSE,"REK";#N/A,#N/A,FALSE,"rab"}</definedName>
    <definedName name="____hq1" localSheetId="9" hidden="1">{#N/A,#N/A,FALSE,"REK";#N/A,#N/A,FALSE,"rab"}</definedName>
    <definedName name="____hq1" localSheetId="0" hidden="1">{#N/A,#N/A,FALSE,"REK";#N/A,#N/A,FALSE,"rab"}</definedName>
    <definedName name="____hq1" localSheetId="7" hidden="1">{#N/A,#N/A,FALSE,"REK";#N/A,#N/A,FALSE,"rab"}</definedName>
    <definedName name="____hq1" localSheetId="13" hidden="1">{#N/A,#N/A,FALSE,"REK";#N/A,#N/A,FALSE,"rab"}</definedName>
    <definedName name="____hq1" localSheetId="8" hidden="1">{#N/A,#N/A,FALSE,"REK";#N/A,#N/A,FALSE,"rab"}</definedName>
    <definedName name="____hq1" localSheetId="12" hidden="1">{#N/A,#N/A,FALSE,"REK";#N/A,#N/A,FALSE,"rab"}</definedName>
    <definedName name="____hq1" hidden="1">{#N/A,#N/A,FALSE,"REK";#N/A,#N/A,FALSE,"rab"}</definedName>
    <definedName name="____hq1_2" localSheetId="15" hidden="1">{#N/A,#N/A,FALSE,"REK";#N/A,#N/A,FALSE,"rab"}</definedName>
    <definedName name="____hq1_2" localSheetId="9" hidden="1">{#N/A,#N/A,FALSE,"REK";#N/A,#N/A,FALSE,"rab"}</definedName>
    <definedName name="____hq1_2" localSheetId="0" hidden="1">{#N/A,#N/A,FALSE,"REK";#N/A,#N/A,FALSE,"rab"}</definedName>
    <definedName name="____hq1_2" localSheetId="7" hidden="1">{#N/A,#N/A,FALSE,"REK";#N/A,#N/A,FALSE,"rab"}</definedName>
    <definedName name="____hq1_2" localSheetId="13" hidden="1">{#N/A,#N/A,FALSE,"REK";#N/A,#N/A,FALSE,"rab"}</definedName>
    <definedName name="____hq1_2" localSheetId="8" hidden="1">{#N/A,#N/A,FALSE,"REK";#N/A,#N/A,FALSE,"rab"}</definedName>
    <definedName name="____hq1_2" localSheetId="12" hidden="1">{#N/A,#N/A,FALSE,"REK";#N/A,#N/A,FALSE,"rab"}</definedName>
    <definedName name="____hq1_2" hidden="1">{#N/A,#N/A,FALSE,"REK";#N/A,#N/A,FALSE,"rab"}</definedName>
    <definedName name="____hq1_3" localSheetId="15" hidden="1">{#N/A,#N/A,FALSE,"REK";#N/A,#N/A,FALSE,"rab"}</definedName>
    <definedName name="____hq1_3" localSheetId="9" hidden="1">{#N/A,#N/A,FALSE,"REK";#N/A,#N/A,FALSE,"rab"}</definedName>
    <definedName name="____hq1_3" localSheetId="0" hidden="1">{#N/A,#N/A,FALSE,"REK";#N/A,#N/A,FALSE,"rab"}</definedName>
    <definedName name="____hq1_3" localSheetId="7" hidden="1">{#N/A,#N/A,FALSE,"REK";#N/A,#N/A,FALSE,"rab"}</definedName>
    <definedName name="____hq1_3" localSheetId="13" hidden="1">{#N/A,#N/A,FALSE,"REK";#N/A,#N/A,FALSE,"rab"}</definedName>
    <definedName name="____hq1_3" localSheetId="8" hidden="1">{#N/A,#N/A,FALSE,"REK";#N/A,#N/A,FALSE,"rab"}</definedName>
    <definedName name="____hq1_3" localSheetId="12" hidden="1">{#N/A,#N/A,FALSE,"REK";#N/A,#N/A,FALSE,"rab"}</definedName>
    <definedName name="____hq1_3" hidden="1">{#N/A,#N/A,FALSE,"REK";#N/A,#N/A,FALSE,"rab"}</definedName>
    <definedName name="____hq1_4" localSheetId="15" hidden="1">{#N/A,#N/A,FALSE,"REK";#N/A,#N/A,FALSE,"rab"}</definedName>
    <definedName name="____hq1_4" localSheetId="9" hidden="1">{#N/A,#N/A,FALSE,"REK";#N/A,#N/A,FALSE,"rab"}</definedName>
    <definedName name="____hq1_4" localSheetId="0" hidden="1">{#N/A,#N/A,FALSE,"REK";#N/A,#N/A,FALSE,"rab"}</definedName>
    <definedName name="____hq1_4" localSheetId="7" hidden="1">{#N/A,#N/A,FALSE,"REK";#N/A,#N/A,FALSE,"rab"}</definedName>
    <definedName name="____hq1_4" localSheetId="13" hidden="1">{#N/A,#N/A,FALSE,"REK";#N/A,#N/A,FALSE,"rab"}</definedName>
    <definedName name="____hq1_4" localSheetId="8" hidden="1">{#N/A,#N/A,FALSE,"REK";#N/A,#N/A,FALSE,"rab"}</definedName>
    <definedName name="____hq1_4" localSheetId="12" hidden="1">{#N/A,#N/A,FALSE,"REK";#N/A,#N/A,FALSE,"rab"}</definedName>
    <definedName name="____hq1_4" hidden="1">{#N/A,#N/A,FALSE,"REK";#N/A,#N/A,FALSE,"rab"}</definedName>
    <definedName name="____hq1_5" localSheetId="15" hidden="1">{#N/A,#N/A,FALSE,"REK";#N/A,#N/A,FALSE,"rab"}</definedName>
    <definedName name="____hq1_5" localSheetId="9" hidden="1">{#N/A,#N/A,FALSE,"REK";#N/A,#N/A,FALSE,"rab"}</definedName>
    <definedName name="____hq1_5" localSheetId="0" hidden="1">{#N/A,#N/A,FALSE,"REK";#N/A,#N/A,FALSE,"rab"}</definedName>
    <definedName name="____hq1_5" localSheetId="7" hidden="1">{#N/A,#N/A,FALSE,"REK";#N/A,#N/A,FALSE,"rab"}</definedName>
    <definedName name="____hq1_5" localSheetId="13" hidden="1">{#N/A,#N/A,FALSE,"REK";#N/A,#N/A,FALSE,"rab"}</definedName>
    <definedName name="____hq1_5" localSheetId="8" hidden="1">{#N/A,#N/A,FALSE,"REK";#N/A,#N/A,FALSE,"rab"}</definedName>
    <definedName name="____hq1_5" localSheetId="12" hidden="1">{#N/A,#N/A,FALSE,"REK";#N/A,#N/A,FALSE,"rab"}</definedName>
    <definedName name="____hq1_5" hidden="1">{#N/A,#N/A,FALSE,"REK";#N/A,#N/A,FALSE,"rab"}</definedName>
    <definedName name="____hq2" localSheetId="15" hidden="1">{#N/A,#N/A,FALSE,"REK";#N/A,#N/A,FALSE,"rab"}</definedName>
    <definedName name="____hq2" localSheetId="9" hidden="1">{#N/A,#N/A,FALSE,"REK";#N/A,#N/A,FALSE,"rab"}</definedName>
    <definedName name="____hq2" localSheetId="0" hidden="1">{#N/A,#N/A,FALSE,"REK";#N/A,#N/A,FALSE,"rab"}</definedName>
    <definedName name="____hq2" localSheetId="7" hidden="1">{#N/A,#N/A,FALSE,"REK";#N/A,#N/A,FALSE,"rab"}</definedName>
    <definedName name="____hq2" localSheetId="13" hidden="1">{#N/A,#N/A,FALSE,"REK";#N/A,#N/A,FALSE,"rab"}</definedName>
    <definedName name="____hq2" localSheetId="8" hidden="1">{#N/A,#N/A,FALSE,"REK";#N/A,#N/A,FALSE,"rab"}</definedName>
    <definedName name="____hq2" localSheetId="12" hidden="1">{#N/A,#N/A,FALSE,"REK";#N/A,#N/A,FALSE,"rab"}</definedName>
    <definedName name="____hq2" hidden="1">{#N/A,#N/A,FALSE,"REK";#N/A,#N/A,FALSE,"rab"}</definedName>
    <definedName name="____hq2_2" localSheetId="15" hidden="1">{#N/A,#N/A,FALSE,"REK";#N/A,#N/A,FALSE,"rab"}</definedName>
    <definedName name="____hq2_2" localSheetId="9" hidden="1">{#N/A,#N/A,FALSE,"REK";#N/A,#N/A,FALSE,"rab"}</definedName>
    <definedName name="____hq2_2" localSheetId="0" hidden="1">{#N/A,#N/A,FALSE,"REK";#N/A,#N/A,FALSE,"rab"}</definedName>
    <definedName name="____hq2_2" localSheetId="7" hidden="1">{#N/A,#N/A,FALSE,"REK";#N/A,#N/A,FALSE,"rab"}</definedName>
    <definedName name="____hq2_2" localSheetId="13" hidden="1">{#N/A,#N/A,FALSE,"REK";#N/A,#N/A,FALSE,"rab"}</definedName>
    <definedName name="____hq2_2" localSheetId="8" hidden="1">{#N/A,#N/A,FALSE,"REK";#N/A,#N/A,FALSE,"rab"}</definedName>
    <definedName name="____hq2_2" localSheetId="12" hidden="1">{#N/A,#N/A,FALSE,"REK";#N/A,#N/A,FALSE,"rab"}</definedName>
    <definedName name="____hq2_2" hidden="1">{#N/A,#N/A,FALSE,"REK";#N/A,#N/A,FALSE,"rab"}</definedName>
    <definedName name="____hq2_3" localSheetId="15" hidden="1">{#N/A,#N/A,FALSE,"REK";#N/A,#N/A,FALSE,"rab"}</definedName>
    <definedName name="____hq2_3" localSheetId="9" hidden="1">{#N/A,#N/A,FALSE,"REK";#N/A,#N/A,FALSE,"rab"}</definedName>
    <definedName name="____hq2_3" localSheetId="0" hidden="1">{#N/A,#N/A,FALSE,"REK";#N/A,#N/A,FALSE,"rab"}</definedName>
    <definedName name="____hq2_3" localSheetId="7" hidden="1">{#N/A,#N/A,FALSE,"REK";#N/A,#N/A,FALSE,"rab"}</definedName>
    <definedName name="____hq2_3" localSheetId="13" hidden="1">{#N/A,#N/A,FALSE,"REK";#N/A,#N/A,FALSE,"rab"}</definedName>
    <definedName name="____hq2_3" localSheetId="8" hidden="1">{#N/A,#N/A,FALSE,"REK";#N/A,#N/A,FALSE,"rab"}</definedName>
    <definedName name="____hq2_3" localSheetId="12" hidden="1">{#N/A,#N/A,FALSE,"REK";#N/A,#N/A,FALSE,"rab"}</definedName>
    <definedName name="____hq2_3" hidden="1">{#N/A,#N/A,FALSE,"REK";#N/A,#N/A,FALSE,"rab"}</definedName>
    <definedName name="____hq2_4" localSheetId="15" hidden="1">{#N/A,#N/A,FALSE,"REK";#N/A,#N/A,FALSE,"rab"}</definedName>
    <definedName name="____hq2_4" localSheetId="9" hidden="1">{#N/A,#N/A,FALSE,"REK";#N/A,#N/A,FALSE,"rab"}</definedName>
    <definedName name="____hq2_4" localSheetId="0" hidden="1">{#N/A,#N/A,FALSE,"REK";#N/A,#N/A,FALSE,"rab"}</definedName>
    <definedName name="____hq2_4" localSheetId="7" hidden="1">{#N/A,#N/A,FALSE,"REK";#N/A,#N/A,FALSE,"rab"}</definedName>
    <definedName name="____hq2_4" localSheetId="13" hidden="1">{#N/A,#N/A,FALSE,"REK";#N/A,#N/A,FALSE,"rab"}</definedName>
    <definedName name="____hq2_4" localSheetId="8" hidden="1">{#N/A,#N/A,FALSE,"REK";#N/A,#N/A,FALSE,"rab"}</definedName>
    <definedName name="____hq2_4" localSheetId="12" hidden="1">{#N/A,#N/A,FALSE,"REK";#N/A,#N/A,FALSE,"rab"}</definedName>
    <definedName name="____hq2_4" hidden="1">{#N/A,#N/A,FALSE,"REK";#N/A,#N/A,FALSE,"rab"}</definedName>
    <definedName name="____hq2_5" localSheetId="15" hidden="1">{#N/A,#N/A,FALSE,"REK";#N/A,#N/A,FALSE,"rab"}</definedName>
    <definedName name="____hq2_5" localSheetId="9" hidden="1">{#N/A,#N/A,FALSE,"REK";#N/A,#N/A,FALSE,"rab"}</definedName>
    <definedName name="____hq2_5" localSheetId="0" hidden="1">{#N/A,#N/A,FALSE,"REK";#N/A,#N/A,FALSE,"rab"}</definedName>
    <definedName name="____hq2_5" localSheetId="7" hidden="1">{#N/A,#N/A,FALSE,"REK";#N/A,#N/A,FALSE,"rab"}</definedName>
    <definedName name="____hq2_5" localSheetId="13" hidden="1">{#N/A,#N/A,FALSE,"REK";#N/A,#N/A,FALSE,"rab"}</definedName>
    <definedName name="____hq2_5" localSheetId="8" hidden="1">{#N/A,#N/A,FALSE,"REK";#N/A,#N/A,FALSE,"rab"}</definedName>
    <definedName name="____hq2_5" localSheetId="12" hidden="1">{#N/A,#N/A,FALSE,"REK";#N/A,#N/A,FALSE,"rab"}</definedName>
    <definedName name="____hq2_5" hidden="1">{#N/A,#N/A,FALSE,"REK";#N/A,#N/A,FALSE,"rab"}</definedName>
    <definedName name="_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ey1" localSheetId="9" hidden="1">#REF!</definedName>
    <definedName name="____key1" localSheetId="0" hidden="1">#REF!</definedName>
    <definedName name="____key1" localSheetId="7" hidden="1">#REF!</definedName>
    <definedName name="____key1" localSheetId="13" hidden="1">#REF!</definedName>
    <definedName name="____key1" localSheetId="8" hidden="1">#REF!</definedName>
    <definedName name="____key1" localSheetId="12" hidden="1">#REF!</definedName>
    <definedName name="____key1" hidden="1">#REF!</definedName>
    <definedName name="____new5">#N/A</definedName>
    <definedName name="_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gk2" hidden="1">#N/A</definedName>
    <definedName name="___hq1" localSheetId="15" hidden="1">{#N/A,#N/A,FALSE,"REK";#N/A,#N/A,FALSE,"rab"}</definedName>
    <definedName name="___hq1" localSheetId="9" hidden="1">{#N/A,#N/A,FALSE,"REK";#N/A,#N/A,FALSE,"rab"}</definedName>
    <definedName name="___hq1" localSheetId="0" hidden="1">{#N/A,#N/A,FALSE,"REK";#N/A,#N/A,FALSE,"rab"}</definedName>
    <definedName name="___hq1" localSheetId="7" hidden="1">{#N/A,#N/A,FALSE,"REK";#N/A,#N/A,FALSE,"rab"}</definedName>
    <definedName name="___hq1" localSheetId="13" hidden="1">{#N/A,#N/A,FALSE,"REK";#N/A,#N/A,FALSE,"rab"}</definedName>
    <definedName name="___hq1" localSheetId="8" hidden="1">{#N/A,#N/A,FALSE,"REK";#N/A,#N/A,FALSE,"rab"}</definedName>
    <definedName name="___hq1" localSheetId="12" hidden="1">{#N/A,#N/A,FALSE,"REK";#N/A,#N/A,FALSE,"rab"}</definedName>
    <definedName name="___hq1" hidden="1">{#N/A,#N/A,FALSE,"REK";#N/A,#N/A,FALSE,"rab"}</definedName>
    <definedName name="___hq1_2" localSheetId="15" hidden="1">{#N/A,#N/A,FALSE,"REK";#N/A,#N/A,FALSE,"rab"}</definedName>
    <definedName name="___hq1_2" localSheetId="9" hidden="1">{#N/A,#N/A,FALSE,"REK";#N/A,#N/A,FALSE,"rab"}</definedName>
    <definedName name="___hq1_2" localSheetId="0" hidden="1">{#N/A,#N/A,FALSE,"REK";#N/A,#N/A,FALSE,"rab"}</definedName>
    <definedName name="___hq1_2" localSheetId="7" hidden="1">{#N/A,#N/A,FALSE,"REK";#N/A,#N/A,FALSE,"rab"}</definedName>
    <definedName name="___hq1_2" localSheetId="13" hidden="1">{#N/A,#N/A,FALSE,"REK";#N/A,#N/A,FALSE,"rab"}</definedName>
    <definedName name="___hq1_2" localSheetId="8" hidden="1">{#N/A,#N/A,FALSE,"REK";#N/A,#N/A,FALSE,"rab"}</definedName>
    <definedName name="___hq1_2" localSheetId="12" hidden="1">{#N/A,#N/A,FALSE,"REK";#N/A,#N/A,FALSE,"rab"}</definedName>
    <definedName name="___hq1_2" hidden="1">{#N/A,#N/A,FALSE,"REK";#N/A,#N/A,FALSE,"rab"}</definedName>
    <definedName name="___hq1_3" localSheetId="15" hidden="1">{#N/A,#N/A,FALSE,"REK";#N/A,#N/A,FALSE,"rab"}</definedName>
    <definedName name="___hq1_3" localSheetId="9" hidden="1">{#N/A,#N/A,FALSE,"REK";#N/A,#N/A,FALSE,"rab"}</definedName>
    <definedName name="___hq1_3" localSheetId="0" hidden="1">{#N/A,#N/A,FALSE,"REK";#N/A,#N/A,FALSE,"rab"}</definedName>
    <definedName name="___hq1_3" localSheetId="7" hidden="1">{#N/A,#N/A,FALSE,"REK";#N/A,#N/A,FALSE,"rab"}</definedName>
    <definedName name="___hq1_3" localSheetId="13" hidden="1">{#N/A,#N/A,FALSE,"REK";#N/A,#N/A,FALSE,"rab"}</definedName>
    <definedName name="___hq1_3" localSheetId="8" hidden="1">{#N/A,#N/A,FALSE,"REK";#N/A,#N/A,FALSE,"rab"}</definedName>
    <definedName name="___hq1_3" localSheetId="12" hidden="1">{#N/A,#N/A,FALSE,"REK";#N/A,#N/A,FALSE,"rab"}</definedName>
    <definedName name="___hq1_3" hidden="1">{#N/A,#N/A,FALSE,"REK";#N/A,#N/A,FALSE,"rab"}</definedName>
    <definedName name="___hq1_4" localSheetId="15" hidden="1">{#N/A,#N/A,FALSE,"REK";#N/A,#N/A,FALSE,"rab"}</definedName>
    <definedName name="___hq1_4" localSheetId="9" hidden="1">{#N/A,#N/A,FALSE,"REK";#N/A,#N/A,FALSE,"rab"}</definedName>
    <definedName name="___hq1_4" localSheetId="0" hidden="1">{#N/A,#N/A,FALSE,"REK";#N/A,#N/A,FALSE,"rab"}</definedName>
    <definedName name="___hq1_4" localSheetId="7" hidden="1">{#N/A,#N/A,FALSE,"REK";#N/A,#N/A,FALSE,"rab"}</definedName>
    <definedName name="___hq1_4" localSheetId="13" hidden="1">{#N/A,#N/A,FALSE,"REK";#N/A,#N/A,FALSE,"rab"}</definedName>
    <definedName name="___hq1_4" localSheetId="8" hidden="1">{#N/A,#N/A,FALSE,"REK";#N/A,#N/A,FALSE,"rab"}</definedName>
    <definedName name="___hq1_4" localSheetId="12" hidden="1">{#N/A,#N/A,FALSE,"REK";#N/A,#N/A,FALSE,"rab"}</definedName>
    <definedName name="___hq1_4" hidden="1">{#N/A,#N/A,FALSE,"REK";#N/A,#N/A,FALSE,"rab"}</definedName>
    <definedName name="___hq1_5" localSheetId="15" hidden="1">{#N/A,#N/A,FALSE,"REK";#N/A,#N/A,FALSE,"rab"}</definedName>
    <definedName name="___hq1_5" localSheetId="9" hidden="1">{#N/A,#N/A,FALSE,"REK";#N/A,#N/A,FALSE,"rab"}</definedName>
    <definedName name="___hq1_5" localSheetId="0" hidden="1">{#N/A,#N/A,FALSE,"REK";#N/A,#N/A,FALSE,"rab"}</definedName>
    <definedName name="___hq1_5" localSheetId="7" hidden="1">{#N/A,#N/A,FALSE,"REK";#N/A,#N/A,FALSE,"rab"}</definedName>
    <definedName name="___hq1_5" localSheetId="13" hidden="1">{#N/A,#N/A,FALSE,"REK";#N/A,#N/A,FALSE,"rab"}</definedName>
    <definedName name="___hq1_5" localSheetId="8" hidden="1">{#N/A,#N/A,FALSE,"REK";#N/A,#N/A,FALSE,"rab"}</definedName>
    <definedName name="___hq1_5" localSheetId="12" hidden="1">{#N/A,#N/A,FALSE,"REK";#N/A,#N/A,FALSE,"rab"}</definedName>
    <definedName name="___hq1_5" hidden="1">{#N/A,#N/A,FALSE,"REK";#N/A,#N/A,FALSE,"rab"}</definedName>
    <definedName name="___hq2" localSheetId="15" hidden="1">{#N/A,#N/A,FALSE,"REK";#N/A,#N/A,FALSE,"rab"}</definedName>
    <definedName name="___hq2" localSheetId="9" hidden="1">{#N/A,#N/A,FALSE,"REK";#N/A,#N/A,FALSE,"rab"}</definedName>
    <definedName name="___hq2" localSheetId="0" hidden="1">{#N/A,#N/A,FALSE,"REK";#N/A,#N/A,FALSE,"rab"}</definedName>
    <definedName name="___hq2" localSheetId="7" hidden="1">{#N/A,#N/A,FALSE,"REK";#N/A,#N/A,FALSE,"rab"}</definedName>
    <definedName name="___hq2" localSheetId="13" hidden="1">{#N/A,#N/A,FALSE,"REK";#N/A,#N/A,FALSE,"rab"}</definedName>
    <definedName name="___hq2" localSheetId="8" hidden="1">{#N/A,#N/A,FALSE,"REK";#N/A,#N/A,FALSE,"rab"}</definedName>
    <definedName name="___hq2" localSheetId="12" hidden="1">{#N/A,#N/A,FALSE,"REK";#N/A,#N/A,FALSE,"rab"}</definedName>
    <definedName name="___hq2" hidden="1">{#N/A,#N/A,FALSE,"REK";#N/A,#N/A,FALSE,"rab"}</definedName>
    <definedName name="___hq2_2" localSheetId="15" hidden="1">{#N/A,#N/A,FALSE,"REK";#N/A,#N/A,FALSE,"rab"}</definedName>
    <definedName name="___hq2_2" localSheetId="9" hidden="1">{#N/A,#N/A,FALSE,"REK";#N/A,#N/A,FALSE,"rab"}</definedName>
    <definedName name="___hq2_2" localSheetId="0" hidden="1">{#N/A,#N/A,FALSE,"REK";#N/A,#N/A,FALSE,"rab"}</definedName>
    <definedName name="___hq2_2" localSheetId="7" hidden="1">{#N/A,#N/A,FALSE,"REK";#N/A,#N/A,FALSE,"rab"}</definedName>
    <definedName name="___hq2_2" localSheetId="13" hidden="1">{#N/A,#N/A,FALSE,"REK";#N/A,#N/A,FALSE,"rab"}</definedName>
    <definedName name="___hq2_2" localSheetId="8" hidden="1">{#N/A,#N/A,FALSE,"REK";#N/A,#N/A,FALSE,"rab"}</definedName>
    <definedName name="___hq2_2" localSheetId="12" hidden="1">{#N/A,#N/A,FALSE,"REK";#N/A,#N/A,FALSE,"rab"}</definedName>
    <definedName name="___hq2_2" hidden="1">{#N/A,#N/A,FALSE,"REK";#N/A,#N/A,FALSE,"rab"}</definedName>
    <definedName name="___hq2_3" localSheetId="15" hidden="1">{#N/A,#N/A,FALSE,"REK";#N/A,#N/A,FALSE,"rab"}</definedName>
    <definedName name="___hq2_3" localSheetId="9" hidden="1">{#N/A,#N/A,FALSE,"REK";#N/A,#N/A,FALSE,"rab"}</definedName>
    <definedName name="___hq2_3" localSheetId="0" hidden="1">{#N/A,#N/A,FALSE,"REK";#N/A,#N/A,FALSE,"rab"}</definedName>
    <definedName name="___hq2_3" localSheetId="7" hidden="1">{#N/A,#N/A,FALSE,"REK";#N/A,#N/A,FALSE,"rab"}</definedName>
    <definedName name="___hq2_3" localSheetId="13" hidden="1">{#N/A,#N/A,FALSE,"REK";#N/A,#N/A,FALSE,"rab"}</definedName>
    <definedName name="___hq2_3" localSheetId="8" hidden="1">{#N/A,#N/A,FALSE,"REK";#N/A,#N/A,FALSE,"rab"}</definedName>
    <definedName name="___hq2_3" localSheetId="12" hidden="1">{#N/A,#N/A,FALSE,"REK";#N/A,#N/A,FALSE,"rab"}</definedName>
    <definedName name="___hq2_3" hidden="1">{#N/A,#N/A,FALSE,"REK";#N/A,#N/A,FALSE,"rab"}</definedName>
    <definedName name="___hq2_4" localSheetId="15" hidden="1">{#N/A,#N/A,FALSE,"REK";#N/A,#N/A,FALSE,"rab"}</definedName>
    <definedName name="___hq2_4" localSheetId="9" hidden="1">{#N/A,#N/A,FALSE,"REK";#N/A,#N/A,FALSE,"rab"}</definedName>
    <definedName name="___hq2_4" localSheetId="0" hidden="1">{#N/A,#N/A,FALSE,"REK";#N/A,#N/A,FALSE,"rab"}</definedName>
    <definedName name="___hq2_4" localSheetId="7" hidden="1">{#N/A,#N/A,FALSE,"REK";#N/A,#N/A,FALSE,"rab"}</definedName>
    <definedName name="___hq2_4" localSheetId="13" hidden="1">{#N/A,#N/A,FALSE,"REK";#N/A,#N/A,FALSE,"rab"}</definedName>
    <definedName name="___hq2_4" localSheetId="8" hidden="1">{#N/A,#N/A,FALSE,"REK";#N/A,#N/A,FALSE,"rab"}</definedName>
    <definedName name="___hq2_4" localSheetId="12" hidden="1">{#N/A,#N/A,FALSE,"REK";#N/A,#N/A,FALSE,"rab"}</definedName>
    <definedName name="___hq2_4" hidden="1">{#N/A,#N/A,FALSE,"REK";#N/A,#N/A,FALSE,"rab"}</definedName>
    <definedName name="___hq2_5" localSheetId="15" hidden="1">{#N/A,#N/A,FALSE,"REK";#N/A,#N/A,FALSE,"rab"}</definedName>
    <definedName name="___hq2_5" localSheetId="9" hidden="1">{#N/A,#N/A,FALSE,"REK";#N/A,#N/A,FALSE,"rab"}</definedName>
    <definedName name="___hq2_5" localSheetId="0" hidden="1">{#N/A,#N/A,FALSE,"REK";#N/A,#N/A,FALSE,"rab"}</definedName>
    <definedName name="___hq2_5" localSheetId="7" hidden="1">{#N/A,#N/A,FALSE,"REK";#N/A,#N/A,FALSE,"rab"}</definedName>
    <definedName name="___hq2_5" localSheetId="13" hidden="1">{#N/A,#N/A,FALSE,"REK";#N/A,#N/A,FALSE,"rab"}</definedName>
    <definedName name="___hq2_5" localSheetId="8" hidden="1">{#N/A,#N/A,FALSE,"REK";#N/A,#N/A,FALSE,"rab"}</definedName>
    <definedName name="___hq2_5" localSheetId="12" hidden="1">{#N/A,#N/A,FALSE,"REK";#N/A,#N/A,FALSE,"rab"}</definedName>
    <definedName name="___hq2_5" hidden="1">{#N/A,#N/A,FALSE,"REK";#N/A,#N/A,FALSE,"rab"}</definedName>
    <definedName name="_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er3030">[1]harsat!$H$18</definedName>
    <definedName name="___key1" localSheetId="9" hidden="1">#REF!</definedName>
    <definedName name="___key1" localSheetId="0" hidden="1">#REF!</definedName>
    <definedName name="___key1" localSheetId="7" hidden="1">#REF!</definedName>
    <definedName name="___key1" localSheetId="13" hidden="1">#REF!</definedName>
    <definedName name="___key1" localSheetId="8" hidden="1">#REF!</definedName>
    <definedName name="___key1" localSheetId="12" hidden="1">#REF!</definedName>
    <definedName name="___key1" hidden="1">#REF!</definedName>
    <definedName name="___xlfn.BAHTTEXT" hidden="1">#NAME?</definedName>
    <definedName name="__123Graph_A" localSheetId="9" hidden="1">[2]AC!#REF!</definedName>
    <definedName name="__123Graph_A" localSheetId="7" hidden="1">[2]AC!#REF!</definedName>
    <definedName name="__123Graph_A" localSheetId="13" hidden="1">[2]AC!#REF!</definedName>
    <definedName name="__123Graph_A" localSheetId="8" hidden="1">[2]AC!#REF!</definedName>
    <definedName name="__123Graph_A" localSheetId="12" hidden="1">[2]AC!#REF!</definedName>
    <definedName name="__123Graph_A" hidden="1">[2]AC!#REF!</definedName>
    <definedName name="__123Graph_B" localSheetId="9" hidden="1">[2]AC!#REF!</definedName>
    <definedName name="__123Graph_B" localSheetId="7" hidden="1">[2]AC!#REF!</definedName>
    <definedName name="__123Graph_B" localSheetId="13" hidden="1">[2]AC!#REF!</definedName>
    <definedName name="__123Graph_B" localSheetId="8" hidden="1">[2]AC!#REF!</definedName>
    <definedName name="__123Graph_B" localSheetId="12" hidden="1">[2]AC!#REF!</definedName>
    <definedName name="__123Graph_B" hidden="1">[2]AC!#REF!</definedName>
    <definedName name="__123Graph_C" hidden="1">[2]AC!#REF!</definedName>
    <definedName name="__123Graph_D" hidden="1">[3]SEX!$P$7:$P$7</definedName>
    <definedName name="__123Graph_E" localSheetId="9" hidden="1">[2]AC!#REF!</definedName>
    <definedName name="__123Graph_E" localSheetId="7" hidden="1">[2]AC!#REF!</definedName>
    <definedName name="__123Graph_E" localSheetId="13" hidden="1">[2]AC!#REF!</definedName>
    <definedName name="__123Graph_E" localSheetId="8" hidden="1">[2]AC!#REF!</definedName>
    <definedName name="__123Graph_E" localSheetId="12" hidden="1">[2]AC!#REF!</definedName>
    <definedName name="__123Graph_E" hidden="1">[2]AC!#REF!</definedName>
    <definedName name="__123Graph_F" localSheetId="9" hidden="1">[4]ESCON!#REF!</definedName>
    <definedName name="__123Graph_F" localSheetId="7" hidden="1">[4]ESCON!#REF!</definedName>
    <definedName name="__123Graph_F" localSheetId="13" hidden="1">[4]ESCON!#REF!</definedName>
    <definedName name="__123Graph_F" localSheetId="8" hidden="1">[4]ESCON!#REF!</definedName>
    <definedName name="__123Graph_F" localSheetId="12" hidden="1">[4]ESCON!#REF!</definedName>
    <definedName name="__123Graph_F" hidden="1">[4]ESCON!#REF!</definedName>
    <definedName name="__123Graph_X" localSheetId="9" hidden="1">[2]AC!#REF!</definedName>
    <definedName name="__123Graph_X" localSheetId="7" hidden="1">[2]AC!#REF!</definedName>
    <definedName name="__123Graph_X" localSheetId="13" hidden="1">[2]AC!#REF!</definedName>
    <definedName name="__123Graph_X" localSheetId="8" hidden="1">[2]AC!#REF!</definedName>
    <definedName name="__123Graph_X" hidden="1">[2]AC!#REF!</definedName>
    <definedName name="_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bes39">'[5]Sat Bah &amp; Up'!$G$58</definedName>
    <definedName name="__cat2">[6]Upah!$D$24</definedName>
    <definedName name="__cat3">[6]Upah!$D$25</definedName>
    <definedName name="__cle65">'[7]BAG-III'!$J$303</definedName>
    <definedName name="__faw10">'[7]BAG-III'!$J$316</definedName>
    <definedName name="__faw65">'[7]BAG-III'!$J$317</definedName>
    <definedName name="__gen1000">[8]Ahs.2!$L$313</definedName>
    <definedName name="__GID1">'[9]LKVL-CK-HT-GD1'!$A$4</definedName>
    <definedName name="__gip15">'[7]BAG-III'!$J$294</definedName>
    <definedName name="__gip20">'[7]BAG-III'!$J$293</definedName>
    <definedName name="__gip25">'[7]BAG-III'!$J$292</definedName>
    <definedName name="__gip32">'[7]BAG-III'!$J$291</definedName>
    <definedName name="__gip40">'[7]BAG-III'!$J$290</definedName>
    <definedName name="__gip50">'[7]BAG-III'!$J$289</definedName>
    <definedName name="__gk2" hidden="1">#N/A</definedName>
    <definedName name="__gra6060">[1]harsat!$H$27</definedName>
    <definedName name="__hq1" localSheetId="15" hidden="1">{#N/A,#N/A,FALSE,"REK";#N/A,#N/A,FALSE,"rab"}</definedName>
    <definedName name="__hq1" localSheetId="9" hidden="1">{#N/A,#N/A,FALSE,"REK";#N/A,#N/A,FALSE,"rab"}</definedName>
    <definedName name="__hq1" localSheetId="0" hidden="1">{#N/A,#N/A,FALSE,"REK";#N/A,#N/A,FALSE,"rab"}</definedName>
    <definedName name="__hq1" localSheetId="7" hidden="1">{#N/A,#N/A,FALSE,"REK";#N/A,#N/A,FALSE,"rab"}</definedName>
    <definedName name="__hq1" localSheetId="13" hidden="1">{#N/A,#N/A,FALSE,"REK";#N/A,#N/A,FALSE,"rab"}</definedName>
    <definedName name="__hq1" localSheetId="8" hidden="1">{#N/A,#N/A,FALSE,"REK";#N/A,#N/A,FALSE,"rab"}</definedName>
    <definedName name="__hq1" localSheetId="12" hidden="1">{#N/A,#N/A,FALSE,"REK";#N/A,#N/A,FALSE,"rab"}</definedName>
    <definedName name="__hq1" hidden="1">{#N/A,#N/A,FALSE,"REK";#N/A,#N/A,FALSE,"rab"}</definedName>
    <definedName name="__hq1_2" localSheetId="15" hidden="1">{#N/A,#N/A,FALSE,"REK";#N/A,#N/A,FALSE,"rab"}</definedName>
    <definedName name="__hq1_2" localSheetId="9" hidden="1">{#N/A,#N/A,FALSE,"REK";#N/A,#N/A,FALSE,"rab"}</definedName>
    <definedName name="__hq1_2" localSheetId="0" hidden="1">{#N/A,#N/A,FALSE,"REK";#N/A,#N/A,FALSE,"rab"}</definedName>
    <definedName name="__hq1_2" localSheetId="7" hidden="1">{#N/A,#N/A,FALSE,"REK";#N/A,#N/A,FALSE,"rab"}</definedName>
    <definedName name="__hq1_2" localSheetId="13" hidden="1">{#N/A,#N/A,FALSE,"REK";#N/A,#N/A,FALSE,"rab"}</definedName>
    <definedName name="__hq1_2" localSheetId="8" hidden="1">{#N/A,#N/A,FALSE,"REK";#N/A,#N/A,FALSE,"rab"}</definedName>
    <definedName name="__hq1_2" localSheetId="12" hidden="1">{#N/A,#N/A,FALSE,"REK";#N/A,#N/A,FALSE,"rab"}</definedName>
    <definedName name="__hq1_2" hidden="1">{#N/A,#N/A,FALSE,"REK";#N/A,#N/A,FALSE,"rab"}</definedName>
    <definedName name="__hq1_3" localSheetId="15" hidden="1">{#N/A,#N/A,FALSE,"REK";#N/A,#N/A,FALSE,"rab"}</definedName>
    <definedName name="__hq1_3" localSheetId="9" hidden="1">{#N/A,#N/A,FALSE,"REK";#N/A,#N/A,FALSE,"rab"}</definedName>
    <definedName name="__hq1_3" localSheetId="0" hidden="1">{#N/A,#N/A,FALSE,"REK";#N/A,#N/A,FALSE,"rab"}</definedName>
    <definedName name="__hq1_3" localSheetId="7" hidden="1">{#N/A,#N/A,FALSE,"REK";#N/A,#N/A,FALSE,"rab"}</definedName>
    <definedName name="__hq1_3" localSheetId="13" hidden="1">{#N/A,#N/A,FALSE,"REK";#N/A,#N/A,FALSE,"rab"}</definedName>
    <definedName name="__hq1_3" localSheetId="8" hidden="1">{#N/A,#N/A,FALSE,"REK";#N/A,#N/A,FALSE,"rab"}</definedName>
    <definedName name="__hq1_3" localSheetId="12" hidden="1">{#N/A,#N/A,FALSE,"REK";#N/A,#N/A,FALSE,"rab"}</definedName>
    <definedName name="__hq1_3" hidden="1">{#N/A,#N/A,FALSE,"REK";#N/A,#N/A,FALSE,"rab"}</definedName>
    <definedName name="__hq1_4" localSheetId="15" hidden="1">{#N/A,#N/A,FALSE,"REK";#N/A,#N/A,FALSE,"rab"}</definedName>
    <definedName name="__hq1_4" localSheetId="9" hidden="1">{#N/A,#N/A,FALSE,"REK";#N/A,#N/A,FALSE,"rab"}</definedName>
    <definedName name="__hq1_4" localSheetId="0" hidden="1">{#N/A,#N/A,FALSE,"REK";#N/A,#N/A,FALSE,"rab"}</definedName>
    <definedName name="__hq1_4" localSheetId="7" hidden="1">{#N/A,#N/A,FALSE,"REK";#N/A,#N/A,FALSE,"rab"}</definedName>
    <definedName name="__hq1_4" localSheetId="13" hidden="1">{#N/A,#N/A,FALSE,"REK";#N/A,#N/A,FALSE,"rab"}</definedName>
    <definedName name="__hq1_4" localSheetId="8" hidden="1">{#N/A,#N/A,FALSE,"REK";#N/A,#N/A,FALSE,"rab"}</definedName>
    <definedName name="__hq1_4" localSheetId="12" hidden="1">{#N/A,#N/A,FALSE,"REK";#N/A,#N/A,FALSE,"rab"}</definedName>
    <definedName name="__hq1_4" hidden="1">{#N/A,#N/A,FALSE,"REK";#N/A,#N/A,FALSE,"rab"}</definedName>
    <definedName name="__hq1_5" localSheetId="15" hidden="1">{#N/A,#N/A,FALSE,"REK";#N/A,#N/A,FALSE,"rab"}</definedName>
    <definedName name="__hq1_5" localSheetId="9" hidden="1">{#N/A,#N/A,FALSE,"REK";#N/A,#N/A,FALSE,"rab"}</definedName>
    <definedName name="__hq1_5" localSheetId="0" hidden="1">{#N/A,#N/A,FALSE,"REK";#N/A,#N/A,FALSE,"rab"}</definedName>
    <definedName name="__hq1_5" localSheetId="7" hidden="1">{#N/A,#N/A,FALSE,"REK";#N/A,#N/A,FALSE,"rab"}</definedName>
    <definedName name="__hq1_5" localSheetId="13" hidden="1">{#N/A,#N/A,FALSE,"REK";#N/A,#N/A,FALSE,"rab"}</definedName>
    <definedName name="__hq1_5" localSheetId="8" hidden="1">{#N/A,#N/A,FALSE,"REK";#N/A,#N/A,FALSE,"rab"}</definedName>
    <definedName name="__hq1_5" localSheetId="12" hidden="1">{#N/A,#N/A,FALSE,"REK";#N/A,#N/A,FALSE,"rab"}</definedName>
    <definedName name="__hq1_5" hidden="1">{#N/A,#N/A,FALSE,"REK";#N/A,#N/A,FALSE,"rab"}</definedName>
    <definedName name="__hq2" localSheetId="15" hidden="1">{#N/A,#N/A,FALSE,"REK";#N/A,#N/A,FALSE,"rab"}</definedName>
    <definedName name="__hq2" localSheetId="9" hidden="1">{#N/A,#N/A,FALSE,"REK";#N/A,#N/A,FALSE,"rab"}</definedName>
    <definedName name="__hq2" localSheetId="0" hidden="1">{#N/A,#N/A,FALSE,"REK";#N/A,#N/A,FALSE,"rab"}</definedName>
    <definedName name="__hq2" localSheetId="7" hidden="1">{#N/A,#N/A,FALSE,"REK";#N/A,#N/A,FALSE,"rab"}</definedName>
    <definedName name="__hq2" localSheetId="13" hidden="1">{#N/A,#N/A,FALSE,"REK";#N/A,#N/A,FALSE,"rab"}</definedName>
    <definedName name="__hq2" localSheetId="8" hidden="1">{#N/A,#N/A,FALSE,"REK";#N/A,#N/A,FALSE,"rab"}</definedName>
    <definedName name="__hq2" localSheetId="12" hidden="1">{#N/A,#N/A,FALSE,"REK";#N/A,#N/A,FALSE,"rab"}</definedName>
    <definedName name="__hq2" hidden="1">{#N/A,#N/A,FALSE,"REK";#N/A,#N/A,FALSE,"rab"}</definedName>
    <definedName name="__hq2_2" localSheetId="15" hidden="1">{#N/A,#N/A,FALSE,"REK";#N/A,#N/A,FALSE,"rab"}</definedName>
    <definedName name="__hq2_2" localSheetId="9" hidden="1">{#N/A,#N/A,FALSE,"REK";#N/A,#N/A,FALSE,"rab"}</definedName>
    <definedName name="__hq2_2" localSheetId="0" hidden="1">{#N/A,#N/A,FALSE,"REK";#N/A,#N/A,FALSE,"rab"}</definedName>
    <definedName name="__hq2_2" localSheetId="7" hidden="1">{#N/A,#N/A,FALSE,"REK";#N/A,#N/A,FALSE,"rab"}</definedName>
    <definedName name="__hq2_2" localSheetId="13" hidden="1">{#N/A,#N/A,FALSE,"REK";#N/A,#N/A,FALSE,"rab"}</definedName>
    <definedName name="__hq2_2" localSheetId="8" hidden="1">{#N/A,#N/A,FALSE,"REK";#N/A,#N/A,FALSE,"rab"}</definedName>
    <definedName name="__hq2_2" localSheetId="12" hidden="1">{#N/A,#N/A,FALSE,"REK";#N/A,#N/A,FALSE,"rab"}</definedName>
    <definedName name="__hq2_2" hidden="1">{#N/A,#N/A,FALSE,"REK";#N/A,#N/A,FALSE,"rab"}</definedName>
    <definedName name="__hq2_3" localSheetId="15" hidden="1">{#N/A,#N/A,FALSE,"REK";#N/A,#N/A,FALSE,"rab"}</definedName>
    <definedName name="__hq2_3" localSheetId="9" hidden="1">{#N/A,#N/A,FALSE,"REK";#N/A,#N/A,FALSE,"rab"}</definedName>
    <definedName name="__hq2_3" localSheetId="0" hidden="1">{#N/A,#N/A,FALSE,"REK";#N/A,#N/A,FALSE,"rab"}</definedName>
    <definedName name="__hq2_3" localSheetId="7" hidden="1">{#N/A,#N/A,FALSE,"REK";#N/A,#N/A,FALSE,"rab"}</definedName>
    <definedName name="__hq2_3" localSheetId="13" hidden="1">{#N/A,#N/A,FALSE,"REK";#N/A,#N/A,FALSE,"rab"}</definedName>
    <definedName name="__hq2_3" localSheetId="8" hidden="1">{#N/A,#N/A,FALSE,"REK";#N/A,#N/A,FALSE,"rab"}</definedName>
    <definedName name="__hq2_3" localSheetId="12" hidden="1">{#N/A,#N/A,FALSE,"REK";#N/A,#N/A,FALSE,"rab"}</definedName>
    <definedName name="__hq2_3" hidden="1">{#N/A,#N/A,FALSE,"REK";#N/A,#N/A,FALSE,"rab"}</definedName>
    <definedName name="__hq2_4" localSheetId="15" hidden="1">{#N/A,#N/A,FALSE,"REK";#N/A,#N/A,FALSE,"rab"}</definedName>
    <definedName name="__hq2_4" localSheetId="9" hidden="1">{#N/A,#N/A,FALSE,"REK";#N/A,#N/A,FALSE,"rab"}</definedName>
    <definedName name="__hq2_4" localSheetId="0" hidden="1">{#N/A,#N/A,FALSE,"REK";#N/A,#N/A,FALSE,"rab"}</definedName>
    <definedName name="__hq2_4" localSheetId="7" hidden="1">{#N/A,#N/A,FALSE,"REK";#N/A,#N/A,FALSE,"rab"}</definedName>
    <definedName name="__hq2_4" localSheetId="13" hidden="1">{#N/A,#N/A,FALSE,"REK";#N/A,#N/A,FALSE,"rab"}</definedName>
    <definedName name="__hq2_4" localSheetId="8" hidden="1">{#N/A,#N/A,FALSE,"REK";#N/A,#N/A,FALSE,"rab"}</definedName>
    <definedName name="__hq2_4" localSheetId="12" hidden="1">{#N/A,#N/A,FALSE,"REK";#N/A,#N/A,FALSE,"rab"}</definedName>
    <definedName name="__hq2_4" hidden="1">{#N/A,#N/A,FALSE,"REK";#N/A,#N/A,FALSE,"rab"}</definedName>
    <definedName name="__hq2_5" localSheetId="15" hidden="1">{#N/A,#N/A,FALSE,"REK";#N/A,#N/A,FALSE,"rab"}</definedName>
    <definedName name="__hq2_5" localSheetId="9" hidden="1">{#N/A,#N/A,FALSE,"REK";#N/A,#N/A,FALSE,"rab"}</definedName>
    <definedName name="__hq2_5" localSheetId="0" hidden="1">{#N/A,#N/A,FALSE,"REK";#N/A,#N/A,FALSE,"rab"}</definedName>
    <definedName name="__hq2_5" localSheetId="7" hidden="1">{#N/A,#N/A,FALSE,"REK";#N/A,#N/A,FALSE,"rab"}</definedName>
    <definedName name="__hq2_5" localSheetId="13" hidden="1">{#N/A,#N/A,FALSE,"REK";#N/A,#N/A,FALSE,"rab"}</definedName>
    <definedName name="__hq2_5" localSheetId="8" hidden="1">{#N/A,#N/A,FALSE,"REK";#N/A,#N/A,FALSE,"rab"}</definedName>
    <definedName name="__hq2_5" localSheetId="12" hidden="1">{#N/A,#N/A,FALSE,"REK";#N/A,#N/A,FALSE,"rab"}</definedName>
    <definedName name="__hq2_5" hidden="1">{#N/A,#N/A,FALSE,"REK";#N/A,#N/A,FALSE,"rab"}</definedName>
    <definedName name="__int2">'[10]Harga satuan'!$N$3</definedName>
    <definedName name="__IntlFixup" hidden="1">TRUE</definedName>
    <definedName name="_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ey1" localSheetId="9" hidden="1">#REF!</definedName>
    <definedName name="__key1" localSheetId="0" hidden="1">#REF!</definedName>
    <definedName name="__key1" localSheetId="7" hidden="1">#REF!</definedName>
    <definedName name="__key1" localSheetId="13" hidden="1">#REF!</definedName>
    <definedName name="__key1" localSheetId="8" hidden="1">#REF!</definedName>
    <definedName name="__key1" localSheetId="12" hidden="1">#REF!</definedName>
    <definedName name="__key1" hidden="1">#REF!</definedName>
    <definedName name="__mp3">[8]Ahs.1!$N$1149</definedName>
    <definedName name="__paw25">'[7]BAG-III'!$J$313</definedName>
    <definedName name="__paw40">'[7]BAG-III'!$J$312</definedName>
    <definedName name="__paw50">'[7]BAG-III'!$J$311</definedName>
    <definedName name="__paw65">'[7]BAG-III'!$J$310</definedName>
    <definedName name="__pek2">[6]Upah!$D$15</definedName>
    <definedName name="__pek3">[6]Upah!$D$16</definedName>
    <definedName name="__ups10">[8]Ahs.2!$L$525</definedName>
    <definedName name="__xlfn.BAHTTEXT" hidden="1">#NAME?</definedName>
    <definedName name="_1__123Graph_ACHART_1" hidden="1">'[11]Cash Flow bulanan'!$K$203:$CX$203</definedName>
    <definedName name="_123Graph_F" localSheetId="9" hidden="1">[12]escon!#REF!</definedName>
    <definedName name="_123Graph_F" localSheetId="7" hidden="1">[12]escon!#REF!</definedName>
    <definedName name="_123Graph_F" localSheetId="13" hidden="1">[12]escon!#REF!</definedName>
    <definedName name="_123Graph_F" localSheetId="8" hidden="1">[12]escon!#REF!</definedName>
    <definedName name="_123Graph_F" localSheetId="12" hidden="1">[12]escon!#REF!</definedName>
    <definedName name="_123Graph_F" hidden="1">[12]escon!#REF!</definedName>
    <definedName name="_12Excel_BuiltIn_Print_Area_1_1">'[13]Spec Str'!$A$2:$E$60,'[13]Spec Str'!$A$2:$E$60</definedName>
    <definedName name="_13Excel_BuiltIn_Print_Area_9_1" localSheetId="9">#REF!,#REF!</definedName>
    <definedName name="_13Excel_BuiltIn_Print_Area_9_1" localSheetId="0">#REF!,#REF!</definedName>
    <definedName name="_13Excel_BuiltIn_Print_Area_9_1" localSheetId="7">#REF!,#REF!</definedName>
    <definedName name="_13Excel_BuiltIn_Print_Area_9_1" localSheetId="13">#REF!,#REF!</definedName>
    <definedName name="_13Excel_BuiltIn_Print_Area_9_1" localSheetId="8">#REF!,#REF!</definedName>
    <definedName name="_13Excel_BuiltIn_Print_Area_9_1" localSheetId="12">#REF!,#REF!</definedName>
    <definedName name="_13Excel_BuiltIn_Print_Area_9_1">#REF!,#REF!</definedName>
    <definedName name="_14Excel_BuiltIn_Print_Titles_4_1_1" localSheetId="9">#REF!,#REF!</definedName>
    <definedName name="_14Excel_BuiltIn_Print_Titles_4_1_1" localSheetId="0">#REF!,#REF!</definedName>
    <definedName name="_14Excel_BuiltIn_Print_Titles_4_1_1" localSheetId="7">#REF!,#REF!</definedName>
    <definedName name="_14Excel_BuiltIn_Print_Titles_4_1_1" localSheetId="13">#REF!,#REF!</definedName>
    <definedName name="_14Excel_BuiltIn_Print_Titles_4_1_1" localSheetId="8">#REF!,#REF!</definedName>
    <definedName name="_14Excel_BuiltIn_Print_Titles_4_1_1">#REF!,#REF!</definedName>
    <definedName name="_21Excel_BuiltIn_Print_Area_9_1" localSheetId="9">#REF!,#REF!</definedName>
    <definedName name="_21Excel_BuiltIn_Print_Area_9_1" localSheetId="0">#REF!,#REF!</definedName>
    <definedName name="_21Excel_BuiltIn_Print_Area_9_1" localSheetId="7">#REF!,#REF!</definedName>
    <definedName name="_21Excel_BuiltIn_Print_Area_9_1" localSheetId="13">#REF!,#REF!</definedName>
    <definedName name="_21Excel_BuiltIn_Print_Area_9_1" localSheetId="8">#REF!,#REF!</definedName>
    <definedName name="_21Excel_BuiltIn_Print_Area_9_1">#REF!,#REF!</definedName>
    <definedName name="_39Excel_BuiltIn_Print_Titles_4_1_1" localSheetId="9">#REF!,#REF!</definedName>
    <definedName name="_39Excel_BuiltIn_Print_Titles_4_1_1" localSheetId="0">#REF!,#REF!</definedName>
    <definedName name="_39Excel_BuiltIn_Print_Titles_4_1_1">#REF!,#REF!</definedName>
    <definedName name="_9__123Graph_ACHART_1" hidden="1">'[14]Cash Flow bulanan'!$K$203:$CX$203</definedName>
    <definedName name="_A_2">NA()</definedName>
    <definedName name="_AAD3" localSheetId="15">HAJIME:OWARI</definedName>
    <definedName name="_AAD3" localSheetId="9">[15]!HAJIME:[15]!OWARI</definedName>
    <definedName name="_AAD3" localSheetId="0">[0]!HAJIME:[0]!OWARI</definedName>
    <definedName name="_AAD3" localSheetId="6">HAJIME:OWARI</definedName>
    <definedName name="_AAD3" localSheetId="7">HAJIME:OWARI</definedName>
    <definedName name="_AAD3" localSheetId="13">HAJIME:OWARI</definedName>
    <definedName name="_AAD3" localSheetId="8">HAJIME:OWARI</definedName>
    <definedName name="_AAD3" localSheetId="12">[0]!HAJIME:[0]!OWARI</definedName>
    <definedName name="_AAD3">HAJIME:OWARI</definedName>
    <definedName name="_ADD1" localSheetId="4">STOP2:STOP2E</definedName>
    <definedName name="_ADD1" localSheetId="15">STOP2:STOP2E</definedName>
    <definedName name="_ADD1" localSheetId="9">STOP2:STOP2E</definedName>
    <definedName name="_ADD1" localSheetId="0">STOP2:STOP2E</definedName>
    <definedName name="_ADD1" localSheetId="6">STOP2:STOP2E</definedName>
    <definedName name="_ADD1" localSheetId="7">STOP2:STOP2E</definedName>
    <definedName name="_ADD1" localSheetId="13">STOP2:STOP2E</definedName>
    <definedName name="_ADD1" localSheetId="5">STOP2:STOP2E</definedName>
    <definedName name="_ADD1" localSheetId="8">STOP2:STOP2E</definedName>
    <definedName name="_ADD1" localSheetId="12">STOP2:STOP2E</definedName>
    <definedName name="_ADD1">STOP2:STOP2E</definedName>
    <definedName name="_ADD2" localSheetId="4">STOP:STOPE</definedName>
    <definedName name="_ADD2" localSheetId="15">STOP:STOPE</definedName>
    <definedName name="_ADD2" localSheetId="9">STOP:STOPE</definedName>
    <definedName name="_ADD2" localSheetId="0">STOP:STOPE</definedName>
    <definedName name="_ADD2" localSheetId="6">STOP:STOPE</definedName>
    <definedName name="_ADD2" localSheetId="7">STOP:STOPE</definedName>
    <definedName name="_ADD2" localSheetId="13">STOP:STOPE</definedName>
    <definedName name="_ADD2" localSheetId="5">STOP:STOPE</definedName>
    <definedName name="_ADD2" localSheetId="8">STOP:STOPE</definedName>
    <definedName name="_ADD2" localSheetId="12">STOP:STOPE</definedName>
    <definedName name="_ADD2">STOP:STOPE</definedName>
    <definedName name="_ADD3" localSheetId="4">STOP:STOPE</definedName>
    <definedName name="_ADD3" localSheetId="15">STOP:STOPE</definedName>
    <definedName name="_ADD3" localSheetId="9">STOP:STOPE</definedName>
    <definedName name="_ADD3" localSheetId="0">STOP:STOPE</definedName>
    <definedName name="_ADD3" localSheetId="6">STOP:STOPE</definedName>
    <definedName name="_ADD3" localSheetId="7">STOP:STOPE</definedName>
    <definedName name="_ADD3" localSheetId="13">STOP:STOPE</definedName>
    <definedName name="_ADD3" localSheetId="5">STOP:STOPE</definedName>
    <definedName name="_ADD3" localSheetId="8">STOP:STOPE</definedName>
    <definedName name="_ADD3" localSheetId="12">STOP:STOPE</definedName>
    <definedName name="_ADD3">STOP:STOPE</definedName>
    <definedName name="_alt1" localSheetId="9">'Pas. Dinding'!_alt1</definedName>
    <definedName name="_alt1" localSheetId="12">'TABEL BAJA'!_alt1</definedName>
    <definedName name="_alt1">[16]!_alt1</definedName>
    <definedName name="_alt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PP3" localSheetId="9">'Pas. Dinding'!_APP3</definedName>
    <definedName name="_APP3" localSheetId="12">'TABEL BAJA'!_APP3</definedName>
    <definedName name="_APP3">[16]!_APP3</definedName>
    <definedName name="_cat2">[6]Upah!$D$24</definedName>
    <definedName name="_cat3">[6]Upah!$D$25</definedName>
    <definedName name="_CH27..H27___C_" hidden="1">#REF!</definedName>
    <definedName name="_CH29..H29___C_" hidden="1">#REF!</definedName>
    <definedName name="_cle65">'[7]BAG-III'!$J$303</definedName>
    <definedName name="_dia13">'[17]tb. besi'!$H$15</definedName>
    <definedName name="_dia16">'[17]tb. besi'!$H$16</definedName>
    <definedName name="_dia19">[18]tulang!$H$17</definedName>
    <definedName name="_Dist_Bin" localSheetId="9" hidden="1">[19]H.Satuan!#REF!</definedName>
    <definedName name="_Dist_Bin" localSheetId="0" hidden="1">[19]H.Satuan!#REF!</definedName>
    <definedName name="_Dist_Bin" localSheetId="7" hidden="1">[19]H.Satuan!#REF!</definedName>
    <definedName name="_Dist_Bin" localSheetId="13" hidden="1">[19]H.Satuan!#REF!</definedName>
    <definedName name="_Dist_Bin" localSheetId="8" hidden="1">[19]H.Satuan!#REF!</definedName>
    <definedName name="_Dist_Bin" localSheetId="12" hidden="1">[19]H.Satuan!#REF!</definedName>
    <definedName name="_Dist_Bin" hidden="1">[19]H.Satuan!#REF!</definedName>
    <definedName name="_Dist_Values" localSheetId="9" hidden="1">#REF!</definedName>
    <definedName name="_Dist_Values" localSheetId="0" hidden="1">#REF!</definedName>
    <definedName name="_Dist_Values" localSheetId="7" hidden="1">#REF!</definedName>
    <definedName name="_Dist_Values" localSheetId="13" hidden="1">#REF!</definedName>
    <definedName name="_Dist_Values" localSheetId="8" hidden="1">#REF!</definedName>
    <definedName name="_Dist_Values" localSheetId="12" hidden="1">#REF!</definedName>
    <definedName name="_Dist_Values" hidden="1">#REF!</definedName>
    <definedName name="_f">NA()</definedName>
    <definedName name="_faw65">'[7]BAG-III'!$J$317</definedName>
    <definedName name="_Fill" localSheetId="9" hidden="1">#REF!</definedName>
    <definedName name="_Fill" localSheetId="0" hidden="1">#REF!</definedName>
    <definedName name="_Fill" localSheetId="7" hidden="1">#REF!</definedName>
    <definedName name="_Fill" localSheetId="13" hidden="1">#REF!</definedName>
    <definedName name="_Fill" localSheetId="8" hidden="1">#REF!</definedName>
    <definedName name="_Fill" localSheetId="12" hidden="1">#REF!</definedName>
    <definedName name="_Fill" hidden="1">#REF!</definedName>
    <definedName name="_xlnm._FilterDatabase" localSheetId="20" hidden="1">'Besi Balok'!A23:AB7276</definedName>
    <definedName name="_xlnm._FilterDatabase" localSheetId="11" hidden="1">'DATA BAJA'!C5:C27</definedName>
    <definedName name="_xlnm._FilterDatabase" localSheetId="18" hidden="1">'Data Panjang Balok'!A9:Q254</definedName>
    <definedName name="_xlnm._FilterDatabase" localSheetId="16" hidden="1">'Data-Kolom'!A14:U248</definedName>
    <definedName name="_xlnm._FilterDatabase" localSheetId="19" hidden="1">'Detail Balok'!B10:BH140</definedName>
    <definedName name="_xlnm._FilterDatabase" localSheetId="15" hidden="1">'Hasil-Kolom'!A14:BA138</definedName>
    <definedName name="_xlnm._FilterDatabase" localSheetId="24" hidden="1">'Hasil-PC'!A9:BA63</definedName>
    <definedName name="_xlnm._FilterDatabase" localSheetId="9" hidden="1">'[20]HRG BAHAN &amp; UPAH okk'!#REF!</definedName>
    <definedName name="_xlnm._FilterDatabase" localSheetId="0" hidden="1">'[20]HRG BAHAN &amp; UPAH okk'!#REF!</definedName>
    <definedName name="_xlnm._FilterDatabase" localSheetId="10" hidden="1">'PROSES BAJA'!A11:S49</definedName>
    <definedName name="_xlnm._FilterDatabase" localSheetId="23" hidden="1">'RAB (A)'!A8:AL280</definedName>
    <definedName name="_xlnm._FilterDatabase" localSheetId="17" hidden="1">'REKAP Balok'!A12:Z257</definedName>
    <definedName name="_xlnm._FilterDatabase" localSheetId="7" hidden="1">'[20]HRG BAHAN &amp; UPAH okk'!#REF!</definedName>
    <definedName name="_xlnm._FilterDatabase" localSheetId="13" hidden="1">'[20]HRG BAHAN &amp; UPAH okk'!#REF!</definedName>
    <definedName name="_xlnm._FilterDatabase" localSheetId="8" hidden="1">'Retaining Wall'!A6:W156</definedName>
    <definedName name="_xlnm._FilterDatabase" localSheetId="12" hidden="1">'[20]HRG BAHAN &amp; UPAH okk'!#REF!</definedName>
    <definedName name="_xlnm._FilterDatabase" hidden="1">'[20]HRG BAHAN &amp; UPAH okk'!#REF!</definedName>
    <definedName name="_flo40">'[7]BAG-III'!$J$281</definedName>
    <definedName name="_gen1000">[8]Ahs.2!$L$313</definedName>
    <definedName name="_get40">'[20]DHS AC'!$D$72</definedName>
    <definedName name="_get50">'[20]DHS AC'!$D$73</definedName>
    <definedName name="_GID1">'[9]LKVL-CK-HT-GD1'!$A$4</definedName>
    <definedName name="_gip15">'[7]BAG-III'!$J$294</definedName>
    <definedName name="_gip20">'[7]BAG-III'!$J$293</definedName>
    <definedName name="_gip25">'[7]BAG-III'!$J$292</definedName>
    <definedName name="_gip32">'[7]BAG-III'!$J$291</definedName>
    <definedName name="_gip40">'[7]BAG-III'!$J$290</definedName>
    <definedName name="_gip50">'[7]BAG-III'!$J$289</definedName>
    <definedName name="_gk2" hidden="1">#N/A</definedName>
    <definedName name="_hq1" localSheetId="15" hidden="1">{#N/A,#N/A,FALSE,"REK";#N/A,#N/A,FALSE,"rab"}</definedName>
    <definedName name="_hq1" localSheetId="9" hidden="1">{#N/A,#N/A,FALSE,"REK";#N/A,#N/A,FALSE,"rab"}</definedName>
    <definedName name="_hq1" localSheetId="0" hidden="1">{#N/A,#N/A,FALSE,"REK";#N/A,#N/A,FALSE,"rab"}</definedName>
    <definedName name="_hq1" localSheetId="7" hidden="1">{#N/A,#N/A,FALSE,"REK";#N/A,#N/A,FALSE,"rab"}</definedName>
    <definedName name="_hq1" localSheetId="13" hidden="1">{#N/A,#N/A,FALSE,"REK";#N/A,#N/A,FALSE,"rab"}</definedName>
    <definedName name="_hq1" localSheetId="8" hidden="1">{#N/A,#N/A,FALSE,"REK";#N/A,#N/A,FALSE,"rab"}</definedName>
    <definedName name="_hq1" localSheetId="12" hidden="1">{#N/A,#N/A,FALSE,"REK";#N/A,#N/A,FALSE,"rab"}</definedName>
    <definedName name="_hq1" hidden="1">{#N/A,#N/A,FALSE,"REK";#N/A,#N/A,FALSE,"rab"}</definedName>
    <definedName name="_hq1_2" localSheetId="15" hidden="1">{#N/A,#N/A,FALSE,"REK";#N/A,#N/A,FALSE,"rab"}</definedName>
    <definedName name="_hq1_2" localSheetId="9" hidden="1">{#N/A,#N/A,FALSE,"REK";#N/A,#N/A,FALSE,"rab"}</definedName>
    <definedName name="_hq1_2" localSheetId="0" hidden="1">{#N/A,#N/A,FALSE,"REK";#N/A,#N/A,FALSE,"rab"}</definedName>
    <definedName name="_hq1_2" localSheetId="7" hidden="1">{#N/A,#N/A,FALSE,"REK";#N/A,#N/A,FALSE,"rab"}</definedName>
    <definedName name="_hq1_2" localSheetId="13" hidden="1">{#N/A,#N/A,FALSE,"REK";#N/A,#N/A,FALSE,"rab"}</definedName>
    <definedName name="_hq1_2" localSheetId="8" hidden="1">{#N/A,#N/A,FALSE,"REK";#N/A,#N/A,FALSE,"rab"}</definedName>
    <definedName name="_hq1_2" localSheetId="12" hidden="1">{#N/A,#N/A,FALSE,"REK";#N/A,#N/A,FALSE,"rab"}</definedName>
    <definedName name="_hq1_2" hidden="1">{#N/A,#N/A,FALSE,"REK";#N/A,#N/A,FALSE,"rab"}</definedName>
    <definedName name="_hq1_3" localSheetId="15" hidden="1">{#N/A,#N/A,FALSE,"REK";#N/A,#N/A,FALSE,"rab"}</definedName>
    <definedName name="_hq1_3" localSheetId="9" hidden="1">{#N/A,#N/A,FALSE,"REK";#N/A,#N/A,FALSE,"rab"}</definedName>
    <definedName name="_hq1_3" localSheetId="0" hidden="1">{#N/A,#N/A,FALSE,"REK";#N/A,#N/A,FALSE,"rab"}</definedName>
    <definedName name="_hq1_3" localSheetId="7" hidden="1">{#N/A,#N/A,FALSE,"REK";#N/A,#N/A,FALSE,"rab"}</definedName>
    <definedName name="_hq1_3" localSheetId="13" hidden="1">{#N/A,#N/A,FALSE,"REK";#N/A,#N/A,FALSE,"rab"}</definedName>
    <definedName name="_hq1_3" localSheetId="8" hidden="1">{#N/A,#N/A,FALSE,"REK";#N/A,#N/A,FALSE,"rab"}</definedName>
    <definedName name="_hq1_3" localSheetId="12" hidden="1">{#N/A,#N/A,FALSE,"REK";#N/A,#N/A,FALSE,"rab"}</definedName>
    <definedName name="_hq1_3" hidden="1">{#N/A,#N/A,FALSE,"REK";#N/A,#N/A,FALSE,"rab"}</definedName>
    <definedName name="_hq1_4" localSheetId="15" hidden="1">{#N/A,#N/A,FALSE,"REK";#N/A,#N/A,FALSE,"rab"}</definedName>
    <definedName name="_hq1_4" localSheetId="9" hidden="1">{#N/A,#N/A,FALSE,"REK";#N/A,#N/A,FALSE,"rab"}</definedName>
    <definedName name="_hq1_4" localSheetId="0" hidden="1">{#N/A,#N/A,FALSE,"REK";#N/A,#N/A,FALSE,"rab"}</definedName>
    <definedName name="_hq1_4" localSheetId="7" hidden="1">{#N/A,#N/A,FALSE,"REK";#N/A,#N/A,FALSE,"rab"}</definedName>
    <definedName name="_hq1_4" localSheetId="13" hidden="1">{#N/A,#N/A,FALSE,"REK";#N/A,#N/A,FALSE,"rab"}</definedName>
    <definedName name="_hq1_4" localSheetId="8" hidden="1">{#N/A,#N/A,FALSE,"REK";#N/A,#N/A,FALSE,"rab"}</definedName>
    <definedName name="_hq1_4" localSheetId="12" hidden="1">{#N/A,#N/A,FALSE,"REK";#N/A,#N/A,FALSE,"rab"}</definedName>
    <definedName name="_hq1_4" hidden="1">{#N/A,#N/A,FALSE,"REK";#N/A,#N/A,FALSE,"rab"}</definedName>
    <definedName name="_hq1_5" localSheetId="15" hidden="1">{#N/A,#N/A,FALSE,"REK";#N/A,#N/A,FALSE,"rab"}</definedName>
    <definedName name="_hq1_5" localSheetId="9" hidden="1">{#N/A,#N/A,FALSE,"REK";#N/A,#N/A,FALSE,"rab"}</definedName>
    <definedName name="_hq1_5" localSheetId="0" hidden="1">{#N/A,#N/A,FALSE,"REK";#N/A,#N/A,FALSE,"rab"}</definedName>
    <definedName name="_hq1_5" localSheetId="7" hidden="1">{#N/A,#N/A,FALSE,"REK";#N/A,#N/A,FALSE,"rab"}</definedName>
    <definedName name="_hq1_5" localSheetId="13" hidden="1">{#N/A,#N/A,FALSE,"REK";#N/A,#N/A,FALSE,"rab"}</definedName>
    <definedName name="_hq1_5" localSheetId="8" hidden="1">{#N/A,#N/A,FALSE,"REK";#N/A,#N/A,FALSE,"rab"}</definedName>
    <definedName name="_hq1_5" localSheetId="12" hidden="1">{#N/A,#N/A,FALSE,"REK";#N/A,#N/A,FALSE,"rab"}</definedName>
    <definedName name="_hq1_5" hidden="1">{#N/A,#N/A,FALSE,"REK";#N/A,#N/A,FALSE,"rab"}</definedName>
    <definedName name="_hq2" localSheetId="15" hidden="1">{#N/A,#N/A,FALSE,"REK";#N/A,#N/A,FALSE,"rab"}</definedName>
    <definedName name="_hq2" localSheetId="9" hidden="1">{#N/A,#N/A,FALSE,"REK";#N/A,#N/A,FALSE,"rab"}</definedName>
    <definedName name="_hq2" localSheetId="0" hidden="1">{#N/A,#N/A,FALSE,"REK";#N/A,#N/A,FALSE,"rab"}</definedName>
    <definedName name="_hq2" localSheetId="7" hidden="1">{#N/A,#N/A,FALSE,"REK";#N/A,#N/A,FALSE,"rab"}</definedName>
    <definedName name="_hq2" localSheetId="13" hidden="1">{#N/A,#N/A,FALSE,"REK";#N/A,#N/A,FALSE,"rab"}</definedName>
    <definedName name="_hq2" localSheetId="8" hidden="1">{#N/A,#N/A,FALSE,"REK";#N/A,#N/A,FALSE,"rab"}</definedName>
    <definedName name="_hq2" localSheetId="12" hidden="1">{#N/A,#N/A,FALSE,"REK";#N/A,#N/A,FALSE,"rab"}</definedName>
    <definedName name="_hq2" hidden="1">{#N/A,#N/A,FALSE,"REK";#N/A,#N/A,FALSE,"rab"}</definedName>
    <definedName name="_hq2_2" localSheetId="15" hidden="1">{#N/A,#N/A,FALSE,"REK";#N/A,#N/A,FALSE,"rab"}</definedName>
    <definedName name="_hq2_2" localSheetId="9" hidden="1">{#N/A,#N/A,FALSE,"REK";#N/A,#N/A,FALSE,"rab"}</definedName>
    <definedName name="_hq2_2" localSheetId="0" hidden="1">{#N/A,#N/A,FALSE,"REK";#N/A,#N/A,FALSE,"rab"}</definedName>
    <definedName name="_hq2_2" localSheetId="7" hidden="1">{#N/A,#N/A,FALSE,"REK";#N/A,#N/A,FALSE,"rab"}</definedName>
    <definedName name="_hq2_2" localSheetId="13" hidden="1">{#N/A,#N/A,FALSE,"REK";#N/A,#N/A,FALSE,"rab"}</definedName>
    <definedName name="_hq2_2" localSheetId="8" hidden="1">{#N/A,#N/A,FALSE,"REK";#N/A,#N/A,FALSE,"rab"}</definedName>
    <definedName name="_hq2_2" localSheetId="12" hidden="1">{#N/A,#N/A,FALSE,"REK";#N/A,#N/A,FALSE,"rab"}</definedName>
    <definedName name="_hq2_2" hidden="1">{#N/A,#N/A,FALSE,"REK";#N/A,#N/A,FALSE,"rab"}</definedName>
    <definedName name="_hq2_3" localSheetId="15" hidden="1">{#N/A,#N/A,FALSE,"REK";#N/A,#N/A,FALSE,"rab"}</definedName>
    <definedName name="_hq2_3" localSheetId="9" hidden="1">{#N/A,#N/A,FALSE,"REK";#N/A,#N/A,FALSE,"rab"}</definedName>
    <definedName name="_hq2_3" localSheetId="0" hidden="1">{#N/A,#N/A,FALSE,"REK";#N/A,#N/A,FALSE,"rab"}</definedName>
    <definedName name="_hq2_3" localSheetId="7" hidden="1">{#N/A,#N/A,FALSE,"REK";#N/A,#N/A,FALSE,"rab"}</definedName>
    <definedName name="_hq2_3" localSheetId="13" hidden="1">{#N/A,#N/A,FALSE,"REK";#N/A,#N/A,FALSE,"rab"}</definedName>
    <definedName name="_hq2_3" localSheetId="8" hidden="1">{#N/A,#N/A,FALSE,"REK";#N/A,#N/A,FALSE,"rab"}</definedName>
    <definedName name="_hq2_3" localSheetId="12" hidden="1">{#N/A,#N/A,FALSE,"REK";#N/A,#N/A,FALSE,"rab"}</definedName>
    <definedName name="_hq2_3" hidden="1">{#N/A,#N/A,FALSE,"REK";#N/A,#N/A,FALSE,"rab"}</definedName>
    <definedName name="_hq2_4" localSheetId="15" hidden="1">{#N/A,#N/A,FALSE,"REK";#N/A,#N/A,FALSE,"rab"}</definedName>
    <definedName name="_hq2_4" localSheetId="9" hidden="1">{#N/A,#N/A,FALSE,"REK";#N/A,#N/A,FALSE,"rab"}</definedName>
    <definedName name="_hq2_4" localSheetId="0" hidden="1">{#N/A,#N/A,FALSE,"REK";#N/A,#N/A,FALSE,"rab"}</definedName>
    <definedName name="_hq2_4" localSheetId="7" hidden="1">{#N/A,#N/A,FALSE,"REK";#N/A,#N/A,FALSE,"rab"}</definedName>
    <definedName name="_hq2_4" localSheetId="13" hidden="1">{#N/A,#N/A,FALSE,"REK";#N/A,#N/A,FALSE,"rab"}</definedName>
    <definedName name="_hq2_4" localSheetId="8" hidden="1">{#N/A,#N/A,FALSE,"REK";#N/A,#N/A,FALSE,"rab"}</definedName>
    <definedName name="_hq2_4" localSheetId="12" hidden="1">{#N/A,#N/A,FALSE,"REK";#N/A,#N/A,FALSE,"rab"}</definedName>
    <definedName name="_hq2_4" hidden="1">{#N/A,#N/A,FALSE,"REK";#N/A,#N/A,FALSE,"rab"}</definedName>
    <definedName name="_hq2_5" localSheetId="15" hidden="1">{#N/A,#N/A,FALSE,"REK";#N/A,#N/A,FALSE,"rab"}</definedName>
    <definedName name="_hq2_5" localSheetId="9" hidden="1">{#N/A,#N/A,FALSE,"REK";#N/A,#N/A,FALSE,"rab"}</definedName>
    <definedName name="_hq2_5" localSheetId="0" hidden="1">{#N/A,#N/A,FALSE,"REK";#N/A,#N/A,FALSE,"rab"}</definedName>
    <definedName name="_hq2_5" localSheetId="7" hidden="1">{#N/A,#N/A,FALSE,"REK";#N/A,#N/A,FALSE,"rab"}</definedName>
    <definedName name="_hq2_5" localSheetId="13" hidden="1">{#N/A,#N/A,FALSE,"REK";#N/A,#N/A,FALSE,"rab"}</definedName>
    <definedName name="_hq2_5" localSheetId="8" hidden="1">{#N/A,#N/A,FALSE,"REK";#N/A,#N/A,FALSE,"rab"}</definedName>
    <definedName name="_hq2_5" localSheetId="12" hidden="1">{#N/A,#N/A,FALSE,"REK";#N/A,#N/A,FALSE,"rab"}</definedName>
    <definedName name="_hq2_5" hidden="1">{#N/A,#N/A,FALSE,"REK";#N/A,#N/A,FALSE,"rab"}</definedName>
    <definedName name="_i">NA()</definedName>
    <definedName name="_int2">'[10]Harga satuan'!$N$3</definedName>
    <definedName name="_JU56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er3333">[1]harsat!$H$19</definedName>
    <definedName name="_KER4040">'[21]Sat-Rap'!$F$55</definedName>
    <definedName name="_Key1" localSheetId="9" hidden="1">#REF!</definedName>
    <definedName name="_Key1" localSheetId="0" hidden="1">#REF!</definedName>
    <definedName name="_Key1" localSheetId="7" hidden="1">#REF!</definedName>
    <definedName name="_Key1" localSheetId="13" hidden="1">#REF!</definedName>
    <definedName name="_Key1" localSheetId="8" hidden="1">#REF!</definedName>
    <definedName name="_Key1" localSheetId="12" hidden="1">#REF!</definedName>
    <definedName name="_Key1" hidden="1">#REF!</definedName>
    <definedName name="_Key2" localSheetId="9" hidden="1">#REF!</definedName>
    <definedName name="_Key2" localSheetId="0" hidden="1">#REF!</definedName>
    <definedName name="_Key2" localSheetId="7" hidden="1">#REF!</definedName>
    <definedName name="_Key2" localSheetId="13" hidden="1">#REF!</definedName>
    <definedName name="_Key2" localSheetId="8" hidden="1">#REF!</definedName>
    <definedName name="_Key2" hidden="1">#REF!</definedName>
    <definedName name="_krm2020">[22]harga!$F$119</definedName>
    <definedName name="_krm2025">[22]harga!$F$120</definedName>
    <definedName name="_krm3030">[22]harga!$F$118</definedName>
    <definedName name="_krm4040">[22]harga!$F$117</definedName>
    <definedName name="_M">"$#REF!.$K$72"</definedName>
    <definedName name="_mix300">[22]harga!$F$47</definedName>
    <definedName name="_mp3">[8]Ahs.1!$N$1149</definedName>
    <definedName name="_Order1" hidden="1">255</definedName>
    <definedName name="_Order2" hidden="1">0</definedName>
    <definedName name="_paw10">'[7]BAG-III'!$J$309</definedName>
    <definedName name="_paw25">'[7]BAG-III'!$J$313</definedName>
    <definedName name="_paw40">'[7]BAG-III'!$J$312</definedName>
    <definedName name="_paw50">'[7]BAG-III'!$J$311</definedName>
    <definedName name="_paw65">'[7]BAG-III'!$J$310</definedName>
    <definedName name="_pek2">[6]Upah!$D$15</definedName>
    <definedName name="_pek3">[6]Upah!$D$16</definedName>
    <definedName name="_pf0280">[23]PPC!$E$90</definedName>
    <definedName name="_pf0402">[24]DATA!$F$146</definedName>
    <definedName name="_pf0403">[24]DATA!$F$147</definedName>
    <definedName name="_pol10">'[17]tb. besi'!$H$8</definedName>
    <definedName name="_pol12">'[25]BERAT TUL.'!$H$9</definedName>
    <definedName name="_pol16">[18]tulang!$H$10</definedName>
    <definedName name="_pol8">'[17]tb. besi'!$H$7</definedName>
    <definedName name="_pr0004">[24]DATA!$F$259</definedName>
    <definedName name="_pr0005">[24]DATA!$F$260</definedName>
    <definedName name="_pr0102">[24]DATA!$F$276</definedName>
    <definedName name="_pr0104">[24]DATA!$F$278</definedName>
    <definedName name="_Regression_Int">1</definedName>
    <definedName name="_Regression_Int_1">1</definedName>
    <definedName name="_Regression_Int_2">1</definedName>
    <definedName name="_Regression_Int_3">1</definedName>
    <definedName name="_S">"$#REF!.$S$72"</definedName>
    <definedName name="_SAL1">[26]Sal!$H$22</definedName>
    <definedName name="_SAL15">[26]Sal!$H$34</definedName>
    <definedName name="_Sort" localSheetId="9" hidden="1">#REF!</definedName>
    <definedName name="_Sort" localSheetId="0" hidden="1">#REF!</definedName>
    <definedName name="_Sort" localSheetId="7" hidden="1">#REF!</definedName>
    <definedName name="_Sort" localSheetId="13" hidden="1">#REF!</definedName>
    <definedName name="_Sort" localSheetId="8" hidden="1">#REF!</definedName>
    <definedName name="_Sort" localSheetId="12" hidden="1">#REF!</definedName>
    <definedName name="_Sort" hidden="1">#REF!</definedName>
    <definedName name="_t">NA()</definedName>
    <definedName name="_Table1_In1" localSheetId="9" hidden="1">#REF!</definedName>
    <definedName name="_Table1_In1" localSheetId="0" hidden="1">#REF!</definedName>
    <definedName name="_Table1_In1" localSheetId="7" hidden="1">#REF!</definedName>
    <definedName name="_Table1_In1" localSheetId="13" hidden="1">#REF!</definedName>
    <definedName name="_Table1_In1" localSheetId="8" hidden="1">#REF!</definedName>
    <definedName name="_Table1_In1" localSheetId="12" hidden="1">#REF!</definedName>
    <definedName name="_Table1_In1" hidden="1">#REF!</definedName>
    <definedName name="_Table1_Out" localSheetId="9" hidden="1">#REF!</definedName>
    <definedName name="_Table1_Out" localSheetId="0" hidden="1">#REF!</definedName>
    <definedName name="_Table1_Out" localSheetId="7" hidden="1">#REF!</definedName>
    <definedName name="_Table1_Out" localSheetId="13" hidden="1">#REF!</definedName>
    <definedName name="_Table1_Out" localSheetId="8" hidden="1">#REF!</definedName>
    <definedName name="_Table1_Out" hidden="1">#REF!</definedName>
    <definedName name="_Table2_In1" localSheetId="9" hidden="1">[19]H.Satuan!#REF!</definedName>
    <definedName name="_Table2_In1" localSheetId="0" hidden="1">[19]H.Satuan!#REF!</definedName>
    <definedName name="_Table2_In1" localSheetId="7" hidden="1">[19]H.Satuan!#REF!</definedName>
    <definedName name="_Table2_In1" localSheetId="13" hidden="1">[19]H.Satuan!#REF!</definedName>
    <definedName name="_Table2_In1" localSheetId="8" hidden="1">[19]H.Satuan!#REF!</definedName>
    <definedName name="_Table2_In1" localSheetId="12" hidden="1">[19]H.Satuan!#REF!</definedName>
    <definedName name="_Table2_In1" hidden="1">[19]H.Satuan!#REF!</definedName>
    <definedName name="_Table2_Out" localSheetId="9" hidden="1">[19]H.Satuan!#REF!</definedName>
    <definedName name="_Table2_Out" localSheetId="0" hidden="1">[19]H.Satuan!#REF!</definedName>
    <definedName name="_Table2_Out" localSheetId="7" hidden="1">[19]H.Satuan!#REF!</definedName>
    <definedName name="_Table2_Out" localSheetId="13" hidden="1">[19]H.Satuan!#REF!</definedName>
    <definedName name="_Table2_Out" localSheetId="8" hidden="1">[19]H.Satuan!#REF!</definedName>
    <definedName name="_Table2_Out" localSheetId="12" hidden="1">[19]H.Satuan!#REF!</definedName>
    <definedName name="_Table2_Out" hidden="1">[19]H.Satuan!#REF!</definedName>
    <definedName name="_THP2" localSheetId="4">STOP:STOPE</definedName>
    <definedName name="_THP2" localSheetId="15">STOP:STOPE</definedName>
    <definedName name="_THP2" localSheetId="9">STOP:STOPE</definedName>
    <definedName name="_THP2" localSheetId="0">STOP:STOPE</definedName>
    <definedName name="_THP2" localSheetId="6">STOP:STOPE</definedName>
    <definedName name="_THP2" localSheetId="7">STOP:STOPE</definedName>
    <definedName name="_THP2" localSheetId="13">STOP:STOPE</definedName>
    <definedName name="_THP2" localSheetId="5">STOP:STOPE</definedName>
    <definedName name="_THP2" localSheetId="8">STOP:STOPE</definedName>
    <definedName name="_THP2" localSheetId="12">STOP:STOPE</definedName>
    <definedName name="_THP2">STOP:STOPE</definedName>
    <definedName name="_tsI3" localSheetId="9">'Pas. Dinding'!_tsI3</definedName>
    <definedName name="_tsI3" localSheetId="12">'TABEL BAJA'!_tsI3</definedName>
    <definedName name="_tsI3">[16]!_tsI3</definedName>
    <definedName name="_W">"$#REF!.$#REF!#REF!"</definedName>
    <definedName name="_W_10">"$#REF!.$#REF!#REF!"</definedName>
    <definedName name="_W_12">"$#REF!.$#REF!#REF!"</definedName>
    <definedName name="_W_13">"$#REF!.$#REF!#REF!"</definedName>
    <definedName name="_W_5">"$#REF!.$#REF!#REF!"</definedName>
    <definedName name="_W_7">"$#REF!.$#REF!#REF!"</definedName>
    <definedName name="_W_8">"$#REF!.$#REF!#REF!"</definedName>
    <definedName name="_WQ">NA()</definedName>
    <definedName name="_WQ_10">NA()</definedName>
    <definedName name="_WQ_12">NA()</definedName>
    <definedName name="_WQ_13">NA()</definedName>
    <definedName name="_WQ_5">NA()</definedName>
    <definedName name="_WQ_7">NA()</definedName>
    <definedName name="_WQ_8">NA()</definedName>
    <definedName name="_z">NA()</definedName>
    <definedName name="A" hidden="1">'[27]HARGA MATERIAL'!$A$11:$A$202</definedName>
    <definedName name="aaaaa" localSheetId="9" hidden="1">[28]villa!#REF!</definedName>
    <definedName name="aaaaa" localSheetId="7" hidden="1">[28]villa!#REF!</definedName>
    <definedName name="aaaaa" localSheetId="13" hidden="1">[28]villa!#REF!</definedName>
    <definedName name="aaaaa" localSheetId="8" hidden="1">[28]villa!#REF!</definedName>
    <definedName name="aaaaa" localSheetId="12" hidden="1">[28]villa!#REF!</definedName>
    <definedName name="aaaaa" hidden="1">[28]villa!#REF!</definedName>
    <definedName name="AAD3___0">NA()</definedName>
    <definedName name="AAD3___1">NA()</definedName>
    <definedName name="AAD3___2">NA()</definedName>
    <definedName name="AAD3___3">NA()</definedName>
    <definedName name="AAD3___4">NA()</definedName>
    <definedName name="AAD3___5">NA()</definedName>
    <definedName name="AAD3___7">NA()</definedName>
    <definedName name="ABC" localSheetId="9" hidden="1">#REF!</definedName>
    <definedName name="ABC" localSheetId="0" hidden="1">#REF!</definedName>
    <definedName name="ABC" localSheetId="7" hidden="1">#REF!</definedName>
    <definedName name="ABC" localSheetId="13" hidden="1">#REF!</definedName>
    <definedName name="ABC" localSheetId="8" hidden="1">#REF!</definedName>
    <definedName name="ABC" localSheetId="12" hidden="1">#REF!</definedName>
    <definedName name="ABC" hidden="1">#REF!</definedName>
    <definedName name="abch100_10">"$#REF!.$#REF!$#REF!"</definedName>
    <definedName name="abch100_12">"$#REF!.$#REF!$#REF!"</definedName>
    <definedName name="abch100_13">"$#REF!.$#REF!$#REF!"</definedName>
    <definedName name="abch100_5">"$#REF!.$#REF!$#REF!"</definedName>
    <definedName name="abch100_7">"$#REF!.$#REF!$#REF!"</definedName>
    <definedName name="abch100_8">"$#REF!.$#REF!$#REF!"</definedName>
    <definedName name="aber100_10">"$#REF!.$#REF!$#REF!"</definedName>
    <definedName name="aber100_12">"$#REF!.$#REF!$#REF!"</definedName>
    <definedName name="aber100_13">"$#REF!.$#REF!$#REF!"</definedName>
    <definedName name="aber100_5">"$#REF!.$#REF!$#REF!"</definedName>
    <definedName name="aber100_7">"$#REF!.$#REF!$#REF!"</definedName>
    <definedName name="aber100_8">"$#REF!.$#REF!$#REF!"</definedName>
    <definedName name="aber15_10">"$#REF!.$#REF!$#REF!"</definedName>
    <definedName name="aber15_12">"$#REF!.$#REF!$#REF!"</definedName>
    <definedName name="aber15_13">"$#REF!.$#REF!$#REF!"</definedName>
    <definedName name="aber15_5">"$#REF!.$#REF!$#REF!"</definedName>
    <definedName name="aber15_7">"$#REF!.$#REF!$#REF!"</definedName>
    <definedName name="aber15_8">"$#REF!.$#REF!$#REF!"</definedName>
    <definedName name="Aber150_10">"$#REF!.$#REF!$#REF!"</definedName>
    <definedName name="Aber150_12">"$#REF!.$#REF!$#REF!"</definedName>
    <definedName name="Aber150_13">"$#REF!.$#REF!$#REF!"</definedName>
    <definedName name="Aber150_5">"$#REF!.$#REF!$#REF!"</definedName>
    <definedName name="Aber150_7">"$#REF!.$#REF!$#REF!"</definedName>
    <definedName name="Aber150_8">"$#REF!.$#REF!$#REF!"</definedName>
    <definedName name="aber2_10">"$#REF!.$#REF!$#REF!"</definedName>
    <definedName name="aber2_12">"$#REF!.$#REF!$#REF!"</definedName>
    <definedName name="aber2_13">"$#REF!.$#REF!$#REF!"</definedName>
    <definedName name="aber2_5">"$#REF!.$#REF!$#REF!"</definedName>
    <definedName name="aber2_7">"$#REF!.$#REF!$#REF!"</definedName>
    <definedName name="aber2_8">"$#REF!.$#REF!$#REF!"</definedName>
    <definedName name="aber20_10">"$#REF!.$#REF!$#REF!"</definedName>
    <definedName name="aber20_12">"$#REF!.$#REF!$#REF!"</definedName>
    <definedName name="aber20_13">"$#REF!.$#REF!$#REF!"</definedName>
    <definedName name="aber20_5">"$#REF!.$#REF!$#REF!"</definedName>
    <definedName name="aber20_7">"$#REF!.$#REF!$#REF!"</definedName>
    <definedName name="aber20_8">"$#REF!.$#REF!$#REF!"</definedName>
    <definedName name="aber25_10">"$#REF!.$#REF!$#REF!"</definedName>
    <definedName name="aber25_12">"$#REF!.$#REF!$#REF!"</definedName>
    <definedName name="aber25_13">"$#REF!.$#REF!$#REF!"</definedName>
    <definedName name="aber25_5">"$#REF!.$#REF!$#REF!"</definedName>
    <definedName name="aber25_7">"$#REF!.$#REF!$#REF!"</definedName>
    <definedName name="aber25_8">"$#REF!.$#REF!$#REF!"</definedName>
    <definedName name="aber32_10">"$#REF!.$#REF!$#REF!"</definedName>
    <definedName name="aber32_12">"$#REF!.$#REF!$#REF!"</definedName>
    <definedName name="aber32_13">"$#REF!.$#REF!$#REF!"</definedName>
    <definedName name="aber32_5">"$#REF!.$#REF!$#REF!"</definedName>
    <definedName name="aber32_7">"$#REF!.$#REF!$#REF!"</definedName>
    <definedName name="aber32_8">"$#REF!.$#REF!$#REF!"</definedName>
    <definedName name="aber4_10">"$#REF!.$#REF!$#REF!"</definedName>
    <definedName name="aber4_12">"$#REF!.$#REF!$#REF!"</definedName>
    <definedName name="aber4_13">"$#REF!.$#REF!$#REF!"</definedName>
    <definedName name="aber4_5">"$#REF!.$#REF!$#REF!"</definedName>
    <definedName name="aber4_7">"$#REF!.$#REF!$#REF!"</definedName>
    <definedName name="aber4_8">"$#REF!.$#REF!$#REF!"</definedName>
    <definedName name="aber40_10">"$#REF!.$#REF!$#REF!"</definedName>
    <definedName name="aber40_12">"$#REF!.$#REF!$#REF!"</definedName>
    <definedName name="aber40_13">"$#REF!.$#REF!$#REF!"</definedName>
    <definedName name="aber40_5">"$#REF!.$#REF!$#REF!"</definedName>
    <definedName name="aber40_7">"$#REF!.$#REF!$#REF!"</definedName>
    <definedName name="aber40_8">"$#REF!.$#REF!$#REF!"</definedName>
    <definedName name="aber50_10">"$#REF!.$#REF!$#REF!"</definedName>
    <definedName name="aber50_12">"$#REF!.$#REF!$#REF!"</definedName>
    <definedName name="aber50_13">"$#REF!.$#REF!$#REF!"</definedName>
    <definedName name="aber50_5">"$#REF!.$#REF!$#REF!"</definedName>
    <definedName name="aber50_7">"$#REF!.$#REF!$#REF!"</definedName>
    <definedName name="aber50_8">"$#REF!.$#REF!$#REF!"</definedName>
    <definedName name="Aber6_10">"$#REF!.$#REF!$#REF!"</definedName>
    <definedName name="Aber6_12">"$#REF!.$#REF!$#REF!"</definedName>
    <definedName name="Aber6_13">"$#REF!.$#REF!$#REF!"</definedName>
    <definedName name="Aber6_5">"$#REF!.$#REF!$#REF!"</definedName>
    <definedName name="Aber6_7">"$#REF!.$#REF!$#REF!"</definedName>
    <definedName name="Aber6_8">"$#REF!.$#REF!$#REF!"</definedName>
    <definedName name="aber80_10">"$#REF!.$#REF!$#REF!"</definedName>
    <definedName name="aber80_12">"$#REF!.$#REF!$#REF!"</definedName>
    <definedName name="aber80_13">"$#REF!.$#REF!$#REF!"</definedName>
    <definedName name="aber80_5">"$#REF!.$#REF!$#REF!"</definedName>
    <definedName name="aber80_7">"$#REF!.$#REF!$#REF!"</definedName>
    <definedName name="aber80_8">"$#REF!.$#REF!$#REF!"</definedName>
    <definedName name="aberf100_10">"$#REF!.$#REF!$#REF!"</definedName>
    <definedName name="aberf100_12">"$#REF!.$#REF!$#REF!"</definedName>
    <definedName name="aberf100_13">"$#REF!.$#REF!$#REF!"</definedName>
    <definedName name="aberf100_5">"$#REF!.$#REF!$#REF!"</definedName>
    <definedName name="aberf100_7">"$#REF!.$#REF!$#REF!"</definedName>
    <definedName name="aberf100_8">"$#REF!.$#REF!$#REF!"</definedName>
    <definedName name="aberf150_10">"$#REF!.$#REF!$#REF!"</definedName>
    <definedName name="aberf150_12">"$#REF!.$#REF!$#REF!"</definedName>
    <definedName name="aberf150_13">"$#REF!.$#REF!$#REF!"</definedName>
    <definedName name="aberf150_5">"$#REF!.$#REF!$#REF!"</definedName>
    <definedName name="aberf150_7">"$#REF!.$#REF!$#REF!"</definedName>
    <definedName name="aberf150_8">"$#REF!.$#REF!$#REF!"</definedName>
    <definedName name="aberf4_10">"$#REF!.$#REF!$#REF!"</definedName>
    <definedName name="aberf4_12">"$#REF!.$#REF!$#REF!"</definedName>
    <definedName name="aberf4_13">"$#REF!.$#REF!$#REF!"</definedName>
    <definedName name="aberf4_5">"$#REF!.$#REF!$#REF!"</definedName>
    <definedName name="aberf4_7">"$#REF!.$#REF!$#REF!"</definedName>
    <definedName name="aberf4_8">"$#REF!.$#REF!$#REF!"</definedName>
    <definedName name="aberf6_10">"$#REF!.$#REF!$#REF!"</definedName>
    <definedName name="aberf6_12">"$#REF!.$#REF!$#REF!"</definedName>
    <definedName name="aberf6_13">"$#REF!.$#REF!$#REF!"</definedName>
    <definedName name="aberf6_5">"$#REF!.$#REF!$#REF!"</definedName>
    <definedName name="aberf6_7">"$#REF!.$#REF!$#REF!"</definedName>
    <definedName name="aberf6_8">"$#REF!.$#REF!$#REF!"</definedName>
    <definedName name="aberf80_10">"$#REF!.$#REF!$#REF!"</definedName>
    <definedName name="aberf80_12">"$#REF!.$#REF!$#REF!"</definedName>
    <definedName name="aberf80_13">"$#REF!.$#REF!$#REF!"</definedName>
    <definedName name="aberf80_5">"$#REF!.$#REF!$#REF!"</definedName>
    <definedName name="aberf80_7">"$#REF!.$#REF!$#REF!"</definedName>
    <definedName name="aberf80_8">"$#REF!.$#REF!$#REF!"</definedName>
    <definedName name="abfj100_10">"$#REF!.$#REF!$#REF!"</definedName>
    <definedName name="abfj100_12">"$#REF!.$#REF!$#REF!"</definedName>
    <definedName name="abfj100_13">"$#REF!.$#REF!$#REF!"</definedName>
    <definedName name="abfj100_5">"$#REF!.$#REF!$#REF!"</definedName>
    <definedName name="abfj100_7">"$#REF!.$#REF!$#REF!"</definedName>
    <definedName name="abfj100_8">"$#REF!.$#REF!$#REF!"</definedName>
    <definedName name="abfj150_10">"$#REF!.$#REF!$#REF!"</definedName>
    <definedName name="abfj150_12">"$#REF!.$#REF!$#REF!"</definedName>
    <definedName name="abfj150_13">"$#REF!.$#REF!$#REF!"</definedName>
    <definedName name="abfj150_5">"$#REF!.$#REF!$#REF!"</definedName>
    <definedName name="abfj150_7">"$#REF!.$#REF!$#REF!"</definedName>
    <definedName name="abfj150_8">"$#REF!.$#REF!$#REF!"</definedName>
    <definedName name="abfj40_10">"$#REF!.$#REF!$#REF!"</definedName>
    <definedName name="abfj40_12">"$#REF!.$#REF!$#REF!"</definedName>
    <definedName name="abfj40_13">"$#REF!.$#REF!$#REF!"</definedName>
    <definedName name="abfj40_5">"$#REF!.$#REF!$#REF!"</definedName>
    <definedName name="abfj40_7">"$#REF!.$#REF!$#REF!"</definedName>
    <definedName name="abfj40_8">"$#REF!.$#REF!$#REF!"</definedName>
    <definedName name="abfj50_10">"$#REF!.$#REF!$#REF!"</definedName>
    <definedName name="abfj50_12">"$#REF!.$#REF!$#REF!"</definedName>
    <definedName name="abfj50_13">"$#REF!.$#REF!$#REF!"</definedName>
    <definedName name="abfj50_5">"$#REF!.$#REF!$#REF!"</definedName>
    <definedName name="abfj50_7">"$#REF!.$#REF!$#REF!"</definedName>
    <definedName name="abfj50_8">"$#REF!.$#REF!$#REF!"</definedName>
    <definedName name="abfl40_10">"$#REF!.$#REF!$#REF!"</definedName>
    <definedName name="abfl40_12">"$#REF!.$#REF!$#REF!"</definedName>
    <definedName name="abfl40_13">"$#REF!.$#REF!$#REF!"</definedName>
    <definedName name="abfl40_5">"$#REF!.$#REF!$#REF!"</definedName>
    <definedName name="abfl40_7">"$#REF!.$#REF!$#REF!"</definedName>
    <definedName name="abfl40_8">"$#REF!.$#REF!$#REF!"</definedName>
    <definedName name="abft100_10">"$#REF!.$#REF!$#REF!"</definedName>
    <definedName name="abft100_12">"$#REF!.$#REF!$#REF!"</definedName>
    <definedName name="abft100_13">"$#REF!.$#REF!$#REF!"</definedName>
    <definedName name="abft100_5">"$#REF!.$#REF!$#REF!"</definedName>
    <definedName name="abft100_7">"$#REF!.$#REF!$#REF!"</definedName>
    <definedName name="abft100_8">"$#REF!.$#REF!$#REF!"</definedName>
    <definedName name="abft150_10">"$#REF!.$#REF!$#REF!"</definedName>
    <definedName name="abft150_12">"$#REF!.$#REF!$#REF!"</definedName>
    <definedName name="abft150_13">"$#REF!.$#REF!$#REF!"</definedName>
    <definedName name="abft150_5">"$#REF!.$#REF!$#REF!"</definedName>
    <definedName name="abft150_7">"$#REF!.$#REF!$#REF!"</definedName>
    <definedName name="abft150_8">"$#REF!.$#REF!$#REF!"</definedName>
    <definedName name="abft50_10">"$#REF!.$#REF!$#REF!"</definedName>
    <definedName name="abft50_12">"$#REF!.$#REF!$#REF!"</definedName>
    <definedName name="abft50_13">"$#REF!.$#REF!$#REF!"</definedName>
    <definedName name="abft50_5">"$#REF!.$#REF!$#REF!"</definedName>
    <definedName name="abft50_7">"$#REF!.$#REF!$#REF!"</definedName>
    <definedName name="abft50_8">"$#REF!.$#REF!$#REF!"</definedName>
    <definedName name="abfv100_10">"$#REF!.$#REF!$#REF!"</definedName>
    <definedName name="abfv100_12">"$#REF!.$#REF!$#REF!"</definedName>
    <definedName name="abfv100_13">"$#REF!.$#REF!$#REF!"</definedName>
    <definedName name="abfv100_5">"$#REF!.$#REF!$#REF!"</definedName>
    <definedName name="abfv100_7">"$#REF!.$#REF!$#REF!"</definedName>
    <definedName name="abfv100_8">"$#REF!.$#REF!$#REF!"</definedName>
    <definedName name="abfv150_10">"$#REF!.$#REF!$#REF!"</definedName>
    <definedName name="abfv150_12">"$#REF!.$#REF!$#REF!"</definedName>
    <definedName name="abfv150_13">"$#REF!.$#REF!$#REF!"</definedName>
    <definedName name="abfv150_5">"$#REF!.$#REF!$#REF!"</definedName>
    <definedName name="abfv150_7">"$#REF!.$#REF!$#REF!"</definedName>
    <definedName name="abfv150_8">"$#REF!.$#REF!$#REF!"</definedName>
    <definedName name="abfv50_10">"$#REF!.$#REF!$#REF!"</definedName>
    <definedName name="abfv50_12">"$#REF!.$#REF!$#REF!"</definedName>
    <definedName name="abfv50_13">"$#REF!.$#REF!$#REF!"</definedName>
    <definedName name="abfv50_5">"$#REF!.$#REF!$#REF!"</definedName>
    <definedName name="abfv50_7">"$#REF!.$#REF!$#REF!"</definedName>
    <definedName name="abfv50_8">"$#REF!.$#REF!$#REF!"</definedName>
    <definedName name="abfv80_10">"$#REF!.$#REF!$#REF!"</definedName>
    <definedName name="abfv80_12">"$#REF!.$#REF!$#REF!"</definedName>
    <definedName name="abfv80_13">"$#REF!.$#REF!$#REF!"</definedName>
    <definedName name="abfv80_5">"$#REF!.$#REF!$#REF!"</definedName>
    <definedName name="abfv80_7">"$#REF!.$#REF!$#REF!"</definedName>
    <definedName name="abfv80_8">"$#REF!.$#REF!$#REF!"</definedName>
    <definedName name="abgv100_10">"$#REF!.$#REF!$#REF!"</definedName>
    <definedName name="abgv100_12">"$#REF!.$#REF!$#REF!"</definedName>
    <definedName name="abgv100_13">"$#REF!.$#REF!$#REF!"</definedName>
    <definedName name="abgv100_5">"$#REF!.$#REF!$#REF!"</definedName>
    <definedName name="abgv100_7">"$#REF!.$#REF!$#REF!"</definedName>
    <definedName name="abgv100_8">"$#REF!.$#REF!$#REF!"</definedName>
    <definedName name="abgv150_10">"$#REF!.$#REF!$#REF!"</definedName>
    <definedName name="abgv150_12">"$#REF!.$#REF!$#REF!"</definedName>
    <definedName name="abgv150_13">"$#REF!.$#REF!$#REF!"</definedName>
    <definedName name="abgv150_5">"$#REF!.$#REF!$#REF!"</definedName>
    <definedName name="abgv150_7">"$#REF!.$#REF!$#REF!"</definedName>
    <definedName name="abgv150_8">"$#REF!.$#REF!$#REF!"</definedName>
    <definedName name="abgv20_10">"$#REF!.$#REF!$#REF!"</definedName>
    <definedName name="abgv20_12">"$#REF!.$#REF!$#REF!"</definedName>
    <definedName name="abgv20_13">"$#REF!.$#REF!$#REF!"</definedName>
    <definedName name="abgv20_5">"$#REF!.$#REF!$#REF!"</definedName>
    <definedName name="abgv20_7">"$#REF!.$#REF!$#REF!"</definedName>
    <definedName name="abgv20_8">"$#REF!.$#REF!$#REF!"</definedName>
    <definedName name="abgv32_10">"$#REF!.$#REF!$#REF!"</definedName>
    <definedName name="abgv32_12">"$#REF!.$#REF!$#REF!"</definedName>
    <definedName name="abgv32_13">"$#REF!.$#REF!$#REF!"</definedName>
    <definedName name="abgv32_5">"$#REF!.$#REF!$#REF!"</definedName>
    <definedName name="abgv32_7">"$#REF!.$#REF!$#REF!"</definedName>
    <definedName name="abgv32_8">"$#REF!.$#REF!$#REF!"</definedName>
    <definedName name="abgv40_10">"$#REF!.$#REF!$#REF!"</definedName>
    <definedName name="abgv40_12">"$#REF!.$#REF!$#REF!"</definedName>
    <definedName name="abgv40_13">"$#REF!.$#REF!$#REF!"</definedName>
    <definedName name="abgv40_5">"$#REF!.$#REF!$#REF!"</definedName>
    <definedName name="abgv40_7">"$#REF!.$#REF!$#REF!"</definedName>
    <definedName name="abgv40_8">"$#REF!.$#REF!$#REF!"</definedName>
    <definedName name="abgv50_10">"$#REF!.$#REF!$#REF!"</definedName>
    <definedName name="abgv50_12">"$#REF!.$#REF!$#REF!"</definedName>
    <definedName name="abgv50_13">"$#REF!.$#REF!$#REF!"</definedName>
    <definedName name="abgv50_5">"$#REF!.$#REF!$#REF!"</definedName>
    <definedName name="abgv50_7">"$#REF!.$#REF!$#REF!"</definedName>
    <definedName name="abgv50_8">"$#REF!.$#REF!$#REF!"</definedName>
    <definedName name="abka15_10">"$#REF!.$#REF!$#REF!"</definedName>
    <definedName name="abka15_12">"$#REF!.$#REF!$#REF!"</definedName>
    <definedName name="abka15_13">"$#REF!.$#REF!$#REF!"</definedName>
    <definedName name="abka15_5">"$#REF!.$#REF!$#REF!"</definedName>
    <definedName name="abka15_7">"$#REF!.$#REF!$#REF!"</definedName>
    <definedName name="abka15_8">"$#REF!.$#REF!$#REF!"</definedName>
    <definedName name="abpg_10">"$#REF!.$#REF!$#REF!"</definedName>
    <definedName name="abpg_12">"$#REF!.$#REF!$#REF!"</definedName>
    <definedName name="abpg_13">"$#REF!.$#REF!$#REF!"</definedName>
    <definedName name="abpg_5">"$#REF!.$#REF!$#REF!"</definedName>
    <definedName name="abpg_7">"$#REF!.$#REF!$#REF!"</definedName>
    <definedName name="abpg_8">"$#REF!.$#REF!$#REF!"</definedName>
    <definedName name="abs100_10">"$#REF!.$#REF!$#REF!"</definedName>
    <definedName name="abs100_12">"$#REF!.$#REF!$#REF!"</definedName>
    <definedName name="abs100_13">"$#REF!.$#REF!$#REF!"</definedName>
    <definedName name="abs100_5">"$#REF!.$#REF!$#REF!"</definedName>
    <definedName name="abs100_7">"$#REF!.$#REF!$#REF!"</definedName>
    <definedName name="abs100_8">"$#REF!.$#REF!$#REF!"</definedName>
    <definedName name="abwl_10">"$#REF!.$#REF!$#REF!"</definedName>
    <definedName name="abwl_12">"$#REF!.$#REF!$#REF!"</definedName>
    <definedName name="abwl_13">"$#REF!.$#REF!$#REF!"</definedName>
    <definedName name="abwl_5">"$#REF!.$#REF!$#REF!"</definedName>
    <definedName name="abwl_7">"$#REF!.$#REF!$#REF!"</definedName>
    <definedName name="abwl_8">"$#REF!.$#REF!$#REF!"</definedName>
    <definedName name="Acces___1">[29]Anls!$E$41</definedName>
    <definedName name="Acces___2">[29]Anls!$E$41</definedName>
    <definedName name="Acces___3">[29]Anls!$E$41</definedName>
    <definedName name="ADD1___0">NA()</definedName>
    <definedName name="ADD1___1">NA()</definedName>
    <definedName name="ADD1___2">NA()</definedName>
    <definedName name="ADD1___3">NA()</definedName>
    <definedName name="ADD1___4">NA()</definedName>
    <definedName name="ADD1___5">NA()</definedName>
    <definedName name="ADD1___7">NA()</definedName>
    <definedName name="ADD2___0">NA()</definedName>
    <definedName name="ADD2___1">NA()</definedName>
    <definedName name="ADD2___2">NA()</definedName>
    <definedName name="ADD2___3">NA()</definedName>
    <definedName name="ADD2___4">NA()</definedName>
    <definedName name="ADD2___5">NA()</definedName>
    <definedName name="ADD2___7">NA()</definedName>
    <definedName name="ADD3___0">NA()</definedName>
    <definedName name="ADD3___1">NA()</definedName>
    <definedName name="ADD3___2">NA()</definedName>
    <definedName name="ADD3___3">NA()</definedName>
    <definedName name="ADD3___4">NA()</definedName>
    <definedName name="ADD3___5">NA()</definedName>
    <definedName name="ADD3___7">NA()</definedName>
    <definedName name="ADDR" localSheetId="15">HAJIME:OWARI</definedName>
    <definedName name="ADDR" localSheetId="9">[15]!HAJIME:[15]!OWARI</definedName>
    <definedName name="ADDR" localSheetId="0">[0]!HAJIME:[0]!OWARI</definedName>
    <definedName name="ADDR" localSheetId="6">HAJIME:OWARI</definedName>
    <definedName name="ADDR" localSheetId="7">HAJIME:OWARI</definedName>
    <definedName name="ADDR" localSheetId="13">HAJIME:OWARI</definedName>
    <definedName name="ADDR" localSheetId="8">HAJIME:OWARI</definedName>
    <definedName name="ADDR" localSheetId="12">[0]!HAJIME:[0]!OWARI</definedName>
    <definedName name="ADDR">HAJIME:OWARI</definedName>
    <definedName name="ADDR___0">NA()</definedName>
    <definedName name="ADDR___1">NA()</definedName>
    <definedName name="ADDR___2">NA()</definedName>
    <definedName name="ADDR___3">NA()</definedName>
    <definedName name="ADDR___4">NA()</definedName>
    <definedName name="ADDR___5">NA()</definedName>
    <definedName name="ADDR___7">NA()</definedName>
    <definedName name="adnan" localSheetId="4">STOP:STOPE</definedName>
    <definedName name="adnan" localSheetId="15">STOP:STOPE</definedName>
    <definedName name="adnan" localSheetId="9">STOP:STOPE</definedName>
    <definedName name="adnan" localSheetId="0">STOP:STOPE</definedName>
    <definedName name="adnan" localSheetId="6">STOP:STOPE</definedName>
    <definedName name="adnan" localSheetId="7">STOP:STOPE</definedName>
    <definedName name="adnan" localSheetId="13">STOP:STOPE</definedName>
    <definedName name="adnan" localSheetId="5">STOP:STOPE</definedName>
    <definedName name="adnan" localSheetId="8">STOP:STOPE</definedName>
    <definedName name="adnan" localSheetId="12">STOP:STOPE</definedName>
    <definedName name="adnan">STOP:STOPE</definedName>
    <definedName name="adnan___0">NA()</definedName>
    <definedName name="adnan___1">NA()</definedName>
    <definedName name="adnan___2">NA()</definedName>
    <definedName name="AGG.B">'[30]AGG B'!$G$43</definedName>
    <definedName name="AGREGATHALUS.A">'[30]DAFTAR BAHAN'!$G$20</definedName>
    <definedName name="AGREGATHALUS.B">'[30]DAFTAR BAHAN'!$G$22</definedName>
    <definedName name="AGREGATKASAR.A">'[30]DAFTAR BAHAN'!$G$19</definedName>
    <definedName name="AGREGATKASAR.B">'[30]DAFTAR BAHAN'!$G$21</definedName>
    <definedName name="agung" localSheetId="15" hidden="1">{#N/A,#N/A,FALSE,"Chi tiÆt"}</definedName>
    <definedName name="agung" localSheetId="9" hidden="1">{#N/A,#N/A,FALSE,"Chi tiÆt"}</definedName>
    <definedName name="agung" localSheetId="0" hidden="1">{#N/A,#N/A,FALSE,"Chi tiÆt"}</definedName>
    <definedName name="agung" localSheetId="7" hidden="1">{#N/A,#N/A,FALSE,"Chi tiÆt"}</definedName>
    <definedName name="agung" localSheetId="13" hidden="1">{#N/A,#N/A,FALSE,"Chi tiÆt"}</definedName>
    <definedName name="agung" localSheetId="8" hidden="1">{#N/A,#N/A,FALSE,"Chi tiÆt"}</definedName>
    <definedName name="agung" localSheetId="12" hidden="1">{#N/A,#N/A,FALSE,"Chi tiÆt"}</definedName>
    <definedName name="agung" hidden="1">{#N/A,#N/A,FALSE,"Chi tiÆt"}</definedName>
    <definedName name="agung_2" localSheetId="15" hidden="1">{#N/A,#N/A,FALSE,"Chi tiÆt"}</definedName>
    <definedName name="agung_2" localSheetId="9" hidden="1">{#N/A,#N/A,FALSE,"Chi tiÆt"}</definedName>
    <definedName name="agung_2" localSheetId="0" hidden="1">{#N/A,#N/A,FALSE,"Chi tiÆt"}</definedName>
    <definedName name="agung_2" localSheetId="7" hidden="1">{#N/A,#N/A,FALSE,"Chi tiÆt"}</definedName>
    <definedName name="agung_2" localSheetId="13" hidden="1">{#N/A,#N/A,FALSE,"Chi tiÆt"}</definedName>
    <definedName name="agung_2" localSheetId="8" hidden="1">{#N/A,#N/A,FALSE,"Chi tiÆt"}</definedName>
    <definedName name="agung_2" localSheetId="12" hidden="1">{#N/A,#N/A,FALSE,"Chi tiÆt"}</definedName>
    <definedName name="agung_2" hidden="1">{#N/A,#N/A,FALSE,"Chi tiÆt"}</definedName>
    <definedName name="agung_3" localSheetId="15" hidden="1">{#N/A,#N/A,FALSE,"Chi tiÆt"}</definedName>
    <definedName name="agung_3" localSheetId="9" hidden="1">{#N/A,#N/A,FALSE,"Chi tiÆt"}</definedName>
    <definedName name="agung_3" localSheetId="0" hidden="1">{#N/A,#N/A,FALSE,"Chi tiÆt"}</definedName>
    <definedName name="agung_3" localSheetId="7" hidden="1">{#N/A,#N/A,FALSE,"Chi tiÆt"}</definedName>
    <definedName name="agung_3" localSheetId="13" hidden="1">{#N/A,#N/A,FALSE,"Chi tiÆt"}</definedName>
    <definedName name="agung_3" localSheetId="8" hidden="1">{#N/A,#N/A,FALSE,"Chi tiÆt"}</definedName>
    <definedName name="agung_3" localSheetId="12" hidden="1">{#N/A,#N/A,FALSE,"Chi tiÆt"}</definedName>
    <definedName name="agung_3" hidden="1">{#N/A,#N/A,FALSE,"Chi tiÆt"}</definedName>
    <definedName name="agung_4" localSheetId="15" hidden="1">{#N/A,#N/A,FALSE,"Chi tiÆt"}</definedName>
    <definedName name="agung_4" localSheetId="9" hidden="1">{#N/A,#N/A,FALSE,"Chi tiÆt"}</definedName>
    <definedName name="agung_4" localSheetId="0" hidden="1">{#N/A,#N/A,FALSE,"Chi tiÆt"}</definedName>
    <definedName name="agung_4" localSheetId="7" hidden="1">{#N/A,#N/A,FALSE,"Chi tiÆt"}</definedName>
    <definedName name="agung_4" localSheetId="13" hidden="1">{#N/A,#N/A,FALSE,"Chi tiÆt"}</definedName>
    <definedName name="agung_4" localSheetId="8" hidden="1">{#N/A,#N/A,FALSE,"Chi tiÆt"}</definedName>
    <definedName name="agung_4" localSheetId="12" hidden="1">{#N/A,#N/A,FALSE,"Chi tiÆt"}</definedName>
    <definedName name="agung_4" hidden="1">{#N/A,#N/A,FALSE,"Chi tiÆt"}</definedName>
    <definedName name="agung_5" localSheetId="15" hidden="1">{#N/A,#N/A,FALSE,"Chi tiÆt"}</definedName>
    <definedName name="agung_5" localSheetId="9" hidden="1">{#N/A,#N/A,FALSE,"Chi tiÆt"}</definedName>
    <definedName name="agung_5" localSheetId="0" hidden="1">{#N/A,#N/A,FALSE,"Chi tiÆt"}</definedName>
    <definedName name="agung_5" localSheetId="7" hidden="1">{#N/A,#N/A,FALSE,"Chi tiÆt"}</definedName>
    <definedName name="agung_5" localSheetId="13" hidden="1">{#N/A,#N/A,FALSE,"Chi tiÆt"}</definedName>
    <definedName name="agung_5" localSheetId="8" hidden="1">{#N/A,#N/A,FALSE,"Chi tiÆt"}</definedName>
    <definedName name="agung_5" localSheetId="12" hidden="1">{#N/A,#N/A,FALSE,"Chi tiÆt"}</definedName>
    <definedName name="agung_5" hidden="1">{#N/A,#N/A,FALSE,"Chi tiÆt"}</definedName>
    <definedName name="ahrd100_10">"$#REF!.$#REF!$#REF!"</definedName>
    <definedName name="ahrd100_12">"$#REF!.$#REF!$#REF!"</definedName>
    <definedName name="ahrd100_13">"$#REF!.$#REF!$#REF!"</definedName>
    <definedName name="ahrd100_5">"$#REF!.$#REF!$#REF!"</definedName>
    <definedName name="ahrd100_7">"$#REF!.$#REF!$#REF!"</definedName>
    <definedName name="ahrd100_8">"$#REF!.$#REF!$#REF!"</definedName>
    <definedName name="ahrd150_10">"$#REF!.$#REF!$#REF!"</definedName>
    <definedName name="ahrd150_12">"$#REF!.$#REF!$#REF!"</definedName>
    <definedName name="ahrd150_13">"$#REF!.$#REF!$#REF!"</definedName>
    <definedName name="ahrd150_5">"$#REF!.$#REF!$#REF!"</definedName>
    <definedName name="ahrd150_7">"$#REF!.$#REF!$#REF!"</definedName>
    <definedName name="ahrd150_8">"$#REF!.$#REF!$#REF!"</definedName>
    <definedName name="ahu100_10">"$#REF!.$#REF!$#REF!"</definedName>
    <definedName name="ahu100_12">"$#REF!.$#REF!$#REF!"</definedName>
    <definedName name="ahu100_13">"$#REF!.$#REF!$#REF!"</definedName>
    <definedName name="ahu100_5">"$#REF!.$#REF!$#REF!"</definedName>
    <definedName name="ahu100_7">"$#REF!.$#REF!$#REF!"</definedName>
    <definedName name="ahu100_8">"$#REF!.$#REF!$#REF!"</definedName>
    <definedName name="ahu150_10">"$#REF!.$#REF!$#REF!"</definedName>
    <definedName name="ahu150_12">"$#REF!.$#REF!$#REF!"</definedName>
    <definedName name="ahu150_13">"$#REF!.$#REF!$#REF!"</definedName>
    <definedName name="ahu150_5">"$#REF!.$#REF!$#REF!"</definedName>
    <definedName name="ahu150_7">"$#REF!.$#REF!$#REF!"</definedName>
    <definedName name="ahu150_8">"$#REF!.$#REF!$#REF!"</definedName>
    <definedName name="ahuf100_10">"$#REF!.$#REF!$#REF!"</definedName>
    <definedName name="ahuf100_12">"$#REF!.$#REF!$#REF!"</definedName>
    <definedName name="ahuf100_13">"$#REF!.$#REF!$#REF!"</definedName>
    <definedName name="ahuf100_5">"$#REF!.$#REF!$#REF!"</definedName>
    <definedName name="ahuf100_7">"$#REF!.$#REF!$#REF!"</definedName>
    <definedName name="ahuf100_8">"$#REF!.$#REF!$#REF!"</definedName>
    <definedName name="ahuf150_10">"$#REF!.$#REF!$#REF!"</definedName>
    <definedName name="ahuf150_12">"$#REF!.$#REF!$#REF!"</definedName>
    <definedName name="ahuf150_13">"$#REF!.$#REF!$#REF!"</definedName>
    <definedName name="ahuf150_5">"$#REF!.$#REF!$#REF!"</definedName>
    <definedName name="ahuf150_7">"$#REF!.$#REF!$#REF!"</definedName>
    <definedName name="ahuf150_8">"$#REF!.$#REF!$#REF!"</definedName>
    <definedName name="ahuf150ahuf150_10">"$#REF!.$#REF!$#REF!"</definedName>
    <definedName name="ahuf150ahuf150_12">"$#REF!.$#REF!$#REF!"</definedName>
    <definedName name="ahuf150ahuf150_13">"$#REF!.$#REF!$#REF!"</definedName>
    <definedName name="ahuf150ahuf150_5">"$#REF!.$#REF!$#REF!"</definedName>
    <definedName name="ahuf150ahuf150_7">"$#REF!.$#REF!$#REF!"</definedName>
    <definedName name="ahuf150ahuf150_8">"$#REF!.$#REF!$#REF!"</definedName>
    <definedName name="ajunk" localSheetId="9" hidden="1">#REF!</definedName>
    <definedName name="ajunk" localSheetId="0" hidden="1">#REF!</definedName>
    <definedName name="ajunk" localSheetId="7" hidden="1">#REF!</definedName>
    <definedName name="ajunk" localSheetId="13" hidden="1">#REF!</definedName>
    <definedName name="ajunk" localSheetId="8" hidden="1">#REF!</definedName>
    <definedName name="ajunk" localSheetId="12" hidden="1">#REF!</definedName>
    <definedName name="ajunk" hidden="1">#REF!</definedName>
    <definedName name="akco100_10">"$#REF!.$#REF!$#REF!"</definedName>
    <definedName name="akco100_12">"$#REF!.$#REF!$#REF!"</definedName>
    <definedName name="akco100_13">"$#REF!.$#REF!$#REF!"</definedName>
    <definedName name="akco100_5">"$#REF!.$#REF!$#REF!"</definedName>
    <definedName name="akco100_7">"$#REF!.$#REF!$#REF!"</definedName>
    <definedName name="akco100_8">"$#REF!.$#REF!$#REF!"</definedName>
    <definedName name="akco150_10">"$#REF!.$#REF!$#REF!"</definedName>
    <definedName name="akco150_12">"$#REF!.$#REF!$#REF!"</definedName>
    <definedName name="akco150_13">"$#REF!.$#REF!$#REF!"</definedName>
    <definedName name="akco150_5">"$#REF!.$#REF!$#REF!"</definedName>
    <definedName name="akco150_7">"$#REF!.$#REF!$#REF!"</definedName>
    <definedName name="akco150_8">"$#REF!.$#REF!$#REF!"</definedName>
    <definedName name="akco80_10">"$#REF!.$#REF!$#REF!"</definedName>
    <definedName name="akco80_12">"$#REF!.$#REF!$#REF!"</definedName>
    <definedName name="akco80_13">"$#REF!.$#REF!$#REF!"</definedName>
    <definedName name="akco80_5">"$#REF!.$#REF!$#REF!"</definedName>
    <definedName name="akco80_7">"$#REF!.$#REF!$#REF!"</definedName>
    <definedName name="akco80_8">"$#REF!.$#REF!$#REF!"</definedName>
    <definedName name="akfd50_10">"$#REF!.$#REF!$#REF!"</definedName>
    <definedName name="akfd50_12">"$#REF!.$#REF!$#REF!"</definedName>
    <definedName name="akfd50_13">"$#REF!.$#REF!$#REF!"</definedName>
    <definedName name="akfd50_5">"$#REF!.$#REF!$#REF!"</definedName>
    <definedName name="akfd50_7">"$#REF!.$#REF!$#REF!"</definedName>
    <definedName name="akfd50_8">"$#REF!.$#REF!$#REF!"</definedName>
    <definedName name="akfj100_10">"$#REF!.$#REF!$#REF!"</definedName>
    <definedName name="akfj100_12">"$#REF!.$#REF!$#REF!"</definedName>
    <definedName name="akfj100_13">"$#REF!.$#REF!$#REF!"</definedName>
    <definedName name="akfj100_5">"$#REF!.$#REF!$#REF!"</definedName>
    <definedName name="akfj100_7">"$#REF!.$#REF!$#REF!"</definedName>
    <definedName name="akfj100_8">"$#REF!.$#REF!$#REF!"</definedName>
    <definedName name="akgv100_10">"$#REF!.$#REF!$#REF!"</definedName>
    <definedName name="akgv100_12">"$#REF!.$#REF!$#REF!"</definedName>
    <definedName name="akgv100_13">"$#REF!.$#REF!$#REF!"</definedName>
    <definedName name="akgv100_5">"$#REF!.$#REF!$#REF!"</definedName>
    <definedName name="akgv100_7">"$#REF!.$#REF!$#REF!"</definedName>
    <definedName name="akgv100_8">"$#REF!.$#REF!$#REF!"</definedName>
    <definedName name="akgv80_10">"$#REF!.$#REF!$#REF!"</definedName>
    <definedName name="akgv80_12">"$#REF!.$#REF!$#REF!"</definedName>
    <definedName name="akgv80_13">"$#REF!.$#REF!$#REF!"</definedName>
    <definedName name="akgv80_5">"$#REF!.$#REF!$#REF!"</definedName>
    <definedName name="akgv80_7">"$#REF!.$#REF!$#REF!"</definedName>
    <definedName name="akgv80_8">"$#REF!.$#REF!$#REF!"</definedName>
    <definedName name="ako100_10">"$#REF!.$#REF!$#REF!"</definedName>
    <definedName name="ako100_12">"$#REF!.$#REF!$#REF!"</definedName>
    <definedName name="ako100_13">"$#REF!.$#REF!$#REF!"</definedName>
    <definedName name="ako100_5">"$#REF!.$#REF!$#REF!"</definedName>
    <definedName name="ako100_7">"$#REF!.$#REF!$#REF!"</definedName>
    <definedName name="ako100_8">"$#REF!.$#REF!$#REF!"</definedName>
    <definedName name="ako150_10">"$#REF!.$#REF!$#REF!"</definedName>
    <definedName name="ako150_12">"$#REF!.$#REF!$#REF!"</definedName>
    <definedName name="ako150_13">"$#REF!.$#REF!$#REF!"</definedName>
    <definedName name="ako150_5">"$#REF!.$#REF!$#REF!"</definedName>
    <definedName name="ako150_7">"$#REF!.$#REF!$#REF!"</definedName>
    <definedName name="ako150_8">"$#REF!.$#REF!$#REF!"</definedName>
    <definedName name="ako50_10">"$#REF!.$#REF!$#REF!"</definedName>
    <definedName name="ako50_12">"$#REF!.$#REF!$#REF!"</definedName>
    <definedName name="ako50_13">"$#REF!.$#REF!$#REF!"</definedName>
    <definedName name="ako50_5">"$#REF!.$#REF!$#REF!"</definedName>
    <definedName name="ako50_7">"$#REF!.$#REF!$#REF!"</definedName>
    <definedName name="ako50_8">"$#REF!.$#REF!$#REF!"</definedName>
    <definedName name="ako80_10">"$#REF!.$#REF!$#REF!"</definedName>
    <definedName name="ako80_12">"$#REF!.$#REF!$#REF!"</definedName>
    <definedName name="ako80_13">"$#REF!.$#REF!$#REF!"</definedName>
    <definedName name="ako80_5">"$#REF!.$#REF!$#REF!"</definedName>
    <definedName name="ako80_7">"$#REF!.$#REF!$#REF!"</definedName>
    <definedName name="ako80_8">"$#REF!.$#REF!$#REF!"</definedName>
    <definedName name="akof100_10">"$#REF!.$#REF!$#REF!"</definedName>
    <definedName name="akof100_12">"$#REF!.$#REF!$#REF!"</definedName>
    <definedName name="akof100_13">"$#REF!.$#REF!$#REF!"</definedName>
    <definedName name="akof100_5">"$#REF!.$#REF!$#REF!"</definedName>
    <definedName name="akof100_7">"$#REF!.$#REF!$#REF!"</definedName>
    <definedName name="akof100_8">"$#REF!.$#REF!$#REF!"</definedName>
    <definedName name="akof150_10">"$#REF!.$#REF!$#REF!"</definedName>
    <definedName name="akof150_12">"$#REF!.$#REF!$#REF!"</definedName>
    <definedName name="akof150_13">"$#REF!.$#REF!$#REF!"</definedName>
    <definedName name="akof150_5">"$#REF!.$#REF!$#REF!"</definedName>
    <definedName name="akof150_7">"$#REF!.$#REF!$#REF!"</definedName>
    <definedName name="akof150_8">"$#REF!.$#REF!$#REF!"</definedName>
    <definedName name="akof4_10">"$#REF!.$#REF!$#REF!"</definedName>
    <definedName name="akof4_12">"$#REF!.$#REF!$#REF!"</definedName>
    <definedName name="akof4_13">"$#REF!.$#REF!$#REF!"</definedName>
    <definedName name="akof4_5">"$#REF!.$#REF!$#REF!"</definedName>
    <definedName name="akof4_7">"$#REF!.$#REF!$#REF!"</definedName>
    <definedName name="akof4_8">"$#REF!.$#REF!$#REF!"</definedName>
    <definedName name="akof6_10">"$#REF!.$#REF!$#REF!"</definedName>
    <definedName name="akof6_12">"$#REF!.$#REF!$#REF!"</definedName>
    <definedName name="akof6_13">"$#REF!.$#REF!$#REF!"</definedName>
    <definedName name="akof6_5">"$#REF!.$#REF!$#REF!"</definedName>
    <definedName name="akof6_7">"$#REF!.$#REF!$#REF!"</definedName>
    <definedName name="akof6_8">"$#REF!.$#REF!$#REF!"</definedName>
    <definedName name="akof80_10">"$#REF!.$#REF!$#REF!"</definedName>
    <definedName name="akof80_12">"$#REF!.$#REF!$#REF!"</definedName>
    <definedName name="akof80_13">"$#REF!.$#REF!$#REF!"</definedName>
    <definedName name="akof80_5">"$#REF!.$#REF!$#REF!"</definedName>
    <definedName name="akof80_7">"$#REF!.$#REF!$#REF!"</definedName>
    <definedName name="akof80_8">"$#REF!.$#REF!$#REF!"</definedName>
    <definedName name="akofl80_10">"$#REF!.$#REF!$#REF!"</definedName>
    <definedName name="akofl80_12">"$#REF!.$#REF!$#REF!"</definedName>
    <definedName name="akofl80_13">"$#REF!.$#REF!$#REF!"</definedName>
    <definedName name="akofl80_5">"$#REF!.$#REF!$#REF!"</definedName>
    <definedName name="akofl80_7">"$#REF!.$#REF!$#REF!"</definedName>
    <definedName name="akofl80_8">"$#REF!.$#REF!$#REF!"</definedName>
    <definedName name="akogv100_10">"$#REF!.$#REF!$#REF!"</definedName>
    <definedName name="akogv100_12">"$#REF!.$#REF!$#REF!"</definedName>
    <definedName name="akogv100_13">"$#REF!.$#REF!$#REF!"</definedName>
    <definedName name="akogv100_5">"$#REF!.$#REF!$#REF!"</definedName>
    <definedName name="akogv100_7">"$#REF!.$#REF!$#REF!"</definedName>
    <definedName name="akogv100_8">"$#REF!.$#REF!$#REF!"</definedName>
    <definedName name="akogv80_10">"$#REF!.$#REF!$#REF!"</definedName>
    <definedName name="akogv80_12">"$#REF!.$#REF!$#REF!"</definedName>
    <definedName name="akogv80_13">"$#REF!.$#REF!$#REF!"</definedName>
    <definedName name="akogv80_5">"$#REF!.$#REF!$#REF!"</definedName>
    <definedName name="akogv80_7">"$#REF!.$#REF!$#REF!"</definedName>
    <definedName name="akogv80_8">"$#REF!.$#REF!$#REF!"</definedName>
    <definedName name="AKU" localSheetId="4">STOP:STOPE</definedName>
    <definedName name="AKU" localSheetId="15">STOP:STOPE</definedName>
    <definedName name="AKU" localSheetId="9">STOP:STOPE</definedName>
    <definedName name="AKU" localSheetId="0">STOP:STOPE</definedName>
    <definedName name="AKU" localSheetId="6">STOP:STOPE</definedName>
    <definedName name="AKU" localSheetId="7">STOP:STOPE</definedName>
    <definedName name="AKU" localSheetId="13">STOP:STOPE</definedName>
    <definedName name="AKU" localSheetId="5">STOP:STOPE</definedName>
    <definedName name="AKU" localSheetId="8">STOP:STOPE</definedName>
    <definedName name="AKU" localSheetId="12">STOP:STOPE</definedName>
    <definedName name="AKU">STOP:STOPE</definedName>
    <definedName name="AKU___0">NA()</definedName>
    <definedName name="AKU___1">NA()</definedName>
    <definedName name="AKU___2">NA()</definedName>
    <definedName name="aku100_10">"$#REF!.$#REF!$#REF!"</definedName>
    <definedName name="aku100_12">"$#REF!.$#REF!$#REF!"</definedName>
    <definedName name="aku100_13">"$#REF!.$#REF!$#REF!"</definedName>
    <definedName name="aku100_5">"$#REF!.$#REF!$#REF!"</definedName>
    <definedName name="aku100_7">"$#REF!.$#REF!$#REF!"</definedName>
    <definedName name="aku100_8">"$#REF!.$#REF!$#REF!"</definedName>
    <definedName name="aku150_10">"$#REF!.$#REF!$#REF!"</definedName>
    <definedName name="aku150_12">"$#REF!.$#REF!$#REF!"</definedName>
    <definedName name="aku150_13">"$#REF!.$#REF!$#REF!"</definedName>
    <definedName name="aku150_5">"$#REF!.$#REF!$#REF!"</definedName>
    <definedName name="aku150_7">"$#REF!.$#REF!$#REF!"</definedName>
    <definedName name="aku150_8">"$#REF!.$#REF!$#REF!"</definedName>
    <definedName name="alat" localSheetId="9">'Pas. Dinding'!alat</definedName>
    <definedName name="alat" localSheetId="12">'TABEL BAJA'!alat</definedName>
    <definedName name="alat">[16]!alat</definedName>
    <definedName name="Alat_bantu_urug">[31]DATA!$G$43</definedName>
    <definedName name="alat_batu">'[32]Daf-Harga'!$H$45</definedName>
    <definedName name="alat_bt">'[32]Daf-Harga'!$H$45</definedName>
    <definedName name="alkali">'[5]Sat Bah &amp; Up'!$G$65</definedName>
    <definedName name="All_Report1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ooo" localSheetId="9">'Pas. Dinding'!alooo</definedName>
    <definedName name="alooo" localSheetId="12">'TABEL BAJA'!alooo</definedName>
    <definedName name="alooo">[16]!alooo</definedName>
    <definedName name="alt_bt">'[32]Daf-Harga'!$H$45</definedName>
    <definedName name="amp_30">'[32]Daf-Harga'!$H$35</definedName>
    <definedName name="ANALIS" localSheetId="9" hidden="1">#REF!</definedName>
    <definedName name="ANALIS" localSheetId="0" hidden="1">#REF!</definedName>
    <definedName name="ANALIS" localSheetId="7" hidden="1">#REF!</definedName>
    <definedName name="ANALIS" localSheetId="13" hidden="1">#REF!</definedName>
    <definedName name="ANALIS" localSheetId="8" hidden="1">#REF!</definedName>
    <definedName name="ANALIS" localSheetId="12" hidden="1">#REF!</definedName>
    <definedName name="ANALIS" hidden="1">#REF!</definedName>
    <definedName name="ANALISA" localSheetId="9" hidden="1">#REF!</definedName>
    <definedName name="ANALISA" localSheetId="0" hidden="1">#REF!</definedName>
    <definedName name="ANALISA" localSheetId="7" hidden="1">#REF!</definedName>
    <definedName name="ANALISA" localSheetId="13" hidden="1">#REF!</definedName>
    <definedName name="ANALISA" localSheetId="8" hidden="1">#REF!</definedName>
    <definedName name="ANALISA" hidden="1">#REF!</definedName>
    <definedName name="APARTEMEN" localSheetId="15">HAJIME:OWARI</definedName>
    <definedName name="APARTEMEN" localSheetId="9">[15]!HAJIME:[15]!OWARI</definedName>
    <definedName name="APARTEMEN" localSheetId="0">[0]!HAJIME:[0]!OWARI</definedName>
    <definedName name="APARTEMEN" localSheetId="6">HAJIME:OWARI</definedName>
    <definedName name="APARTEMEN" localSheetId="7">HAJIME:OWARI</definedName>
    <definedName name="APARTEMEN" localSheetId="13">HAJIME:OWARI</definedName>
    <definedName name="APARTEMEN" localSheetId="8">HAJIME:OWARI</definedName>
    <definedName name="APARTEMEN" localSheetId="12">[0]!HAJIME:[0]!OWARI</definedName>
    <definedName name="APARTEMEN">HAJIME:OWARI</definedName>
    <definedName name="APARTEMEN___0">NA()</definedName>
    <definedName name="APARTEMEN___2">NA()</definedName>
    <definedName name="App" localSheetId="9">'Pas. Dinding'!App</definedName>
    <definedName name="App" localSheetId="12">'TABEL BAJA'!App</definedName>
    <definedName name="App">[16]!App</definedName>
    <definedName name="aproval" localSheetId="9">'Pas. Dinding'!aproval</definedName>
    <definedName name="aproval" localSheetId="12">'TABEL BAJA'!aproval</definedName>
    <definedName name="aproval">[16]!aproval</definedName>
    <definedName name="ARMIX400">[33]Anal!$K$496</definedName>
    <definedName name="ARMIX500">[33]Anal!$K$503</definedName>
    <definedName name="arya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_sprayer">'[32]Daf-Harga'!$H$36</definedName>
    <definedName name="asd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gel6mm">'[34]HB '!$F$9</definedName>
    <definedName name="aswer" localSheetId="9" hidden="1">#REF!</definedName>
    <definedName name="aswer" localSheetId="0" hidden="1">#REF!</definedName>
    <definedName name="aswer" localSheetId="7" hidden="1">#REF!</definedName>
    <definedName name="aswer" localSheetId="13" hidden="1">#REF!</definedName>
    <definedName name="aswer" localSheetId="8" hidden="1">#REF!</definedName>
    <definedName name="aswer" localSheetId="12" hidden="1">#REF!</definedName>
    <definedName name="aswer" hidden="1">#REF!</definedName>
    <definedName name="aswung4mm">'[34]HB '!$F$10</definedName>
    <definedName name="ATBL">[30]ATBL!$G$46</definedName>
    <definedName name="ates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WDSTRF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b" localSheetId="9" hidden="1">#REF!</definedName>
    <definedName name="b" localSheetId="0" hidden="1">#REF!</definedName>
    <definedName name="b" localSheetId="7" hidden="1">#REF!</definedName>
    <definedName name="b" localSheetId="13" hidden="1">#REF!</definedName>
    <definedName name="b" localSheetId="8" hidden="1">#REF!</definedName>
    <definedName name="b" localSheetId="12" hidden="1">#REF!</definedName>
    <definedName name="b" hidden="1">#REF!</definedName>
    <definedName name="B.A.16">[35]ANALISA!$AS$72</definedName>
    <definedName name="B.A.6">[35]ANALISA!$AH$36</definedName>
    <definedName name="B.BATUKALI">[35]ANALISA!$BZ$36</definedName>
    <definedName name="b.bronjong">'[35]ANALISA BAHAN'!$K$33</definedName>
    <definedName name="B.PLESTERAN20">[35]ANALISA!$CV$36</definedName>
    <definedName name="B.RUMPUT">[35]ANALISA!$BO$36</definedName>
    <definedName name="B.SIAR">[35]ANALISA!$CV$72</definedName>
    <definedName name="b.tepi">[36]Analisa!$F$11</definedName>
    <definedName name="ba_ka_20_25">'[32]Daf-Harga'!$H$83</definedName>
    <definedName name="ba_pe_1_2">'[32]Daf-Harga'!$H$78</definedName>
    <definedName name="ba_pe_2_3">'[32]Daf-Harga'!$H$79</definedName>
    <definedName name="ba_pe_3_5">'[32]Daf-Harga'!$H$80</definedName>
    <definedName name="BAB.10">[30]RAB!$G$189</definedName>
    <definedName name="BAB.2">[30]RAB!$G$31</definedName>
    <definedName name="BAB.5">[30]RAB!$G$59</definedName>
    <definedName name="BAG">[37]FAKTOR!$B$25</definedName>
    <definedName name="BAGIAN_1___1">'[38]Daf 1'!$K$423</definedName>
    <definedName name="BAGIAN_1___2">'[38]Daf 1'!$K$423</definedName>
    <definedName name="BAGIAN_1___3">'[38]Daf 1'!$K$423</definedName>
    <definedName name="BAHAN1">[39]A!$A$29:$G$72</definedName>
    <definedName name="BAHAN2">[39]A!$A$73:$G$116</definedName>
    <definedName name="BAHAN3">[39]A!$A$117:$G$160</definedName>
    <definedName name="bajao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wf">[22]harga!$F$20</definedName>
    <definedName name="bakmandi">'[34]HB '!$F$160</definedName>
    <definedName name="BakMandiFiber">'[40]Analisa Harga Satuan'!$G$1817</definedName>
    <definedName name="bambu">[26]Harsat!$D$51</definedName>
    <definedName name="bantu">[41]S.UPAH!$O$8</definedName>
    <definedName name="basis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ta161bata">'[40]Analisa Harga Satuan'!$G$1284</definedName>
    <definedName name="BataKerawang">'[40]Analisa Harga Satuan'!$G$1299</definedName>
    <definedName name="batako___1">[42]harsat!$H$26</definedName>
    <definedName name="batako___2">[42]harsat!$H$26</definedName>
    <definedName name="batamerah___0">[43]harsat!$H$25</definedName>
    <definedName name="batamerah___1">[42]harsat!$H$25</definedName>
    <definedName name="batamerah___2">[42]harsat!$H$25</definedName>
    <definedName name="batu2">[6]Upah!$D$18</definedName>
    <definedName name="batu3">[6]Upah!$D$19</definedName>
    <definedName name="Batukali___0">[43]harsat!$H$12</definedName>
    <definedName name="Batukali___1">[42]harsat!$H$12</definedName>
    <definedName name="Batukali___2">[42]harsat!$H$12</definedName>
    <definedName name="baut">[31]DATA!$G$34</definedName>
    <definedName name="bb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M___0">NA()</definedName>
    <definedName name="BBM___1">NA()</definedName>
    <definedName name="BBM___2">NA()</definedName>
    <definedName name="bdia6_10">"$#REF!.$#REF!$#REF!"</definedName>
    <definedName name="bdia6_12">"$#REF!.$#REF!$#REF!"</definedName>
    <definedName name="bdia6_13">"$#REF!.$#REF!$#REF!"</definedName>
    <definedName name="bdia6_5">"$#REF!.$#REF!$#REF!"</definedName>
    <definedName name="bdia6_7">"$#REF!.$#REF!$#REF!"</definedName>
    <definedName name="bdia6_8">"$#REF!.$#REF!$#REF!"</definedName>
    <definedName name="bekisting9mm">[44]Analisa!$I$163</definedName>
    <definedName name="bekistingbalok">'[45]Als Struk'!$I$401</definedName>
    <definedName name="bekistingdinding">'[45]Als Struk'!$I$379</definedName>
    <definedName name="bekistingkolom">'[45]Als Struk'!$I$390</definedName>
    <definedName name="bekistingplat">'[45]Als Struk'!$I$423</definedName>
    <definedName name="bekistingtangga">'[45]Als Struk'!$I$445</definedName>
    <definedName name="bend">[26]Harsat!$D$32</definedName>
    <definedName name="bengkirai">[22]harga!$F$106</definedName>
    <definedName name="BES">[46]BQ!$P$12</definedName>
    <definedName name="BESBET10">'[21]Sat-Rap'!$F$25</definedName>
    <definedName name="BESBET12">'[21]Sat-Rap'!$F$26</definedName>
    <definedName name="BESBET13">'[21]Sat-Rap'!$F$29</definedName>
    <definedName name="BESBET16">'[21]Sat-Rap'!$F$30</definedName>
    <definedName name="BESBET19">'[21]Sat-Rap'!$F$31</definedName>
    <definedName name="BESBET22">'[21]Sat-Rap'!$F$32</definedName>
    <definedName name="BESBET6">'[21]Sat-Rap'!$F$23</definedName>
    <definedName name="BESBET8">'[21]Sat-Rap'!$F$24</definedName>
    <definedName name="besibetonpolos">'[47]Analisa Harga'!$H$174</definedName>
    <definedName name="besibtn">[48]harsat!$K$24</definedName>
    <definedName name="besiwf">[48]harsat!$K$26</definedName>
    <definedName name="beton125">[49]harsat!$H$20</definedName>
    <definedName name="beton125___0">[43]harsat!$H$20</definedName>
    <definedName name="beton125___1">[42]harsat!$H$20</definedName>
    <definedName name="beton125___2">[42]harsat!$H$20</definedName>
    <definedName name="beton2">[6]Upah!$D$27</definedName>
    <definedName name="beton250___0">[43]harsat!$H$21</definedName>
    <definedName name="beton250___1">[42]harsat!$H$21</definedName>
    <definedName name="beton250___2">[42]harsat!$H$21</definedName>
    <definedName name="beton250nf">[49]harsat!$H$22</definedName>
    <definedName name="beton250nf___0">[43]harsat!$H$22</definedName>
    <definedName name="beton250nf___1">[42]harsat!$H$22</definedName>
    <definedName name="beton250nf___2">[42]harsat!$H$22</definedName>
    <definedName name="beton3">[6]Upah!$D$28</definedName>
    <definedName name="betonfc35">'[50]DAF-BAHAN'!$F$35</definedName>
    <definedName name="betonfc40">'[50]DAF-BAHAN'!$F$36</definedName>
    <definedName name="betonfc50">'[50]DAF-BAHAN'!$F$38</definedName>
    <definedName name="betonk125">'[50]DAF-BAHAN'!$F$30</definedName>
    <definedName name="betonk175">'[47]Analisa Harga'!$H$145</definedName>
    <definedName name="betonk225">'[47]Analisa Harga'!$H$160</definedName>
    <definedName name="betonk350">'[45]Als Struk'!$I$261</definedName>
    <definedName name="biaya" localSheetId="9">'Pas. Dinding'!biaya</definedName>
    <definedName name="biaya" localSheetId="12">'TABEL BAJA'!biaya</definedName>
    <definedName name="biaya">[16]!biaya</definedName>
    <definedName name="binjai.xls" localSheetId="9" hidden="1">[51]H.Satuan!#REF!</definedName>
    <definedName name="binjai.xls" localSheetId="0" hidden="1">[51]H.Satuan!#REF!</definedName>
    <definedName name="binjai.xls" localSheetId="7" hidden="1">[51]H.Satuan!#REF!</definedName>
    <definedName name="binjai.xls" localSheetId="13" hidden="1">[51]H.Satuan!#REF!</definedName>
    <definedName name="binjai.xls" localSheetId="8" hidden="1">[51]H.Satuan!#REF!</definedName>
    <definedName name="binjai.xls" localSheetId="12" hidden="1">[51]H.Satuan!#REF!</definedName>
    <definedName name="binjai.xls" hidden="1">[51]H.Satuan!#REF!</definedName>
    <definedName name="BJ_10">"$#REF!.$#REF!$#REF!"</definedName>
    <definedName name="BJ_12">"$#REF!.$#REF!$#REF!"</definedName>
    <definedName name="BJ_13">"$#REF!.$#REF!$#REF!"</definedName>
    <definedName name="BJ_5">"$#REF!.$#REF!$#REF!"</definedName>
    <definedName name="BJ_7">"$#REF!.$#REF!$#REF!"</definedName>
    <definedName name="BJ_8">"$#REF!.$#REF!$#REF!"</definedName>
    <definedName name="bl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BKR">'[21]Sat-Rap'!$F$43</definedName>
    <definedName name="bmcb_10">"$#REF!.$#REF!$#REF!"</definedName>
    <definedName name="bmcb_12">"$#REF!.$#REF!$#REF!"</definedName>
    <definedName name="bmcb_13">"$#REF!.$#REF!$#REF!"</definedName>
    <definedName name="bmcb_5">"$#REF!.$#REF!$#REF!"</definedName>
    <definedName name="bmcb_7">"$#REF!.$#REF!$#REF!"</definedName>
    <definedName name="bmcb_8">"$#REF!.$#REF!$#REF!"</definedName>
    <definedName name="bobos">[22]harga!$F$25</definedName>
    <definedName name="bongkar_kuda2">[31]DATA!$G$18</definedName>
    <definedName name="bongkar_kusen">[31]DATA!$G$17</definedName>
    <definedName name="bongkar_plafond">[31]DATA!$G$20</definedName>
    <definedName name="BONGKARAN">[52]L4!$H$51</definedName>
    <definedName name="book" localSheetId="9">'Pas. Dinding'!book</definedName>
    <definedName name="book" localSheetId="12">'TABEL BAJA'!book</definedName>
    <definedName name="book">[16]!book</definedName>
    <definedName name="book2" localSheetId="9">'Pas. Dinding'!book2</definedName>
    <definedName name="book2" localSheetId="12">'TABEL BAJA'!book2</definedName>
    <definedName name="book2">[16]!book2</definedName>
    <definedName name="book3" localSheetId="9">'Pas. Dinding'!book3</definedName>
    <definedName name="book3" localSheetId="12">'TABEL BAJA'!book3</definedName>
    <definedName name="book3">[16]!book3</definedName>
    <definedName name="boosteram">'[53]TE TS FA LAN MATV'!$F$88</definedName>
    <definedName name="borneo___0">[43]harsat!$H$29</definedName>
    <definedName name="borneo___1">[42]harsat!$H$29</definedName>
    <definedName name="borneo___2">[42]harsat!$H$29</definedName>
    <definedName name="bouplank">[22]upah!$E$18</definedName>
    <definedName name="bow">[54]anal!$H$19</definedName>
    <definedName name="bp___2">[55]sheet1!$H$68</definedName>
    <definedName name="BPR">[37]FAKTOR!$C$25</definedName>
    <definedName name="brcm6___0">[43]harsat!$H$16</definedName>
    <definedName name="brcm6___1">[42]harsat!$H$16</definedName>
    <definedName name="brcm6___2">[42]harsat!$H$16</definedName>
    <definedName name="Brigdoun" localSheetId="15">{"Book1","RAB PASAR 30 AUG SCRAB.xls"}</definedName>
    <definedName name="Brigdoun" localSheetId="9">{"Book1","RAB PASAR 30 AUG SCRAB.xls"}</definedName>
    <definedName name="Brigdoun" localSheetId="0">{"Book1","RAB PASAR 30 AUG SCRAB.xls"}</definedName>
    <definedName name="Brigdoun" localSheetId="7">{"Book1","RAB PASAR 30 AUG SCRAB.xls"}</definedName>
    <definedName name="Brigdoun" localSheetId="13">{"Book1","RAB PASAR 30 AUG SCRAB.xls"}</definedName>
    <definedName name="Brigdoun" localSheetId="8">{"Book1","RAB PASAR 30 AUG SCRAB.xls"}</definedName>
    <definedName name="Brigdoun" localSheetId="12">{"Book1","RAB PASAR 30 AUG SCRAB.xls"}</definedName>
    <definedName name="Brigdoun">{"Book1","RAB PASAR 30 AUG SCRAB.xls"}</definedName>
    <definedName name="BS_10">"$#REF!.$#REF!$#REF!"</definedName>
    <definedName name="BS_12">"$#REF!.$#REF!$#REF!"</definedName>
    <definedName name="BS_13">"$#REF!.$#REF!$#REF!"</definedName>
    <definedName name="BS_5">"$#REF!.$#REF!$#REF!"</definedName>
    <definedName name="BS_7">"$#REF!.$#REF!$#REF!"</definedName>
    <definedName name="BS_8">"$#REF!.$#REF!$#REF!"</definedName>
    <definedName name="btangga">'[56]Analisa STR'!$J$69</definedName>
    <definedName name="btbel">'[5]Sat Bah &amp; Up'!$G$34</definedName>
    <definedName name="BTBT">'[21]Sat-Rap'!$F$15</definedName>
    <definedName name="btcopondsi">'[55]DAF-5'!$I$189</definedName>
    <definedName name="bton550">[55]sheet1!$H$23</definedName>
    <definedName name="btonbalok250">'[55]DAF-5'!$I$96</definedName>
    <definedName name="btonbalok300">'[55]DAF-5'!$I$110</definedName>
    <definedName name="btonbalok400">'[55]DAF-5'!$I$124</definedName>
    <definedName name="btonbalok550">'[55]DAF-5'!$I$138</definedName>
    <definedName name="btonddg250">'[55]DAF-5'!$I$103</definedName>
    <definedName name="btonddg300">'[55]DAF-5'!$I$117</definedName>
    <definedName name="btonddg400">'[55]DAF-5'!$I$131</definedName>
    <definedName name="btonddg550">'[55]DAF-5'!$I$145</definedName>
    <definedName name="btonlantkrja">'[55]DAF-5'!$I$61</definedName>
    <definedName name="btpec2">'[5]Sat Bah &amp; Up'!$G$36</definedName>
    <definedName name="BUB">'[21]Sat-Rap'!$F$61</definedName>
    <definedName name="buruh_lapangan_setengah_terlatih">[57]UPAH!$D$32</definedName>
    <definedName name="buruh_lapangan_terlatih">[57]UPAH!$D$33</definedName>
    <definedName name="Buruh_Lapangan_terlatih___Pekerja_terampil">[58]UPAH!$C$26</definedName>
    <definedName name="buruh_lapangan_tidak_terlatih">[31]UPAH!$D$31</definedName>
    <definedName name="Bus___1">[59]Anls!$E$42</definedName>
    <definedName name="Bus___2">[59]Anls!$E$42</definedName>
    <definedName name="Bus___3">[59]Anls!$E$42</definedName>
    <definedName name="bvd0.5_10">NA()</definedName>
    <definedName name="bvd0.5_12">NA()</definedName>
    <definedName name="bvd0.5_13">NA()</definedName>
    <definedName name="bvd0.5_5">NA()</definedName>
    <definedName name="bvd0.5_7">NA()</definedName>
    <definedName name="bvd0.5_8">NA()</definedName>
    <definedName name="bvd1.25_10">NA()</definedName>
    <definedName name="bvd1.25_12">NA()</definedName>
    <definedName name="bvd1.25_13">NA()</definedName>
    <definedName name="bvd1.25_5">NA()</definedName>
    <definedName name="bvd1.25_7">NA()</definedName>
    <definedName name="bvd1.25_8">NA()</definedName>
    <definedName name="bvd1.5_10">NA()</definedName>
    <definedName name="bvd1.5_12">NA()</definedName>
    <definedName name="bvd1.5_13">NA()</definedName>
    <definedName name="bvd1.5_5">NA()</definedName>
    <definedName name="bvd1.5_7">NA()</definedName>
    <definedName name="bvd1.5_8">NA()</definedName>
    <definedName name="cabinrak">'[53]TE TS FA LAN MATV'!$F$66</definedName>
    <definedName name="cas80_10">"$#REF!.$#REF!$#REF!"</definedName>
    <definedName name="cas80_12">"$#REF!.$#REF!$#REF!"</definedName>
    <definedName name="cas80_13">"$#REF!.$#REF!$#REF!"</definedName>
    <definedName name="cas80_5">"$#REF!.$#REF!$#REF!"</definedName>
    <definedName name="cas80_7">"$#REF!.$#REF!$#REF!"</definedName>
    <definedName name="cas80_8">"$#REF!.$#REF!$#REF!"</definedName>
    <definedName name="casf80_10">"$#REF!.$#REF!$#REF!"</definedName>
    <definedName name="casf80_12">"$#REF!.$#REF!$#REF!"</definedName>
    <definedName name="casf80_13">"$#REF!.$#REF!$#REF!"</definedName>
    <definedName name="casf80_5">"$#REF!.$#REF!$#REF!"</definedName>
    <definedName name="casf80_7">"$#REF!.$#REF!$#REF!"</definedName>
    <definedName name="casf80_8">"$#REF!.$#REF!$#REF!"</definedName>
    <definedName name="Cat_Dasar_ICI_untuk_interior__2_Pelapis">[31]BAHAN!$C$55</definedName>
    <definedName name="Cat_Kayu">'[40]Analisa Harga Satuan'!$G$2673</definedName>
    <definedName name="Cat_Marka__Spotlight">[31]BAHAN!$C$57</definedName>
    <definedName name="Cat_Minyak">[31]BAHAN!$C$89</definedName>
    <definedName name="Cat_tembok_ICI_Eksterior__Beton">[31]BAHAN!$C$52</definedName>
    <definedName name="Cat_Tembok_ICI_Interior__Plafond_dan_Dinding">[31]BAHAN!$C$53</definedName>
    <definedName name="catdinding">[22]harga!$F$55</definedName>
    <definedName name="CatInterior">'[40]Analisa Harga Satuan'!$G$2712</definedName>
    <definedName name="CatPlafond">'[40]Analisa Harga Satuan'!$G$2725</definedName>
    <definedName name="catsupergloss">[60]Rekap!$H$121</definedName>
    <definedName name="cddd3p">'[9]TONG HOP VL-NC'!$C$2</definedName>
    <definedName name="Cermin5mm">'[40]Analisa Harga Satuan'!$G$2286</definedName>
    <definedName name="CEROCOK">[41]S.BAHAN!$K$26</definedName>
    <definedName name="CHAIN" localSheetId="9" hidden="1">#REF!</definedName>
    <definedName name="CHAIN" localSheetId="0" hidden="1">#REF!</definedName>
    <definedName name="CHAIN" localSheetId="7" hidden="1">#REF!</definedName>
    <definedName name="CHAIN" localSheetId="13" hidden="1">#REF!</definedName>
    <definedName name="CHAIN" localSheetId="8" hidden="1">#REF!</definedName>
    <definedName name="CHAIN" localSheetId="12" hidden="1">#REF!</definedName>
    <definedName name="CHAIN" hidden="1">#REF!</definedName>
    <definedName name="chainsaw">[61]harsat!$G$63</definedName>
    <definedName name="channelmodul">'[53]TE TS FA LAN MATV'!$F$85</definedName>
    <definedName name="ClientState">"'file:///D:/Data/My Project/mmc.xls'#$'Fill this out first___'.$#REF!$#REF!"</definedName>
    <definedName name="ClientZip">"'file:///D:/Data/My Project/mmc.xls'#$'Fill this out first___'.$#REF!$#REF!"</definedName>
    <definedName name="Closet_Duduk_Warna_Standard_lengkap_INA">[31]BAHAN!$C$139</definedName>
    <definedName name="Closet_Jongkok_Poslin_warna__TOTO">[31]BAHAN!$C$134</definedName>
    <definedName name="Closet_Jongkok_Standard_Putih_Poslin_TOTO">[31]BAHAN!$C$135</definedName>
    <definedName name="closetduduk">[60]Rekap!$H$47</definedName>
    <definedName name="CLVC3">0.1</definedName>
    <definedName name="CNGR">[62]bahan!$C$16</definedName>
    <definedName name="coba" hidden="1">'[62]SITE-E'!$AI$33:$AI$144</definedName>
    <definedName name="Code" localSheetId="9" hidden="1">#REF!</definedName>
    <definedName name="Code" localSheetId="0" hidden="1">#REF!</definedName>
    <definedName name="Code" localSheetId="7" hidden="1">#REF!</definedName>
    <definedName name="Code" localSheetId="13" hidden="1">#REF!</definedName>
    <definedName name="Code" localSheetId="8" hidden="1">#REF!</definedName>
    <definedName name="Code" localSheetId="12" hidden="1">#REF!</definedName>
    <definedName name="Code" hidden="1">#REF!</definedName>
    <definedName name="comismatv">'[53]TE TS FA LAN MATV'!$F$94</definedName>
    <definedName name="con_vibra">'[32]Daf-Harga'!$H$40</definedName>
    <definedName name="corbaloklantai">'[50]DAF-UPAH'!$E$15</definedName>
    <definedName name="cordindng">[63]h.satuan!$H$139</definedName>
    <definedName name="corkolom">'[50]DAF-UPAH'!$E$14</definedName>
    <definedName name="corlantaikerja">'[50]DAF-UPAH'!$E$11</definedName>
    <definedName name="CPVCDN">'[9]#REF'!$K$33</definedName>
    <definedName name="curb_t_60">'[32]Daf-Harga'!$H$87</definedName>
    <definedName name="d" localSheetId="9" hidden="1">#REF!</definedName>
    <definedName name="d" localSheetId="0" hidden="1">#REF!</definedName>
    <definedName name="d" localSheetId="7" hidden="1">#REF!</definedName>
    <definedName name="d" localSheetId="13" hidden="1">#REF!</definedName>
    <definedName name="d" localSheetId="8" hidden="1">#REF!</definedName>
    <definedName name="d" localSheetId="12" hidden="1">#REF!</definedName>
    <definedName name="d" hidden="1">#REF!</definedName>
    <definedName name="DAF" localSheetId="9" hidden="1">#REF!</definedName>
    <definedName name="DAF" localSheetId="0" hidden="1">#REF!</definedName>
    <definedName name="DAF" localSheetId="7" hidden="1">#REF!</definedName>
    <definedName name="DAF" localSheetId="13" hidden="1">#REF!</definedName>
    <definedName name="DAF" localSheetId="8" hidden="1">#REF!</definedName>
    <definedName name="DAF" hidden="1">#REF!</definedName>
    <definedName name="Daf_mat___0">[64]Pipe!$A$12:$I$33</definedName>
    <definedName name="Daf_mat___1">[64]Pipe!$A$12:$I$33</definedName>
    <definedName name="Daf_mat___2">[64]Pipe!$A$12:$I$33</definedName>
    <definedName name="Daf_mat___3">[64]Pipe!$A$12:$I$33</definedName>
    <definedName name="Daf_mt">[65]Pipe!$A$1:$IV$10</definedName>
    <definedName name="Daf_mt___0">[64]Pipe!$A$1:$IV$10</definedName>
    <definedName name="Daf_mt___1">[64]Pipe!$A$1:$IV$10</definedName>
    <definedName name="Daf_mt___2">[64]Pipe!$A$1:$IV$10</definedName>
    <definedName name="Daf_mt___3">[64]Pipe!$A$1:$IV$10</definedName>
    <definedName name="danan" localSheetId="15">HAJIME:OWARI</definedName>
    <definedName name="danan" localSheetId="9">[15]!HAJIME:[15]!OWARI</definedName>
    <definedName name="danan" localSheetId="0">[0]!HAJIME:[0]!OWARI</definedName>
    <definedName name="danan" localSheetId="6">HAJIME:OWARI</definedName>
    <definedName name="danan" localSheetId="7">HAJIME:OWARI</definedName>
    <definedName name="danan" localSheetId="13">HAJIME:OWARI</definedName>
    <definedName name="danan" localSheetId="8">HAJIME:OWARI</definedName>
    <definedName name="danan" localSheetId="12">[0]!HAJIME:[0]!OWARI</definedName>
    <definedName name="danan">HAJIME:OWARI</definedName>
    <definedName name="danan___0">NA()</definedName>
    <definedName name="danan___1">NA()</definedName>
    <definedName name="danan___2">NA()</definedName>
    <definedName name="dapur">[66]DAPUR!$N$21</definedName>
    <definedName name="data1" localSheetId="9" hidden="1">#REF!</definedName>
    <definedName name="data1" localSheetId="0" hidden="1">#REF!</definedName>
    <definedName name="data1" localSheetId="7" hidden="1">#REF!</definedName>
    <definedName name="data1" localSheetId="13" hidden="1">#REF!</definedName>
    <definedName name="data1" localSheetId="8" hidden="1">#REF!</definedName>
    <definedName name="data1" localSheetId="12" hidden="1">#REF!</definedName>
    <definedName name="data1" hidden="1">#REF!</definedName>
    <definedName name="data2" localSheetId="9" hidden="1">#REF!</definedName>
    <definedName name="data2" localSheetId="0" hidden="1">#REF!</definedName>
    <definedName name="data2" localSheetId="7" hidden="1">#REF!</definedName>
    <definedName name="data2" localSheetId="13" hidden="1">#REF!</definedName>
    <definedName name="data2" localSheetId="8" hidden="1">#REF!</definedName>
    <definedName name="data2" hidden="1">#REF!</definedName>
    <definedName name="data3" localSheetId="9" hidden="1">#REF!</definedName>
    <definedName name="data3" localSheetId="0" hidden="1">#REF!</definedName>
    <definedName name="data3" localSheetId="7" hidden="1">#REF!</definedName>
    <definedName name="data3" localSheetId="13" hidden="1">#REF!</definedName>
    <definedName name="data3" localSheetId="8" hidden="1">#REF!</definedName>
    <definedName name="data3" hidden="1">#REF!</definedName>
    <definedName name="db">'[67]BQ-Tenis'!$L$52</definedName>
    <definedName name="d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___0">[68]Analisa!$E$11</definedName>
    <definedName name="dd1pvl">[9]chitiet!$G$383</definedName>
    <definedName name="dd1x2">[69]gvl!$N$9</definedName>
    <definedName name="dd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" hidden="1">[68]DIV1!$G$25:$G$31</definedName>
    <definedName name="Demolish" hidden="1">#N/A</definedName>
    <definedName name="Dempul_Duco">[31]BAHAN!$C$82</definedName>
    <definedName name="Dempul_Halus___Imfra___Wood_Filler">[31]BAHAN!$B$75</definedName>
    <definedName name="Dempul_halus__imfra__Wood_filler">[31]BAHAN!$C$75</definedName>
    <definedName name="Dempul_Plitur">[31]BAHAN!$C$74</definedName>
    <definedName name="detib2100_10">"$#REF!.#REF!$#REF!"</definedName>
    <definedName name="detib2100_12">"$#REF!.#REF!$#REF!"</definedName>
    <definedName name="detib2100_13">"$#REF!.#REF!$#REF!"</definedName>
    <definedName name="detib2100_5">"$#REF!.#REF!$#REF!"</definedName>
    <definedName name="detib2100_7">"$#REF!.#REF!$#REF!"</definedName>
    <definedName name="detib2100_8">"$#REF!.#REF!$#REF!"</definedName>
    <definedName name="detib2120_10">"$#REF!.#REF!$#REF!"</definedName>
    <definedName name="detib2120_12">"$#REF!.#REF!$#REF!"</definedName>
    <definedName name="detib2120_13">"$#REF!.#REF!$#REF!"</definedName>
    <definedName name="detib2120_5">"$#REF!.#REF!$#REF!"</definedName>
    <definedName name="detib2120_7">"$#REF!.#REF!$#REF!"</definedName>
    <definedName name="detib2120_8">"$#REF!.#REF!$#REF!"</definedName>
    <definedName name="detib250_10">"$#REF!.#REF!$#REF!"</definedName>
    <definedName name="detib250_12">"$#REF!.#REF!$#REF!"</definedName>
    <definedName name="detib250_13">"$#REF!.#REF!$#REF!"</definedName>
    <definedName name="detib250_5">"$#REF!.#REF!$#REF!"</definedName>
    <definedName name="detib250_7">"$#REF!.#REF!$#REF!"</definedName>
    <definedName name="detib250_8">"$#REF!.#REF!$#REF!"</definedName>
    <definedName name="detib260_10">"$#REF!.#REF!$#REF!"</definedName>
    <definedName name="detib260_12">"$#REF!.#REF!$#REF!"</definedName>
    <definedName name="detib260_13">"$#REF!.#REF!$#REF!"</definedName>
    <definedName name="detib260_5">"$#REF!.#REF!$#REF!"</definedName>
    <definedName name="detib260_7">"$#REF!.#REF!$#REF!"</definedName>
    <definedName name="detib260_8">"$#REF!.#REF!$#REF!"</definedName>
    <definedName name="detib280_10">"$#REF!.#REF!$#REF!"</definedName>
    <definedName name="detib280_12">"$#REF!.#REF!$#REF!"</definedName>
    <definedName name="detib280_13">"$#REF!.#REF!$#REF!"</definedName>
    <definedName name="detib280_5">"$#REF!.#REF!$#REF!"</definedName>
    <definedName name="detib280_7">"$#REF!.#REF!$#REF!"</definedName>
    <definedName name="detib280_8">"$#REF!.#REF!$#REF!"</definedName>
    <definedName name="dgth2">[9]DONGIA!$A$414:$G$439</definedName>
    <definedName name="DGTR">[9]DONGIA!$A$472:$I$521</definedName>
    <definedName name="DGVT">'[9]DON GIA'!$C$5:$G$137</definedName>
    <definedName name="DI" localSheetId="15">HAJIME:OWARI</definedName>
    <definedName name="DI" localSheetId="9">[15]!HAJIME:[15]!OWARI</definedName>
    <definedName name="DI" localSheetId="0">[0]!HAJIME:[0]!OWARI</definedName>
    <definedName name="DI" localSheetId="6">HAJIME:OWARI</definedName>
    <definedName name="DI" localSheetId="7">HAJIME:OWARI</definedName>
    <definedName name="DI" localSheetId="13">HAJIME:OWARI</definedName>
    <definedName name="DI" localSheetId="8">HAJIME:OWARI</definedName>
    <definedName name="DI" localSheetId="12">[0]!HAJIME:[0]!OWARI</definedName>
    <definedName name="DI">HAJIME:OWARI</definedName>
    <definedName name="DI___0">NA()</definedName>
    <definedName name="DI___2">NA()</definedName>
    <definedName name="dia6_10">"$#REF!.$#REF!$#REF!"</definedName>
    <definedName name="dia6_12">"$#REF!.$#REF!$#REF!"</definedName>
    <definedName name="dia6_13">"$#REF!.$#REF!$#REF!"</definedName>
    <definedName name="dia6_5">"$#REF!.$#REF!$#REF!"</definedName>
    <definedName name="dia6_7">"$#REF!.$#REF!$#REF!"</definedName>
    <definedName name="dia6_8">"$#REF!.$#REF!$#REF!"</definedName>
    <definedName name="diletasi">'[55]DAF-5'!$I$82</definedName>
    <definedName name="DIN.BETON">[36]Analisa!$F$30</definedName>
    <definedName name="Discount" localSheetId="9" hidden="1">#REF!</definedName>
    <definedName name="Discount" localSheetId="0" hidden="1">#REF!</definedName>
    <definedName name="Discount" localSheetId="7" hidden="1">#REF!</definedName>
    <definedName name="Discount" localSheetId="13" hidden="1">#REF!</definedName>
    <definedName name="Discount" localSheetId="8" hidden="1">#REF!</definedName>
    <definedName name="Discount" localSheetId="12" hidden="1">#REF!</definedName>
    <definedName name="Discount" hidden="1">#REF!</definedName>
    <definedName name="display_area_2" localSheetId="9" hidden="1">#REF!</definedName>
    <definedName name="display_area_2" localSheetId="0" hidden="1">#REF!</definedName>
    <definedName name="display_area_2" localSheetId="7" hidden="1">#REF!</definedName>
    <definedName name="display_area_2" localSheetId="13" hidden="1">#REF!</definedName>
    <definedName name="display_area_2" localSheetId="8" hidden="1">#REF!</definedName>
    <definedName name="display_area_2" hidden="1">#REF!</definedName>
    <definedName name="disPM">'[46]hsp-STR-ARS'!$N$37</definedName>
    <definedName name="dldl160">'[70]Isolasi Luar Dalam'!$L$46</definedName>
    <definedName name="dldl180">'[70]Isolasi Luar Dalam'!$M$46</definedName>
    <definedName name="dldlg100">'[70]Isolasi Luar Dalam'!$N$23</definedName>
    <definedName name="dllg100a">'[71]Isolasi Luar'!$N$342</definedName>
    <definedName name="dllg120">'[70]Isolasi Luar'!$O$342</definedName>
    <definedName name="dllg50">'[70]Isolasi Luar'!$K$342</definedName>
    <definedName name="dllg60">'[70]Isolasi Luar'!$L$342</definedName>
    <definedName name="dllg80">'[70]Isolasi Luar'!$M$342</definedName>
    <definedName name="dlpar38120_10">"$#REF!.$#REF!$#REF!"</definedName>
    <definedName name="dlpar38120_12">"$#REF!.$#REF!$#REF!"</definedName>
    <definedName name="dlpar38120_13">"$#REF!.$#REF!$#REF!"</definedName>
    <definedName name="dlpar38120_5">"$#REF!.$#REF!$#REF!"</definedName>
    <definedName name="dlpar38120_7">"$#REF!.$#REF!$#REF!"</definedName>
    <definedName name="dlpar38120_8">"$#REF!.$#REF!$#REF!"</definedName>
    <definedName name="dlplc13w_10">"$#REF!.$#REF!$#REF!"</definedName>
    <definedName name="dlplc13w_12">"$#REF!.$#REF!$#REF!"</definedName>
    <definedName name="dlplc13w_13">"$#REF!.$#REF!$#REF!"</definedName>
    <definedName name="dlplc13w_5">"$#REF!.$#REF!$#REF!"</definedName>
    <definedName name="dlplc13w_7">"$#REF!.$#REF!$#REF!"</definedName>
    <definedName name="dlplc13w_8">"$#REF!.$#REF!$#REF!"</definedName>
    <definedName name="dlplc13wbimc_10">"$#REF!.$#REF!$#REF!"</definedName>
    <definedName name="dlplc13wbimc_12">"$#REF!.$#REF!$#REF!"</definedName>
    <definedName name="dlplc13wbimc_13">"$#REF!.$#REF!$#REF!"</definedName>
    <definedName name="dlplc13wbimc_5">"$#REF!.$#REF!$#REF!"</definedName>
    <definedName name="dlplc13wbimc_7">"$#REF!.$#REF!$#REF!"</definedName>
    <definedName name="dlplc13wbimc_8">"$#REF!.$#REF!$#REF!"</definedName>
    <definedName name="Document_array" localSheetId="15">{"Book1","RAB PASAR 30 AUG SCRAB.xls"}</definedName>
    <definedName name="Document_array" localSheetId="9">{"Book1","RAB PASAR 30 AUG SCRAB.xls"}</definedName>
    <definedName name="Document_array" localSheetId="0">{"Book1","RAB PASAR 30 AUG SCRAB.xls"}</definedName>
    <definedName name="Document_array" localSheetId="7">{"Book1","RAB PASAR 30 AUG SCRAB.xls"}</definedName>
    <definedName name="Document_array" localSheetId="13">{"Book1","RAB PASAR 30 AUG SCRAB.xls"}</definedName>
    <definedName name="Document_array" localSheetId="8">{"Book1","RAB PASAR 30 AUG SCRAB.xls"}</definedName>
    <definedName name="Document_array" localSheetId="12">{"Book1","RAB PASAR 30 AUG SCRAB.xls"}</definedName>
    <definedName name="Document_array">{"Book1","RAB PASAR 30 AUG SCRAB.xls"}</definedName>
    <definedName name="Document_array_2" localSheetId="15">{"Book1","RAB PASAR 30 AUG SCRAB.xls"}</definedName>
    <definedName name="Document_array_2" localSheetId="9">{"Book1","RAB PASAR 30 AUG SCRAB.xls"}</definedName>
    <definedName name="Document_array_2" localSheetId="0">{"Book1","RAB PASAR 30 AUG SCRAB.xls"}</definedName>
    <definedName name="Document_array_2" localSheetId="7">{"Book1","RAB PASAR 30 AUG SCRAB.xls"}</definedName>
    <definedName name="Document_array_2" localSheetId="13">{"Book1","RAB PASAR 30 AUG SCRAB.xls"}</definedName>
    <definedName name="Document_array_2" localSheetId="8">{"Book1","RAB PASAR 30 AUG SCRAB.xls"}</definedName>
    <definedName name="Document_array_2" localSheetId="12">{"Book1","RAB PASAR 30 AUG SCRAB.xls"}</definedName>
    <definedName name="Document_array_2">{"Book1","RAB PASAR 30 AUG SCRAB.xls"}</definedName>
    <definedName name="Document_array_4" localSheetId="15">{"Book1","RAB PASAR 30 AUG SCRAB.xls"}</definedName>
    <definedName name="Document_array_4" localSheetId="9">{"Book1","RAB PASAR 30 AUG SCRAB.xls"}</definedName>
    <definedName name="Document_array_4" localSheetId="0">{"Book1","RAB PASAR 30 AUG SCRAB.xls"}</definedName>
    <definedName name="Document_array_4" localSheetId="7">{"Book1","RAB PASAR 30 AUG SCRAB.xls"}</definedName>
    <definedName name="Document_array_4" localSheetId="13">{"Book1","RAB PASAR 30 AUG SCRAB.xls"}</definedName>
    <definedName name="Document_array_4" localSheetId="8">{"Book1","RAB PASAR 30 AUG SCRAB.xls"}</definedName>
    <definedName name="Document_array_4" localSheetId="12">{"Book1","RAB PASAR 30 AUG SCRAB.xls"}</definedName>
    <definedName name="Document_array_4">{"Book1","RAB PASAR 30 AUG SCRAB.xls"}</definedName>
    <definedName name="Document_array_6" localSheetId="15">{"Book1","RAB PASAR 30 AUG SCRAB.xls"}</definedName>
    <definedName name="Document_array_6" localSheetId="9">{"Book1","RAB PASAR 30 AUG SCRAB.xls"}</definedName>
    <definedName name="Document_array_6" localSheetId="0">{"Book1","RAB PASAR 30 AUG SCRAB.xls"}</definedName>
    <definedName name="Document_array_6" localSheetId="7">{"Book1","RAB PASAR 30 AUG SCRAB.xls"}</definedName>
    <definedName name="Document_array_6" localSheetId="13">{"Book1","RAB PASAR 30 AUG SCRAB.xls"}</definedName>
    <definedName name="Document_array_6" localSheetId="8">{"Book1","RAB PASAR 30 AUG SCRAB.xls"}</definedName>
    <definedName name="Document_array_6" localSheetId="12">{"Book1","RAB PASAR 30 AUG SCRAB.xls"}</definedName>
    <definedName name="Document_array_6">{"Book1","RAB PASAR 30 AUG SCRAB.xls"}</definedName>
    <definedName name="Document_array_8" localSheetId="15">{"Book1","RAB PASAR 30 AUG SCRAB.xls"}</definedName>
    <definedName name="Document_array_8" localSheetId="9">{"Book1","RAB PASAR 30 AUG SCRAB.xls"}</definedName>
    <definedName name="Document_array_8" localSheetId="0">{"Book1","RAB PASAR 30 AUG SCRAB.xls"}</definedName>
    <definedName name="Document_array_8" localSheetId="7">{"Book1","RAB PASAR 30 AUG SCRAB.xls"}</definedName>
    <definedName name="Document_array_8" localSheetId="13">{"Book1","RAB PASAR 30 AUG SCRAB.xls"}</definedName>
    <definedName name="Document_array_8" localSheetId="8">{"Book1","RAB PASAR 30 AUG SCRAB.xls"}</definedName>
    <definedName name="Document_array_8" localSheetId="12">{"Book1","RAB PASAR 30 AUG SCRAB.xls"}</definedName>
    <definedName name="Document_array_8">{"Book1","RAB PASAR 30 AUG SCRAB.xls"}</definedName>
    <definedName name="Document_array_9" localSheetId="15">{"Book1","RAB PASAR 30 AUG SCRAB.xls"}</definedName>
    <definedName name="Document_array_9" localSheetId="9">{"Book1","RAB PASAR 30 AUG SCRAB.xls"}</definedName>
    <definedName name="Document_array_9" localSheetId="0">{"Book1","RAB PASAR 30 AUG SCRAB.xls"}</definedName>
    <definedName name="Document_array_9" localSheetId="7">{"Book1","RAB PASAR 30 AUG SCRAB.xls"}</definedName>
    <definedName name="Document_array_9" localSheetId="13">{"Book1","RAB PASAR 30 AUG SCRAB.xls"}</definedName>
    <definedName name="Document_array_9" localSheetId="8">{"Book1","RAB PASAR 30 AUG SCRAB.xls"}</definedName>
    <definedName name="Document_array_9" localSheetId="12">{"Book1","RAB PASAR 30 AUG SCRAB.xls"}</definedName>
    <definedName name="Document_array_9">{"Book1","RAB PASAR 30 AUG SCRAB.xls"}</definedName>
    <definedName name="dongia1">[9]DG!$A$4:$H$606</definedName>
    <definedName name="door">'[72]D &amp; W sizes'!$B$3:$D$35</definedName>
    <definedName name="DSGA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tib2100_10">"$#REF!.$#REF!$#REF!"</definedName>
    <definedName name="dstib2100_12">"$#REF!.$#REF!$#REF!"</definedName>
    <definedName name="dstib2100_13">"$#REF!.$#REF!$#REF!"</definedName>
    <definedName name="dstib2100_5">"$#REF!.$#REF!$#REF!"</definedName>
    <definedName name="dstib2100_7">"$#REF!.$#REF!$#REF!"</definedName>
    <definedName name="dstib2100_8">"$#REF!.$#REF!$#REF!"</definedName>
    <definedName name="dstib2120_10">"$#REF!.$#REF!$#REF!"</definedName>
    <definedName name="dstib2120_12">"$#REF!.$#REF!$#REF!"</definedName>
    <definedName name="dstib2120_13">"$#REF!.$#REF!$#REF!"</definedName>
    <definedName name="dstib2120_5">"$#REF!.$#REF!$#REF!"</definedName>
    <definedName name="dstib2120_7">"$#REF!.$#REF!$#REF!"</definedName>
    <definedName name="dstib2120_8">"$#REF!.$#REF!$#REF!"</definedName>
    <definedName name="dstib250_10">"$#REF!.$#REF!$#REF!"</definedName>
    <definedName name="dstib250_12">"$#REF!.$#REF!$#REF!"</definedName>
    <definedName name="dstib250_13">"$#REF!.$#REF!$#REF!"</definedName>
    <definedName name="dstib250_5">"$#REF!.$#REF!$#REF!"</definedName>
    <definedName name="dstib250_7">"$#REF!.$#REF!$#REF!"</definedName>
    <definedName name="dstib250_8">"$#REF!.$#REF!$#REF!"</definedName>
    <definedName name="dstib260_10">"$#REF!.$#REF!$#REF!"</definedName>
    <definedName name="dstib260_12">"$#REF!.$#REF!$#REF!"</definedName>
    <definedName name="dstib260_13">"$#REF!.$#REF!$#REF!"</definedName>
    <definedName name="dstib260_5">"$#REF!.$#REF!$#REF!"</definedName>
    <definedName name="dstib260_7">"$#REF!.$#REF!$#REF!"</definedName>
    <definedName name="dstib260_8">"$#REF!.$#REF!$#REF!"</definedName>
    <definedName name="dstib280_10">"$#REF!.$#REF!$#REF!"</definedName>
    <definedName name="dstib280_12">"$#REF!.$#REF!$#REF!"</definedName>
    <definedName name="dstib280_13">"$#REF!.$#REF!$#REF!"</definedName>
    <definedName name="dstib280_5">"$#REF!.$#REF!$#REF!"</definedName>
    <definedName name="dstib280_7">"$#REF!.$#REF!$#REF!"</definedName>
    <definedName name="dstib280_8">"$#REF!.$#REF!$#REF!"</definedName>
    <definedName name="DT.45">'[30]DAFTAR ALAT'!$H$19</definedName>
    <definedName name="dt_3.5">'[32]Daf-Harga'!$H$41</definedName>
    <definedName name="dt_5">'[32]Daf-Harga'!$H$42</definedName>
    <definedName name="DULUX">'[21]Sat-Rap'!$F$72</definedName>
    <definedName name="dumptruck20t">'[73]Sat Alat'!$I$14</definedName>
    <definedName name="ECON" localSheetId="9" hidden="1">[74]escon!#REF!</definedName>
    <definedName name="ECON" localSheetId="0" hidden="1">[74]escon!#REF!</definedName>
    <definedName name="ECON" localSheetId="7" hidden="1">[74]escon!#REF!</definedName>
    <definedName name="ECON" localSheetId="13" hidden="1">[74]escon!#REF!</definedName>
    <definedName name="ECON" localSheetId="8" hidden="1">[74]escon!#REF!</definedName>
    <definedName name="ECON" localSheetId="12" hidden="1">[74]escon!#REF!</definedName>
    <definedName name="ECON" hidden="1">[74]escon!#REF!</definedName>
    <definedName name="ECP">"'file://Donny/jfp (f)/2.1 Proposal/2.1 Excelcomindo Office Palembang/mmc.xls'#$'Fill this out first___'.$#REF!$#REF!"</definedName>
    <definedName name="ED" localSheetId="15">HAJIME:OWARI</definedName>
    <definedName name="ED" localSheetId="9">[15]!HAJIME:[15]!OWARI</definedName>
    <definedName name="ED" localSheetId="0">[0]!HAJIME:[0]!OWARI</definedName>
    <definedName name="ED" localSheetId="6">HAJIME:OWARI</definedName>
    <definedName name="ED" localSheetId="7">HAJIME:OWARI</definedName>
    <definedName name="ED" localSheetId="13">HAJIME:OWARI</definedName>
    <definedName name="ED" localSheetId="8">HAJIME:OWARI</definedName>
    <definedName name="ED" localSheetId="12">[0]!HAJIME:[0]!OWARI</definedName>
    <definedName name="ED">HAJIME:OWARI</definedName>
    <definedName name="ED___0">NA()</definedName>
    <definedName name="ED___2">NA()</definedName>
    <definedName name="EDS" localSheetId="15">{"Book1","RAB PASAR 30 AUG SCRAB.xls"}</definedName>
    <definedName name="EDS" localSheetId="9">{"Book1","RAB PASAR 30 AUG SCRAB.xls"}</definedName>
    <definedName name="EDS" localSheetId="0">{"Book1","RAB PASAR 30 AUG SCRAB.xls"}</definedName>
    <definedName name="EDS" localSheetId="7">{"Book1","RAB PASAR 30 AUG SCRAB.xls"}</definedName>
    <definedName name="EDS" localSheetId="13">{"Book1","RAB PASAR 30 AUG SCRAB.xls"}</definedName>
    <definedName name="EDS" localSheetId="8">{"Book1","RAB PASAR 30 AUG SCRAB.xls"}</definedName>
    <definedName name="EDS" localSheetId="12">{"Book1","RAB PASAR 30 AUG SCRAB.xls"}</definedName>
    <definedName name="EDS">{"Book1","RAB PASAR 30 AUG SCRAB.xls"}</definedName>
    <definedName name="efwfw" localSheetId="12" hidden="1">[75]AC!#REF!</definedName>
    <definedName name="efwfw" hidden="1">[75]AC!#REF!</definedName>
    <definedName name="EGY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ngselkun">'[76]HB '!$F$177</definedName>
    <definedName name="erq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senza40x40">'[77]Harga Material'!$F$53</definedName>
    <definedName name="essenza60x60">'[77]Harga Material'!$F$54</definedName>
    <definedName name="EWYR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_FilterDatabase_12">"$#REF!.$C$5:$C$90"</definedName>
    <definedName name="Excel_BuiltIn_Print_Area_1_1_1">"$#REF!.$B$803:$G$1064"</definedName>
    <definedName name="Excel_BuiltIn_Print_Area_14">"$#REF!.$B$2:$J$108"</definedName>
    <definedName name="Excel_BuiltIn_Print_Area_2_1_1_1_1">"$#REF!.$#REF!$#REF!"</definedName>
    <definedName name="Excel_BuiltIn_Print_Area_21_1">"$#REF!.$#REF!$#REF!"</definedName>
    <definedName name="Excel_BuiltIn_Print_Area_27">"$#REF!.$#REF!$#REF!"</definedName>
    <definedName name="Excel_BuiltIn_Print_Area_4">"$#REF!.$A$1:$Q$194"</definedName>
    <definedName name="Excel_BuiltIn_Print_Area_5_1_1">"$#REF!.$B$72:$AY$579"</definedName>
    <definedName name="Excel_BuiltIn_Print_Area_5_1_1_1">"$#REF!.$#REF!$#REF!"</definedName>
    <definedName name="Excel_BuiltIn_Print_Area_5_1_1_1_1">"$#REF!.$A$1:$F$664"</definedName>
    <definedName name="Excel_BuiltIn_Print_Area_7">"$#REF!.$B$3:$R$122"</definedName>
    <definedName name="Excel_BuiltIn_Print_Titles_3_1_1_1_1">'[78]01A- RAB'!$A$1:$N$65536,'[78]01A- RAB'!$A$3:$IV$5</definedName>
    <definedName name="Excel_BuiltIn_Print_Titles_4">"$#REF!.$A$1:$IT$6"</definedName>
    <definedName name="Excel_BuiltIn_Print_Titles_4_1_1" localSheetId="9">#REF!,#REF!</definedName>
    <definedName name="Excel_BuiltIn_Print_Titles_4_1_1" localSheetId="0">#REF!,#REF!</definedName>
    <definedName name="Excel_BuiltIn_Print_Titles_4_1_1" localSheetId="7">#REF!,#REF!</definedName>
    <definedName name="Excel_BuiltIn_Print_Titles_4_1_1" localSheetId="13">#REF!,#REF!</definedName>
    <definedName name="Excel_BuiltIn_Print_Titles_4_1_1" localSheetId="8">#REF!,#REF!</definedName>
    <definedName name="Excel_BuiltIn_Print_Titles_4_1_1" localSheetId="12">#REF!,#REF!</definedName>
    <definedName name="Excel_BuiltIn_Print_Titles_4_1_1">#REF!,#REF!</definedName>
    <definedName name="F_SL___0">NA()</definedName>
    <definedName name="F_SL___1">NA()</definedName>
    <definedName name="F_SL___2">NA()</definedName>
    <definedName name="F_SL___3">NA()</definedName>
    <definedName name="F_SL___4">NA()</definedName>
    <definedName name="F_SL___5">NA()</definedName>
    <definedName name="F_SL___7">NA()</definedName>
    <definedName name="Faktor">'[79]bhn FINAL'!$F$3</definedName>
    <definedName name="fall" localSheetId="9" hidden="1">#REF!</definedName>
    <definedName name="fall" localSheetId="0" hidden="1">#REF!</definedName>
    <definedName name="fall" localSheetId="7" hidden="1">#REF!</definedName>
    <definedName name="fall" localSheetId="13" hidden="1">#REF!</definedName>
    <definedName name="fall" localSheetId="8" hidden="1">#REF!</definedName>
    <definedName name="fall" localSheetId="12" hidden="1">#REF!</definedName>
    <definedName name="fall" hidden="1">#REF!</definedName>
    <definedName name="FCode" localSheetId="9" hidden="1">#REF!</definedName>
    <definedName name="FCode" localSheetId="0" hidden="1">#REF!</definedName>
    <definedName name="FCode" localSheetId="7" hidden="1">#REF!</definedName>
    <definedName name="FCode" localSheetId="13" hidden="1">#REF!</definedName>
    <definedName name="FCode" localSheetId="8" hidden="1">#REF!</definedName>
    <definedName name="FCode" localSheetId="12" hidden="1">#REF!</definedName>
    <definedName name="FCode" hidden="1">#REF!</definedName>
    <definedName name="fdjj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li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_10">"$#REF!.$#REF!$#REF!"</definedName>
    <definedName name="fffff_12">"$#REF!.$#REF!$#REF!"</definedName>
    <definedName name="fffff_13">"$#REF!.$#REF!$#REF!"</definedName>
    <definedName name="fffff_5">"$#REF!.$#REF!$#REF!"</definedName>
    <definedName name="fffff_7">"$#REF!.$#REF!$#REF!"</definedName>
    <definedName name="fffff_8">"$#REF!.$#REF!$#REF!"</definedName>
    <definedName name="fffff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___0">[55]DAF_5!$I$196</definedName>
    <definedName name="fh___1">[55]DAF_5!$I$196</definedName>
    <definedName name="fh___2">[55]DAF_5!$I$196</definedName>
    <definedName name="FILLL" localSheetId="9" hidden="1">#REF!</definedName>
    <definedName name="FILLL" localSheetId="0" hidden="1">#REF!</definedName>
    <definedName name="FILLL" localSheetId="7" hidden="1">#REF!</definedName>
    <definedName name="FILLL" localSheetId="13" hidden="1">#REF!</definedName>
    <definedName name="FILLL" localSheetId="8" hidden="1">#REF!</definedName>
    <definedName name="FILLL" localSheetId="12" hidden="1">#REF!</definedName>
    <definedName name="FILLL" hidden="1">#REF!</definedName>
    <definedName name="fkieifi" hidden="1">[80]H.Satuan!$C$106:$P$132</definedName>
    <definedName name="flmh400_10">"$#REF!.$#REF!$#REF!"</definedName>
    <definedName name="flmh400_12">"$#REF!.$#REF!$#REF!"</definedName>
    <definedName name="flmh400_13">"$#REF!.$#REF!$#REF!"</definedName>
    <definedName name="flmh400_5">"$#REF!.$#REF!$#REF!"</definedName>
    <definedName name="flmh400_7">"$#REF!.$#REF!$#REF!"</definedName>
    <definedName name="flmh400_8">"$#REF!.$#REF!$#REF!"</definedName>
    <definedName name="FPE">[33]Fak!$C$17</definedName>
    <definedName name="FRAKSIKASAR">'[30]DAFTAR BAHAN'!$G$23</definedName>
    <definedName name="FRAN">[81]FAK!$D$11</definedName>
    <definedName name="frc4x10_10">"$#REF!.$#REF!$#REF!"</definedName>
    <definedName name="frc4x10_12">"$#REF!.$#REF!$#REF!"</definedName>
    <definedName name="frc4x10_13">"$#REF!.$#REF!$#REF!"</definedName>
    <definedName name="frc4x10_5">"$#REF!.$#REF!$#REF!"</definedName>
    <definedName name="frc4x10_7">"$#REF!.$#REF!$#REF!"</definedName>
    <definedName name="frc4x10_8">"$#REF!.$#REF!$#REF!"</definedName>
    <definedName name="frc4x1x400_10">"$#REF!.$#REF!$#REF!"</definedName>
    <definedName name="frc4x1x400_12">"$#REF!.$#REF!$#REF!"</definedName>
    <definedName name="frc4x1x400_13">"$#REF!.$#REF!$#REF!"</definedName>
    <definedName name="frc4x1x400_5">"$#REF!.$#REF!$#REF!"</definedName>
    <definedName name="frc4x1x400_7">"$#REF!.$#REF!$#REF!"</definedName>
    <definedName name="frc4x1x400_8">"$#REF!.$#REF!$#REF!"</definedName>
    <definedName name="frc4x25_10">"$#REF!.$#REF!$#REF!"</definedName>
    <definedName name="frc4x25_12">"$#REF!.$#REF!$#REF!"</definedName>
    <definedName name="frc4x25_13">"$#REF!.$#REF!$#REF!"</definedName>
    <definedName name="frc4x25_5">"$#REF!.$#REF!$#REF!"</definedName>
    <definedName name="frc4x25_7">"$#REF!.$#REF!$#REF!"</definedName>
    <definedName name="frc4x25_8">"$#REF!.$#REF!$#REF!"</definedName>
    <definedName name="frc4x300_10">"$#REF!.$#REF!$#REF!"</definedName>
    <definedName name="frc4x300_12">"$#REF!.$#REF!$#REF!"</definedName>
    <definedName name="frc4x300_13">"$#REF!.$#REF!$#REF!"</definedName>
    <definedName name="frc4x300_5">"$#REF!.$#REF!$#REF!"</definedName>
    <definedName name="frc4x300_7">"$#REF!.$#REF!$#REF!"</definedName>
    <definedName name="frc4x300_8">"$#REF!.$#REF!$#REF!"</definedName>
    <definedName name="frc4x35_10">"$#REF!.$#REF!$#REF!"</definedName>
    <definedName name="frc4x35_12">"$#REF!.$#REF!$#REF!"</definedName>
    <definedName name="frc4x35_13">"$#REF!.$#REF!$#REF!"</definedName>
    <definedName name="frc4x35_5">"$#REF!.$#REF!$#REF!"</definedName>
    <definedName name="frc4x35_7">"$#REF!.$#REF!$#REF!"</definedName>
    <definedName name="frc4x35_8">"$#REF!.$#REF!$#REF!"</definedName>
    <definedName name="frc4x95_10">"$#REF!.$#REF!$#REF!"</definedName>
    <definedName name="frc4x95_12">"$#REF!.$#REF!$#REF!"</definedName>
    <definedName name="frc4x95_13">"$#REF!.$#REF!$#REF!"</definedName>
    <definedName name="frc4x95_5">"$#REF!.$#REF!$#REF!"</definedName>
    <definedName name="frc4x95_7">"$#REF!.$#REF!$#REF!"</definedName>
    <definedName name="frc4x95_8">"$#REF!.$#REF!$#REF!"</definedName>
    <definedName name="frc5x4_10">"$#REF!.$#REF!$#REF!"</definedName>
    <definedName name="frc5x4_12">"$#REF!.$#REF!$#REF!"</definedName>
    <definedName name="frc5x4_13">"$#REF!.$#REF!$#REF!"</definedName>
    <definedName name="frc5x4_5">"$#REF!.$#REF!$#REF!"</definedName>
    <definedName name="frc5x4_7">"$#REF!.$#REF!$#REF!"</definedName>
    <definedName name="frc5x4_8">"$#REF!.$#REF!$#REF!"</definedName>
    <definedName name="frc5x6_10">"$#REF!.$#REF!$#REF!"</definedName>
    <definedName name="frc5x6_12">"$#REF!.$#REF!$#REF!"</definedName>
    <definedName name="frc5x6_13">"$#REF!.$#REF!$#REF!"</definedName>
    <definedName name="frc5x6_5">"$#REF!.$#REF!$#REF!"</definedName>
    <definedName name="frc5x6_7">"$#REF!.$#REF!$#REF!"</definedName>
    <definedName name="frc5x6_8">"$#REF!.$#REF!$#REF!"</definedName>
    <definedName name="FSB">#REF!</definedName>
    <definedName name="fsjsj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T">#REF!</definedName>
    <definedName name="FURNITURE__FURNISHING_10">"$#REF!.$#REF!#REF!"</definedName>
    <definedName name="FURNITURE__FURNISHING_12">"$#REF!.$#REF!#REF!"</definedName>
    <definedName name="FURNITURE__FURNISHING_13">"$#REF!.$#REF!#REF!"</definedName>
    <definedName name="FURNITURE__FURNISHING_5">"$#REF!.$#REF!#REF!"</definedName>
    <definedName name="FURNITURE__FURNISHING_7">"$#REF!.$#REF!#REF!"</definedName>
    <definedName name="FURNITURE__FURNISHING_8">"$#REF!.$#REF!#REF!"</definedName>
    <definedName name="g" localSheetId="9">'Pas. Dinding'!g</definedName>
    <definedName name="g" localSheetId="12">'TABEL BAJA'!g</definedName>
    <definedName name="g">[16]!g</definedName>
    <definedName name="galiantanah">[44]Analisa!$I$60</definedName>
    <definedName name="galiantanahbiasa">'[47]Analisa Harga'!$H$15</definedName>
    <definedName name="galtk">[82]anal!$H$19</definedName>
    <definedName name="gbesp10">[83]SAT!$F$12</definedName>
    <definedName name="gbesp12">[83]SAT!$F$13</definedName>
    <definedName name="gbesp6">[83]SAT!$F$10</definedName>
    <definedName name="gbesp8">[83]SAT!$F$11</definedName>
    <definedName name="gbesu13">[83]SAT!$F$15</definedName>
    <definedName name="gbesu16">[83]SAT!$F$16</definedName>
    <definedName name="gbesu19">[83]SAT!$F$17</definedName>
    <definedName name="gbesu22">[83]SAT!$F$18</definedName>
    <definedName name="gedek">[26]Harsat!$D$50</definedName>
    <definedName name="GENT">'[21]Sat-Rap'!$F$60</definedName>
    <definedName name="GentengMetal">'[40]Analisa Harga Satuan'!$G$2627</definedName>
    <definedName name="gf" hidden="1">[84]H.Satuan!$CF$82</definedName>
    <definedName name="GFF" hidden="1">[85]SEX!$P$7:$P$7</definedName>
    <definedName name="gfh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c">[86]harsat!$H$21</definedName>
    <definedName name="GGG">[87]REF.ONLY!$C$11:$E$265</definedName>
    <definedName name="gh">'[88]Bill of Qty MEP'!$AG$285</definedName>
    <definedName name="ghgfjhh">[89]Cover!$A$1</definedName>
    <definedName name="GORC">[26]Sal!$H$82</definedName>
    <definedName name="grblok">[22]harga!$F$86</definedName>
    <definedName name="grc_10">"$#REF!.$#REF!$#REF!"</definedName>
    <definedName name="grc_12">"$#REF!.$#REF!$#REF!"</definedName>
    <definedName name="grc_13">"$#REF!.$#REF!$#REF!"</definedName>
    <definedName name="grc_5">"$#REF!.$#REF!$#REF!"</definedName>
    <definedName name="grc_7">"$#REF!.$#REF!$#REF!"</definedName>
    <definedName name="grc_8">"$#REF!.$#REF!$#REF!"</definedName>
    <definedName name="grc1_10">"$#REF!.$#REF!$#REF!"</definedName>
    <definedName name="grc1_12">"$#REF!.$#REF!$#REF!"</definedName>
    <definedName name="grc1_13">"$#REF!.$#REF!$#REF!"</definedName>
    <definedName name="grc1_5">"$#REF!.$#REF!$#REF!"</definedName>
    <definedName name="grc1_7">"$#REF!.$#REF!$#REF!"</definedName>
    <definedName name="grc1_8">"$#REF!.$#REF!$#REF!"</definedName>
    <definedName name="grcb">'[5]Sat Bah &amp; Up'!$G$74</definedName>
    <definedName name="grcp">'[5]Sat Bah &amp; Up'!$G$73</definedName>
    <definedName name="grendbiasa">'[76]HB '!$F$178</definedName>
    <definedName name="gs110g_10">"$#REF!.$#REF!$#REF!"</definedName>
    <definedName name="gs110g_12">"$#REF!.$#REF!$#REF!"</definedName>
    <definedName name="gs110g_13">"$#REF!.$#REF!$#REF!"</definedName>
    <definedName name="gs110g_5">"$#REF!.$#REF!$#REF!"</definedName>
    <definedName name="gs110g_7">"$#REF!.$#REF!$#REF!"</definedName>
    <definedName name="gs110g_8">"$#REF!.$#REF!$#REF!"</definedName>
    <definedName name="gs14g_10">"$#REF!.$#REF!$#REF!"</definedName>
    <definedName name="gs14g_12">"$#REF!.$#REF!$#REF!"</definedName>
    <definedName name="gs14g_13">"$#REF!.$#REF!$#REF!"</definedName>
    <definedName name="gs14g_5">"$#REF!.$#REF!$#REF!"</definedName>
    <definedName name="gs14g_7">"$#REF!.$#REF!$#REF!"</definedName>
    <definedName name="gs14g_8">"$#REF!.$#REF!$#REF!"</definedName>
    <definedName name="gs55g_10">"$#REF!.$#REF!$#REF!"</definedName>
    <definedName name="gs55g_12">"$#REF!.$#REF!$#REF!"</definedName>
    <definedName name="gs55g_13">"$#REF!.$#REF!$#REF!"</definedName>
    <definedName name="gs55g_5">"$#REF!.$#REF!$#REF!"</definedName>
    <definedName name="gs55g_7">"$#REF!.$#REF!$#REF!"</definedName>
    <definedName name="gs55g_8">"$#REF!.$#REF!$#REF!"</definedName>
    <definedName name="gs6g_10">"$#REF!.$#REF!$#REF!"</definedName>
    <definedName name="gs6g_12">"$#REF!.$#REF!$#REF!"</definedName>
    <definedName name="gs6g_13">"$#REF!.$#REF!$#REF!"</definedName>
    <definedName name="gs6g_5">"$#REF!.$#REF!$#REF!"</definedName>
    <definedName name="gs6g_7">"$#REF!.$#REF!$#REF!"</definedName>
    <definedName name="gs6g_8">"$#REF!.$#REF!$#REF!"</definedName>
    <definedName name="gs80g_10">"$#REF!.$#REF!$#REF!"</definedName>
    <definedName name="gs80g_12">"$#REF!.$#REF!$#REF!"</definedName>
    <definedName name="gs80g_13">"$#REF!.$#REF!$#REF!"</definedName>
    <definedName name="gs80g_5">"$#REF!.$#REF!$#REF!"</definedName>
    <definedName name="gs80g_7">"$#REF!.$#REF!$#REF!"</definedName>
    <definedName name="gs80g_8">"$#REF!.$#REF!$#REF!"</definedName>
    <definedName name="gSD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w">[86]harsat!$H$69</definedName>
    <definedName name="gv___0">'[88]Analisa Upah _ Bahan Plum'!$Q$7</definedName>
    <definedName name="gv___1">'[90]Analisa Upah _ Bahan Plum'!$Q$7</definedName>
    <definedName name="gv___2">'[90]Analisa Upah _ Bahan Plum'!$Q$7</definedName>
    <definedName name="gv___3">'[90]Analisa Upah _ Bahan Plum'!$Q$7</definedName>
    <definedName name="Gypsum_uk._1200_x_2700_x_9_mm">[31]BAHAN!$C$96</definedName>
    <definedName name="h_mandor">[91]Sheet1!$E$13</definedName>
    <definedName name="h_pekerja">[91]Sheet1!$E$12</definedName>
    <definedName name="haha" localSheetId="9">'Pas. Dinding'!haha</definedName>
    <definedName name="haha" localSheetId="12">'TABEL BAJA'!haha</definedName>
    <definedName name="haha">[16]!haha</definedName>
    <definedName name="HAIII" localSheetId="9">'Pas. Dinding'!HAIII</definedName>
    <definedName name="HAIII" localSheetId="12">'TABEL BAJA'!HAIII</definedName>
    <definedName name="HAIII">[16]!HAIII</definedName>
    <definedName name="HAJIME">#REF!</definedName>
    <definedName name="HAL_2_2">NA()</definedName>
    <definedName name="HAL_3_2">NA()</definedName>
    <definedName name="hampar">[41]S.UPAH!$J$24</definedName>
    <definedName name="harga" hidden="1">'[92]351BQMCN'!$C$1:$C$4575</definedName>
    <definedName name="Heä_soá_laép_xaø_H">1.7</definedName>
    <definedName name="Header_Row">ROW(#REF!)</definedName>
    <definedName name="Header_Row_10">ROW(#REF!)</definedName>
    <definedName name="Header_Row_11">ROW(#REF!)</definedName>
    <definedName name="Header_Row_12">ROW(#REF!)</definedName>
    <definedName name="Header_Row_13">ROW(#REF!)</definedName>
    <definedName name="Header_Row_14">ROW(#REF!)</definedName>
    <definedName name="Header_Row_9">ROW(#REF!)</definedName>
    <definedName name="helo" localSheetId="9">'Pas. Dinding'!helo</definedName>
    <definedName name="helo" localSheetId="12">'TABEL BAJA'!helo</definedName>
    <definedName name="helo">[16]!helo</definedName>
    <definedName name="hengq" localSheetId="15" hidden="1">{#N/A,#N/A,FALSE,"REK";#N/A,#N/A,FALSE,"rab"}</definedName>
    <definedName name="hengq" localSheetId="9" hidden="1">{#N/A,#N/A,FALSE,"REK";#N/A,#N/A,FALSE,"rab"}</definedName>
    <definedName name="hengq" localSheetId="0" hidden="1">{#N/A,#N/A,FALSE,"REK";#N/A,#N/A,FALSE,"rab"}</definedName>
    <definedName name="hengq" localSheetId="7" hidden="1">{#N/A,#N/A,FALSE,"REK";#N/A,#N/A,FALSE,"rab"}</definedName>
    <definedName name="hengq" localSheetId="13" hidden="1">{#N/A,#N/A,FALSE,"REK";#N/A,#N/A,FALSE,"rab"}</definedName>
    <definedName name="hengq" localSheetId="8" hidden="1">{#N/A,#N/A,FALSE,"REK";#N/A,#N/A,FALSE,"rab"}</definedName>
    <definedName name="hengq" localSheetId="12" hidden="1">{#N/A,#N/A,FALSE,"REK";#N/A,#N/A,FALSE,"rab"}</definedName>
    <definedName name="hengq" hidden="1">{#N/A,#N/A,FALSE,"REK";#N/A,#N/A,FALSE,"rab"}</definedName>
    <definedName name="hengq_2" localSheetId="15" hidden="1">{#N/A,#N/A,FALSE,"REK";#N/A,#N/A,FALSE,"rab"}</definedName>
    <definedName name="hengq_2" localSheetId="9" hidden="1">{#N/A,#N/A,FALSE,"REK";#N/A,#N/A,FALSE,"rab"}</definedName>
    <definedName name="hengq_2" localSheetId="0" hidden="1">{#N/A,#N/A,FALSE,"REK";#N/A,#N/A,FALSE,"rab"}</definedName>
    <definedName name="hengq_2" localSheetId="7" hidden="1">{#N/A,#N/A,FALSE,"REK";#N/A,#N/A,FALSE,"rab"}</definedName>
    <definedName name="hengq_2" localSheetId="13" hidden="1">{#N/A,#N/A,FALSE,"REK";#N/A,#N/A,FALSE,"rab"}</definedName>
    <definedName name="hengq_2" localSheetId="8" hidden="1">{#N/A,#N/A,FALSE,"REK";#N/A,#N/A,FALSE,"rab"}</definedName>
    <definedName name="hengq_2" localSheetId="12" hidden="1">{#N/A,#N/A,FALSE,"REK";#N/A,#N/A,FALSE,"rab"}</definedName>
    <definedName name="hengq_2" hidden="1">{#N/A,#N/A,FALSE,"REK";#N/A,#N/A,FALSE,"rab"}</definedName>
    <definedName name="hengq_3" localSheetId="15" hidden="1">{#N/A,#N/A,FALSE,"REK";#N/A,#N/A,FALSE,"rab"}</definedName>
    <definedName name="hengq_3" localSheetId="9" hidden="1">{#N/A,#N/A,FALSE,"REK";#N/A,#N/A,FALSE,"rab"}</definedName>
    <definedName name="hengq_3" localSheetId="0" hidden="1">{#N/A,#N/A,FALSE,"REK";#N/A,#N/A,FALSE,"rab"}</definedName>
    <definedName name="hengq_3" localSheetId="7" hidden="1">{#N/A,#N/A,FALSE,"REK";#N/A,#N/A,FALSE,"rab"}</definedName>
    <definedName name="hengq_3" localSheetId="13" hidden="1">{#N/A,#N/A,FALSE,"REK";#N/A,#N/A,FALSE,"rab"}</definedName>
    <definedName name="hengq_3" localSheetId="8" hidden="1">{#N/A,#N/A,FALSE,"REK";#N/A,#N/A,FALSE,"rab"}</definedName>
    <definedName name="hengq_3" localSheetId="12" hidden="1">{#N/A,#N/A,FALSE,"REK";#N/A,#N/A,FALSE,"rab"}</definedName>
    <definedName name="hengq_3" hidden="1">{#N/A,#N/A,FALSE,"REK";#N/A,#N/A,FALSE,"rab"}</definedName>
    <definedName name="hengq_4" localSheetId="15" hidden="1">{#N/A,#N/A,FALSE,"REK";#N/A,#N/A,FALSE,"rab"}</definedName>
    <definedName name="hengq_4" localSheetId="9" hidden="1">{#N/A,#N/A,FALSE,"REK";#N/A,#N/A,FALSE,"rab"}</definedName>
    <definedName name="hengq_4" localSheetId="0" hidden="1">{#N/A,#N/A,FALSE,"REK";#N/A,#N/A,FALSE,"rab"}</definedName>
    <definedName name="hengq_4" localSheetId="7" hidden="1">{#N/A,#N/A,FALSE,"REK";#N/A,#N/A,FALSE,"rab"}</definedName>
    <definedName name="hengq_4" localSheetId="13" hidden="1">{#N/A,#N/A,FALSE,"REK";#N/A,#N/A,FALSE,"rab"}</definedName>
    <definedName name="hengq_4" localSheetId="8" hidden="1">{#N/A,#N/A,FALSE,"REK";#N/A,#N/A,FALSE,"rab"}</definedName>
    <definedName name="hengq_4" localSheetId="12" hidden="1">{#N/A,#N/A,FALSE,"REK";#N/A,#N/A,FALSE,"rab"}</definedName>
    <definedName name="hengq_4" hidden="1">{#N/A,#N/A,FALSE,"REK";#N/A,#N/A,FALSE,"rab"}</definedName>
    <definedName name="hengq_5" localSheetId="15" hidden="1">{#N/A,#N/A,FALSE,"REK";#N/A,#N/A,FALSE,"rab"}</definedName>
    <definedName name="hengq_5" localSheetId="9" hidden="1">{#N/A,#N/A,FALSE,"REK";#N/A,#N/A,FALSE,"rab"}</definedName>
    <definedName name="hengq_5" localSheetId="0" hidden="1">{#N/A,#N/A,FALSE,"REK";#N/A,#N/A,FALSE,"rab"}</definedName>
    <definedName name="hengq_5" localSheetId="7" hidden="1">{#N/A,#N/A,FALSE,"REK";#N/A,#N/A,FALSE,"rab"}</definedName>
    <definedName name="hengq_5" localSheetId="13" hidden="1">{#N/A,#N/A,FALSE,"REK";#N/A,#N/A,FALSE,"rab"}</definedName>
    <definedName name="hengq_5" localSheetId="8" hidden="1">{#N/A,#N/A,FALSE,"REK";#N/A,#N/A,FALSE,"rab"}</definedName>
    <definedName name="hengq_5" localSheetId="12" hidden="1">{#N/A,#N/A,FALSE,"REK";#N/A,#N/A,FALSE,"rab"}</definedName>
    <definedName name="hengq_5" hidden="1">{#N/A,#N/A,FALSE,"REK";#N/A,#N/A,FALSE,"rab"}</definedName>
    <definedName name="hERO">[93]Pipe!$A$12:$I$34</definedName>
    <definedName name="hERO___0">[94]Pipe!$A$12:$I$34</definedName>
    <definedName name="hERO___1">[94]Pipe!$A$12:$I$34</definedName>
    <definedName name="hERO___2">[94]Pipe!$A$12:$I$34</definedName>
    <definedName name="hERO___3">[94]Pipe!$A$12:$I$34</definedName>
    <definedName name="hERO_aNADUCT">[93]Pipe!$A$1:$IV$10</definedName>
    <definedName name="hERO_aNADUCT___0">[94]Pipe!$A$1:$IV$10</definedName>
    <definedName name="hERO_aNADUCT___1">[94]Pipe!$A$1:$IV$10</definedName>
    <definedName name="hERO_aNADUCT___2">[94]Pipe!$A$1:$IV$10</definedName>
    <definedName name="hERO_aNADUCT___3">[94]Pipe!$A$1:$IV$10</definedName>
    <definedName name="HiddenRows" localSheetId="9" hidden="1">#REF!</definedName>
    <definedName name="HiddenRows" localSheetId="0" hidden="1">#REF!</definedName>
    <definedName name="HiddenRows" localSheetId="7" hidden="1">#REF!</definedName>
    <definedName name="HiddenRows" localSheetId="13" hidden="1">#REF!</definedName>
    <definedName name="HiddenRows" localSheetId="8" hidden="1">#REF!</definedName>
    <definedName name="HiddenRows" localSheetId="12" hidden="1">#REF!</definedName>
    <definedName name="HiddenRows" hidden="1">#REF!</definedName>
    <definedName name="HOTEL" localSheetId="15">HAJIME:OWARI</definedName>
    <definedName name="HOTEL" localSheetId="9">[15]!HAJIME:[15]!OWARI</definedName>
    <definedName name="HOTEL" localSheetId="0">[0]!HAJIME:[0]!OWARI</definedName>
    <definedName name="HOTEL" localSheetId="6">HAJIME:OWARI</definedName>
    <definedName name="HOTEL" localSheetId="7">HAJIME:OWARI</definedName>
    <definedName name="HOTEL" localSheetId="13">HAJIME:OWARI</definedName>
    <definedName name="HOTEL" localSheetId="8">HAJIME:OWARI</definedName>
    <definedName name="HOTEL" localSheetId="12">[0]!HAJIME:[0]!OWARI</definedName>
    <definedName name="HOTEL">HAJIME:OWARI</definedName>
    <definedName name="HOTEL___0">NA()</definedName>
    <definedName name="HOTEL___2">NA()</definedName>
    <definedName name="HQ" localSheetId="15" hidden="1">{#N/A,#N/A,FALSE,"REK";#N/A,#N/A,FALSE,"rab"}</definedName>
    <definedName name="HQ" localSheetId="9" hidden="1">{#N/A,#N/A,FALSE,"REK";#N/A,#N/A,FALSE,"rab"}</definedName>
    <definedName name="HQ" localSheetId="0" hidden="1">{#N/A,#N/A,FALSE,"REK";#N/A,#N/A,FALSE,"rab"}</definedName>
    <definedName name="HQ" localSheetId="7" hidden="1">{#N/A,#N/A,FALSE,"REK";#N/A,#N/A,FALSE,"rab"}</definedName>
    <definedName name="HQ" localSheetId="13" hidden="1">{#N/A,#N/A,FALSE,"REK";#N/A,#N/A,FALSE,"rab"}</definedName>
    <definedName name="HQ" localSheetId="8" hidden="1">{#N/A,#N/A,FALSE,"REK";#N/A,#N/A,FALSE,"rab"}</definedName>
    <definedName name="HQ" localSheetId="12" hidden="1">{#N/A,#N/A,FALSE,"REK";#N/A,#N/A,FALSE,"rab"}</definedName>
    <definedName name="HQ" hidden="1">{#N/A,#N/A,FALSE,"REK";#N/A,#N/A,FALSE,"rab"}</definedName>
    <definedName name="HQ_2" localSheetId="15" hidden="1">{#N/A,#N/A,FALSE,"REK";#N/A,#N/A,FALSE,"rab"}</definedName>
    <definedName name="HQ_2" localSheetId="9" hidden="1">{#N/A,#N/A,FALSE,"REK";#N/A,#N/A,FALSE,"rab"}</definedName>
    <definedName name="HQ_2" localSheetId="0" hidden="1">{#N/A,#N/A,FALSE,"REK";#N/A,#N/A,FALSE,"rab"}</definedName>
    <definedName name="HQ_2" localSheetId="7" hidden="1">{#N/A,#N/A,FALSE,"REK";#N/A,#N/A,FALSE,"rab"}</definedName>
    <definedName name="HQ_2" localSheetId="13" hidden="1">{#N/A,#N/A,FALSE,"REK";#N/A,#N/A,FALSE,"rab"}</definedName>
    <definedName name="HQ_2" localSheetId="8" hidden="1">{#N/A,#N/A,FALSE,"REK";#N/A,#N/A,FALSE,"rab"}</definedName>
    <definedName name="HQ_2" localSheetId="12" hidden="1">{#N/A,#N/A,FALSE,"REK";#N/A,#N/A,FALSE,"rab"}</definedName>
    <definedName name="HQ_2" hidden="1">{#N/A,#N/A,FALSE,"REK";#N/A,#N/A,FALSE,"rab"}</definedName>
    <definedName name="HQ_3" localSheetId="15" hidden="1">{#N/A,#N/A,FALSE,"REK";#N/A,#N/A,FALSE,"rab"}</definedName>
    <definedName name="HQ_3" localSheetId="9" hidden="1">{#N/A,#N/A,FALSE,"REK";#N/A,#N/A,FALSE,"rab"}</definedName>
    <definedName name="HQ_3" localSheetId="0" hidden="1">{#N/A,#N/A,FALSE,"REK";#N/A,#N/A,FALSE,"rab"}</definedName>
    <definedName name="HQ_3" localSheetId="7" hidden="1">{#N/A,#N/A,FALSE,"REK";#N/A,#N/A,FALSE,"rab"}</definedName>
    <definedName name="HQ_3" localSheetId="13" hidden="1">{#N/A,#N/A,FALSE,"REK";#N/A,#N/A,FALSE,"rab"}</definedName>
    <definedName name="HQ_3" localSheetId="8" hidden="1">{#N/A,#N/A,FALSE,"REK";#N/A,#N/A,FALSE,"rab"}</definedName>
    <definedName name="HQ_3" localSheetId="12" hidden="1">{#N/A,#N/A,FALSE,"REK";#N/A,#N/A,FALSE,"rab"}</definedName>
    <definedName name="HQ_3" hidden="1">{#N/A,#N/A,FALSE,"REK";#N/A,#N/A,FALSE,"rab"}</definedName>
    <definedName name="HQ_4" localSheetId="15" hidden="1">{#N/A,#N/A,FALSE,"REK";#N/A,#N/A,FALSE,"rab"}</definedName>
    <definedName name="HQ_4" localSheetId="9" hidden="1">{#N/A,#N/A,FALSE,"REK";#N/A,#N/A,FALSE,"rab"}</definedName>
    <definedName name="HQ_4" localSheetId="0" hidden="1">{#N/A,#N/A,FALSE,"REK";#N/A,#N/A,FALSE,"rab"}</definedName>
    <definedName name="HQ_4" localSheetId="7" hidden="1">{#N/A,#N/A,FALSE,"REK";#N/A,#N/A,FALSE,"rab"}</definedName>
    <definedName name="HQ_4" localSheetId="13" hidden="1">{#N/A,#N/A,FALSE,"REK";#N/A,#N/A,FALSE,"rab"}</definedName>
    <definedName name="HQ_4" localSheetId="8" hidden="1">{#N/A,#N/A,FALSE,"REK";#N/A,#N/A,FALSE,"rab"}</definedName>
    <definedName name="HQ_4" localSheetId="12" hidden="1">{#N/A,#N/A,FALSE,"REK";#N/A,#N/A,FALSE,"rab"}</definedName>
    <definedName name="HQ_4" hidden="1">{#N/A,#N/A,FALSE,"REK";#N/A,#N/A,FALSE,"rab"}</definedName>
    <definedName name="HQ_5" localSheetId="15" hidden="1">{#N/A,#N/A,FALSE,"REK";#N/A,#N/A,FALSE,"rab"}</definedName>
    <definedName name="HQ_5" localSheetId="9" hidden="1">{#N/A,#N/A,FALSE,"REK";#N/A,#N/A,FALSE,"rab"}</definedName>
    <definedName name="HQ_5" localSheetId="0" hidden="1">{#N/A,#N/A,FALSE,"REK";#N/A,#N/A,FALSE,"rab"}</definedName>
    <definedName name="HQ_5" localSheetId="7" hidden="1">{#N/A,#N/A,FALSE,"REK";#N/A,#N/A,FALSE,"rab"}</definedName>
    <definedName name="HQ_5" localSheetId="13" hidden="1">{#N/A,#N/A,FALSE,"REK";#N/A,#N/A,FALSE,"rab"}</definedName>
    <definedName name="HQ_5" localSheetId="8" hidden="1">{#N/A,#N/A,FALSE,"REK";#N/A,#N/A,FALSE,"rab"}</definedName>
    <definedName name="HQ_5" localSheetId="12" hidden="1">{#N/A,#N/A,FALSE,"REK";#N/A,#N/A,FALSE,"rab"}</definedName>
    <definedName name="HQ_5" hidden="1">{#N/A,#N/A,FALSE,"REK";#N/A,#N/A,FALSE,"rab"}</definedName>
    <definedName name="hs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CT3">0.1</definedName>
    <definedName name="HSDN">2.5</definedName>
    <definedName name="HSNC">[95]Du_lieu!$C$6</definedName>
    <definedName name="hsp">[8]Ahs.1!$J$1189</definedName>
    <definedName name="ht_4040">[86]harsat!$H$48</definedName>
    <definedName name="HTML_Description" hidden="1">""</definedName>
    <definedName name="HTML_LineAfter" hidden="1">FALSE</definedName>
    <definedName name="HTML_LineBefore" hidden="1">FALSE</definedName>
    <definedName name="HTML_OBDlg2" hidden="1">TRUE</definedName>
    <definedName name="HTML_OBDlg4" hidden="1">TRUE</definedName>
    <definedName name="HTML_OS" hidden="1">0</definedName>
    <definedName name="I">NA()</definedName>
    <definedName name="ilm">[8]Ahs.1!$L$1271</definedName>
    <definedName name="IMA" localSheetId="9">'Pas. Dinding'!IMA</definedName>
    <definedName name="IMA" localSheetId="12">'TABEL BAJA'!IMA</definedName>
    <definedName name="IMA">[16]!IMA</definedName>
    <definedName name="infrastruktur">'[66]INFR STR'!$N$19</definedName>
    <definedName name="injin">[8]Ahs.2!$L$625</definedName>
    <definedName name="insbs">[8]Ahs.2!$L$519</definedName>
    <definedName name="inscs">[8]Ahs.2!$L$495</definedName>
    <definedName name="insdet">[8]Ahs.2!$L$554</definedName>
    <definedName name="int1b">[86]harsat!$K$2</definedName>
    <definedName name="int2a">[86]harsat!$J$3</definedName>
    <definedName name="int2b">[86]harsat!$K$3</definedName>
    <definedName name="J.A.16">[35]ANALISA!$AR$72</definedName>
    <definedName name="J.A.6">[35]ANALISA!$AG$36</definedName>
    <definedName name="J.A.BINTANG">[35]ANALISA!$AR$36</definedName>
    <definedName name="J.BORROWAREA">[35]ANALISA!$BC$36</definedName>
    <definedName name="J.P.URUG">[35]harsat!$D$14</definedName>
    <definedName name="J.RUMPUT">[35]ANALISA!$BN$36</definedName>
    <definedName name="J.SIAR">[35]ANALISA!$CU$72</definedName>
    <definedName name="J.T.URUG">[35]harsat!$D$13</definedName>
    <definedName name="jangan" localSheetId="9" hidden="1">[84]H.Satuan!#REF!</definedName>
    <definedName name="jangan" localSheetId="0" hidden="1">[84]H.Satuan!#REF!</definedName>
    <definedName name="jangan" localSheetId="7" hidden="1">[84]H.Satuan!#REF!</definedName>
    <definedName name="jangan" localSheetId="13" hidden="1">[84]H.Satuan!#REF!</definedName>
    <definedName name="jangan" localSheetId="8" hidden="1">[84]H.Satuan!#REF!</definedName>
    <definedName name="jangan" localSheetId="12" hidden="1">[84]H.Satuan!#REF!</definedName>
    <definedName name="jangan" hidden="1">[84]H.Satuan!#REF!</definedName>
    <definedName name="janitor">[60]Rekap!$H$49</definedName>
    <definedName name="JendBV1">'[40]Analisa Harga Satuan'!$G$2448</definedName>
    <definedName name="JendBV2">'[40]Analisa Harga Satuan'!$G$2456</definedName>
    <definedName name="JT">[37]FAKTOR!$C$27</definedName>
    <definedName name="JUM">'[33]Rek-Tot'!$H$19</definedName>
    <definedName name="k_35">[96]HSATUAN!$H$23</definedName>
    <definedName name="KABEL___2">[97]price!$B$385:$Q$680</definedName>
    <definedName name="KABEL___3">[97]price!$B$385:$Q$680</definedName>
    <definedName name="kamper">[22]harga!$F$109</definedName>
    <definedName name="kamper___1">[42]harsat!$H$19</definedName>
    <definedName name="kamper___2">[42]harsat!$H$19</definedName>
    <definedName name="Kape_Kayu">[31]BAHAN!$C$62</definedName>
    <definedName name="Kape_Tembok">[31]BAHAN!$C$61</definedName>
    <definedName name="kapur_gamp">'[32]Daf-Harga'!$H$73</definedName>
    <definedName name="KASBUN" localSheetId="15">{"Book1","RAB PASAR 30 AUG SCRAB.xls"}</definedName>
    <definedName name="KASBUN" localSheetId="9">{"Book1","RAB PASAR 30 AUG SCRAB.xls"}</definedName>
    <definedName name="KASBUN" localSheetId="0">{"Book1","RAB PASAR 30 AUG SCRAB.xls"}</definedName>
    <definedName name="KASBUN" localSheetId="7">{"Book1","RAB PASAR 30 AUG SCRAB.xls"}</definedName>
    <definedName name="KASBUN" localSheetId="13">{"Book1","RAB PASAR 30 AUG SCRAB.xls"}</definedName>
    <definedName name="KASBUN" localSheetId="8">{"Book1","RAB PASAR 30 AUG SCRAB.xls"}</definedName>
    <definedName name="KASBUN" localSheetId="12">{"Book1","RAB PASAR 30 AUG SCRAB.xls"}</definedName>
    <definedName name="KASBUN">{"Book1","RAB PASAR 30 AUG SCRAB.xls"}</definedName>
    <definedName name="KASBUN_2" localSheetId="15">{"Book1","RAB PASAR 30 AUG SCRAB.xls"}</definedName>
    <definedName name="KASBUN_2" localSheetId="9">{"Book1","RAB PASAR 30 AUG SCRAB.xls"}</definedName>
    <definedName name="KASBUN_2" localSheetId="0">{"Book1","RAB PASAR 30 AUG SCRAB.xls"}</definedName>
    <definedName name="KASBUN_2" localSheetId="7">{"Book1","RAB PASAR 30 AUG SCRAB.xls"}</definedName>
    <definedName name="KASBUN_2" localSheetId="13">{"Book1","RAB PASAR 30 AUG SCRAB.xls"}</definedName>
    <definedName name="KASBUN_2" localSheetId="8">{"Book1","RAB PASAR 30 AUG SCRAB.xls"}</definedName>
    <definedName name="KASBUN_2" localSheetId="12">{"Book1","RAB PASAR 30 AUG SCRAB.xls"}</definedName>
    <definedName name="KASBUN_2">{"Book1","RAB PASAR 30 AUG SCRAB.xls"}</definedName>
    <definedName name="KASBUN_4" localSheetId="15">{"Book1","RAB PASAR 30 AUG SCRAB.xls"}</definedName>
    <definedName name="KASBUN_4" localSheetId="9">{"Book1","RAB PASAR 30 AUG SCRAB.xls"}</definedName>
    <definedName name="KASBUN_4" localSheetId="0">{"Book1","RAB PASAR 30 AUG SCRAB.xls"}</definedName>
    <definedName name="KASBUN_4" localSheetId="7">{"Book1","RAB PASAR 30 AUG SCRAB.xls"}</definedName>
    <definedName name="KASBUN_4" localSheetId="13">{"Book1","RAB PASAR 30 AUG SCRAB.xls"}</definedName>
    <definedName name="KASBUN_4" localSheetId="8">{"Book1","RAB PASAR 30 AUG SCRAB.xls"}</definedName>
    <definedName name="KASBUN_4" localSheetId="12">{"Book1","RAB PASAR 30 AUG SCRAB.xls"}</definedName>
    <definedName name="KASBUN_4">{"Book1","RAB PASAR 30 AUG SCRAB.xls"}</definedName>
    <definedName name="KASBUN_6" localSheetId="15">{"Book1","RAB PASAR 30 AUG SCRAB.xls"}</definedName>
    <definedName name="KASBUN_6" localSheetId="9">{"Book1","RAB PASAR 30 AUG SCRAB.xls"}</definedName>
    <definedName name="KASBUN_6" localSheetId="0">{"Book1","RAB PASAR 30 AUG SCRAB.xls"}</definedName>
    <definedName name="KASBUN_6" localSheetId="7">{"Book1","RAB PASAR 30 AUG SCRAB.xls"}</definedName>
    <definedName name="KASBUN_6" localSheetId="13">{"Book1","RAB PASAR 30 AUG SCRAB.xls"}</definedName>
    <definedName name="KASBUN_6" localSheetId="8">{"Book1","RAB PASAR 30 AUG SCRAB.xls"}</definedName>
    <definedName name="KASBUN_6" localSheetId="12">{"Book1","RAB PASAR 30 AUG SCRAB.xls"}</definedName>
    <definedName name="KASBUN_6">{"Book1","RAB PASAR 30 AUG SCRAB.xls"}</definedName>
    <definedName name="KASBUN_8" localSheetId="15">{"Book1","RAB PASAR 30 AUG SCRAB.xls"}</definedName>
    <definedName name="KASBUN_8" localSheetId="9">{"Book1","RAB PASAR 30 AUG SCRAB.xls"}</definedName>
    <definedName name="KASBUN_8" localSheetId="0">{"Book1","RAB PASAR 30 AUG SCRAB.xls"}</definedName>
    <definedName name="KASBUN_8" localSheetId="7">{"Book1","RAB PASAR 30 AUG SCRAB.xls"}</definedName>
    <definedName name="KASBUN_8" localSheetId="13">{"Book1","RAB PASAR 30 AUG SCRAB.xls"}</definedName>
    <definedName name="KASBUN_8" localSheetId="8">{"Book1","RAB PASAR 30 AUG SCRAB.xls"}</definedName>
    <definedName name="KASBUN_8" localSheetId="12">{"Book1","RAB PASAR 30 AUG SCRAB.xls"}</definedName>
    <definedName name="KASBUN_8">{"Book1","RAB PASAR 30 AUG SCRAB.xls"}</definedName>
    <definedName name="KASBUN_9" localSheetId="15">{"Book1","RAB PASAR 30 AUG SCRAB.xls"}</definedName>
    <definedName name="KASBUN_9" localSheetId="9">{"Book1","RAB PASAR 30 AUG SCRAB.xls"}</definedName>
    <definedName name="KASBUN_9" localSheetId="0">{"Book1","RAB PASAR 30 AUG SCRAB.xls"}</definedName>
    <definedName name="KASBUN_9" localSheetId="7">{"Book1","RAB PASAR 30 AUG SCRAB.xls"}</definedName>
    <definedName name="KASBUN_9" localSheetId="13">{"Book1","RAB PASAR 30 AUG SCRAB.xls"}</definedName>
    <definedName name="KASBUN_9" localSheetId="8">{"Book1","RAB PASAR 30 AUG SCRAB.xls"}</definedName>
    <definedName name="KASBUN_9" localSheetId="12">{"Book1","RAB PASAR 30 AUG SCRAB.xls"}</definedName>
    <definedName name="KASBUN_9">{"Book1","RAB PASAR 30 AUG SCRAB.xls"}</definedName>
    <definedName name="kawat___0">[43]harsat!$H$17</definedName>
    <definedName name="kawat___1">[42]harsat!$H$17</definedName>
    <definedName name="kawat___2">[42]harsat!$H$17</definedName>
    <definedName name="kayu1">[6]Upah!$D$20</definedName>
    <definedName name="kayu2">[6]Upah!$D$21</definedName>
    <definedName name="kayu3">[6]Upah!$D$22</definedName>
    <definedName name="kbdelapan">[22]harga!$F$93</definedName>
    <definedName name="kbduabelas">[22]harga!$F$94</definedName>
    <definedName name="kblima">[22]harga!$F$92</definedName>
    <definedName name="ke_tu_besi">'[32]Daf-Harga'!$H$17</definedName>
    <definedName name="ke_tu_cat">'[32]Daf-Harga'!$H$18</definedName>
    <definedName name="Ke_Tu_Kayu">'[32]Daf-Harga'!$H$15</definedName>
    <definedName name="kelima">[22]harga!$F$95</definedName>
    <definedName name="kep_tuk_bat">'[98]Daf-harga'!$H$18</definedName>
    <definedName name="KEPALA_TUKANG_GALI">'[99]Daftar Upah'!$D$32</definedName>
    <definedName name="keptkbesi">'[34]HB '!$F$200</definedName>
    <definedName name="keptkkayu">'[76]HB '!$F$198</definedName>
    <definedName name="Keramik_10_x_20_KW_I_DN_Corak___Warna___Anti_Slip">[31]BAHAN!$C$102</definedName>
    <definedName name="Keramik_20_x_20__KM__KWI_DN_Putih_Polos">[31]BAHAN!$C$104</definedName>
    <definedName name="Keramik_30_x_30_KW_I_DN_putih_polos_setara_mulia">[31]BAHAN!$C$106</definedName>
    <definedName name="Keramik_30_x_30_KW_I_DN_putih_polos_setara_roman">[31]BAHAN!$C$107</definedName>
    <definedName name="Keramik_30_x_30_KW_I_DN_Warna_Corak___ANTI_SLIP">[31]BAHAN!$C$108</definedName>
    <definedName name="KeramikLantai2020">'[40]Analisa Harga Satuan'!$G$1688</definedName>
    <definedName name="KeramikLantai3030">'[40]Analisa Harga Satuan'!$G$1672</definedName>
    <definedName name="kerddg20___0">[43]harsat!$H$33</definedName>
    <definedName name="kerddg20___1">[42]harsat!$H$33</definedName>
    <definedName name="kerddg20___2">[42]harsat!$H$33</definedName>
    <definedName name="kerlt20">[49]harsat!$H$31</definedName>
    <definedName name="kerlt20___0">[43]harsat!$H$31</definedName>
    <definedName name="kerlt20___1">[42]harsat!$H$31</definedName>
    <definedName name="kerlt20___2">[42]harsat!$H$31</definedName>
    <definedName name="kerlt30">[49]harsat!$H$32</definedName>
    <definedName name="kerlt30___0">[43]harsat!$H$32</definedName>
    <definedName name="kerlt30___1">[42]harsat!$H$32</definedName>
    <definedName name="kerlt30___2">[42]harsat!$H$32</definedName>
    <definedName name="kernet">[57]UPAH!$D$30</definedName>
    <definedName name="KEROSIN">'[30]DAFTAR BAHAN'!$G$37</definedName>
    <definedName name="kertgosok">[100]harga!$E$117</definedName>
    <definedName name="kerwall20">'[5]Sat Bah &amp; Up'!$G$79</definedName>
    <definedName name="ketam">[101]S.UPAH!$I$35</definedName>
    <definedName name="kfhkdt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gs_10">"$#REF!.$#REF!$#REF!"</definedName>
    <definedName name="kgs_12">"$#REF!.$#REF!$#REF!"</definedName>
    <definedName name="kgs_13">"$#REF!.$#REF!$#REF!"</definedName>
    <definedName name="kgs_5">"$#REF!.$#REF!$#REF!"</definedName>
    <definedName name="kgs_7">"$#REF!.$#REF!$#REF!"</definedName>
    <definedName name="kgs_8">"$#REF!.$#REF!$#REF!"</definedName>
    <definedName name="kharmonika">[22]harga!$F$103</definedName>
    <definedName name="kk" localSheetId="9" hidden="1">#REF!</definedName>
    <definedName name="kk" localSheetId="0" hidden="1">#REF!</definedName>
    <definedName name="kk" localSheetId="7" hidden="1">#REF!</definedName>
    <definedName name="kk" localSheetId="13" hidden="1">#REF!</definedName>
    <definedName name="kk" localSheetId="8" hidden="1">#REF!</definedName>
    <definedName name="kk" localSheetId="12" hidden="1">#REF!</definedName>
    <definedName name="kk" hidden="1">#REF!</definedName>
    <definedName name="kk10a_10">"$#REF!.$#REF!$#REF!"</definedName>
    <definedName name="kk10a_12">"$#REF!.$#REF!$#REF!"</definedName>
    <definedName name="kk10a_13">"$#REF!.$#REF!$#REF!"</definedName>
    <definedName name="kk10a_5">"$#REF!.$#REF!$#REF!"</definedName>
    <definedName name="kk10a_7">"$#REF!.$#REF!$#REF!"</definedName>
    <definedName name="kk10a_8">"$#REF!.$#REF!$#REF!"</definedName>
    <definedName name="kk16a_10">"$#REF!.$#REF!$#REF!"</definedName>
    <definedName name="kk16a_12">"$#REF!.$#REF!$#REF!"</definedName>
    <definedName name="kk16a_13">"$#REF!.$#REF!$#REF!"</definedName>
    <definedName name="kk16a_5">"$#REF!.$#REF!$#REF!"</definedName>
    <definedName name="kk16a_7">"$#REF!.$#REF!$#REF!"</definedName>
    <definedName name="kk16a_8">"$#REF!.$#REF!$#REF!"</definedName>
    <definedName name="kloset">'[76]HB '!$F$156</definedName>
    <definedName name="klp_10">"$#REF!.$#REF!$#REF!"</definedName>
    <definedName name="klp_12">"$#REF!.$#REF!$#REF!"</definedName>
    <definedName name="klp_13">"$#REF!.$#REF!$#REF!"</definedName>
    <definedName name="klp_5">"$#REF!.$#REF!$#REF!"</definedName>
    <definedName name="klp_7">"$#REF!.$#REF!$#REF!"</definedName>
    <definedName name="klp_8">"$#REF!.$#REF!$#REF!"</definedName>
    <definedName name="kmer">[26]Harsat!$D$26</definedName>
    <definedName name="KOEF___1">[102]Analisa!$L$10</definedName>
    <definedName name="KOEF___2">[102]Analisa!$L$10</definedName>
    <definedName name="KOEF___3">[102]Analisa!$L$10</definedName>
    <definedName name="koeflingg_10">"$#REF!.$#REF!$#REF!"</definedName>
    <definedName name="koeflingg_12">"$#REF!.$#REF!$#REF!"</definedName>
    <definedName name="koeflingg_13">"$#REF!.$#REF!$#REF!"</definedName>
    <definedName name="koeflingg_5">"$#REF!.$#REF!$#REF!"</definedName>
    <definedName name="koeflingg_7">"$#REF!.$#REF!$#REF!"</definedName>
    <definedName name="koeflingg_8">"$#REF!.$#REF!$#REF!"</definedName>
    <definedName name="koeflingk_10">"$#REF!.$#REF!$#REF!"</definedName>
    <definedName name="koeflingk_12">"$#REF!.$#REF!$#REF!"</definedName>
    <definedName name="koeflingk_13">"$#REF!.$#REF!$#REF!"</definedName>
    <definedName name="koeflingk_5">"$#REF!.$#REF!$#REF!"</definedName>
    <definedName name="koeflingk_7">"$#REF!.$#REF!$#REF!"</definedName>
    <definedName name="koeflingk_8">"$#REF!.$#REF!$#REF!"</definedName>
    <definedName name="kof1___1">[103]Analisa!$AB$17</definedName>
    <definedName name="kof1___2">[103]Analisa!$AB$17</definedName>
    <definedName name="kof1___3">[103]Analisa!$AB$17</definedName>
    <definedName name="KOM">[104]HB!$H$5</definedName>
    <definedName name="kome">'[105]RAB ME'!$L$13</definedName>
    <definedName name="kp___2">[55]DAF_5!$I$212</definedName>
    <definedName name="KranShower">'[40]Analisa Harga Satuan'!$G$1780</definedName>
    <definedName name="ksk_10">"$#REF!.$#REF!$#REF!"</definedName>
    <definedName name="ksk_12">"$#REF!.$#REF!$#REF!"</definedName>
    <definedName name="ksk_13">"$#REF!.$#REF!$#REF!"</definedName>
    <definedName name="ksk_5">"$#REF!.$#REF!$#REF!"</definedName>
    <definedName name="ksk_7">"$#REF!.$#REF!$#REF!"</definedName>
    <definedName name="ksk_8">"$#REF!.$#REF!$#REF!"</definedName>
    <definedName name="kst_10">"$#REF!.$#REF!$#REF!"</definedName>
    <definedName name="kst_12">"$#REF!.$#REF!$#REF!"</definedName>
    <definedName name="kst_13">"$#REF!.$#REF!$#REF!"</definedName>
    <definedName name="kst_5">"$#REF!.$#REF!$#REF!"</definedName>
    <definedName name="kst_7">"$#REF!.$#REF!$#REF!"</definedName>
    <definedName name="kst_8">"$#REF!.$#REF!$#REF!"</definedName>
    <definedName name="KTBP">'[106]Harsat Upah'!$E$28</definedName>
    <definedName name="KULIM">[101]S.BAHAN!$J$24</definedName>
    <definedName name="Kumpon">[31]BAHAN!$C$79</definedName>
    <definedName name="KusenPA2">'[40]Analisa Harga Satuan'!$G$2345</definedName>
    <definedName name="KusenPA3">'[40]Analisa Harga Satuan'!$G$2358</definedName>
    <definedName name="KusenPA4">'[40]Analisa Harga Satuan'!$G$2370</definedName>
    <definedName name="KusenPA5">'[40]Analisa Harga Satuan'!$G$2382</definedName>
    <definedName name="KusenPA6">'[40]Analisa Harga Satuan'!$G$2394</definedName>
    <definedName name="KusenPA7">'[40]Analisa Harga Satuan'!$G$2406</definedName>
    <definedName name="KusenPB1Besi">'[40]Analisa Harga Satuan'!$G$2321</definedName>
    <definedName name="kwh1st_10">"$#REF!.$#REF!$#REF!"</definedName>
    <definedName name="kwh1st_12">"$#REF!.$#REF!$#REF!"</definedName>
    <definedName name="kwh1st_13">"$#REF!.$#REF!$#REF!"</definedName>
    <definedName name="kwh1st_5">"$#REF!.$#REF!$#REF!"</definedName>
    <definedName name="kwh1st_7">"$#REF!.$#REF!$#REF!"</definedName>
    <definedName name="kwh1st_8">"$#REF!.$#REF!$#REF!"</definedName>
    <definedName name="kwh3st_10">"$#REF!.$#REF!$#REF!"</definedName>
    <definedName name="kwh3st_12">"$#REF!.$#REF!$#REF!"</definedName>
    <definedName name="kwh3st_13">"$#REF!.$#REF!$#REF!"</definedName>
    <definedName name="kwh3st_5">"$#REF!.$#REF!$#REF!"</definedName>
    <definedName name="kwh3st_7">"$#REF!.$#REF!$#REF!"</definedName>
    <definedName name="kwh3st_8">"$#REF!.$#REF!$#REF!"</definedName>
    <definedName name="kwtbeton">'[107]HARGA SATUAN'!$G$22</definedName>
    <definedName name="KYBEK">'[21]Sat-Rap'!$F$45</definedName>
    <definedName name="L" localSheetId="9" hidden="1">[108]ESCON!#REF!</definedName>
    <definedName name="L" localSheetId="0" hidden="1">[108]ESCON!#REF!</definedName>
    <definedName name="L" localSheetId="7" hidden="1">[108]ESCON!#REF!</definedName>
    <definedName name="L" localSheetId="13" hidden="1">[108]ESCON!#REF!</definedName>
    <definedName name="L" localSheetId="8" hidden="1">[108]ESCON!#REF!</definedName>
    <definedName name="L" localSheetId="12" hidden="1">[108]ESCON!#REF!</definedName>
    <definedName name="L" hidden="1">[108]ESCON!#REF!</definedName>
    <definedName name="L.02">'[30]Daftar Upah'!$G$14</definedName>
    <definedName name="L.03">'[30]Daftar Upah'!$G$16</definedName>
    <definedName name="lavatory521">[60]Rekap!$H$51</definedName>
    <definedName name="lavatory830">[60]Rekap!$H$48</definedName>
    <definedName name="LDBJ">[109]Duct!$U$2</definedName>
    <definedName name="LDBJIL">[109]Duct!$U$3</definedName>
    <definedName name="LDBJILD">[109]Duct!$U$5</definedName>
    <definedName name="ldj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PU">[109]Duct!$U$1</definedName>
    <definedName name="leb_10">"$#REF!.$#REF!$#REF!"</definedName>
    <definedName name="leb_12">"$#REF!.$#REF!$#REF!"</definedName>
    <definedName name="leb_13">"$#REF!.$#REF!$#REF!"</definedName>
    <definedName name="leb_5">"$#REF!.$#REF!$#REF!"</definedName>
    <definedName name="leb_7">"$#REF!.$#REF!$#REF!"</definedName>
    <definedName name="leb_8">"$#REF!.$#REF!$#REF!"</definedName>
    <definedName name="Lett" localSheetId="9" hidden="1">#REF!</definedName>
    <definedName name="Lett" localSheetId="0" hidden="1">#REF!</definedName>
    <definedName name="Lett" localSheetId="7" hidden="1">#REF!</definedName>
    <definedName name="Lett" localSheetId="13" hidden="1">#REF!</definedName>
    <definedName name="Lett" localSheetId="8" hidden="1">#REF!</definedName>
    <definedName name="Lett" localSheetId="12" hidden="1">#REF!</definedName>
    <definedName name="Lett" hidden="1">#REF!</definedName>
    <definedName name="LFD">[109]Duct!$U$63</definedName>
    <definedName name="LFDI">[109]Duct!$U$64</definedName>
    <definedName name="Lisa" localSheetId="15" hidden="1">{#N/A,#N/A,FALSE,"REK-S-TPL";#N/A,#N/A,FALSE,"REK-TPML";#N/A,#N/A,FALSE,"RAB-TEMPEL"}</definedName>
    <definedName name="Lisa" localSheetId="9" hidden="1">{#N/A,#N/A,FALSE,"REK-S-TPL";#N/A,#N/A,FALSE,"REK-TPML";#N/A,#N/A,FALSE,"RAB-TEMPEL"}</definedName>
    <definedName name="Lisa" localSheetId="0" hidden="1">{#N/A,#N/A,FALSE,"REK-S-TPL";#N/A,#N/A,FALSE,"REK-TPML";#N/A,#N/A,FALSE,"RAB-TEMPEL"}</definedName>
    <definedName name="Lisa" localSheetId="7" hidden="1">{#N/A,#N/A,FALSE,"REK-S-TPL";#N/A,#N/A,FALSE,"REK-TPML";#N/A,#N/A,FALSE,"RAB-TEMPEL"}</definedName>
    <definedName name="Lisa" localSheetId="13" hidden="1">{#N/A,#N/A,FALSE,"REK-S-TPL";#N/A,#N/A,FALSE,"REK-TPML";#N/A,#N/A,FALSE,"RAB-TEMPEL"}</definedName>
    <definedName name="Lisa" localSheetId="8" hidden="1">{#N/A,#N/A,FALSE,"REK-S-TPL";#N/A,#N/A,FALSE,"REK-TPML";#N/A,#N/A,FALSE,"RAB-TEMPEL"}</definedName>
    <definedName name="Lisa" localSheetId="12" hidden="1">{#N/A,#N/A,FALSE,"REK-S-TPL";#N/A,#N/A,FALSE,"REK-TPML";#N/A,#N/A,FALSE,"RAB-TEMPEL"}</definedName>
    <definedName name="Lisa" hidden="1">{#N/A,#N/A,FALSE,"REK-S-TPL";#N/A,#N/A,FALSE,"REK-TPML";#N/A,#N/A,FALSE,"RAB-TEMPEL"}</definedName>
    <definedName name="liskrm">[22]harga!$F$130</definedName>
    <definedName name="list_profil_gypsum">[110]BAHAN!$D$153</definedName>
    <definedName name="list1533">[1]harsat!$H$21</definedName>
    <definedName name="list16.533">[1]harsat!$H$22</definedName>
    <definedName name="List5cm">'[40]Analisa Harga Satuan'!$G$2522</definedName>
    <definedName name="listgypsum">'[76]HB '!$F$13</definedName>
    <definedName name="Listplank330">'[40]Analisa Harga Satuan'!$G$2576</definedName>
    <definedName name="LLAG">[109]Duct!$U$83</definedName>
    <definedName name="llfoeo" localSheetId="9" hidden="1">[80]H.Satuan!#REF!</definedName>
    <definedName name="llfoeo" localSheetId="0" hidden="1">[80]H.Satuan!#REF!</definedName>
    <definedName name="llfoeo" localSheetId="13" hidden="1">[80]H.Satuan!#REF!</definedName>
    <definedName name="llfoeo" localSheetId="12" hidden="1">[80]H.Satuan!#REF!</definedName>
    <definedName name="llfoeo" hidden="1">[80]H.Satuan!#REF!</definedName>
    <definedName name="lmpp" hidden="1">'[111]HARGA MATERIAL'!$H$32:$Y$35</definedName>
    <definedName name="Lp___2">[59]Anls!$E$23</definedName>
    <definedName name="Lp___3">[59]Anls!$E$23</definedName>
    <definedName name="LPBS">[109]Chiller!$R$8</definedName>
    <definedName name="LPBSI">[109]Chiller!$R$9</definedName>
    <definedName name="LPBSIJ">[109]Chiller!$R$10</definedName>
    <definedName name="LPPR">[109]Chiller!$R$183</definedName>
    <definedName name="LV">[109]Chiller!$R$210</definedName>
    <definedName name="LVI">[109]Chiller!$R$211</definedName>
    <definedName name="LVIJ">[109]Chiller!$R$212</definedName>
    <definedName name="M.020">[112]BAHAN!$F$13</definedName>
    <definedName name="M.022">[112]BAHAN!$F$19</definedName>
    <definedName name="M.023">[113]BAHAN!$F$20</definedName>
    <definedName name="M.024">[113]BAHAN!$F$21</definedName>
    <definedName name="M.025">[113]BAHAN!$F$22</definedName>
    <definedName name="M.026">[113]BAHAN!$F$23</definedName>
    <definedName name="M.040">[113]BAHAN!$F$29</definedName>
    <definedName name="M.041">[112]BAHAN!$F$30</definedName>
    <definedName name="M.042">[112]BAHAN!$F$31</definedName>
    <definedName name="M.061">[112]BAHAN!$F$33</definedName>
    <definedName name="M.061A">[112]BAHAN!$F$34</definedName>
    <definedName name="M.065">[112]BAHAN!$F$38</definedName>
    <definedName name="M.080">[112]BAHAN!$F$42</definedName>
    <definedName name="M.081">[112]BAHAN!$F$43</definedName>
    <definedName name="M.166">[112]BAHAN!$F$50</definedName>
    <definedName name="M.167">[112]BAHAN!$F$51</definedName>
    <definedName name="M.170">[113]BAHAN!$F$53</definedName>
    <definedName name="M.180">[112]BAHAN!$F$54</definedName>
    <definedName name="M.183">[112]BAHAN!$F$57</definedName>
    <definedName name="M.185">[112]BAHAN!$F$59</definedName>
    <definedName name="M.188">[112]BAHAN!$F$62</definedName>
    <definedName name="M.E">'[114]OH-10BLN'!$M$33</definedName>
    <definedName name="M___0">[115]Koefisien!$J$8</definedName>
    <definedName name="m_6060">[116]harsat!$H$47</definedName>
    <definedName name="M_RP___0">'[117]Rekap Direct Cost'!$G$12:$G$322</definedName>
    <definedName name="M_RP___1">'[118]Rekap Direct Cost'!$G$12:$G$408</definedName>
    <definedName name="M_RP___2">'[118]Rekap Direct Cost'!$G$12:$G$408</definedName>
    <definedName name="M_US___1">'[118]Rekap Direct Cost'!$F$12:$F$408</definedName>
    <definedName name="M_US___2">'[118]Rekap Direct Cost'!$F$12:$F$408</definedName>
    <definedName name="MA" localSheetId="9">'Pas. Dinding'!MA</definedName>
    <definedName name="MA" localSheetId="12">'TABEL BAJA'!MA</definedName>
    <definedName name="MA">[16]!MA</definedName>
    <definedName name="ma3.240">[8]Ahs.1!$L$1163</definedName>
    <definedName name="mark_up_10">"$#REF!.$#REF!$#REF!"</definedName>
    <definedName name="mark_up_12">"$#REF!.$#REF!$#REF!"</definedName>
    <definedName name="mark_up_13">"$#REF!.$#REF!$#REF!"</definedName>
    <definedName name="mark_up_5">"$#REF!.$#REF!$#REF!"</definedName>
    <definedName name="mark_up_7">"$#REF!.$#REF!$#REF!"</definedName>
    <definedName name="mark_up_8">"$#REF!.$#REF!$#REF!"</definedName>
    <definedName name="markup_STR">[119]REKAP!$K$42</definedName>
    <definedName name="markupSTR">[113]REKAP!$K$42</definedName>
    <definedName name="mbm">[86]harsat!$H$30</definedName>
    <definedName name="mbr">[120]Material!$J$8</definedName>
    <definedName name="mdfts">[8]Ahs.1!$I$1202</definedName>
    <definedName name="Meni_kayu__Besi">[31]BAHAN!$C$86</definedName>
    <definedName name="menib">'[5]Sat Bah &amp; Up'!$G$67</definedName>
    <definedName name="menikayu">[22]harga!$F$176</definedName>
    <definedName name="minyakcat">[100]harga!$E$162</definedName>
    <definedName name="mk">[121]Harsat!$F$62</definedName>
    <definedName name="ml">[122]Material!$J$5</definedName>
    <definedName name="m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p">[86]harsat!$H$35</definedName>
    <definedName name="mplek12">[22]harga!$F$181</definedName>
    <definedName name="mplek9">[22]harga!$F$180</definedName>
    <definedName name="Mpres">"mt"</definedName>
    <definedName name="mra">[86]harsat!$H$71</definedName>
    <definedName name="mrev3">[123]Hargamat!$L$16</definedName>
    <definedName name="mrp">[86]harsat!$H$38</definedName>
    <definedName name="mstr">[124]Material!$J$5</definedName>
    <definedName name="mu___1">[125]harsat!$K$1</definedName>
    <definedName name="mu___2">[125]harsat!$K$1</definedName>
    <definedName name="mult9">'[5]Sat Bah &amp; Up'!$G$45</definedName>
    <definedName name="multi_15">[96]HSATUAN!$H$46</definedName>
    <definedName name="multi_4">[126]harsat!$H$15</definedName>
    <definedName name="multi12">'[21]Sat-Rap'!$F$46</definedName>
    <definedName name="multi15">[49]harsat!$H$30</definedName>
    <definedName name="multi15___0">[43]harsat!$H$30</definedName>
    <definedName name="multi15___1">[42]harsat!$H$30</definedName>
    <definedName name="multi15___2">[42]harsat!$H$30</definedName>
    <definedName name="n">[127]REKAP!$S$13</definedName>
    <definedName name="namabawah">[60]Rekap!$H$142</definedName>
    <definedName name="NH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RSE_CALL">[97]price!$B$322:$Q$332</definedName>
    <definedName name="Nusagolfres" localSheetId="9">'Pas. Dinding'!Nusagolfres</definedName>
    <definedName name="Nusagolfres" localSheetId="12">'TABEL BAJA'!Nusagolfres</definedName>
    <definedName name="Nusagolfres">[16]!Nusagolfres</definedName>
    <definedName name="nyfgby3x6lt_10">"$#REF!.$#REF!$#REF!"</definedName>
    <definedName name="nyfgby3x6lt_12">"$#REF!.$#REF!$#REF!"</definedName>
    <definedName name="nyfgby3x6lt_13">"$#REF!.$#REF!$#REF!"</definedName>
    <definedName name="nyfgby3x6lt_5">"$#REF!.$#REF!$#REF!"</definedName>
    <definedName name="nyfgby3x6lt_7">"$#REF!.$#REF!$#REF!"</definedName>
    <definedName name="nyfgby3x6lt_8">"$#REF!.$#REF!$#REF!"</definedName>
    <definedName name="nyfgby4x6lt_10">"$#REF!.$#REF!$#REF!"</definedName>
    <definedName name="nyfgby4x6lt_12">"$#REF!.$#REF!$#REF!"</definedName>
    <definedName name="nyfgby4x6lt_13">"$#REF!.$#REF!$#REF!"</definedName>
    <definedName name="nyfgby4x6lt_5">"$#REF!.$#REF!$#REF!"</definedName>
    <definedName name="nyfgby4x6lt_7">"$#REF!.$#REF!$#REF!"</definedName>
    <definedName name="nyfgby4x6lt_8">"$#REF!.$#REF!$#REF!"</definedName>
    <definedName name="nyfgby4x95_10">"$#REF!.$#REF!$#REF!"</definedName>
    <definedName name="nyfgby4x95_12">"$#REF!.$#REF!$#REF!"</definedName>
    <definedName name="nyfgby4x95_13">"$#REF!.$#REF!$#REF!"</definedName>
    <definedName name="nyfgby4x95_5">"$#REF!.$#REF!$#REF!"</definedName>
    <definedName name="nyfgby4x95_7">"$#REF!.$#REF!$#REF!"</definedName>
    <definedName name="nyfgby4x95_8">"$#REF!.$#REF!$#REF!"</definedName>
    <definedName name="nyfgby5x6lt_10">"$#REF!.$#REF!$#REF!"</definedName>
    <definedName name="nyfgby5x6lt_12">"$#REF!.$#REF!$#REF!"</definedName>
    <definedName name="nyfgby5x6lt_13">"$#REF!.$#REF!$#REF!"</definedName>
    <definedName name="nyfgby5x6lt_5">"$#REF!.$#REF!$#REF!"</definedName>
    <definedName name="nyfgby5x6lt_7">"$#REF!.$#REF!$#REF!"</definedName>
    <definedName name="nyfgby5x6lt_8">"$#REF!.$#REF!$#REF!"</definedName>
    <definedName name="nym3x2.5flt_10">"$#REF!.$#REF!$#REF!"</definedName>
    <definedName name="nym3x2.5flt_12">"$#REF!.$#REF!$#REF!"</definedName>
    <definedName name="nym3x2.5flt_13">"$#REF!.$#REF!$#REF!"</definedName>
    <definedName name="nym3x2.5flt_5">"$#REF!.$#REF!$#REF!"</definedName>
    <definedName name="nym3x2.5flt_7">"$#REF!.$#REF!$#REF!"</definedName>
    <definedName name="nym3x2.5flt_8">"$#REF!.$#REF!$#REF!"</definedName>
    <definedName name="nyy11x1x500_10">"$#REF!.$#REF!$#REF!"</definedName>
    <definedName name="nyy11x1x500_12">"$#REF!.$#REF!$#REF!"</definedName>
    <definedName name="nyy11x1x500_13">"$#REF!.$#REF!$#REF!"</definedName>
    <definedName name="nyy11x1x500_5">"$#REF!.$#REF!$#REF!"</definedName>
    <definedName name="nyy11x1x500_7">"$#REF!.$#REF!$#REF!"</definedName>
    <definedName name="nyy11x1x500_8">"$#REF!.$#REF!$#REF!"</definedName>
    <definedName name="nyy14x1x500_10">"$#REF!.$#REF!$#REF!"</definedName>
    <definedName name="nyy14x1x500_12">"$#REF!.$#REF!$#REF!"</definedName>
    <definedName name="nyy14x1x500_13">"$#REF!.$#REF!$#REF!"</definedName>
    <definedName name="nyy14x1x500_5">"$#REF!.$#REF!$#REF!"</definedName>
    <definedName name="nyy14x1x500_7">"$#REF!.$#REF!$#REF!"</definedName>
    <definedName name="nyy14x1x500_8">"$#REF!.$#REF!$#REF!"</definedName>
    <definedName name="nyy16x1x500_10">"$#REF!.$#REF!$#REF!"</definedName>
    <definedName name="nyy16x1x500_12">"$#REF!.$#REF!$#REF!"</definedName>
    <definedName name="nyy16x1x500_13">"$#REF!.$#REF!$#REF!"</definedName>
    <definedName name="nyy16x1x500_5">"$#REF!.$#REF!$#REF!"</definedName>
    <definedName name="nyy16x1x500_7">"$#REF!.$#REF!$#REF!"</definedName>
    <definedName name="nyy16x1x500_8">"$#REF!.$#REF!$#REF!"</definedName>
    <definedName name="nyy18x1x500_10">"$#REF!.$#REF!$#REF!"</definedName>
    <definedName name="nyy18x1x500_12">"$#REF!.$#REF!$#REF!"</definedName>
    <definedName name="nyy18x1x500_13">"$#REF!.$#REF!$#REF!"</definedName>
    <definedName name="nyy18x1x500_5">"$#REF!.$#REF!$#REF!"</definedName>
    <definedName name="nyy18x1x500_7">"$#REF!.$#REF!$#REF!"</definedName>
    <definedName name="nyy18x1x500_8">"$#REF!.$#REF!$#REF!"</definedName>
    <definedName name="nyy21x1x500_10">"$#REF!.$#REF!$#REF!"</definedName>
    <definedName name="nyy21x1x500_12">"$#REF!.$#REF!$#REF!"</definedName>
    <definedName name="nyy21x1x500_13">"$#REF!.$#REF!$#REF!"</definedName>
    <definedName name="nyy21x1x500_5">"$#REF!.$#REF!$#REF!"</definedName>
    <definedName name="nyy21x1x500_7">"$#REF!.$#REF!$#REF!"</definedName>
    <definedName name="nyy21x1x500_8">"$#REF!.$#REF!$#REF!"</definedName>
    <definedName name="nyy25x1x500_10">"$#REF!.$#REF!$#REF!"</definedName>
    <definedName name="nyy25x1x500_12">"$#REF!.$#REF!$#REF!"</definedName>
    <definedName name="nyy25x1x500_13">"$#REF!.$#REF!$#REF!"</definedName>
    <definedName name="nyy25x1x500_5">"$#REF!.$#REF!$#REF!"</definedName>
    <definedName name="nyy25x1x500_7">"$#REF!.$#REF!$#REF!"</definedName>
    <definedName name="nyy25x1x500_8">"$#REF!.$#REF!$#REF!"</definedName>
    <definedName name="nyy2x4x16_10">"$#REF!.$#REF!$#REF!"</definedName>
    <definedName name="nyy2x4x16_12">"$#REF!.$#REF!$#REF!"</definedName>
    <definedName name="nyy2x4x16_13">"$#REF!.$#REF!$#REF!"</definedName>
    <definedName name="nyy2x4x16_5">"$#REF!.$#REF!$#REF!"</definedName>
    <definedName name="nyy2x4x16_7">"$#REF!.$#REF!$#REF!"</definedName>
    <definedName name="nyy2x4x16_8">"$#REF!.$#REF!$#REF!"</definedName>
    <definedName name="nyy3x6_10">"$#REF!.$#REF!$#REF!"</definedName>
    <definedName name="nyy3x6_12">"$#REF!.$#REF!$#REF!"</definedName>
    <definedName name="nyy3x6_13">"$#REF!.$#REF!$#REF!"</definedName>
    <definedName name="nyy3x6_5">"$#REF!.$#REF!$#REF!"</definedName>
    <definedName name="nyy3x6_7">"$#REF!.$#REF!$#REF!"</definedName>
    <definedName name="nyy3x6_8">"$#REF!.$#REF!$#REF!"</definedName>
    <definedName name="nyy4x10_10">"$#REF!.$#REF!$#REF!"</definedName>
    <definedName name="nyy4x10_12">"$#REF!.$#REF!$#REF!"</definedName>
    <definedName name="nyy4x10_13">"$#REF!.$#REF!$#REF!"</definedName>
    <definedName name="nyy4x10_5">"$#REF!.$#REF!$#REF!"</definedName>
    <definedName name="nyy4x10_7">"$#REF!.$#REF!$#REF!"</definedName>
    <definedName name="nyy4x10_8">"$#REF!.$#REF!$#REF!"</definedName>
    <definedName name="nyy4x120_10">"$#REF!.$#REF!$#REF!"</definedName>
    <definedName name="nyy4x120_12">"$#REF!.$#REF!$#REF!"</definedName>
    <definedName name="nyy4x120_13">"$#REF!.$#REF!$#REF!"</definedName>
    <definedName name="nyy4x120_5">"$#REF!.$#REF!$#REF!"</definedName>
    <definedName name="nyy4x120_7">"$#REF!.$#REF!$#REF!"</definedName>
    <definedName name="nyy4x120_8">"$#REF!.$#REF!$#REF!"</definedName>
    <definedName name="nyy4x16_10">"$#REF!.$#REF!$#REF!"</definedName>
    <definedName name="nyy4x16_12">"$#REF!.$#REF!$#REF!"</definedName>
    <definedName name="nyy4x16_13">"$#REF!.$#REF!$#REF!"</definedName>
    <definedName name="nyy4x16_5">"$#REF!.$#REF!$#REF!"</definedName>
    <definedName name="nyy4x16_7">"$#REF!.$#REF!$#REF!"</definedName>
    <definedName name="nyy4x16_8">"$#REF!.$#REF!$#REF!"</definedName>
    <definedName name="nyy4x185_10">"$#REF!.$#REF!$#REF!"</definedName>
    <definedName name="nyy4x185_12">"$#REF!.$#REF!$#REF!"</definedName>
    <definedName name="nyy4x185_13">"$#REF!.$#REF!$#REF!"</definedName>
    <definedName name="nyy4x185_5">"$#REF!.$#REF!$#REF!"</definedName>
    <definedName name="nyy4x185_7">"$#REF!.$#REF!$#REF!"</definedName>
    <definedName name="nyy4x185_8">"$#REF!.$#REF!$#REF!"</definedName>
    <definedName name="nyy4x1x300_10">"$#REF!.$#REF!$#REF!"</definedName>
    <definedName name="nyy4x1x300_12">"$#REF!.$#REF!$#REF!"</definedName>
    <definedName name="nyy4x1x300_13">"$#REF!.$#REF!$#REF!"</definedName>
    <definedName name="nyy4x1x300_5">"$#REF!.$#REF!$#REF!"</definedName>
    <definedName name="nyy4x1x300_7">"$#REF!.$#REF!$#REF!"</definedName>
    <definedName name="nyy4x1x300_8">"$#REF!.$#REF!$#REF!"</definedName>
    <definedName name="nyy4x1x400_10">"$#REF!.$#REF!$#REF!"</definedName>
    <definedName name="nyy4x1x400_12">"$#REF!.$#REF!$#REF!"</definedName>
    <definedName name="nyy4x1x400_13">"$#REF!.$#REF!$#REF!"</definedName>
    <definedName name="nyy4x1x400_5">"$#REF!.$#REF!$#REF!"</definedName>
    <definedName name="nyy4x1x400_7">"$#REF!.$#REF!$#REF!"</definedName>
    <definedName name="nyy4x1x400_8">"$#REF!.$#REF!$#REF!"</definedName>
    <definedName name="nyy4x1x500_10">"$#REF!.$#REF!$#REF!"</definedName>
    <definedName name="nyy4x1x500_12">"$#REF!.$#REF!$#REF!"</definedName>
    <definedName name="nyy4x1x500_13">"$#REF!.$#REF!$#REF!"</definedName>
    <definedName name="nyy4x1x500_5">"$#REF!.$#REF!$#REF!"</definedName>
    <definedName name="nyy4x1x500_7">"$#REF!.$#REF!$#REF!"</definedName>
    <definedName name="nyy4x1x500_8">"$#REF!.$#REF!$#REF!"</definedName>
    <definedName name="nyy4x25_10">"$#REF!.$#REF!$#REF!"</definedName>
    <definedName name="nyy4x25_12">"$#REF!.$#REF!$#REF!"</definedName>
    <definedName name="nyy4x25_13">"$#REF!.$#REF!$#REF!"</definedName>
    <definedName name="nyy4x25_5">"$#REF!.$#REF!$#REF!"</definedName>
    <definedName name="nyy4x25_7">"$#REF!.$#REF!$#REF!"</definedName>
    <definedName name="nyy4x25_8">"$#REF!.$#REF!$#REF!"</definedName>
    <definedName name="nyy4x50_10">"$#REF!.$#REF!$#REF!"</definedName>
    <definedName name="nyy4x50_12">"$#REF!.$#REF!$#REF!"</definedName>
    <definedName name="nyy4x50_13">"$#REF!.$#REF!$#REF!"</definedName>
    <definedName name="nyy4x50_5">"$#REF!.$#REF!$#REF!"</definedName>
    <definedName name="nyy4x50_7">"$#REF!.$#REF!$#REF!"</definedName>
    <definedName name="nyy4x50_8">"$#REF!.$#REF!$#REF!"</definedName>
    <definedName name="nyy4x70_10">"$#REF!.$#REF!$#REF!"</definedName>
    <definedName name="nyy4x70_12">"$#REF!.$#REF!$#REF!"</definedName>
    <definedName name="nyy4x70_13">"$#REF!.$#REF!$#REF!"</definedName>
    <definedName name="nyy4x70_5">"$#REF!.$#REF!$#REF!"</definedName>
    <definedName name="nyy4x70_7">"$#REF!.$#REF!$#REF!"</definedName>
    <definedName name="nyy4x70_8">"$#REF!.$#REF!$#REF!"</definedName>
    <definedName name="nyy4x95_10">"$#REF!.$#REF!$#REF!"</definedName>
    <definedName name="nyy4x95_12">"$#REF!.$#REF!$#REF!"</definedName>
    <definedName name="nyy4x95_13">"$#REF!.$#REF!$#REF!"</definedName>
    <definedName name="nyy4x95_5">"$#REF!.$#REF!$#REF!"</definedName>
    <definedName name="nyy4x95_7">"$#REF!.$#REF!$#REF!"</definedName>
    <definedName name="nyy4x95_8">"$#REF!.$#REF!$#REF!"</definedName>
    <definedName name="nyy5x4_10">"$#REF!.$#REF!$#REF!"</definedName>
    <definedName name="nyy5x4_12">"$#REF!.$#REF!$#REF!"</definedName>
    <definedName name="nyy5x4_13">"$#REF!.$#REF!$#REF!"</definedName>
    <definedName name="nyy5x4_5">"$#REF!.$#REF!$#REF!"</definedName>
    <definedName name="nyy5x4_7">"$#REF!.$#REF!$#REF!"</definedName>
    <definedName name="nyy5x4_8">"$#REF!.$#REF!$#REF!"</definedName>
    <definedName name="nyy5x6_10">"$#REF!.$#REF!$#REF!"</definedName>
    <definedName name="nyy5x6_12">"$#REF!.$#REF!$#REF!"</definedName>
    <definedName name="nyy5x6_13">"$#REF!.$#REF!$#REF!"</definedName>
    <definedName name="nyy5x6_5">"$#REF!.$#REF!$#REF!"</definedName>
    <definedName name="nyy5x6_7">"$#REF!.$#REF!$#REF!"</definedName>
    <definedName name="nyy5x6_8">"$#REF!.$#REF!$#REF!"</definedName>
    <definedName name="nyy7x1x300_10">"$#REF!.$#REF!$#REF!"</definedName>
    <definedName name="nyy7x1x300_12">"$#REF!.$#REF!$#REF!"</definedName>
    <definedName name="nyy7x1x300_13">"$#REF!.$#REF!$#REF!"</definedName>
    <definedName name="nyy7x1x300_5">"$#REF!.$#REF!$#REF!"</definedName>
    <definedName name="nyy7x1x300_7">"$#REF!.$#REF!$#REF!"</definedName>
    <definedName name="nyy7x1x300_8">"$#REF!.$#REF!$#REF!"</definedName>
    <definedName name="nyy7x1x500_10">"$#REF!.$#REF!$#REF!"</definedName>
    <definedName name="nyy7x1x500_12">"$#REF!.$#REF!$#REF!"</definedName>
    <definedName name="nyy7x1x500_13">"$#REF!.$#REF!$#REF!"</definedName>
    <definedName name="nyy7x1x500_5">"$#REF!.$#REF!$#REF!"</definedName>
    <definedName name="nyy7x1x500_7">"$#REF!.$#REF!$#REF!"</definedName>
    <definedName name="nyy7x1x500_8">"$#REF!.$#REF!$#REF!"</definedName>
    <definedName name="O_9">'[128]ANALISA PEK.UMUM'!$F$2317</definedName>
    <definedName name="OFFI" localSheetId="15">HAJIME:OWARI</definedName>
    <definedName name="OFFI" localSheetId="9">[15]!HAJIME:[15]!OWARI</definedName>
    <definedName name="OFFI" localSheetId="0">[0]!HAJIME:[0]!OWARI</definedName>
    <definedName name="OFFI" localSheetId="6">HAJIME:OWARI</definedName>
    <definedName name="OFFI" localSheetId="7">HAJIME:OWARI</definedName>
    <definedName name="OFFI" localSheetId="13">HAJIME:OWARI</definedName>
    <definedName name="OFFI" localSheetId="8">HAJIME:OWARI</definedName>
    <definedName name="OFFI" localSheetId="12">[0]!HAJIME:[0]!OWARI</definedName>
    <definedName name="OFFI">HAJIME:OWARI</definedName>
    <definedName name="OFFI___0">NA()</definedName>
    <definedName name="OFFI___2">NA()</definedName>
    <definedName name="OFFICE" localSheetId="4">STOP2:STOP2E</definedName>
    <definedName name="OFFICE" localSheetId="15">STOP2:STOP2E</definedName>
    <definedName name="OFFICE" localSheetId="9">STOP2:STOP2E</definedName>
    <definedName name="OFFICE" localSheetId="0">STOP2:STOP2E</definedName>
    <definedName name="OFFICE" localSheetId="6">STOP2:STOP2E</definedName>
    <definedName name="OFFICE" localSheetId="7">STOP2:STOP2E</definedName>
    <definedName name="OFFICE" localSheetId="13">STOP2:STOP2E</definedName>
    <definedName name="OFFICE" localSheetId="5">STOP2:STOP2E</definedName>
    <definedName name="OFFICE" localSheetId="8">STOP2:STOP2E</definedName>
    <definedName name="OFFICE" localSheetId="12">STOP2:STOP2E</definedName>
    <definedName name="OFFICE">STOP2:STOP2E</definedName>
    <definedName name="OFFICE___0">NA()</definedName>
    <definedName name="OFFICE___2">NA()</definedName>
    <definedName name="OFFICE_TW1" localSheetId="4">STOP:STOPE</definedName>
    <definedName name="OFFICE_TW1" localSheetId="15">STOP:STOPE</definedName>
    <definedName name="OFFICE_TW1" localSheetId="9">STOP:STOPE</definedName>
    <definedName name="OFFICE_TW1" localSheetId="0">STOP:STOPE</definedName>
    <definedName name="OFFICE_TW1" localSheetId="6">STOP:STOPE</definedName>
    <definedName name="OFFICE_TW1" localSheetId="7">STOP:STOPE</definedName>
    <definedName name="OFFICE_TW1" localSheetId="13">STOP:STOPE</definedName>
    <definedName name="OFFICE_TW1" localSheetId="5">STOP:STOPE</definedName>
    <definedName name="OFFICE_TW1" localSheetId="8">STOP:STOPE</definedName>
    <definedName name="OFFICE_TW1" localSheetId="12">STOP:STOPE</definedName>
    <definedName name="OFFICE_TW1">STOP:STOPE</definedName>
    <definedName name="OFFICE_TW1___0">NA()</definedName>
    <definedName name="OFFICE_TW1___2">NA()</definedName>
    <definedName name="oke" hidden="1">'[129]HARGA MATERIAL'!$G$27:$X$33</definedName>
    <definedName name="Oker">[31]BAHAN!$C$68</definedName>
    <definedName name="Oker_Putih">[31]BAHAN!$C$69</definedName>
    <definedName name="OLF" hidden="1">'[130]HARGA MATERIAL'!$A$11:$A$208</definedName>
    <definedName name="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kos_Pasang_gudang">[31]DATA!$G$15</definedName>
    <definedName name="op">[121]Harsat!$F$63</definedName>
    <definedName name="OPERATING_EQUIPMENT_10">"$#REF!.#REF!#REF!"</definedName>
    <definedName name="OPERATING_EQUIPMENT_12">"$#REF!.#REF!#REF!"</definedName>
    <definedName name="OPERATING_EQUIPMENT_13">"$#REF!.#REF!#REF!"</definedName>
    <definedName name="OPERATING_EQUIPMENT_5">"$#REF!.#REF!#REF!"</definedName>
    <definedName name="OPERATING_EQUIPMENT_7">"$#REF!.#REF!#REF!"</definedName>
    <definedName name="OPERATING_EQUIPMENT_8">"$#REF!.#REF!#REF!"</definedName>
    <definedName name="operator_terlatih">[31]UPAH!$D$26</definedName>
    <definedName name="OrderTable" localSheetId="9" hidden="1">#REF!</definedName>
    <definedName name="OrderTable" localSheetId="0" hidden="1">#REF!</definedName>
    <definedName name="OrderTable" localSheetId="7" hidden="1">#REF!</definedName>
    <definedName name="OrderTable" localSheetId="13" hidden="1">#REF!</definedName>
    <definedName name="OrderTable" localSheetId="8" hidden="1">#REF!</definedName>
    <definedName name="OrderTable" localSheetId="12" hidden="1">#REF!</definedName>
    <definedName name="OrderTable" hidden="1">#REF!</definedName>
    <definedName name="OWARI">#REF!</definedName>
    <definedName name="p.mak">[36]Analisa!$F$17</definedName>
    <definedName name="p.pnetra">[36]Analisa!$F$24</definedName>
    <definedName name="pab100_10">"$#REF!.$#REF!$#REF!"</definedName>
    <definedName name="pab100_12">"$#REF!.$#REF!$#REF!"</definedName>
    <definedName name="pab100_13">"$#REF!.$#REF!$#REF!"</definedName>
    <definedName name="pab100_5">"$#REF!.$#REF!$#REF!"</definedName>
    <definedName name="pab100_7">"$#REF!.$#REF!$#REF!"</definedName>
    <definedName name="pab100_8">"$#REF!.$#REF!$#REF!"</definedName>
    <definedName name="pab15_10">"$#REF!.$#REF!$#REF!"</definedName>
    <definedName name="pab15_12">"$#REF!.$#REF!$#REF!"</definedName>
    <definedName name="pab15_13">"$#REF!.$#REF!$#REF!"</definedName>
    <definedName name="pab15_5">"$#REF!.$#REF!$#REF!"</definedName>
    <definedName name="pab15_7">"$#REF!.$#REF!$#REF!"</definedName>
    <definedName name="pab15_8">"$#REF!.$#REF!$#REF!"</definedName>
    <definedName name="pab150_10">"$#REF!.$#REF!$#REF!"</definedName>
    <definedName name="pab150_12">"$#REF!.$#REF!$#REF!"</definedName>
    <definedName name="pab150_13">"$#REF!.$#REF!$#REF!"</definedName>
    <definedName name="pab150_5">"$#REF!.$#REF!$#REF!"</definedName>
    <definedName name="pab150_7">"$#REF!.$#REF!$#REF!"</definedName>
    <definedName name="pab150_8">"$#REF!.$#REF!$#REF!"</definedName>
    <definedName name="pab2_10">"$#REF!.$#REF!$#REF!"</definedName>
    <definedName name="pab2_12">"$#REF!.$#REF!$#REF!"</definedName>
    <definedName name="pab2_13">"$#REF!.$#REF!$#REF!"</definedName>
    <definedName name="pab2_5">"$#REF!.$#REF!$#REF!"</definedName>
    <definedName name="pab2_7">"$#REF!.$#REF!$#REF!"</definedName>
    <definedName name="pab2_8">"$#REF!.$#REF!$#REF!"</definedName>
    <definedName name="pab20_10">"$#REF!.$#REF!$#REF!"</definedName>
    <definedName name="pab20_12">"$#REF!.$#REF!$#REF!"</definedName>
    <definedName name="pab20_13">"$#REF!.$#REF!$#REF!"</definedName>
    <definedName name="pab20_5">"$#REF!.$#REF!$#REF!"</definedName>
    <definedName name="pab20_7">"$#REF!.$#REF!$#REF!"</definedName>
    <definedName name="pab20_8">"$#REF!.$#REF!$#REF!"</definedName>
    <definedName name="pab25_10">"$#REF!.$#REF!$#REF!"</definedName>
    <definedName name="pab25_12">"$#REF!.$#REF!$#REF!"</definedName>
    <definedName name="pab25_13">"$#REF!.$#REF!$#REF!"</definedName>
    <definedName name="pab25_5">"$#REF!.$#REF!$#REF!"</definedName>
    <definedName name="pab25_7">"$#REF!.$#REF!$#REF!"</definedName>
    <definedName name="pab25_8">"$#REF!.$#REF!$#REF!"</definedName>
    <definedName name="pab32_10">"$#REF!.$#REF!$#REF!"</definedName>
    <definedName name="pab32_12">"$#REF!.$#REF!$#REF!"</definedName>
    <definedName name="pab32_13">"$#REF!.$#REF!$#REF!"</definedName>
    <definedName name="pab32_5">"$#REF!.$#REF!$#REF!"</definedName>
    <definedName name="pab32_7">"$#REF!.$#REF!$#REF!"</definedName>
    <definedName name="pab32_8">"$#REF!.$#REF!$#REF!"</definedName>
    <definedName name="pab4_10">"$#REF!.$#REF!$#REF!"</definedName>
    <definedName name="pab4_12">"$#REF!.$#REF!$#REF!"</definedName>
    <definedName name="pab4_13">"$#REF!.$#REF!$#REF!"</definedName>
    <definedName name="pab4_5">"$#REF!.$#REF!$#REF!"</definedName>
    <definedName name="pab4_7">"$#REF!.$#REF!$#REF!"</definedName>
    <definedName name="pab4_8">"$#REF!.$#REF!$#REF!"</definedName>
    <definedName name="pab40_10">"$#REF!.$#REF!$#REF!"</definedName>
    <definedName name="pab40_12">"$#REF!.$#REF!$#REF!"</definedName>
    <definedName name="pab40_13">"$#REF!.$#REF!$#REF!"</definedName>
    <definedName name="pab40_5">"$#REF!.$#REF!$#REF!"</definedName>
    <definedName name="pab40_7">"$#REF!.$#REF!$#REF!"</definedName>
    <definedName name="pab40_8">"$#REF!.$#REF!$#REF!"</definedName>
    <definedName name="pab50_10">"$#REF!.$#REF!$#REF!"</definedName>
    <definedName name="pab50_12">"$#REF!.$#REF!$#REF!"</definedName>
    <definedName name="pab50_13">"$#REF!.$#REF!$#REF!"</definedName>
    <definedName name="pab50_5">"$#REF!.$#REF!$#REF!"</definedName>
    <definedName name="pab50_7">"$#REF!.$#REF!$#REF!"</definedName>
    <definedName name="pab50_8">"$#REF!.$#REF!$#REF!"</definedName>
    <definedName name="pab6_10">"$#REF!.$#REF!$#REF!"</definedName>
    <definedName name="pab6_12">"$#REF!.$#REF!$#REF!"</definedName>
    <definedName name="pab6_13">"$#REF!.$#REF!$#REF!"</definedName>
    <definedName name="pab6_5">"$#REF!.$#REF!$#REF!"</definedName>
    <definedName name="pab6_7">"$#REF!.$#REF!$#REF!"</definedName>
    <definedName name="pab6_8">"$#REF!.$#REF!$#REF!"</definedName>
    <definedName name="pab80_10">"$#REF!.$#REF!$#REF!"</definedName>
    <definedName name="pab80_12">"$#REF!.$#REF!$#REF!"</definedName>
    <definedName name="pab80_13">"$#REF!.$#REF!$#REF!"</definedName>
    <definedName name="pab80_5">"$#REF!.$#REF!$#REF!"</definedName>
    <definedName name="pab80_7">"$#REF!.$#REF!$#REF!"</definedName>
    <definedName name="pab80_8">"$#REF!.$#REF!$#REF!"</definedName>
    <definedName name="pabf100_10">"$#REF!.$#REF!$#REF!"</definedName>
    <definedName name="pabf100_12">"$#REF!.$#REF!$#REF!"</definedName>
    <definedName name="pabf100_13">"$#REF!.$#REF!$#REF!"</definedName>
    <definedName name="pabf100_5">"$#REF!.$#REF!$#REF!"</definedName>
    <definedName name="pabf100_7">"$#REF!.$#REF!$#REF!"</definedName>
    <definedName name="pabf100_8">"$#REF!.$#REF!$#REF!"</definedName>
    <definedName name="pabf150_10">"$#REF!.$#REF!$#REF!"</definedName>
    <definedName name="pabf150_12">"$#REF!.$#REF!$#REF!"</definedName>
    <definedName name="pabf150_13">"$#REF!.$#REF!$#REF!"</definedName>
    <definedName name="pabf150_5">"$#REF!.$#REF!$#REF!"</definedName>
    <definedName name="pabf150_7">"$#REF!.$#REF!$#REF!"</definedName>
    <definedName name="pabf150_8">"$#REF!.$#REF!$#REF!"</definedName>
    <definedName name="pabf4_10">"$#REF!.$#REF!$#REF!"</definedName>
    <definedName name="pabf4_12">"$#REF!.$#REF!$#REF!"</definedName>
    <definedName name="pabf4_13">"$#REF!.$#REF!$#REF!"</definedName>
    <definedName name="pabf4_5">"$#REF!.$#REF!$#REF!"</definedName>
    <definedName name="pabf4_7">"$#REF!.$#REF!$#REF!"</definedName>
    <definedName name="pabf4_8">"$#REF!.$#REF!$#REF!"</definedName>
    <definedName name="pabf6_10">"$#REF!.$#REF!$#REF!"</definedName>
    <definedName name="pabf6_12">"$#REF!.$#REF!$#REF!"</definedName>
    <definedName name="pabf6_13">"$#REF!.$#REF!$#REF!"</definedName>
    <definedName name="pabf6_5">"$#REF!.$#REF!$#REF!"</definedName>
    <definedName name="pabf6_7">"$#REF!.$#REF!$#REF!"</definedName>
    <definedName name="pabf6_8">"$#REF!.$#REF!$#REF!"</definedName>
    <definedName name="pabf80_10">"$#REF!.$#REF!$#REF!"</definedName>
    <definedName name="pabf80_12">"$#REF!.$#REF!$#REF!"</definedName>
    <definedName name="pabf80_13">"$#REF!.$#REF!$#REF!"</definedName>
    <definedName name="pabf80_5">"$#REF!.$#REF!$#REF!"</definedName>
    <definedName name="pabf80_7">"$#REF!.$#REF!$#REF!"</definedName>
    <definedName name="pabf80_8">"$#REF!.$#REF!$#REF!"</definedName>
    <definedName name="padat">[41]S.UPAH!$J$25</definedName>
    <definedName name="pagarkeliling">'[66]PAGAR KLLG'!$N$23</definedName>
    <definedName name="pah150_10">"$#REF!.$#REF!$#REF!"</definedName>
    <definedName name="pah150_12">"$#REF!.$#REF!$#REF!"</definedName>
    <definedName name="pah150_13">"$#REF!.$#REF!$#REF!"</definedName>
    <definedName name="pah150_5">"$#REF!.$#REF!$#REF!"</definedName>
    <definedName name="pah150_7">"$#REF!.$#REF!$#REF!"</definedName>
    <definedName name="pah150_8">"$#REF!.$#REF!$#REF!"</definedName>
    <definedName name="PAK">[37]FAKTOR!$C$26</definedName>
    <definedName name="pak100_10">"$#REF!.$#REF!$#REF!"</definedName>
    <definedName name="pak100_12">"$#REF!.$#REF!$#REF!"</definedName>
    <definedName name="pak100_13">"$#REF!.$#REF!$#REF!"</definedName>
    <definedName name="pak100_5">"$#REF!.$#REF!$#REF!"</definedName>
    <definedName name="pak100_7">"$#REF!.$#REF!$#REF!"</definedName>
    <definedName name="pak100_8">"$#REF!.$#REF!$#REF!"</definedName>
    <definedName name="pak150_10">"$#REF!.$#REF!$#REF!"</definedName>
    <definedName name="pak150_12">"$#REF!.$#REF!$#REF!"</definedName>
    <definedName name="pak150_13">"$#REF!.$#REF!$#REF!"</definedName>
    <definedName name="pak150_5">"$#REF!.$#REF!$#REF!"</definedName>
    <definedName name="pak150_7">"$#REF!.$#REF!$#REF!"</definedName>
    <definedName name="pak150_8">"$#REF!.$#REF!$#REF!"</definedName>
    <definedName name="pak50_10">"$#REF!.$#REF!$#REF!"</definedName>
    <definedName name="pak50_12">"$#REF!.$#REF!$#REF!"</definedName>
    <definedName name="pak50_13">"$#REF!.$#REF!$#REF!"</definedName>
    <definedName name="pak50_5">"$#REF!.$#REF!$#REF!"</definedName>
    <definedName name="pak50_7">"$#REF!.$#REF!$#REF!"</definedName>
    <definedName name="pak50_8">"$#REF!.$#REF!$#REF!"</definedName>
    <definedName name="pak80_10">"$#REF!.$#REF!$#REF!"</definedName>
    <definedName name="pak80_12">"$#REF!.$#REF!$#REF!"</definedName>
    <definedName name="pak80_13">"$#REF!.$#REF!$#REF!"</definedName>
    <definedName name="pak80_5">"$#REF!.$#REF!$#REF!"</definedName>
    <definedName name="pak80_7">"$#REF!.$#REF!$#REF!"</definedName>
    <definedName name="pak80_8">"$#REF!.$#REF!$#REF!"</definedName>
    <definedName name="pakf100_10">"$#REF!.$#REF!$#REF!"</definedName>
    <definedName name="pakf100_12">"$#REF!.$#REF!$#REF!"</definedName>
    <definedName name="pakf100_13">"$#REF!.$#REF!$#REF!"</definedName>
    <definedName name="pakf100_5">"$#REF!.$#REF!$#REF!"</definedName>
    <definedName name="pakf100_7">"$#REF!.$#REF!$#REF!"</definedName>
    <definedName name="pakf100_8">"$#REF!.$#REF!$#REF!"</definedName>
    <definedName name="pakf150_10">"$#REF!.$#REF!$#REF!"</definedName>
    <definedName name="pakf150_12">"$#REF!.$#REF!$#REF!"</definedName>
    <definedName name="pakf150_13">"$#REF!.$#REF!$#REF!"</definedName>
    <definedName name="pakf150_5">"$#REF!.$#REF!$#REF!"</definedName>
    <definedName name="pakf150_7">"$#REF!.$#REF!$#REF!"</definedName>
    <definedName name="pakf150_8">"$#REF!.$#REF!$#REF!"</definedName>
    <definedName name="pakf80_10">"$#REF!.$#REF!$#REF!"</definedName>
    <definedName name="pakf80_12">"$#REF!.$#REF!$#REF!"</definedName>
    <definedName name="pakf80_13">"$#REF!.$#REF!$#REF!"</definedName>
    <definedName name="pakf80_5">"$#REF!.$#REF!$#REF!"</definedName>
    <definedName name="pakf80_7">"$#REF!.$#REF!$#REF!"</definedName>
    <definedName name="pakf80_8">"$#REF!.$#REF!$#REF!"</definedName>
    <definedName name="Paku_1_cm_s_d_3_cm">[31]BAHAN!$C$120</definedName>
    <definedName name="Paku_4_cm_s_d_7_cm">[31]BAHAN!$C$121</definedName>
    <definedName name="Paku_5___7">[31]BAHAN!$C$122</definedName>
    <definedName name="PAKU_5__7">[31]BAHAN!$C$122</definedName>
    <definedName name="Paku_5_7__10__12">'[99]Daftar Harga'!$G$209</definedName>
    <definedName name="Paku_8___12">[31]BAHAN!$C$123</definedName>
    <definedName name="Paku_8___12_cm">[31]BAHAN!$C$123</definedName>
    <definedName name="Paku_Beton_2_cm_s_d_5_cm">[31]BAHAN!$C$125</definedName>
    <definedName name="Paku_Cacing">[31]BAHAN!$C$127</definedName>
    <definedName name="Paku_Kait_Lengkap">[31]BAHAN!$C$126</definedName>
    <definedName name="PANEL___2">[97]price!$B$12:$Q$23</definedName>
    <definedName name="PANEL___3">[97]price!$B$12:$Q$23</definedName>
    <definedName name="papas">'[5]Sat Bah &amp; Up'!$G$32</definedName>
    <definedName name="pas" localSheetId="9">'Pas. Dinding'!pas</definedName>
    <definedName name="pas" localSheetId="12">'TABEL BAJA'!pas</definedName>
    <definedName name="pas">[16]!pas</definedName>
    <definedName name="pas.batukali">'[47]Analisa Harga'!$H$112</definedName>
    <definedName name="pas.batukosong">'[47]Analisa Harga'!$H$97</definedName>
    <definedName name="PASAGANBATU">'[30]PAS. BATU'!$G$43</definedName>
    <definedName name="pasang">[41]S.UPAH!$J$28</definedName>
    <definedName name="pasangbesibaja">'[45]Als Struk'!$I$504</definedName>
    <definedName name="pasangbesiulir">'[45]Als Struk'!$I$148</definedName>
    <definedName name="pasbata15">[131]SEMANAN!$I$290</definedName>
    <definedName name="pasirp___0">[43]harsat!$H$13</definedName>
    <definedName name="pasirp___1">[42]harsat!$H$13</definedName>
    <definedName name="pasirp___2">[42]harsat!$H$13</definedName>
    <definedName name="PASIRPADAT">'[132]Analisa &amp; Upah'!$I$484</definedName>
    <definedName name="pasirpasang">'[50]DAF-BAHAN'!$F$19</definedName>
    <definedName name="paving6">[22]harga!$F$195</definedName>
    <definedName name="Payment_Date">NA()</definedName>
    <definedName name="Payment_Date_1">NA()</definedName>
    <definedName name="Payment_Date_10">NA()</definedName>
    <definedName name="Payment_Date_11">NA()</definedName>
    <definedName name="Payment_Date_12">NA()</definedName>
    <definedName name="Payment_Date_13">NA()</definedName>
    <definedName name="Payment_Date_14">NA()</definedName>
    <definedName name="Payment_Date_16">NA()</definedName>
    <definedName name="Payment_Date_20">NA()</definedName>
    <definedName name="Payment_Date_7">NA()</definedName>
    <definedName name="Payment_Date_9">NA()</definedName>
    <definedName name="pbata">[22]upah!$E$12</definedName>
    <definedName name="pbb">[8]Ahs.2!$L$387</definedName>
    <definedName name="pbeg">[26]Harsat!$D$24</definedName>
    <definedName name="pbk___0">[55]DAF_5!$I$204</definedName>
    <definedName name="pbk___1">[55]DAF_5!$I$204</definedName>
    <definedName name="pbk___2">[55]DAF_5!$I$204</definedName>
    <definedName name="pbt_pemudi">'[32]Daf-Harga'!$H$29</definedName>
    <definedName name="pc_40">[133]HDasar!$H$11</definedName>
    <definedName name="pc50_10">"$#REF!.$#REF!$#REF!"</definedName>
    <definedName name="pc50_12">"$#REF!.$#REF!$#REF!"</definedName>
    <definedName name="pc50_13">"$#REF!.$#REF!$#REF!"</definedName>
    <definedName name="pc50_5">"$#REF!.$#REF!$#REF!"</definedName>
    <definedName name="pc50_7">"$#REF!.$#REF!$#REF!"</definedName>
    <definedName name="pc50_8">"$#REF!.$#REF!$#REF!"</definedName>
    <definedName name="pc80_10">"$#REF!.$#REF!$#REF!"</definedName>
    <definedName name="pc80_12">"$#REF!.$#REF!$#REF!"</definedName>
    <definedName name="pc80_13">"$#REF!.$#REF!$#REF!"</definedName>
    <definedName name="pc80_5">"$#REF!.$#REF!$#REF!"</definedName>
    <definedName name="pc80_7">"$#REF!.$#REF!$#REF!"</definedName>
    <definedName name="pc80_8">"$#REF!.$#REF!$#REF!"</definedName>
    <definedName name="pcf80_10">"$#REF!.$#REF!$#REF!"</definedName>
    <definedName name="pcf80_12">"$#REF!.$#REF!$#REF!"</definedName>
    <definedName name="pcf80_13">"$#REF!.$#REF!$#REF!"</definedName>
    <definedName name="pcf80_5">"$#REF!.$#REF!$#REF!"</definedName>
    <definedName name="pcf80_7">"$#REF!.$#REF!$#REF!"</definedName>
    <definedName name="pcf80_8">"$#REF!.$#REF!$#REF!"</definedName>
    <definedName name="pcor">[26]Harsat!$D$12</definedName>
    <definedName name="pd_40">[133]HDasar!$H$83</definedName>
    <definedName name="pek_tak_ter">'[32]Daf-Harga'!$H$25</definedName>
    <definedName name="pek_ter">'[32]Daf-Harga'!$H$24</definedName>
    <definedName name="PEKE">[134]Upah!$F$33</definedName>
    <definedName name="PEKERJAAN_LUAR_10">"$#REF!.#REF!#REF!"</definedName>
    <definedName name="PEKERJAAN_LUAR_12">"$#REF!.#REF!#REF!"</definedName>
    <definedName name="PEKERJAAN_LUAR_13">"$#REF!.#REF!#REF!"</definedName>
    <definedName name="PEKERJAAN_LUAR_5">"$#REF!.#REF!#REF!"</definedName>
    <definedName name="PEKERJAAN_LUAR_7">"$#REF!.#REF!#REF!"</definedName>
    <definedName name="PEKERJAAN_LUAR_8">"$#REF!.#REF!#REF!"</definedName>
    <definedName name="Pelapis_Alkali_ICI__Cat_dasar_Beton_Eksterior">[31]BAHAN!$C$56</definedName>
    <definedName name="Pemberesan_Lapangan">[31]DATA!$G$50</definedName>
    <definedName name="pembesian175">'[45]Als Struk'!$I$175</definedName>
    <definedName name="pembesian200">'[45]Als Struk'!$I$177</definedName>
    <definedName name="pembesian225">'[45]Als Struk'!$I$179</definedName>
    <definedName name="pembesian275">'[45]Als Struk'!$I$183</definedName>
    <definedName name="pembesian300">'[45]Als Struk'!$I$185</definedName>
    <definedName name="pembesian375">'[45]Als Struk'!$I$191</definedName>
    <definedName name="Pembulatan">'[117]Rekap Direct Cost'!$C$5</definedName>
    <definedName name="Pembulatan___0">'[117]Rekap Direct Cost'!$C$5</definedName>
    <definedName name="Pembulatan___1">'[118]Rekap Direct Cost'!$C$5</definedName>
    <definedName name="Pembulatan___2">'[118]Rekap Direct Cost'!$C$5</definedName>
    <definedName name="Pembulatan_US">'[117]Rekap Direct Cost'!$C$6</definedName>
    <definedName name="Pembulatan_US___0">'[117]Rekap Direct Cost'!$C$6</definedName>
    <definedName name="Pembulatan_US___1">'[118]Rekap Direct Cost'!$C$6</definedName>
    <definedName name="Pembulatan_US___2">'[118]Rekap Direct Cost'!$C$6</definedName>
    <definedName name="pemudi">'[32]Daf-Harga'!$H$28</definedName>
    <definedName name="PEN">[37]FAKTOR!$C$28</definedName>
    <definedName name="pendapat" localSheetId="9" hidden="1">#REF!</definedName>
    <definedName name="pendapat" localSheetId="0" hidden="1">#REF!</definedName>
    <definedName name="pendapat" localSheetId="7" hidden="1">#REF!</definedName>
    <definedName name="pendapat" localSheetId="13" hidden="1">#REF!</definedName>
    <definedName name="pendapat" localSheetId="8" hidden="1">#REF!</definedName>
    <definedName name="pendapat" localSheetId="12" hidden="1">#REF!</definedName>
    <definedName name="pendapat" hidden="1">#REF!</definedName>
    <definedName name="PENJUMLAHAN" localSheetId="15">HAJIME:OWARI</definedName>
    <definedName name="PENJUMLAHAN" localSheetId="9">[15]!HAJIME:[15]!OWARI</definedName>
    <definedName name="PENJUMLAHAN" localSheetId="0">[0]!HAJIME:[0]!OWARI</definedName>
    <definedName name="PENJUMLAHAN" localSheetId="6">HAJIME:OWARI</definedName>
    <definedName name="PENJUMLAHAN" localSheetId="7">HAJIME:OWARI</definedName>
    <definedName name="PENJUMLAHAN" localSheetId="13">HAJIME:OWARI</definedName>
    <definedName name="PENJUMLAHAN" localSheetId="8">HAJIME:OWARI</definedName>
    <definedName name="PENJUMLAHAN" localSheetId="12">[0]!HAJIME:[0]!OWARI</definedName>
    <definedName name="PENJUMLAHAN">HAJIME:OWARI</definedName>
    <definedName name="PENJUMLAHAN___0">NA()</definedName>
    <definedName name="PENJUMLAHAN___1">NA()</definedName>
    <definedName name="PENJUMLAHAN___2">NA()</definedName>
    <definedName name="per">[135]Hargamaterial!$Q$4</definedName>
    <definedName name="Peralatan_lainya">[31]DATA!$G$11</definedName>
    <definedName name="Peralatan_los">[31]DATA!$G$8</definedName>
    <definedName name="Peralatan_oksigen">[31]DATA!$G$12</definedName>
    <definedName name="Peralatan_site">[31]DATA!$G$7</definedName>
    <definedName name="Peralatan_spencer">[31]DATA!$G$10</definedName>
    <definedName name="persiapan" hidden="1">'[136]HARGA MATERIAL'!$E$27:$E$33</definedName>
    <definedName name="ph_40">[133]HDasar!$H$85</definedName>
    <definedName name="ph100_10">"$#REF!.$#REF!$#REF!"</definedName>
    <definedName name="ph100_12">"$#REF!.$#REF!$#REF!"</definedName>
    <definedName name="ph100_13">"$#REF!.$#REF!$#REF!"</definedName>
    <definedName name="ph100_5">"$#REF!.$#REF!$#REF!"</definedName>
    <definedName name="ph100_7">"$#REF!.$#REF!$#REF!"</definedName>
    <definedName name="ph100_8">"$#REF!.$#REF!$#REF!"</definedName>
    <definedName name="ph150_10">"$#REF!.$#REF!$#REF!"</definedName>
    <definedName name="ph150_12">"$#REF!.$#REF!$#REF!"</definedName>
    <definedName name="ph150_13">"$#REF!.$#REF!$#REF!"</definedName>
    <definedName name="ph150_5">"$#REF!.$#REF!$#REF!"</definedName>
    <definedName name="ph150_7">"$#REF!.$#REF!$#REF!"</definedName>
    <definedName name="ph150_8">"$#REF!.$#REF!$#REF!"</definedName>
    <definedName name="phf100_10">"$#REF!.$#REF!$#REF!"</definedName>
    <definedName name="phf100_12">"$#REF!.$#REF!$#REF!"</definedName>
    <definedName name="phf100_13">"$#REF!.$#REF!$#REF!"</definedName>
    <definedName name="phf100_5">"$#REF!.$#REF!$#REF!"</definedName>
    <definedName name="phf100_7">"$#REF!.$#REF!$#REF!"</definedName>
    <definedName name="phf100_8">"$#REF!.$#REF!$#REF!"</definedName>
    <definedName name="phf150_10">"$#REF!.$#REF!$#REF!"</definedName>
    <definedName name="phf150_12">"$#REF!.$#REF!$#REF!"</definedName>
    <definedName name="phf150_13">"$#REF!.$#REF!$#REF!"</definedName>
    <definedName name="phf150_5">"$#REF!.$#REF!$#REF!"</definedName>
    <definedName name="phf150_7">"$#REF!.$#REF!$#REF!"</definedName>
    <definedName name="phf150_8">"$#REF!.$#REF!$#REF!"</definedName>
    <definedName name="Philip" localSheetId="15" hidden="1">{#N/A,#N/A,FALSE,"REK-S-TPL";#N/A,#N/A,FALSE,"REK-TPML";#N/A,#N/A,FALSE,"RAB-TEMPEL"}</definedName>
    <definedName name="Philip" localSheetId="9" hidden="1">{#N/A,#N/A,FALSE,"REK-S-TPL";#N/A,#N/A,FALSE,"REK-TPML";#N/A,#N/A,FALSE,"RAB-TEMPEL"}</definedName>
    <definedName name="Philip" localSheetId="0" hidden="1">{#N/A,#N/A,FALSE,"REK-S-TPL";#N/A,#N/A,FALSE,"REK-TPML";#N/A,#N/A,FALSE,"RAB-TEMPEL"}</definedName>
    <definedName name="Philip" localSheetId="7" hidden="1">{#N/A,#N/A,FALSE,"REK-S-TPL";#N/A,#N/A,FALSE,"REK-TPML";#N/A,#N/A,FALSE,"RAB-TEMPEL"}</definedName>
    <definedName name="Philip" localSheetId="13" hidden="1">{#N/A,#N/A,FALSE,"REK-S-TPL";#N/A,#N/A,FALSE,"REK-TPML";#N/A,#N/A,FALSE,"RAB-TEMPEL"}</definedName>
    <definedName name="Philip" localSheetId="8" hidden="1">{#N/A,#N/A,FALSE,"REK-S-TPL";#N/A,#N/A,FALSE,"REK-TPML";#N/A,#N/A,FALSE,"RAB-TEMPEL"}</definedName>
    <definedName name="Philip" localSheetId="12" hidden="1">{#N/A,#N/A,FALSE,"REK-S-TPL";#N/A,#N/A,FALSE,"REK-TPML";#N/A,#N/A,FALSE,"RAB-TEMPEL"}</definedName>
    <definedName name="Philip" hidden="1">{#N/A,#N/A,FALSE,"REK-S-TPL";#N/A,#N/A,FALSE,"REK-TPML";#N/A,#N/A,FALSE,"RAB-TEMPEL"}</definedName>
    <definedName name="Philip_2" localSheetId="15" hidden="1">{#N/A,#N/A,FALSE,"REK-S-TPL";#N/A,#N/A,FALSE,"REK-TPML";#N/A,#N/A,FALSE,"RAB-TEMPEL"}</definedName>
    <definedName name="Philip_2" localSheetId="9" hidden="1">{#N/A,#N/A,FALSE,"REK-S-TPL";#N/A,#N/A,FALSE,"REK-TPML";#N/A,#N/A,FALSE,"RAB-TEMPEL"}</definedName>
    <definedName name="Philip_2" localSheetId="0" hidden="1">{#N/A,#N/A,FALSE,"REK-S-TPL";#N/A,#N/A,FALSE,"REK-TPML";#N/A,#N/A,FALSE,"RAB-TEMPEL"}</definedName>
    <definedName name="Philip_2" localSheetId="7" hidden="1">{#N/A,#N/A,FALSE,"REK-S-TPL";#N/A,#N/A,FALSE,"REK-TPML";#N/A,#N/A,FALSE,"RAB-TEMPEL"}</definedName>
    <definedName name="Philip_2" localSheetId="13" hidden="1">{#N/A,#N/A,FALSE,"REK-S-TPL";#N/A,#N/A,FALSE,"REK-TPML";#N/A,#N/A,FALSE,"RAB-TEMPEL"}</definedName>
    <definedName name="Philip_2" localSheetId="8" hidden="1">{#N/A,#N/A,FALSE,"REK-S-TPL";#N/A,#N/A,FALSE,"REK-TPML";#N/A,#N/A,FALSE,"RAB-TEMPEL"}</definedName>
    <definedName name="Philip_2" localSheetId="12" hidden="1">{#N/A,#N/A,FALSE,"REK-S-TPL";#N/A,#N/A,FALSE,"REK-TPML";#N/A,#N/A,FALSE,"RAB-TEMPEL"}</definedName>
    <definedName name="Philip_2" hidden="1">{#N/A,#N/A,FALSE,"REK-S-TPL";#N/A,#N/A,FALSE,"REK-TPML";#N/A,#N/A,FALSE,"RAB-TEMPEL"}</definedName>
    <definedName name="Philip_3" localSheetId="15" hidden="1">{#N/A,#N/A,FALSE,"REK-S-TPL";#N/A,#N/A,FALSE,"REK-TPML";#N/A,#N/A,FALSE,"RAB-TEMPEL"}</definedName>
    <definedName name="Philip_3" localSheetId="9" hidden="1">{#N/A,#N/A,FALSE,"REK-S-TPL";#N/A,#N/A,FALSE,"REK-TPML";#N/A,#N/A,FALSE,"RAB-TEMPEL"}</definedName>
    <definedName name="Philip_3" localSheetId="0" hidden="1">{#N/A,#N/A,FALSE,"REK-S-TPL";#N/A,#N/A,FALSE,"REK-TPML";#N/A,#N/A,FALSE,"RAB-TEMPEL"}</definedName>
    <definedName name="Philip_3" localSheetId="7" hidden="1">{#N/A,#N/A,FALSE,"REK-S-TPL";#N/A,#N/A,FALSE,"REK-TPML";#N/A,#N/A,FALSE,"RAB-TEMPEL"}</definedName>
    <definedName name="Philip_3" localSheetId="13" hidden="1">{#N/A,#N/A,FALSE,"REK-S-TPL";#N/A,#N/A,FALSE,"REK-TPML";#N/A,#N/A,FALSE,"RAB-TEMPEL"}</definedName>
    <definedName name="Philip_3" localSheetId="8" hidden="1">{#N/A,#N/A,FALSE,"REK-S-TPL";#N/A,#N/A,FALSE,"REK-TPML";#N/A,#N/A,FALSE,"RAB-TEMPEL"}</definedName>
    <definedName name="Philip_3" localSheetId="12" hidden="1">{#N/A,#N/A,FALSE,"REK-S-TPL";#N/A,#N/A,FALSE,"REK-TPML";#N/A,#N/A,FALSE,"RAB-TEMPEL"}</definedName>
    <definedName name="Philip_3" hidden="1">{#N/A,#N/A,FALSE,"REK-S-TPL";#N/A,#N/A,FALSE,"REK-TPML";#N/A,#N/A,FALSE,"RAB-TEMPEL"}</definedName>
    <definedName name="Philip_4" localSheetId="15" hidden="1">{#N/A,#N/A,FALSE,"REK-S-TPL";#N/A,#N/A,FALSE,"REK-TPML";#N/A,#N/A,FALSE,"RAB-TEMPEL"}</definedName>
    <definedName name="Philip_4" localSheetId="9" hidden="1">{#N/A,#N/A,FALSE,"REK-S-TPL";#N/A,#N/A,FALSE,"REK-TPML";#N/A,#N/A,FALSE,"RAB-TEMPEL"}</definedName>
    <definedName name="Philip_4" localSheetId="0" hidden="1">{#N/A,#N/A,FALSE,"REK-S-TPL";#N/A,#N/A,FALSE,"REK-TPML";#N/A,#N/A,FALSE,"RAB-TEMPEL"}</definedName>
    <definedName name="Philip_4" localSheetId="7" hidden="1">{#N/A,#N/A,FALSE,"REK-S-TPL";#N/A,#N/A,FALSE,"REK-TPML";#N/A,#N/A,FALSE,"RAB-TEMPEL"}</definedName>
    <definedName name="Philip_4" localSheetId="13" hidden="1">{#N/A,#N/A,FALSE,"REK-S-TPL";#N/A,#N/A,FALSE,"REK-TPML";#N/A,#N/A,FALSE,"RAB-TEMPEL"}</definedName>
    <definedName name="Philip_4" localSheetId="8" hidden="1">{#N/A,#N/A,FALSE,"REK-S-TPL";#N/A,#N/A,FALSE,"REK-TPML";#N/A,#N/A,FALSE,"RAB-TEMPEL"}</definedName>
    <definedName name="Philip_4" localSheetId="12" hidden="1">{#N/A,#N/A,FALSE,"REK-S-TPL";#N/A,#N/A,FALSE,"REK-TPML";#N/A,#N/A,FALSE,"RAB-TEMPEL"}</definedName>
    <definedName name="Philip_4" hidden="1">{#N/A,#N/A,FALSE,"REK-S-TPL";#N/A,#N/A,FALSE,"REK-TPML";#N/A,#N/A,FALSE,"RAB-TEMPEL"}</definedName>
    <definedName name="Philip_5" localSheetId="15" hidden="1">{#N/A,#N/A,FALSE,"REK-S-TPL";#N/A,#N/A,FALSE,"REK-TPML";#N/A,#N/A,FALSE,"RAB-TEMPEL"}</definedName>
    <definedName name="Philip_5" localSheetId="9" hidden="1">{#N/A,#N/A,FALSE,"REK-S-TPL";#N/A,#N/A,FALSE,"REK-TPML";#N/A,#N/A,FALSE,"RAB-TEMPEL"}</definedName>
    <definedName name="Philip_5" localSheetId="0" hidden="1">{#N/A,#N/A,FALSE,"REK-S-TPL";#N/A,#N/A,FALSE,"REK-TPML";#N/A,#N/A,FALSE,"RAB-TEMPEL"}</definedName>
    <definedName name="Philip_5" localSheetId="7" hidden="1">{#N/A,#N/A,FALSE,"REK-S-TPL";#N/A,#N/A,FALSE,"REK-TPML";#N/A,#N/A,FALSE,"RAB-TEMPEL"}</definedName>
    <definedName name="Philip_5" localSheetId="13" hidden="1">{#N/A,#N/A,FALSE,"REK-S-TPL";#N/A,#N/A,FALSE,"REK-TPML";#N/A,#N/A,FALSE,"RAB-TEMPEL"}</definedName>
    <definedName name="Philip_5" localSheetId="8" hidden="1">{#N/A,#N/A,FALSE,"REK-S-TPL";#N/A,#N/A,FALSE,"REK-TPML";#N/A,#N/A,FALSE,"RAB-TEMPEL"}</definedName>
    <definedName name="Philip_5" localSheetId="12" hidden="1">{#N/A,#N/A,FALSE,"REK-S-TPL";#N/A,#N/A,FALSE,"REK-TPML";#N/A,#N/A,FALSE,"RAB-TEMPEL"}</definedName>
    <definedName name="Philip_5" hidden="1">{#N/A,#N/A,FALSE,"REK-S-TPL";#N/A,#N/A,FALSE,"REK-TPML";#N/A,#N/A,FALSE,"RAB-TEMPEL"}</definedName>
    <definedName name="plafondgyp10">[1]harsat!$H$134</definedName>
    <definedName name="plafondgyp9">[1]harsat!$H$133</definedName>
    <definedName name="PlafondGypsumRHollow">'[40]Analisa Harga Satuan'!$G$2501</definedName>
    <definedName name="plafondgypwp9">[1]harsat!$H$135</definedName>
    <definedName name="PLAMT">'[21]Sat-Rap'!$F$71</definedName>
    <definedName name="plamurkayu">[22]harga!$F$234</definedName>
    <definedName name="plamurtembok">[22]harga!$F$235</definedName>
    <definedName name="plastikcor">[44]Analisa!$I$175</definedName>
    <definedName name="Ples16_15cm">'[40]Analisa Harga Satuan'!$G$1571</definedName>
    <definedName name="Plest_Screet13_35cm">'[40]Analisa Harga Satuan'!$G$1655</definedName>
    <definedName name="pmeranti">[22]harga!$F$112</definedName>
    <definedName name="PNL___1">[59]Anls!$E$58</definedName>
    <definedName name="PNL___2">[59]Anls!$E$58</definedName>
    <definedName name="PNL___3">[59]Anls!$E$58</definedName>
    <definedName name="polos">[22]harga!$F$37</definedName>
    <definedName name="p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 localSheetId="9">'Pas. Dinding'!pompa</definedName>
    <definedName name="pompa" localSheetId="12">'TABEL BAJA'!pompa</definedName>
    <definedName name="pompa">[16]!pompa</definedName>
    <definedName name="pompabeton">'[50]DAF-UPAH'!$E$16</definedName>
    <definedName name="ppas">[26]Harsat!$D$11</definedName>
    <definedName name="PPNBKR">'[21]Sat-Rap'!$F$44</definedName>
    <definedName name="ppnjati">'[34]HB '!$F$29</definedName>
    <definedName name="PPO">'[137]Analisa 2'!$B$1459:$J$1665</definedName>
    <definedName name="ppp" localSheetId="15">{"Book1","RAB PASAR 30 AUG SCRAB.xls"}</definedName>
    <definedName name="ppp" localSheetId="9">{"Book1","RAB PASAR 30 AUG SCRAB.xls"}</definedName>
    <definedName name="ppp" localSheetId="0">{"Book1","RAB PASAR 30 AUG SCRAB.xls"}</definedName>
    <definedName name="ppp" localSheetId="7">{"Book1","RAB PASAR 30 AUG SCRAB.xls"}</definedName>
    <definedName name="ppp" localSheetId="13">{"Book1","RAB PASAR 30 AUG SCRAB.xls"}</definedName>
    <definedName name="ppp" localSheetId="8">{"Book1","RAB PASAR 30 AUG SCRAB.xls"}</definedName>
    <definedName name="ppp" localSheetId="12">{"Book1","RAB PASAR 30 AUG SCRAB.xls"}</definedName>
    <definedName name="ppp">{"Book1","RAB PASAR 30 AUG SCRAB.xls"}</definedName>
    <definedName name="prelim" hidden="1">'[129]HARGA MATERIAL'!$A$11:$A$211</definedName>
    <definedName name="Prem" localSheetId="9" hidden="1">[138]A!#REF!</definedName>
    <definedName name="Prem" localSheetId="7" hidden="1">[138]A!#REF!</definedName>
    <definedName name="Prem" localSheetId="13" hidden="1">[138]A!#REF!</definedName>
    <definedName name="Prem" localSheetId="8" hidden="1">[138]A!#REF!</definedName>
    <definedName name="Prem" localSheetId="12" hidden="1">[138]A!#REF!</definedName>
    <definedName name="Prem" hidden="1">[138]A!#REF!</definedName>
    <definedName name="pri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DULUX">'[21]Sat-Rap'!$F$73</definedName>
    <definedName name="_xlnm.Print_Area" localSheetId="4">COVER!$A$1:$I$25</definedName>
    <definedName name="_xlnm.Print_Area" localSheetId="18">'Data Panjang Balok'!$A$1:$N$254</definedName>
    <definedName name="_xlnm.Print_Area" localSheetId="16">'Data-Kolom'!$A$1:$Q$195</definedName>
    <definedName name="_xlnm.Print_Area" localSheetId="21">'Data-PC'!$B$1:$AP$56</definedName>
    <definedName name="_xlnm.Print_Area" localSheetId="15">'Hasil-Kolom'!$A$1:$AT$224</definedName>
    <definedName name="_xlnm.Print_Area" localSheetId="24">'Hasil-PC'!$A$1:$AE$64</definedName>
    <definedName name="_xlnm.Print_Area" localSheetId="14">Plat!$A$1:$S$103</definedName>
    <definedName name="_xlnm.Print_Area" localSheetId="23">'RAB (A)'!$A$1:$F$282</definedName>
    <definedName name="_xlnm.Print_Area" localSheetId="6">'RAB (B)'!$A$1:$F$33</definedName>
    <definedName name="_xlnm.Print_Area" localSheetId="17">'REKAP Balok'!$A$1:$AA$335</definedName>
    <definedName name="_xlnm.Print_Area" localSheetId="5">'REKAP RAB'!$A$1:$G$69</definedName>
    <definedName name="Print_Area_MI">'[139]A-ars'!$A$1:$G$693</definedName>
    <definedName name="_xlnm.Print_Titles" localSheetId="4">COVER!$1:$5</definedName>
    <definedName name="_xlnm.Print_Titles" localSheetId="18">'Data Panjang Balok'!$6:$8</definedName>
    <definedName name="_xlnm.Print_Titles" localSheetId="21">'Data-PC'!$10:$11</definedName>
    <definedName name="_xlnm.Print_Titles" localSheetId="19">'Detail Balok'!$7:$8</definedName>
    <definedName name="_xlnm.Print_Titles" localSheetId="15">'Hasil-Kolom'!$11:$13</definedName>
    <definedName name="_xlnm.Print_Titles" localSheetId="24">'Hasil-PC'!$6:$8</definedName>
    <definedName name="_xlnm.Print_Titles" localSheetId="14">Plat!$1:$5</definedName>
    <definedName name="_xlnm.Print_Titles" localSheetId="23">'RAB (A)'!$7:$7</definedName>
    <definedName name="_xlnm.Print_Titles" localSheetId="6">'RAB (B)'!$1:$7</definedName>
    <definedName name="_xlnm.Print_Titles" localSheetId="17">'REKAP Balok'!$9:$11</definedName>
    <definedName name="_xlnm.Print_Titles" localSheetId="5">'REKAP RAB'!$1:$5</definedName>
    <definedName name="Print_Titles_MI">'[139]A-ars'!$1:$9</definedName>
    <definedName name="ProdForm" localSheetId="9" hidden="1">#REF!</definedName>
    <definedName name="ProdForm" localSheetId="0" hidden="1">#REF!</definedName>
    <definedName name="ProdForm" localSheetId="7" hidden="1">#REF!</definedName>
    <definedName name="ProdForm" localSheetId="13" hidden="1">#REF!</definedName>
    <definedName name="ProdForm" localSheetId="8" hidden="1">#REF!</definedName>
    <definedName name="ProdForm" hidden="1">#REF!</definedName>
    <definedName name="Product" localSheetId="9" hidden="1">#REF!</definedName>
    <definedName name="Product" localSheetId="0" hidden="1">#REF!</definedName>
    <definedName name="Product" localSheetId="7" hidden="1">#REF!</definedName>
    <definedName name="Product" localSheetId="13" hidden="1">#REF!</definedName>
    <definedName name="Product" localSheetId="8" hidden="1">#REF!</definedName>
    <definedName name="Product" hidden="1">#REF!</definedName>
    <definedName name="PS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cor">[22]harga!$F$192</definedName>
    <definedName name="pspasang">[100]harga!$E$177</definedName>
    <definedName name="psrbton">[55]sheet1!$H$13</definedName>
    <definedName name="psrpsg">'[107]HARGA SATUAN'!$G$13</definedName>
    <definedName name="psrurug">[55]sheet1!$H$15</definedName>
    <definedName name="psurug">[22]harga!$F$194</definedName>
    <definedName name="purug">[26]Harsat!$D$10</definedName>
    <definedName name="pv100_10">"$#REF!.$#REF!$#REF!"</definedName>
    <definedName name="pv100_12">"$#REF!.$#REF!$#REF!"</definedName>
    <definedName name="pv100_13">"$#REF!.$#REF!$#REF!"</definedName>
    <definedName name="pv100_5">"$#REF!.$#REF!$#REF!"</definedName>
    <definedName name="pv100_7">"$#REF!.$#REF!$#REF!"</definedName>
    <definedName name="pv100_8">"$#REF!.$#REF!$#REF!"</definedName>
    <definedName name="pv40_10">"$#REF!.$#REF!$#REF!"</definedName>
    <definedName name="pv40_12">"$#REF!.$#REF!$#REF!"</definedName>
    <definedName name="pv40_13">"$#REF!.$#REF!$#REF!"</definedName>
    <definedName name="pv40_5">"$#REF!.$#REF!$#REF!"</definedName>
    <definedName name="pv40_7">"$#REF!.$#REF!$#REF!"</definedName>
    <definedName name="pv40_8">"$#REF!.$#REF!$#REF!"</definedName>
    <definedName name="pv50_10">"$#REF!.$#REF!$#REF!"</definedName>
    <definedName name="pv50_12">"$#REF!.$#REF!$#REF!"</definedName>
    <definedName name="pv50_13">"$#REF!.$#REF!$#REF!"</definedName>
    <definedName name="pv50_5">"$#REF!.$#REF!$#REF!"</definedName>
    <definedName name="pv50_7">"$#REF!.$#REF!$#REF!"</definedName>
    <definedName name="pv50_8">"$#REF!.$#REF!$#REF!"</definedName>
    <definedName name="pv80_10">"$#REF!.$#REF!$#REF!"</definedName>
    <definedName name="pv80_12">"$#REF!.$#REF!$#REF!"</definedName>
    <definedName name="pv80_13">"$#REF!.$#REF!$#REF!"</definedName>
    <definedName name="pv80_5">"$#REF!.$#REF!$#REF!"</definedName>
    <definedName name="pv80_7">"$#REF!.$#REF!$#REF!"</definedName>
    <definedName name="pv80_8">"$#REF!.$#REF!$#REF!"</definedName>
    <definedName name="pvf100_10">"$#REF!.$#REF!$#REF!"</definedName>
    <definedName name="pvf100_12">"$#REF!.$#REF!$#REF!"</definedName>
    <definedName name="pvf100_13">"$#REF!.$#REF!$#REF!"</definedName>
    <definedName name="pvf100_5">"$#REF!.$#REF!$#REF!"</definedName>
    <definedName name="pvf100_7">"$#REF!.$#REF!$#REF!"</definedName>
    <definedName name="pvf100_8">"$#REF!.$#REF!$#REF!"</definedName>
    <definedName name="pvf80_10">"$#REF!.$#REF!$#REF!"</definedName>
    <definedName name="pvf80_12">"$#REF!.$#REF!$#REF!"</definedName>
    <definedName name="pvf80_13">"$#REF!.$#REF!$#REF!"</definedName>
    <definedName name="pvf80_5">"$#REF!.$#REF!$#REF!"</definedName>
    <definedName name="pvf80_7">"$#REF!.$#REF!$#REF!"</definedName>
    <definedName name="pvf80_8">"$#REF!.$#REF!$#REF!"</definedName>
    <definedName name="q" localSheetId="9" hidden="1">#REF!</definedName>
    <definedName name="q" localSheetId="0" hidden="1">#REF!</definedName>
    <definedName name="q" localSheetId="7" hidden="1">#REF!</definedName>
    <definedName name="q" localSheetId="13" hidden="1">#REF!</definedName>
    <definedName name="q" localSheetId="8" hidden="1">#REF!</definedName>
    <definedName name="q" localSheetId="12" hidden="1">#REF!</definedName>
    <definedName name="q" hidden="1">#REF!</definedName>
    <definedName name="qq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b_4" localSheetId="15">{"Book1","RAB PASAR 30 AUG SCRAB.xls"}</definedName>
    <definedName name="rab_4" localSheetId="9">{"Book1","RAB PASAR 30 AUG SCRAB.xls"}</definedName>
    <definedName name="rab_4" localSheetId="0">{"Book1","RAB PASAR 30 AUG SCRAB.xls"}</definedName>
    <definedName name="rab_4" localSheetId="7">{"Book1","RAB PASAR 30 AUG SCRAB.xls"}</definedName>
    <definedName name="rab_4" localSheetId="13">{"Book1","RAB PASAR 30 AUG SCRAB.xls"}</definedName>
    <definedName name="rab_4" localSheetId="8">{"Book1","RAB PASAR 30 AUG SCRAB.xls"}</definedName>
    <definedName name="rab_4" localSheetId="12">{"Book1","RAB PASAR 30 AUG SCRAB.xls"}</definedName>
    <definedName name="rab_4">{"Book1","RAB PASAR 30 AUG SCRAB.xls"}</definedName>
    <definedName name="rab_6" localSheetId="15">{"Book1","RAB PASAR 30 AUG SCRAB.xls"}</definedName>
    <definedName name="rab_6" localSheetId="9">{"Book1","RAB PASAR 30 AUG SCRAB.xls"}</definedName>
    <definedName name="rab_6" localSheetId="0">{"Book1","RAB PASAR 30 AUG SCRAB.xls"}</definedName>
    <definedName name="rab_6" localSheetId="7">{"Book1","RAB PASAR 30 AUG SCRAB.xls"}</definedName>
    <definedName name="rab_6" localSheetId="13">{"Book1","RAB PASAR 30 AUG SCRAB.xls"}</definedName>
    <definedName name="rab_6" localSheetId="8">{"Book1","RAB PASAR 30 AUG SCRAB.xls"}</definedName>
    <definedName name="rab_6" localSheetId="12">{"Book1","RAB PASAR 30 AUG SCRAB.xls"}</definedName>
    <definedName name="rab_6">{"Book1","RAB PASAR 30 AUG SCRAB.xls"}</definedName>
    <definedName name="rab_8" localSheetId="15">{"Book1","RAB PASAR 30 AUG SCRAB.xls"}</definedName>
    <definedName name="rab_8" localSheetId="9">{"Book1","RAB PASAR 30 AUG SCRAB.xls"}</definedName>
    <definedName name="rab_8" localSheetId="0">{"Book1","RAB PASAR 30 AUG SCRAB.xls"}</definedName>
    <definedName name="rab_8" localSheetId="7">{"Book1","RAB PASAR 30 AUG SCRAB.xls"}</definedName>
    <definedName name="rab_8" localSheetId="13">{"Book1","RAB PASAR 30 AUG SCRAB.xls"}</definedName>
    <definedName name="rab_8" localSheetId="8">{"Book1","RAB PASAR 30 AUG SCRAB.xls"}</definedName>
    <definedName name="rab_8" localSheetId="12">{"Book1","RAB PASAR 30 AUG SCRAB.xls"}</definedName>
    <definedName name="rab_8">{"Book1","RAB PASAR 30 AUG SCRAB.xls"}</definedName>
    <definedName name="rab_9" localSheetId="15">{"Book1","RAB PASAR 30 AUG SCRAB.xls"}</definedName>
    <definedName name="rab_9" localSheetId="9">{"Book1","RAB PASAR 30 AUG SCRAB.xls"}</definedName>
    <definedName name="rab_9" localSheetId="0">{"Book1","RAB PASAR 30 AUG SCRAB.xls"}</definedName>
    <definedName name="rab_9" localSheetId="7">{"Book1","RAB PASAR 30 AUG SCRAB.xls"}</definedName>
    <definedName name="rab_9" localSheetId="13">{"Book1","RAB PASAR 30 AUG SCRAB.xls"}</definedName>
    <definedName name="rab_9" localSheetId="8">{"Book1","RAB PASAR 30 AUG SCRAB.xls"}</definedName>
    <definedName name="rab_9" localSheetId="12">{"Book1","RAB PASAR 30 AUG SCRAB.xls"}</definedName>
    <definedName name="rab_9">{"Book1","RAB PASAR 30 AUG SCRAB.xls"}</definedName>
    <definedName name="rakkabinmatv">'[53]TE TS FA LAN MATV'!$F$90</definedName>
    <definedName name="RCArea" localSheetId="9" hidden="1">#REF!</definedName>
    <definedName name="RCArea" localSheetId="0" hidden="1">#REF!</definedName>
    <definedName name="RCArea" localSheetId="7" hidden="1">#REF!</definedName>
    <definedName name="RCArea" localSheetId="13" hidden="1">#REF!</definedName>
    <definedName name="RCArea" localSheetId="8" hidden="1">#REF!</definedName>
    <definedName name="RCArea" localSheetId="12" hidden="1">#REF!</definedName>
    <definedName name="RCArea" hidden="1">#REF!</definedName>
    <definedName name="RE" localSheetId="9" hidden="1">#REF!</definedName>
    <definedName name="RE" localSheetId="0" hidden="1">#REF!</definedName>
    <definedName name="RE" localSheetId="7" hidden="1">#REF!</definedName>
    <definedName name="RE" localSheetId="13" hidden="1">#REF!</definedName>
    <definedName name="RE" localSheetId="8" hidden="1">#REF!</definedName>
    <definedName name="RE" localSheetId="12" hidden="1">#REF!</definedName>
    <definedName name="RE" hidden="1">#REF!</definedName>
    <definedName name="ready" localSheetId="15">FST:(FSB)</definedName>
    <definedName name="ready" localSheetId="9">[15]!FST:([15]!FSB)</definedName>
    <definedName name="ready" localSheetId="0">[0]!FST:([0]!FSB)</definedName>
    <definedName name="ready" localSheetId="6">FST:(FSB)</definedName>
    <definedName name="ready" localSheetId="7">FST:(FSB)</definedName>
    <definedName name="ready" localSheetId="13">FST:(FSB)</definedName>
    <definedName name="ready" localSheetId="8">FST:(FSB)</definedName>
    <definedName name="ready" localSheetId="12">FST:(FSB)</definedName>
    <definedName name="ready">FST:(FSB)</definedName>
    <definedName name="ready___0">NA()</definedName>
    <definedName name="ready___1">NA()</definedName>
    <definedName name="ready___2">NA()</definedName>
    <definedName name="RECORD" localSheetId="9">'Pas. Dinding'!RECORD</definedName>
    <definedName name="RECORD" localSheetId="12">'TABEL BAJA'!RECORD</definedName>
    <definedName name="RECORD">[16]!RECORD</definedName>
    <definedName name="RECORD___1" localSheetId="4">[140]!_A___0</definedName>
    <definedName name="RECORD___1" localSheetId="9">[0]!_A___0</definedName>
    <definedName name="RECORD___1" localSheetId="0">[0]!_A___0</definedName>
    <definedName name="RECORD___1" localSheetId="6">[140]!_A___0</definedName>
    <definedName name="RECORD___1" localSheetId="7">[140]!_A___0</definedName>
    <definedName name="RECORD___1" localSheetId="5">[140]!_A___0</definedName>
    <definedName name="RECORD___1" localSheetId="12">[140]!_A___0</definedName>
    <definedName name="RECORD___1">[141]!_A___0</definedName>
    <definedName name="Record1" localSheetId="9">'Pas. Dinding'!Record1</definedName>
    <definedName name="Record1" localSheetId="12">'TABEL BAJA'!Record1</definedName>
    <definedName name="Record1">[16]!Record1</definedName>
    <definedName name="Record1___0" localSheetId="15">'Hasil-Kolom'!_AAD3</definedName>
    <definedName name="Record1___0" localSheetId="9">'Pas. Dinding'!_AAD3</definedName>
    <definedName name="Record1___0" localSheetId="0">Plumbing!_AAD3</definedName>
    <definedName name="Record1___0" localSheetId="6">'RAB (B)'!_AAD3</definedName>
    <definedName name="Record1___0" localSheetId="7">'REKAP BETON BESI BEKISTING'!_AAD3</definedName>
    <definedName name="Record1___0" localSheetId="13">'REKAP Plat'!_AAD3</definedName>
    <definedName name="Record1___0" localSheetId="8">'Retaining Wall'!_AAD3</definedName>
    <definedName name="Record1___0" localSheetId="12">'TABEL BAJA'!_AAD3</definedName>
    <definedName name="Record1___0">_AAD3</definedName>
    <definedName name="Record10" localSheetId="9">'Pas. Dinding'!Record10</definedName>
    <definedName name="Record10" localSheetId="12">'TABEL BAJA'!Record10</definedName>
    <definedName name="Record10">[16]!Record10</definedName>
    <definedName name="Record11" localSheetId="9">'Pas. Dinding'!Record11</definedName>
    <definedName name="Record11" localSheetId="12">'TABEL BAJA'!Record11</definedName>
    <definedName name="Record11">[16]!Record11</definedName>
    <definedName name="Record12" localSheetId="9">'Pas. Dinding'!Record12</definedName>
    <definedName name="Record12" localSheetId="12">'TABEL BAJA'!Record12</definedName>
    <definedName name="Record12">[16]!Record12</definedName>
    <definedName name="Record13" localSheetId="9">'Pas. Dinding'!Record13</definedName>
    <definedName name="Record13" localSheetId="12">'TABEL BAJA'!Record13</definedName>
    <definedName name="Record13">[16]!Record13</definedName>
    <definedName name="Record14" localSheetId="9">'Pas. Dinding'!Record14</definedName>
    <definedName name="Record14" localSheetId="12">'TABEL BAJA'!Record14</definedName>
    <definedName name="Record14">[16]!Record14</definedName>
    <definedName name="Record15" localSheetId="9">'Pas. Dinding'!Record15</definedName>
    <definedName name="Record15" localSheetId="12">'TABEL BAJA'!Record15</definedName>
    <definedName name="Record15">[16]!Record15</definedName>
    <definedName name="Record16" localSheetId="9">'Pas. Dinding'!Record16</definedName>
    <definedName name="Record16" localSheetId="12">'TABEL BAJA'!Record16</definedName>
    <definedName name="Record16">[16]!Record16</definedName>
    <definedName name="Record17" localSheetId="9">'Pas. Dinding'!Record17</definedName>
    <definedName name="Record17" localSheetId="12">'TABEL BAJA'!Record17</definedName>
    <definedName name="Record17">[16]!Record17</definedName>
    <definedName name="Record18" localSheetId="9">'Pas. Dinding'!Record18</definedName>
    <definedName name="Record18" localSheetId="12">'TABEL BAJA'!Record18</definedName>
    <definedName name="Record18">[16]!Record18</definedName>
    <definedName name="Record19" localSheetId="9">'Pas. Dinding'!Record19</definedName>
    <definedName name="Record19" localSheetId="12">'TABEL BAJA'!Record19</definedName>
    <definedName name="Record19">[16]!Record19</definedName>
    <definedName name="Record2" localSheetId="9">'Pas. Dinding'!Record2</definedName>
    <definedName name="Record2" localSheetId="12">'TABEL BAJA'!Record2</definedName>
    <definedName name="Record2">[16]!Record2</definedName>
    <definedName name="Record20" localSheetId="9">'Pas. Dinding'!Record20</definedName>
    <definedName name="Record20" localSheetId="12">'TABEL BAJA'!Record20</definedName>
    <definedName name="Record20">[16]!Record20</definedName>
    <definedName name="Record21" localSheetId="9">'Pas. Dinding'!Record21</definedName>
    <definedName name="Record21" localSheetId="12">'TABEL BAJA'!Record21</definedName>
    <definedName name="Record21">[16]!Record21</definedName>
    <definedName name="Record22" localSheetId="9">'Pas. Dinding'!Record22</definedName>
    <definedName name="Record22" localSheetId="12">'TABEL BAJA'!Record22</definedName>
    <definedName name="Record22">[16]!Record22</definedName>
    <definedName name="Record22___0" localSheetId="9">[15]!_CH27..H27___C_</definedName>
    <definedName name="Record22___0" localSheetId="6">[16]!_CH27..H27___C_</definedName>
    <definedName name="Record22___0" localSheetId="12">[16]!_CH27..H27___C_</definedName>
    <definedName name="Record22___0">[16]!_CH27..H27___C_</definedName>
    <definedName name="Record23" localSheetId="9">'Pas. Dinding'!Record23</definedName>
    <definedName name="Record23" localSheetId="12">'TABEL BAJA'!Record23</definedName>
    <definedName name="Record23">[16]!Record23</definedName>
    <definedName name="Record23___1" localSheetId="9">[15]!_CH29..H29___C_</definedName>
    <definedName name="Record23___1" localSheetId="6">[16]!_CH29..H29___C_</definedName>
    <definedName name="Record23___1" localSheetId="12">[16]!_CH29..H29___C_</definedName>
    <definedName name="Record23___1">[16]!_CH29..H29___C_</definedName>
    <definedName name="Record3" localSheetId="9">'Pas. Dinding'!Record3</definedName>
    <definedName name="Record3" localSheetId="12">'TABEL BAJA'!Record3</definedName>
    <definedName name="Record3">[16]!Record3</definedName>
    <definedName name="Record4" localSheetId="9">'Pas. Dinding'!Record4</definedName>
    <definedName name="Record4" localSheetId="12">'TABEL BAJA'!Record4</definedName>
    <definedName name="Record4">[16]!Record4</definedName>
    <definedName name="Record5" localSheetId="9">'Pas. Dinding'!Record5</definedName>
    <definedName name="Record5" localSheetId="12">'TABEL BAJA'!Record5</definedName>
    <definedName name="Record5">[16]!Record5</definedName>
    <definedName name="Record6" localSheetId="9">'Pas. Dinding'!Record6</definedName>
    <definedName name="Record6" localSheetId="12">'TABEL BAJA'!Record6</definedName>
    <definedName name="Record6">[16]!Record6</definedName>
    <definedName name="Record7" localSheetId="9">'Pas. Dinding'!Record7</definedName>
    <definedName name="Record7" localSheetId="12">'TABEL BAJA'!Record7</definedName>
    <definedName name="Record7">[16]!Record7</definedName>
    <definedName name="Record8" localSheetId="9">'Pas. Dinding'!Record8</definedName>
    <definedName name="Record8" localSheetId="12">'TABEL BAJA'!Record8</definedName>
    <definedName name="Record8">[16]!Record8</definedName>
    <definedName name="Record9" localSheetId="9">'Pas. Dinding'!Record9</definedName>
    <definedName name="Record9" localSheetId="12">'TABEL BAJA'!Record9</definedName>
    <definedName name="Record9">[16]!Record9</definedName>
    <definedName name="red" localSheetId="9">'Pas. Dinding'!red</definedName>
    <definedName name="red" localSheetId="12">'TABEL BAJA'!red</definedName>
    <definedName name="red">[16]!red</definedName>
    <definedName name="re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ITULASI" localSheetId="4">STOP2:STOP2E</definedName>
    <definedName name="REKAPITULASI" localSheetId="15">STOP2:STOP2E</definedName>
    <definedName name="REKAPITULASI" localSheetId="9">STOP2:STOP2E</definedName>
    <definedName name="REKAPITULASI" localSheetId="0">STOP2:STOP2E</definedName>
    <definedName name="REKAPITULASI" localSheetId="6">STOP2:STOP2E</definedName>
    <definedName name="REKAPITULASI" localSheetId="7">STOP2:STOP2E</definedName>
    <definedName name="REKAPITULASI" localSheetId="13">STOP2:STOP2E</definedName>
    <definedName name="REKAPITULASI" localSheetId="5">STOP2:STOP2E</definedName>
    <definedName name="REKAPITULASI" localSheetId="8">STOP2:STOP2E</definedName>
    <definedName name="REKAPITULASI" localSheetId="12">STOP2:STOP2E</definedName>
    <definedName name="REKAPITULASI">STOP2:STOP2E</definedName>
    <definedName name="REKAPITULASI___0">NA()</definedName>
    <definedName name="REKAPITULASI___1">NA()</definedName>
    <definedName name="REKAPITULASI___2">NA()</definedName>
    <definedName name="REKAPPDP">[142]REKAP!$G$38</definedName>
    <definedName name="RESD" localSheetId="9">'Pas. Dinding'!RESD</definedName>
    <definedName name="RESD" localSheetId="12">'TABEL BAJA'!RESD</definedName>
    <definedName name="RESD">[16]!RESD</definedName>
    <definedName name="RINCI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g" localSheetId="9" hidden="1">#REF!</definedName>
    <definedName name="ring" localSheetId="0" hidden="1">#REF!</definedName>
    <definedName name="ring" localSheetId="7" hidden="1">#REF!</definedName>
    <definedName name="ring" localSheetId="13" hidden="1">#REF!</definedName>
    <definedName name="ring" localSheetId="8" hidden="1">#REF!</definedName>
    <definedName name="ring" localSheetId="12" hidden="1">#REF!</definedName>
    <definedName name="ring" hidden="1">#REF!</definedName>
    <definedName name="rkl1000_10">"$#REF!.$#REF!$#REF!"</definedName>
    <definedName name="rkl1000_12">"$#REF!.$#REF!$#REF!"</definedName>
    <definedName name="rkl1000_13">"$#REF!.$#REF!$#REF!"</definedName>
    <definedName name="rkl1000_5">"$#REF!.$#REF!$#REF!"</definedName>
    <definedName name="rkl1000_7">"$#REF!.$#REF!$#REF!"</definedName>
    <definedName name="rkl1000_8">"$#REF!.$#REF!$#REF!"</definedName>
    <definedName name="rkl200_10">"$#REF!.$#REF!$#REF!"</definedName>
    <definedName name="rkl200_12">"$#REF!.$#REF!$#REF!"</definedName>
    <definedName name="rkl200_13">"$#REF!.$#REF!$#REF!"</definedName>
    <definedName name="rkl200_5">"$#REF!.$#REF!$#REF!"</definedName>
    <definedName name="rkl200_7">"$#REF!.$#REF!$#REF!"</definedName>
    <definedName name="rkl200_8">"$#REF!.$#REF!$#REF!"</definedName>
    <definedName name="rkl300_10">"$#REF!.$#REF!$#REF!"</definedName>
    <definedName name="rkl300_12">"$#REF!.$#REF!$#REF!"</definedName>
    <definedName name="rkl300_13">"$#REF!.$#REF!$#REF!"</definedName>
    <definedName name="rkl300_5">"$#REF!.$#REF!$#REF!"</definedName>
    <definedName name="rkl300_7">"$#REF!.$#REF!$#REF!"</definedName>
    <definedName name="rkl300_8">"$#REF!.$#REF!$#REF!"</definedName>
    <definedName name="rkl400_10">"$#REF!.$#REF!$#REF!"</definedName>
    <definedName name="rkl400_12">"$#REF!.$#REF!$#REF!"</definedName>
    <definedName name="rkl400_13">"$#REF!.$#REF!$#REF!"</definedName>
    <definedName name="rkl400_5">"$#REF!.$#REF!$#REF!"</definedName>
    <definedName name="rkl400_7">"$#REF!.$#REF!$#REF!"</definedName>
    <definedName name="rkl400_8">"$#REF!.$#REF!$#REF!"</definedName>
    <definedName name="rkl500_10">"$#REF!.$#REF!$#REF!"</definedName>
    <definedName name="rkl500_12">"$#REF!.$#REF!$#REF!"</definedName>
    <definedName name="rkl500_13">"$#REF!.$#REF!$#REF!"</definedName>
    <definedName name="rkl500_5">"$#REF!.$#REF!$#REF!"</definedName>
    <definedName name="rkl500_7">"$#REF!.$#REF!$#REF!"</definedName>
    <definedName name="rkl500_8">"$#REF!.$#REF!$#REF!"</definedName>
    <definedName name="rkl600_10">"$#REF!.$#REF!$#REF!"</definedName>
    <definedName name="rkl600_12">"$#REF!.$#REF!$#REF!"</definedName>
    <definedName name="rkl600_13">"$#REF!.$#REF!$#REF!"</definedName>
    <definedName name="rkl600_5">"$#REF!.$#REF!$#REF!"</definedName>
    <definedName name="rkl600_7">"$#REF!.$#REF!$#REF!"</definedName>
    <definedName name="rkl600_8">"$#REF!.$#REF!$#REF!"</definedName>
    <definedName name="rkl700_10">"$#REF!.$#REF!$#REF!"</definedName>
    <definedName name="rkl700_12">"$#REF!.$#REF!$#REF!"</definedName>
    <definedName name="rkl700_13">"$#REF!.$#REF!$#REF!"</definedName>
    <definedName name="rkl700_5">"$#REF!.$#REF!$#REF!"</definedName>
    <definedName name="rkl700_7">"$#REF!.$#REF!$#REF!"</definedName>
    <definedName name="rkl700_8">"$#REF!.$#REF!$#REF!"</definedName>
    <definedName name="rkl800_10">"$#REF!.$#REF!$#REF!"</definedName>
    <definedName name="rkl800_12">"$#REF!.$#REF!$#REF!"</definedName>
    <definedName name="rkl800_13">"$#REF!.$#REF!$#REF!"</definedName>
    <definedName name="rkl800_5">"$#REF!.$#REF!$#REF!"</definedName>
    <definedName name="rkl800_7">"$#REF!.$#REF!$#REF!"</definedName>
    <definedName name="rkl800_8">"$#REF!.$#REF!$#REF!"</definedName>
    <definedName name="RMIX12">'[21]Sat-Rap'!$F$18</definedName>
    <definedName name="round1___0">[55]sheet1!$J$3</definedName>
    <definedName name="round1___1">[55]sheet1!$J$3</definedName>
    <definedName name="round1___2">[55]sheet1!$J$3</definedName>
    <definedName name="ROUNDED">'[143]Bill rekap'!$E$19</definedName>
    <definedName name="rukan_a_10">"$#REF!.$#REF!$#REF!"</definedName>
    <definedName name="rukan_a_12">"$#REF!.$#REF!$#REF!"</definedName>
    <definedName name="rukan_a_13">"$#REF!.$#REF!$#REF!"</definedName>
    <definedName name="rukan_a_5">"$#REF!.$#REF!$#REF!"</definedName>
    <definedName name="rukan_a_7">"$#REF!.$#REF!$#REF!"</definedName>
    <definedName name="rukan_a_8">"$#REF!.$#REF!$#REF!"</definedName>
    <definedName name="rukan_aa_10">"$#REF!.$#REF!$#REF!"</definedName>
    <definedName name="rukan_aa_12">"$#REF!.$#REF!$#REF!"</definedName>
    <definedName name="rukan_aa_13">"$#REF!.$#REF!$#REF!"</definedName>
    <definedName name="rukan_aa_5">"$#REF!.$#REF!$#REF!"</definedName>
    <definedName name="rukan_aa_7">"$#REF!.$#REF!$#REF!"</definedName>
    <definedName name="rukan_aa_8">"$#REF!.$#REF!$#REF!"</definedName>
    <definedName name="rukan_b_10">"$#REF!.$#REF!$#REF!"</definedName>
    <definedName name="rukan_b_12">"$#REF!.$#REF!$#REF!"</definedName>
    <definedName name="rukan_b_13">"$#REF!.$#REF!$#REF!"</definedName>
    <definedName name="rukan_b_5">"$#REF!.$#REF!$#REF!"</definedName>
    <definedName name="rukan_b_7">"$#REF!.$#REF!$#REF!"</definedName>
    <definedName name="rukan_b_8">"$#REF!.$#REF!$#REF!"</definedName>
    <definedName name="rukan_c_10">"$#REF!.$#REF!$#REF!"</definedName>
    <definedName name="rukan_c_12">"$#REF!.$#REF!$#REF!"</definedName>
    <definedName name="rukan_c_13">"$#REF!.$#REF!$#REF!"</definedName>
    <definedName name="rukan_c_5">"$#REF!.$#REF!$#REF!"</definedName>
    <definedName name="rukan_c_7">"$#REF!.$#REF!$#REF!"</definedName>
    <definedName name="rukan_c_8">"$#REF!.$#REF!$#REF!"</definedName>
    <definedName name="rukan_cc_10">"$#REF!.$#REF!$#REF!"</definedName>
    <definedName name="rukan_cc_12">"$#REF!.$#REF!$#REF!"</definedName>
    <definedName name="rukan_cc_13">"$#REF!.$#REF!$#REF!"</definedName>
    <definedName name="rukan_cc_5">"$#REF!.$#REF!$#REF!"</definedName>
    <definedName name="rukan_cc_7">"$#REF!.$#REF!$#REF!"</definedName>
    <definedName name="rukan_cc_8">"$#REF!.$#REF!$#REF!"</definedName>
    <definedName name="rukan_d_10">"$#REF!.$#REF!$#REF!"</definedName>
    <definedName name="rukan_d_12">"$#REF!.$#REF!$#REF!"</definedName>
    <definedName name="rukan_d_13">"$#REF!.$#REF!$#REF!"</definedName>
    <definedName name="rukan_d_5">"$#REF!.$#REF!$#REF!"</definedName>
    <definedName name="rukan_d_7">"$#REF!.$#REF!$#REF!"</definedName>
    <definedName name="rukan_d_8">"$#REF!.$#REF!$#REF!"</definedName>
    <definedName name="rukan_dd_10">"$#REF!.$#REF!$#REF!"</definedName>
    <definedName name="rukan_dd_12">"$#REF!.$#REF!$#REF!"</definedName>
    <definedName name="rukan_dd_13">"$#REF!.$#REF!$#REF!"</definedName>
    <definedName name="rukan_dd_5">"$#REF!.$#REF!$#REF!"</definedName>
    <definedName name="rukan_dd_7">"$#REF!.$#REF!$#REF!"</definedName>
    <definedName name="rukan_dd_8">"$#REF!.$#REF!$#REF!"</definedName>
    <definedName name="rukan_e_10">"$#REF!.$#REF!$#REF!"</definedName>
    <definedName name="rukan_e_12">"$#REF!.$#REF!$#REF!"</definedName>
    <definedName name="rukan_e_13">"$#REF!.$#REF!$#REF!"</definedName>
    <definedName name="rukan_e_5">"$#REF!.$#REF!$#REF!"</definedName>
    <definedName name="rukan_e_7">"$#REF!.$#REF!$#REF!"</definedName>
    <definedName name="rukan_e_8">"$#REF!.$#REF!$#REF!"</definedName>
    <definedName name="rukan_ee_10">"$#REF!.$#REF!$#REF!"</definedName>
    <definedName name="rukan_ee_12">"$#REF!.$#REF!$#REF!"</definedName>
    <definedName name="rukan_ee_13">"$#REF!.$#REF!$#REF!"</definedName>
    <definedName name="rukan_ee_5">"$#REF!.$#REF!$#REF!"</definedName>
    <definedName name="rukan_ee_7">"$#REF!.$#REF!$#REF!"</definedName>
    <definedName name="rukan_ee_8">"$#REF!.$#REF!$#REF!"</definedName>
    <definedName name="RUPIAH">[144]Markup!$I$76</definedName>
    <definedName name="R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" localSheetId="9">'Pas. Dinding'!SA</definedName>
    <definedName name="SA" localSheetId="12">'TABEL BAJA'!SA</definedName>
    <definedName name="SA">[16]!SA</definedName>
    <definedName name="SAG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m" localSheetId="9" hidden="1">#REF!</definedName>
    <definedName name="sam" localSheetId="0" hidden="1">#REF!</definedName>
    <definedName name="sam" localSheetId="7" hidden="1">#REF!</definedName>
    <definedName name="sam" localSheetId="13" hidden="1">#REF!</definedName>
    <definedName name="sam" localSheetId="8" hidden="1">#REF!</definedName>
    <definedName name="sam" localSheetId="12" hidden="1">#REF!</definedName>
    <definedName name="sam" hidden="1">#REF!</definedName>
    <definedName name="sda" hidden="1">#N/A</definedName>
    <definedName name="SDS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.C1" localSheetId="9" hidden="1">#REF!</definedName>
    <definedName name="SEC.C1" localSheetId="0" hidden="1">#REF!</definedName>
    <definedName name="SEC.C1" localSheetId="7" hidden="1">#REF!</definedName>
    <definedName name="SEC.C1" localSheetId="13" hidden="1">#REF!</definedName>
    <definedName name="SEC.C1" localSheetId="8" hidden="1">#REF!</definedName>
    <definedName name="SEC.C1" localSheetId="12" hidden="1">#REF!</definedName>
    <definedName name="SEC.C1" hidden="1">#REF!</definedName>
    <definedName name="Section_8_Title_12">'[145]Fill this out first___'!$I$7</definedName>
    <definedName name="Section_8_Title_9">'[146]Fill this out first___'!$I$7</definedName>
    <definedName name="semen_40">'[32]Daf-Harga'!$H$89</definedName>
    <definedName name="semen_50">'[32]Daf-Harga'!$H$90</definedName>
    <definedName name="Semen_pc_tiga_roda_50_kg">[147]Bahan!$C$44</definedName>
    <definedName name="Semen_Putih">[31]BAHAN!$C$39</definedName>
    <definedName name="semenwarna">'[76]HB '!$F$54</definedName>
    <definedName name="sg_10">"$#REF!.$#REF!$#REF!"</definedName>
    <definedName name="sg_12">"$#REF!.$#REF!$#REF!"</definedName>
    <definedName name="sg_13">"$#REF!.$#REF!$#REF!"</definedName>
    <definedName name="sg_5">"$#REF!.$#REF!$#REF!"</definedName>
    <definedName name="sg_7">"$#REF!.$#REF!$#REF!"</definedName>
    <definedName name="sg_8">"$#REF!.$#REF!$#REF!"</definedName>
    <definedName name="siku">[22]harga!$F$39</definedName>
    <definedName name="siku40">'[76]HB '!$F$69</definedName>
    <definedName name="sinfchannelamp">'[53]TE TS FA LAN MATV'!$F$86</definedName>
    <definedName name="sinkromate">[22]harga!$F$175</definedName>
    <definedName name="sir">[148]PERSI!$H$12</definedName>
    <definedName name="SK" localSheetId="9" hidden="1">#REF!</definedName>
    <definedName name="SK" localSheetId="0" hidden="1">#REF!</definedName>
    <definedName name="SK" localSheetId="7" hidden="1">#REF!</definedName>
    <definedName name="SK" localSheetId="13" hidden="1">#REF!</definedName>
    <definedName name="SK" localSheetId="8" hidden="1">#REF!</definedName>
    <definedName name="SK" hidden="1">#REF!</definedName>
    <definedName name="slot_endela">[31]DATA!$G$33</definedName>
    <definedName name="smu">'[149]ANALISA PEK.UMUM'!$A$1:$G$3834</definedName>
    <definedName name="solignum">[31]DATA!$G$40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rt" localSheetId="9" hidden="1">#REF!</definedName>
    <definedName name="sort" localSheetId="0" hidden="1">#REF!</definedName>
    <definedName name="sort" localSheetId="7" hidden="1">#REF!</definedName>
    <definedName name="sort" localSheetId="13" hidden="1">#REF!</definedName>
    <definedName name="sort" localSheetId="8" hidden="1">#REF!</definedName>
    <definedName name="sort" localSheetId="12" hidden="1">#REF!</definedName>
    <definedName name="sort" hidden="1">#REF!</definedName>
    <definedName name="SPEC">[150]upah!$D$24</definedName>
    <definedName name="SpecialPrice" localSheetId="9" hidden="1">#REF!</definedName>
    <definedName name="SpecialPrice" localSheetId="0" hidden="1">#REF!</definedName>
    <definedName name="SpecialPrice" localSheetId="7" hidden="1">#REF!</definedName>
    <definedName name="SpecialPrice" localSheetId="13" hidden="1">#REF!</definedName>
    <definedName name="SpecialPrice" localSheetId="8" hidden="1">#REF!</definedName>
    <definedName name="SpecialPrice" hidden="1">#REF!</definedName>
    <definedName name="spf">[8]Ahs.2!$L$334</definedName>
    <definedName name="split___0">[55]sheet1!$H$10</definedName>
    <definedName name="split___1">[55]sheet1!$H$10</definedName>
    <definedName name="split___2">[55]sheet1!$H$10</definedName>
    <definedName name="spp" hidden="1">#N/A</definedName>
    <definedName name="sputih">[100]harga!$E$236</definedName>
    <definedName name="ssss_10">"$#REF!.$#REF!$#REF!"</definedName>
    <definedName name="ssss_12">"$#REF!.$#REF!$#REF!"</definedName>
    <definedName name="ssss_13">"$#REF!.$#REF!$#REF!"</definedName>
    <definedName name="ssss_5">"$#REF!.$#REF!$#REF!"</definedName>
    <definedName name="ssss_7">"$#REF!.$#REF!$#REF!"</definedName>
    <definedName name="ssss_8">"$#REF!.$#REF!$#REF!"</definedName>
    <definedName name="st_10">"$#REF!.$#REF!$#REF!"</definedName>
    <definedName name="st_12">"$#REF!.$#REF!$#REF!"</definedName>
    <definedName name="st_13">"$#REF!.$#REF!$#REF!"</definedName>
    <definedName name="st_5">"$#REF!.$#REF!$#REF!"</definedName>
    <definedName name="st_7">"$#REF!.$#REF!$#REF!"</definedName>
    <definedName name="st_8">"$#REF!.$#REF!$#REF!"</definedName>
    <definedName name="STALL_10">"$#REF!.$#REF!$#REF!"</definedName>
    <definedName name="STALL_13">"$#REF!.$#REF!$#REF!"</definedName>
    <definedName name="STALL_5">"$#REF!.$#REF!$#REF!"</definedName>
    <definedName name="STEN">'[21]Sat-Rap'!$F$13</definedName>
    <definedName name="sten12">'[76]HB '!$F$45</definedName>
    <definedName name="stenslag">[22]harga!$F$267</definedName>
    <definedName name="su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GENG" localSheetId="9">'Pas. Dinding'!SUGENG</definedName>
    <definedName name="SUGENG" localSheetId="12">'TABEL BAJA'!SUGENG</definedName>
    <definedName name="SUGENG">[16]!SUGENG</definedName>
    <definedName name="SW___2">[59]Anls!$E$59</definedName>
    <definedName name="SW___3">[59]Anls!$E$59</definedName>
    <definedName name="S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">NA()</definedName>
    <definedName name="T.061">[113]TENAGA!$E$13</definedName>
    <definedName name="T.073">[112]TENAGA!$E$17</definedName>
    <definedName name="T.079">[112]TENAGA!$E$18</definedName>
    <definedName name="T.081">[113]TENAGA!$E$18</definedName>
    <definedName name="T.083">[113]TENAGA!$E$20</definedName>
    <definedName name="T.091">[113]TENAGA!$E$21</definedName>
    <definedName name="T.093">[113]TENAGA!$E$23</definedName>
    <definedName name="T.101">[113]TENAGA!$E$24</definedName>
    <definedName name="T.103">[112]TENAGA!$E$26</definedName>
    <definedName name="T.106">[113]TENAGA!$E$26</definedName>
    <definedName name="table" localSheetId="9" hidden="1">[80]H.Satuan!#REF!</definedName>
    <definedName name="table" localSheetId="0" hidden="1">[80]H.Satuan!#REF!</definedName>
    <definedName name="table" localSheetId="13" hidden="1">[80]H.Satuan!#REF!</definedName>
    <definedName name="table" localSheetId="12" hidden="1">[80]H.Satuan!#REF!</definedName>
    <definedName name="table" hidden="1">[80]H.Satuan!#REF!</definedName>
    <definedName name="tanahtaman">'[76]HB '!$F$185</definedName>
    <definedName name="TANAHURUG">[41]S.BAHAN!$K$21</definedName>
    <definedName name="tanjd" localSheetId="9" hidden="1">[80]H.Satuan!#REF!</definedName>
    <definedName name="tanjd" localSheetId="0" hidden="1">[80]H.Satuan!#REF!</definedName>
    <definedName name="tanjd" localSheetId="13" hidden="1">[80]H.Satuan!#REF!</definedName>
    <definedName name="tanjd" localSheetId="12" hidden="1">[80]H.Satuan!#REF!</definedName>
    <definedName name="tanjd" hidden="1">[80]H.Satuan!#REF!</definedName>
    <definedName name="tasnim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ur">'[5]Sat Bah &amp; Up'!$G$30</definedName>
    <definedName name="TaxTV">10%</definedName>
    <definedName name="TaxXL">5%</definedName>
    <definedName name="TBBT">'[106]Harsat Upah'!$E$24</definedName>
    <definedName name="tbl_ProdInfo" localSheetId="9" hidden="1">#REF!</definedName>
    <definedName name="tbl_ProdInfo" localSheetId="0" hidden="1">#REF!</definedName>
    <definedName name="tbl_ProdInfo" localSheetId="7" hidden="1">#REF!</definedName>
    <definedName name="tbl_ProdInfo" localSheetId="13" hidden="1">#REF!</definedName>
    <definedName name="tbl_ProdInfo" localSheetId="8" hidden="1">#REF!</definedName>
    <definedName name="tbl_ProdInfo" localSheetId="12" hidden="1">#REF!</definedName>
    <definedName name="tbl_ProdInfo" hidden="1">#REF!</definedName>
    <definedName name="TBPT">'[106]Harsat Upah'!$E$27</definedName>
    <definedName name="tbs">[121]Harsat!$F$60</definedName>
    <definedName name="tbset">'[5]Sat Bah &amp; Up'!$G$9</definedName>
    <definedName name="TCST">'[106]Harsat Upah'!$E$20</definedName>
    <definedName name="tcter">'[5]Sat Bah &amp; Up'!$G$13</definedName>
    <definedName name="ter" localSheetId="9" hidden="1">[151]H.Satuan!#REF!</definedName>
    <definedName name="ter" localSheetId="7" hidden="1">[151]H.Satuan!#REF!</definedName>
    <definedName name="ter" localSheetId="13" hidden="1">[151]H.Satuan!#REF!</definedName>
    <definedName name="ter" localSheetId="8" hidden="1">[151]H.Satuan!#REF!</definedName>
    <definedName name="ter" localSheetId="12" hidden="1">[151]H.Satuan!#REF!</definedName>
    <definedName name="ter" hidden="1">[151]H.Satuan!#REF!</definedName>
    <definedName name="th" localSheetId="9">'Pas. Dinding'!th</definedName>
    <definedName name="th" localSheetId="12">'TABEL BAJA'!th</definedName>
    <definedName name="th">[16]!th</definedName>
    <definedName name="th___2" localSheetId="4">[140]!aber2___5</definedName>
    <definedName name="th___2" localSheetId="9">[0]!aber2___5</definedName>
    <definedName name="th___2" localSheetId="0">[0]!aber2___5</definedName>
    <definedName name="th___2" localSheetId="6">[140]!aber2___5</definedName>
    <definedName name="th___2" localSheetId="7">[140]!aber2___5</definedName>
    <definedName name="th___2" localSheetId="5">[140]!aber2___5</definedName>
    <definedName name="th___2" localSheetId="12">[140]!aber2___5</definedName>
    <definedName name="th___2">[141]!aber2___5</definedName>
    <definedName name="THA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P2___0">NA()</definedName>
    <definedName name="THP2___1">NA()</definedName>
    <definedName name="THP2___2">NA()</definedName>
    <definedName name="THP2___3">NA()</definedName>
    <definedName name="THP2___4">NA()</definedName>
    <definedName name="THP2___5">NA()</definedName>
    <definedName name="Tiner_A">[31]BAHAN!$C$77</definedName>
    <definedName name="Tiner_B">[31]BAHAN!$C$78</definedName>
    <definedName name="TK_03A">'[152]HRG BHN'!$G$456</definedName>
    <definedName name="TK_03B">'[153]HRG BHN'!$G$457</definedName>
    <definedName name="TK_04">'[152]HRG BHN'!$G$459</definedName>
    <definedName name="TK_04A">'[152]HRG BHN'!$G$460</definedName>
    <definedName name="TK_04B">'[153]HRG BHN'!$G$461</definedName>
    <definedName name="tk_batu">[154]harsat!$K$69</definedName>
    <definedName name="tk_besi">[154]harsat!$K$70</definedName>
    <definedName name="tk_bobokan">[154]harsat!$K$71</definedName>
    <definedName name="tkbesi">'[73]Sat Upah'!$I$16</definedName>
    <definedName name="tkcat">'[76]HB '!$F$205</definedName>
    <definedName name="tkgali">'[76]HB '!$F$201</definedName>
    <definedName name="tkset">'[5]Sat Bah &amp; Up'!$G$18</definedName>
    <definedName name="tl1x36bimc_10">"$#REF!.$#REF!$#REF!"</definedName>
    <definedName name="tl1x36bimc_12">"$#REF!.$#REF!$#REF!"</definedName>
    <definedName name="tl1x36bimc_13">"$#REF!.$#REF!$#REF!"</definedName>
    <definedName name="tl1x36bimc_5">"$#REF!.$#REF!$#REF!"</definedName>
    <definedName name="tl1x36bimc_7">"$#REF!.$#REF!$#REF!"</definedName>
    <definedName name="tl1x36bimc_8">"$#REF!.$#REF!$#REF!"</definedName>
    <definedName name="tla2x18iac_10">"$#REF!.$#REF!$#REF!"</definedName>
    <definedName name="tla2x18iac_12">"$#REF!.$#REF!$#REF!"</definedName>
    <definedName name="tla2x18iac_13">"$#REF!.$#REF!$#REF!"</definedName>
    <definedName name="tla2x18iac_5">"$#REF!.$#REF!$#REF!"</definedName>
    <definedName name="tla2x18iac_7">"$#REF!.$#REF!$#REF!"</definedName>
    <definedName name="tla2x18iac_8">"$#REF!.$#REF!$#REF!"</definedName>
    <definedName name="tla2x18iacbimc_10">"$#REF!.$#REF!$#REF!"</definedName>
    <definedName name="tla2x18iacbimc_12">"$#REF!.$#REF!$#REF!"</definedName>
    <definedName name="tla2x18iacbimc_13">"$#REF!.$#REF!$#REF!"</definedName>
    <definedName name="tla2x18iacbimc_5">"$#REF!.$#REF!$#REF!"</definedName>
    <definedName name="tla2x18iacbimc_7">"$#REF!.$#REF!$#REF!"</definedName>
    <definedName name="tla2x18iacbimc_8">"$#REF!.$#REF!$#REF!"</definedName>
    <definedName name="tlb1x18_10">"$#REF!.$#REF!$#REF!"</definedName>
    <definedName name="tlb1x18_12">"$#REF!.$#REF!$#REF!"</definedName>
    <definedName name="tlb1x18_13">"$#REF!.$#REF!$#REF!"</definedName>
    <definedName name="tlb1x18_5">"$#REF!.$#REF!$#REF!"</definedName>
    <definedName name="tlb1x18_7">"$#REF!.$#REF!$#REF!"</definedName>
    <definedName name="tlb1x18_8">"$#REF!.$#REF!$#REF!"</definedName>
    <definedName name="tlb1x36_10">"$#REF!.$#REF!$#REF!:$#REF!$#REF!"</definedName>
    <definedName name="tlb1x36_12">"$#REF!.$#REF!$#REF!:$#REF!$#REF!"</definedName>
    <definedName name="tlb1x36_13">"$#REF!.$#REF!$#REF!:$#REF!$#REF!"</definedName>
    <definedName name="tlb1x36_5">"$#REF!.$#REF!$#REF!:$#REF!$#REF!"</definedName>
    <definedName name="tlb1x36_7">"$#REF!.$#REF!$#REF!:$#REF!$#REF!"</definedName>
    <definedName name="tlb1x36_8">"$#REF!.$#REF!$#REF!:$#REF!$#REF!"</definedName>
    <definedName name="tlb1x36bimc_10">"$#REF!.$#REF!$#REF!"</definedName>
    <definedName name="tlb1x36bimc_12">"$#REF!.$#REF!$#REF!"</definedName>
    <definedName name="tlb1x36bimc_13">"$#REF!.$#REF!$#REF!"</definedName>
    <definedName name="tlb1x36bimc_5">"$#REF!.$#REF!$#REF!"</definedName>
    <definedName name="tlb1x36bimc_7">"$#REF!.$#REF!$#REF!"</definedName>
    <definedName name="tlb1x36bimc_8">"$#REF!.$#REF!$#REF!"</definedName>
    <definedName name="tlb1x36w_10">"$#REF!.$#REF!$#REF!"</definedName>
    <definedName name="tlb1x36w_12">"$#REF!.$#REF!$#REF!"</definedName>
    <definedName name="tlb1x36w_13">"$#REF!.$#REF!$#REF!"</definedName>
    <definedName name="tlb1x36w_5">"$#REF!.$#REF!$#REF!"</definedName>
    <definedName name="tlb1x36w_7">"$#REF!.$#REF!$#REF!"</definedName>
    <definedName name="tlb1x36w_8">"$#REF!.$#REF!$#REF!"</definedName>
    <definedName name="tlbk1x36_10">"$#REF!.$#REF!$#REF!"</definedName>
    <definedName name="tlbk1x36_12">"$#REF!.$#REF!$#REF!"</definedName>
    <definedName name="tlbk1x36_13">"$#REF!.$#REF!$#REF!"</definedName>
    <definedName name="tlbk1x36_5">"$#REF!.$#REF!$#REF!"</definedName>
    <definedName name="tlbk1x36_7">"$#REF!.$#REF!$#REF!"</definedName>
    <definedName name="tlbk1x36_8">"$#REF!.$#REF!$#REF!"</definedName>
    <definedName name="tlbvs2x18_10">"$#REF!.$#REF!$#REF!"</definedName>
    <definedName name="tlbvs2x18_12">"$#REF!.$#REF!$#REF!"</definedName>
    <definedName name="tlbvs2x18_13">"$#REF!.$#REF!$#REF!"</definedName>
    <definedName name="tlbvs2x18_5">"$#REF!.$#REF!$#REF!"</definedName>
    <definedName name="tlbvs2x18_7">"$#REF!.$#REF!$#REF!"</definedName>
    <definedName name="tlbvs2x18_8">"$#REF!.$#REF!$#REF!"</definedName>
    <definedName name="tlbvs2x18bimc_10">"$#REF!.$#REF!$#REF!"</definedName>
    <definedName name="tlbvs2x18bimc_12">"$#REF!.$#REF!$#REF!"</definedName>
    <definedName name="tlbvs2x18bimc_13">"$#REF!.$#REF!$#REF!"</definedName>
    <definedName name="tlbvs2x18bimc_5">"$#REF!.$#REF!$#REF!"</definedName>
    <definedName name="tlbvs2x18bimc_7">"$#REF!.$#REF!$#REF!"</definedName>
    <definedName name="tlbvs2x18bimc_8">"$#REF!.$#REF!$#REF!"</definedName>
    <definedName name="tlc20_10">"$#REF!.$#REF!$#REF!"</definedName>
    <definedName name="tlc20_12">"$#REF!.$#REF!$#REF!"</definedName>
    <definedName name="tlc20_13">"$#REF!.$#REF!$#REF!"</definedName>
    <definedName name="tlc20_5">"$#REF!.$#REF!$#REF!"</definedName>
    <definedName name="tlc20_7">"$#REF!.$#REF!$#REF!"</definedName>
    <definedName name="tlc20_8">"$#REF!.$#REF!$#REF!"</definedName>
    <definedName name="tlc20bimc_10">"$#REF!.$#REF!$#REF!"</definedName>
    <definedName name="tlc20bimc_12">"$#REF!.$#REF!$#REF!"</definedName>
    <definedName name="tlc20bimc_13">"$#REF!.$#REF!$#REF!"</definedName>
    <definedName name="tlc20bimc_5">"$#REF!.$#REF!$#REF!"</definedName>
    <definedName name="tlc20bimc_7">"$#REF!.$#REF!$#REF!"</definedName>
    <definedName name="tlc20bimc_8">"$#REF!.$#REF!$#REF!"</definedName>
    <definedName name="tltko2x36_10">"$#REF!.$#REF!$#REF!"</definedName>
    <definedName name="tltko2x36_12">"$#REF!.$#REF!$#REF!"</definedName>
    <definedName name="tltko2x36_13">"$#REF!.$#REF!$#REF!"</definedName>
    <definedName name="tltko2x36_5">"$#REF!.$#REF!$#REF!"</definedName>
    <definedName name="tltko2x36_7">"$#REF!.$#REF!$#REF!"</definedName>
    <definedName name="tltko2x36_8">"$#REF!.$#REF!$#REF!"</definedName>
    <definedName name="tltko2x36bimc_10">"$#REF!.$#REF!$#REF!"</definedName>
    <definedName name="tltko2x36bimc_12">"$#REF!.$#REF!$#REF!"</definedName>
    <definedName name="tltko2x36bimc_13">"$#REF!.$#REF!$#REF!"</definedName>
    <definedName name="tltko2x36bimc_5">"$#REF!.$#REF!$#REF!"</definedName>
    <definedName name="tltko2x36bimc_7">"$#REF!.$#REF!$#REF!"</definedName>
    <definedName name="tltko2x36bimc_8">"$#REF!.$#REF!$#REF!"</definedName>
    <definedName name="Toile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tal_Payment_12">NA()</definedName>
    <definedName name="Total_Payment_9">NA()</definedName>
    <definedName name="tplek4">[22]harga!$F$286</definedName>
    <definedName name="tplek6">[22]harga!$F$287</definedName>
    <definedName name="TRAY___0">[97]price!$B$107:$Q$161</definedName>
    <definedName name="Triplek_3_mm">'[99]Daftar Harga'!$G$108</definedName>
    <definedName name="Try___1">[59]Anls!$E$36</definedName>
    <definedName name="Try___2">[59]Anls!$E$36</definedName>
    <definedName name="Try___3">[59]Anls!$E$36</definedName>
    <definedName name="tsI3___0" localSheetId="4">[140]!abfv80___2</definedName>
    <definedName name="tsI3___0" localSheetId="9">[0]!abfv80___2</definedName>
    <definedName name="tsI3___0" localSheetId="0">[0]!abfv80___2</definedName>
    <definedName name="tsI3___0" localSheetId="6">[140]!abfv80___2</definedName>
    <definedName name="tsI3___0" localSheetId="7">[140]!abfv80___2</definedName>
    <definedName name="tsI3___0" localSheetId="5">[140]!abfv80___2</definedName>
    <definedName name="tsI3___0" localSheetId="12">[140]!abfv80___2</definedName>
    <definedName name="tsI3___0">[141]!abfv80___2</definedName>
    <definedName name="TT___0">[59]Anls!$E$42</definedName>
    <definedName name="TT___1">[155]Anls!$E$42</definedName>
    <definedName name="TT___2">[155]Anls!$E$42</definedName>
    <definedName name="tuk_cat">'[32]Daf-Harga'!$H$22</definedName>
    <definedName name="Tukang_Cat_Pelitur_Terampil">[31]UPAH!$D$17</definedName>
    <definedName name="TV.Nas___1">[29]Anls!$E$35</definedName>
    <definedName name="TV.Nas___2">[29]Anls!$E$35</definedName>
    <definedName name="TV.Nas___3">[29]Anls!$E$35</definedName>
    <definedName name="TV.Phil___1">[29]Anls!$E$39</definedName>
    <definedName name="TV.Phil___2">[29]Anls!$E$39</definedName>
    <definedName name="TV.Phil___3">[29]Anls!$E$39</definedName>
    <definedName name="tyi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lir">[22]harga!$F$38</definedName>
    <definedName name="umeranti">[22]harga!$F$114</definedName>
    <definedName name="umum" localSheetId="9">'Pas. Dinding'!umum</definedName>
    <definedName name="umum" localSheetId="12">'TABEL BAJA'!umum</definedName>
    <definedName name="umum">[16]!umum</definedName>
    <definedName name="uruganlimestone">'[47]Analisa Harga'!$H$71</definedName>
    <definedName name="uruganmacadam">[44]Analisa!$I$74</definedName>
    <definedName name="urugsirtupadat">[156]Analisa!$I$67</definedName>
    <definedName name="urukan">[30]URUKAN!$G$40</definedName>
    <definedName name="USUKBKR">'[21]Sat-Rap'!$F$42</definedName>
    <definedName name="uu" localSheetId="9" hidden="1">[157]H.Satuan!#REF!</definedName>
    <definedName name="uu" localSheetId="0" hidden="1">[157]H.Satuan!#REF!</definedName>
    <definedName name="uu" localSheetId="7" hidden="1">[157]H.Satuan!#REF!</definedName>
    <definedName name="uu" localSheetId="13" hidden="1">[157]H.Satuan!#REF!</definedName>
    <definedName name="uu" localSheetId="8" hidden="1">[157]H.Satuan!#REF!</definedName>
    <definedName name="uu" localSheetId="12" hidden="1">[157]H.Satuan!#REF!</definedName>
    <definedName name="uu" hidden="1">[157]H.Satuan!#REF!</definedName>
    <definedName name="V_2___0">[158]Pipe!$A$12:$I$33</definedName>
    <definedName name="V_2___1">[158]Pipe!$A$12:$I$33</definedName>
    <definedName name="V_2___2">[158]Pipe!$A$12:$I$33</definedName>
    <definedName name="V_2___3">[158]Pipe!$A$12:$I$33</definedName>
    <definedName name="val___0">[159]Pipe!$A$12:$I$31</definedName>
    <definedName name="val___1">[159]Pipe!$A$12:$I$31</definedName>
    <definedName name="val___2">[159]Pipe!$A$12:$I$31</definedName>
    <definedName name="val___3">[159]Pipe!$A$12:$I$31</definedName>
    <definedName name="vnt100_10">"$#REF!.$#REF!$#REF!"</definedName>
    <definedName name="vnt100_12">"$#REF!.$#REF!$#REF!"</definedName>
    <definedName name="vnt100_13">"$#REF!.$#REF!$#REF!"</definedName>
    <definedName name="vnt100_5">"$#REF!.$#REF!$#REF!"</definedName>
    <definedName name="vnt100_7">"$#REF!.$#REF!$#REF!"</definedName>
    <definedName name="vnt100_8">"$#REF!.$#REF!$#REF!"</definedName>
    <definedName name="vnt40_10">"$#REF!.$#REF!$#REF!"</definedName>
    <definedName name="vnt40_12">"$#REF!.$#REF!$#REF!"</definedName>
    <definedName name="vnt40_13">"$#REF!.$#REF!$#REF!"</definedName>
    <definedName name="vnt40_5">"$#REF!.$#REF!$#REF!"</definedName>
    <definedName name="vnt40_7">"$#REF!.$#REF!$#REF!"</definedName>
    <definedName name="vnt40_8">"$#REF!.$#REF!$#REF!"</definedName>
    <definedName name="vnt50_10">"$#REF!.$#REF!$#REF!"</definedName>
    <definedName name="vnt50_12">"$#REF!.$#REF!$#REF!"</definedName>
    <definedName name="vnt50_13">"$#REF!.$#REF!$#REF!"</definedName>
    <definedName name="vnt50_5">"$#REF!.$#REF!$#REF!"</definedName>
    <definedName name="vnt50_7">"$#REF!.$#REF!$#REF!"</definedName>
    <definedName name="vnt50_8">"$#REF!.$#REF!$#REF!"</definedName>
    <definedName name="vnt80_10">"$#REF!.$#REF!$#REF!"</definedName>
    <definedName name="vnt80_12">"$#REF!.$#REF!$#REF!"</definedName>
    <definedName name="vnt80_13">"$#REF!.$#REF!$#REF!"</definedName>
    <definedName name="vnt80_5">"$#REF!.$#REF!$#REF!"</definedName>
    <definedName name="vnt80_7">"$#REF!.$#REF!$#REF!"</definedName>
    <definedName name="vnt80_8">"$#REF!.$#REF!$#REF!"</definedName>
    <definedName name="vntf100_10">"$#REF!.$#REF!$#REF!"</definedName>
    <definedName name="vntf100_12">"$#REF!.$#REF!$#REF!"</definedName>
    <definedName name="vntf100_13">"$#REF!.$#REF!$#REF!"</definedName>
    <definedName name="vntf100_5">"$#REF!.$#REF!$#REF!"</definedName>
    <definedName name="vntf100_7">"$#REF!.$#REF!$#REF!"</definedName>
    <definedName name="vntf100_8">"$#REF!.$#REF!$#REF!"</definedName>
    <definedName name="vntf80_10">"$#REF!.$#REF!$#REF!"</definedName>
    <definedName name="vntf80_12">"$#REF!.$#REF!$#REF!"</definedName>
    <definedName name="vntf80_13">"$#REF!.$#REF!$#REF!"</definedName>
    <definedName name="vntf80_5">"$#REF!.$#REF!$#REF!"</definedName>
    <definedName name="vntf80_7">"$#REF!.$#REF!$#REF!"</definedName>
    <definedName name="vntf80_8">"$#REF!.$#REF!$#REF!"</definedName>
    <definedName name="VVV" localSheetId="9" hidden="1">[160]LOADDAT!#REF!</definedName>
    <definedName name="VVV" localSheetId="0" hidden="1">[160]LOADDAT!#REF!</definedName>
    <definedName name="VVV" localSheetId="7" hidden="1">[160]LOADDAT!#REF!</definedName>
    <definedName name="VVV" localSheetId="13" hidden="1">[160]LOADDAT!#REF!</definedName>
    <definedName name="VVV" localSheetId="8" hidden="1">[160]LOADDAT!#REF!</definedName>
    <definedName name="VVV" localSheetId="12" hidden="1">[160]LOADDAT!#REF!</definedName>
    <definedName name="VVV" hidden="1">[160]LOADDAT!#REF!</definedName>
    <definedName name="vvvvvvv" localSheetId="9" hidden="1">[157]H.Satuan!#REF!</definedName>
    <definedName name="vvvvvvv" localSheetId="7" hidden="1">[157]H.Satuan!#REF!</definedName>
    <definedName name="vvvvvvv" localSheetId="13" hidden="1">[157]H.Satuan!#REF!</definedName>
    <definedName name="vvvvvvv" localSheetId="8" hidden="1">[157]H.Satuan!#REF!</definedName>
    <definedName name="vvvvvvv" localSheetId="12" hidden="1">[157]H.Satuan!#REF!</definedName>
    <definedName name="vvvvvvv" hidden="1">[157]H.Satuan!#REF!</definedName>
    <definedName name="WASHING_10">"$#REF!.$#REF!#REF!"</definedName>
    <definedName name="WASHING_13">"$#REF!.$#REF!#REF!"</definedName>
    <definedName name="WASHING_5">"$#REF!.$#REF!#REF!"</definedName>
    <definedName name="Wastafel_Bulat_Warna_Standard_Lengkap">[31]BAHAN!$C$138</definedName>
    <definedName name="Wastafel_Lengkap_INA">[31]BAHAN!$C$133</definedName>
    <definedName name="Wastafel_Lengkap_TOTO_LW_230">[31]BAHAN!$C$132</definedName>
    <definedName name="Water_Profing_Membrance">[31]BAHAN!$C$59</definedName>
    <definedName name="watertanker">'[30]DAFTAR ALAT'!$H$27</definedName>
    <definedName name="wayan" localSheetId="15" hidden="1">{#N/A,#N/A,FALSE,"Chi tiÆt"}</definedName>
    <definedName name="wayan" localSheetId="9" hidden="1">{#N/A,#N/A,FALSE,"Chi tiÆt"}</definedName>
    <definedName name="wayan" localSheetId="0" hidden="1">{#N/A,#N/A,FALSE,"Chi tiÆt"}</definedName>
    <definedName name="wayan" localSheetId="7" hidden="1">{#N/A,#N/A,FALSE,"Chi tiÆt"}</definedName>
    <definedName name="wayan" localSheetId="13" hidden="1">{#N/A,#N/A,FALSE,"Chi tiÆt"}</definedName>
    <definedName name="wayan" localSheetId="8" hidden="1">{#N/A,#N/A,FALSE,"Chi tiÆt"}</definedName>
    <definedName name="wayan" localSheetId="12" hidden="1">{#N/A,#N/A,FALSE,"Chi tiÆt"}</definedName>
    <definedName name="wayan" hidden="1">{#N/A,#N/A,FALSE,"Chi tiÆt"}</definedName>
    <definedName name="wayan_2" localSheetId="15" hidden="1">{#N/A,#N/A,FALSE,"Chi tiÆt"}</definedName>
    <definedName name="wayan_2" localSheetId="9" hidden="1">{#N/A,#N/A,FALSE,"Chi tiÆt"}</definedName>
    <definedName name="wayan_2" localSheetId="0" hidden="1">{#N/A,#N/A,FALSE,"Chi tiÆt"}</definedName>
    <definedName name="wayan_2" localSheetId="7" hidden="1">{#N/A,#N/A,FALSE,"Chi tiÆt"}</definedName>
    <definedName name="wayan_2" localSheetId="13" hidden="1">{#N/A,#N/A,FALSE,"Chi tiÆt"}</definedName>
    <definedName name="wayan_2" localSheetId="8" hidden="1">{#N/A,#N/A,FALSE,"Chi tiÆt"}</definedName>
    <definedName name="wayan_2" localSheetId="12" hidden="1">{#N/A,#N/A,FALSE,"Chi tiÆt"}</definedName>
    <definedName name="wayan_2" hidden="1">{#N/A,#N/A,FALSE,"Chi tiÆt"}</definedName>
    <definedName name="wayan_3" localSheetId="15" hidden="1">{#N/A,#N/A,FALSE,"Chi tiÆt"}</definedName>
    <definedName name="wayan_3" localSheetId="9" hidden="1">{#N/A,#N/A,FALSE,"Chi tiÆt"}</definedName>
    <definedName name="wayan_3" localSheetId="0" hidden="1">{#N/A,#N/A,FALSE,"Chi tiÆt"}</definedName>
    <definedName name="wayan_3" localSheetId="7" hidden="1">{#N/A,#N/A,FALSE,"Chi tiÆt"}</definedName>
    <definedName name="wayan_3" localSheetId="13" hidden="1">{#N/A,#N/A,FALSE,"Chi tiÆt"}</definedName>
    <definedName name="wayan_3" localSheetId="8" hidden="1">{#N/A,#N/A,FALSE,"Chi tiÆt"}</definedName>
    <definedName name="wayan_3" localSheetId="12" hidden="1">{#N/A,#N/A,FALSE,"Chi tiÆt"}</definedName>
    <definedName name="wayan_3" hidden="1">{#N/A,#N/A,FALSE,"Chi tiÆt"}</definedName>
    <definedName name="wayan_4" localSheetId="15" hidden="1">{#N/A,#N/A,FALSE,"Chi tiÆt"}</definedName>
    <definedName name="wayan_4" localSheetId="9" hidden="1">{#N/A,#N/A,FALSE,"Chi tiÆt"}</definedName>
    <definedName name="wayan_4" localSheetId="0" hidden="1">{#N/A,#N/A,FALSE,"Chi tiÆt"}</definedName>
    <definedName name="wayan_4" localSheetId="7" hidden="1">{#N/A,#N/A,FALSE,"Chi tiÆt"}</definedName>
    <definedName name="wayan_4" localSheetId="13" hidden="1">{#N/A,#N/A,FALSE,"Chi tiÆt"}</definedName>
    <definedName name="wayan_4" localSheetId="8" hidden="1">{#N/A,#N/A,FALSE,"Chi tiÆt"}</definedName>
    <definedName name="wayan_4" localSheetId="12" hidden="1">{#N/A,#N/A,FALSE,"Chi tiÆt"}</definedName>
    <definedName name="wayan_4" hidden="1">{#N/A,#N/A,FALSE,"Chi tiÆt"}</definedName>
    <definedName name="wayan_5" localSheetId="15" hidden="1">{#N/A,#N/A,FALSE,"Chi tiÆt"}</definedName>
    <definedName name="wayan_5" localSheetId="9" hidden="1">{#N/A,#N/A,FALSE,"Chi tiÆt"}</definedName>
    <definedName name="wayan_5" localSheetId="0" hidden="1">{#N/A,#N/A,FALSE,"Chi tiÆt"}</definedName>
    <definedName name="wayan_5" localSheetId="7" hidden="1">{#N/A,#N/A,FALSE,"Chi tiÆt"}</definedName>
    <definedName name="wayan_5" localSheetId="13" hidden="1">{#N/A,#N/A,FALSE,"Chi tiÆt"}</definedName>
    <definedName name="wayan_5" localSheetId="8" hidden="1">{#N/A,#N/A,FALSE,"Chi tiÆt"}</definedName>
    <definedName name="wayan_5" localSheetId="12" hidden="1">{#N/A,#N/A,FALSE,"Chi tiÆt"}</definedName>
    <definedName name="wayan_5" hidden="1">{#N/A,#N/A,FALSE,"Chi tiÆt"}</definedName>
    <definedName name="wedus" hidden="1">#N/A</definedName>
    <definedName name="wee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l_loder_1.7">'[32]Daf-Harga'!$H$51</definedName>
    <definedName name="WERQWREQ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f___1">[55]sheet1!$H$65</definedName>
    <definedName name="wf___2">[55]sheet1!$H$65</definedName>
    <definedName name="Window">'[72]D &amp; W sizes'!$G$3:$I$19</definedName>
    <definedName name="wrf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AA." localSheetId="15" hidden="1">{#N/A,#N/A,FALSE,"REK";#N/A,#N/A,FALSE,"Bq-ARS"}</definedName>
    <definedName name="wrn.AAA." localSheetId="9" hidden="1">{#N/A,#N/A,FALSE,"REK";#N/A,#N/A,FALSE,"Bq-ARS"}</definedName>
    <definedName name="wrn.AAA." localSheetId="0" hidden="1">{#N/A,#N/A,FALSE,"REK";#N/A,#N/A,FALSE,"Bq-ARS"}</definedName>
    <definedName name="wrn.AAA." localSheetId="7" hidden="1">{#N/A,#N/A,FALSE,"REK";#N/A,#N/A,FALSE,"Bq-ARS"}</definedName>
    <definedName name="wrn.AAA." localSheetId="13" hidden="1">{#N/A,#N/A,FALSE,"REK";#N/A,#N/A,FALSE,"Bq-ARS"}</definedName>
    <definedName name="wrn.AAA." localSheetId="8" hidden="1">{#N/A,#N/A,FALSE,"REK";#N/A,#N/A,FALSE,"Bq-ARS"}</definedName>
    <definedName name="wrn.AAA." localSheetId="12" hidden="1">{#N/A,#N/A,FALSE,"REK";#N/A,#N/A,FALSE,"Bq-ARS"}</definedName>
    <definedName name="wrn.AAA." hidden="1">{#N/A,#N/A,FALSE,"REK";#N/A,#N/A,FALSE,"Bq-ARS"}</definedName>
    <definedName name="wrn.AAA._2" localSheetId="15" hidden="1">{#N/A,#N/A,FALSE,"REK";#N/A,#N/A,FALSE,"Bq-ARS"}</definedName>
    <definedName name="wrn.AAA._2" localSheetId="9" hidden="1">{#N/A,#N/A,FALSE,"REK";#N/A,#N/A,FALSE,"Bq-ARS"}</definedName>
    <definedName name="wrn.AAA._2" localSheetId="0" hidden="1">{#N/A,#N/A,FALSE,"REK";#N/A,#N/A,FALSE,"Bq-ARS"}</definedName>
    <definedName name="wrn.AAA._2" localSheetId="7" hidden="1">{#N/A,#N/A,FALSE,"REK";#N/A,#N/A,FALSE,"Bq-ARS"}</definedName>
    <definedName name="wrn.AAA._2" localSheetId="13" hidden="1">{#N/A,#N/A,FALSE,"REK";#N/A,#N/A,FALSE,"Bq-ARS"}</definedName>
    <definedName name="wrn.AAA._2" localSheetId="8" hidden="1">{#N/A,#N/A,FALSE,"REK";#N/A,#N/A,FALSE,"Bq-ARS"}</definedName>
    <definedName name="wrn.AAA._2" localSheetId="12" hidden="1">{#N/A,#N/A,FALSE,"REK";#N/A,#N/A,FALSE,"Bq-ARS"}</definedName>
    <definedName name="wrn.AAA._2" hidden="1">{#N/A,#N/A,FALSE,"REK";#N/A,#N/A,FALSE,"Bq-ARS"}</definedName>
    <definedName name="wrn.AAA._3" localSheetId="15" hidden="1">{#N/A,#N/A,FALSE,"REK";#N/A,#N/A,FALSE,"Bq-ARS"}</definedName>
    <definedName name="wrn.AAA._3" localSheetId="9" hidden="1">{#N/A,#N/A,FALSE,"REK";#N/A,#N/A,FALSE,"Bq-ARS"}</definedName>
    <definedName name="wrn.AAA._3" localSheetId="0" hidden="1">{#N/A,#N/A,FALSE,"REK";#N/A,#N/A,FALSE,"Bq-ARS"}</definedName>
    <definedName name="wrn.AAA._3" localSheetId="7" hidden="1">{#N/A,#N/A,FALSE,"REK";#N/A,#N/A,FALSE,"Bq-ARS"}</definedName>
    <definedName name="wrn.AAA._3" localSheetId="13" hidden="1">{#N/A,#N/A,FALSE,"REK";#N/A,#N/A,FALSE,"Bq-ARS"}</definedName>
    <definedName name="wrn.AAA._3" localSheetId="8" hidden="1">{#N/A,#N/A,FALSE,"REK";#N/A,#N/A,FALSE,"Bq-ARS"}</definedName>
    <definedName name="wrn.AAA._3" localSheetId="12" hidden="1">{#N/A,#N/A,FALSE,"REK";#N/A,#N/A,FALSE,"Bq-ARS"}</definedName>
    <definedName name="wrn.AAA._3" hidden="1">{#N/A,#N/A,FALSE,"REK";#N/A,#N/A,FALSE,"Bq-ARS"}</definedName>
    <definedName name="wrn.AAA._4" localSheetId="15" hidden="1">{#N/A,#N/A,FALSE,"REK";#N/A,#N/A,FALSE,"Bq-ARS"}</definedName>
    <definedName name="wrn.AAA._4" localSheetId="9" hidden="1">{#N/A,#N/A,FALSE,"REK";#N/A,#N/A,FALSE,"Bq-ARS"}</definedName>
    <definedName name="wrn.AAA._4" localSheetId="0" hidden="1">{#N/A,#N/A,FALSE,"REK";#N/A,#N/A,FALSE,"Bq-ARS"}</definedName>
    <definedName name="wrn.AAA._4" localSheetId="7" hidden="1">{#N/A,#N/A,FALSE,"REK";#N/A,#N/A,FALSE,"Bq-ARS"}</definedName>
    <definedName name="wrn.AAA._4" localSheetId="13" hidden="1">{#N/A,#N/A,FALSE,"REK";#N/A,#N/A,FALSE,"Bq-ARS"}</definedName>
    <definedName name="wrn.AAA._4" localSheetId="8" hidden="1">{#N/A,#N/A,FALSE,"REK";#N/A,#N/A,FALSE,"Bq-ARS"}</definedName>
    <definedName name="wrn.AAA._4" localSheetId="12" hidden="1">{#N/A,#N/A,FALSE,"REK";#N/A,#N/A,FALSE,"Bq-ARS"}</definedName>
    <definedName name="wrn.AAA._4" hidden="1">{#N/A,#N/A,FALSE,"REK";#N/A,#N/A,FALSE,"Bq-ARS"}</definedName>
    <definedName name="wrn.AAA._5" localSheetId="15" hidden="1">{#N/A,#N/A,FALSE,"REK";#N/A,#N/A,FALSE,"Bq-ARS"}</definedName>
    <definedName name="wrn.AAA._5" localSheetId="9" hidden="1">{#N/A,#N/A,FALSE,"REK";#N/A,#N/A,FALSE,"Bq-ARS"}</definedName>
    <definedName name="wrn.AAA._5" localSheetId="0" hidden="1">{#N/A,#N/A,FALSE,"REK";#N/A,#N/A,FALSE,"Bq-ARS"}</definedName>
    <definedName name="wrn.AAA._5" localSheetId="7" hidden="1">{#N/A,#N/A,FALSE,"REK";#N/A,#N/A,FALSE,"Bq-ARS"}</definedName>
    <definedName name="wrn.AAA._5" localSheetId="13" hidden="1">{#N/A,#N/A,FALSE,"REK";#N/A,#N/A,FALSE,"Bq-ARS"}</definedName>
    <definedName name="wrn.AAA._5" localSheetId="8" hidden="1">{#N/A,#N/A,FALSE,"REK";#N/A,#N/A,FALSE,"Bq-ARS"}</definedName>
    <definedName name="wrn.AAA._5" localSheetId="12" hidden="1">{#N/A,#N/A,FALSE,"REK";#N/A,#N/A,FALSE,"Bq-ARS"}</definedName>
    <definedName name="wrn.AAA._5" hidden="1">{#N/A,#N/A,FALSE,"REK";#N/A,#N/A,FALSE,"Bq-ARS"}</definedName>
    <definedName name="wrn.All_Report1.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9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0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8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9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9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9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9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9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0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8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localSheetId="15" hidden="1">{#N/A,#N/A,FALSE,"WPO_6221 &amp; 6331"}</definedName>
    <definedName name="wrn.Bahan._.Bakar._.Pelumas._.Listrik." localSheetId="9" hidden="1">{#N/A,#N/A,FALSE,"WPO_6221 &amp; 6331"}</definedName>
    <definedName name="wrn.Bahan._.Bakar._.Pelumas._.Listrik." localSheetId="0" hidden="1">{#N/A,#N/A,FALSE,"WPO_6221 &amp; 6331"}</definedName>
    <definedName name="wrn.Bahan._.Bakar._.Pelumas._.Listrik." localSheetId="7" hidden="1">{#N/A,#N/A,FALSE,"WPO_6221 &amp; 6331"}</definedName>
    <definedName name="wrn.Bahan._.Bakar._.Pelumas._.Listrik." localSheetId="13" hidden="1">{#N/A,#N/A,FALSE,"WPO_6221 &amp; 6331"}</definedName>
    <definedName name="wrn.Bahan._.Bakar._.Pelumas._.Listrik." localSheetId="8" hidden="1">{#N/A,#N/A,FALSE,"WPO_6221 &amp; 6331"}</definedName>
    <definedName name="wrn.Bahan._.Bakar._.Pelumas._.Listrik." localSheetId="12" hidden="1">{#N/A,#N/A,FALSE,"WPO_6221 &amp; 6331"}</definedName>
    <definedName name="wrn.Bahan._.Bakar._.Pelumas._.Listrik." hidden="1">{#N/A,#N/A,FALSE,"WPO_6221 &amp; 6331"}</definedName>
    <definedName name="wrn.Bahan._.Bakar._.Pelumas._.Listrik._2" localSheetId="15" hidden="1">{#N/A,#N/A,FALSE,"WPO_6221 &amp; 6331"}</definedName>
    <definedName name="wrn.Bahan._.Bakar._.Pelumas._.Listrik._2" localSheetId="9" hidden="1">{#N/A,#N/A,FALSE,"WPO_6221 &amp; 6331"}</definedName>
    <definedName name="wrn.Bahan._.Bakar._.Pelumas._.Listrik._2" localSheetId="0" hidden="1">{#N/A,#N/A,FALSE,"WPO_6221 &amp; 6331"}</definedName>
    <definedName name="wrn.Bahan._.Bakar._.Pelumas._.Listrik._2" localSheetId="7" hidden="1">{#N/A,#N/A,FALSE,"WPO_6221 &amp; 6331"}</definedName>
    <definedName name="wrn.Bahan._.Bakar._.Pelumas._.Listrik._2" localSheetId="13" hidden="1">{#N/A,#N/A,FALSE,"WPO_6221 &amp; 6331"}</definedName>
    <definedName name="wrn.Bahan._.Bakar._.Pelumas._.Listrik._2" localSheetId="8" hidden="1">{#N/A,#N/A,FALSE,"WPO_6221 &amp; 6331"}</definedName>
    <definedName name="wrn.Bahan._.Bakar._.Pelumas._.Listrik._2" localSheetId="12" hidden="1">{#N/A,#N/A,FALSE,"WPO_6221 &amp; 6331"}</definedName>
    <definedName name="wrn.Bahan._.Bakar._.Pelumas._.Listrik._2" hidden="1">{#N/A,#N/A,FALSE,"WPO_6221 &amp; 6331"}</definedName>
    <definedName name="wrn.Bahan._.Bakar._.Pelumas._.Listrik._3" localSheetId="15" hidden="1">{#N/A,#N/A,FALSE,"WPO_6221 &amp; 6331"}</definedName>
    <definedName name="wrn.Bahan._.Bakar._.Pelumas._.Listrik._3" localSheetId="9" hidden="1">{#N/A,#N/A,FALSE,"WPO_6221 &amp; 6331"}</definedName>
    <definedName name="wrn.Bahan._.Bakar._.Pelumas._.Listrik._3" localSheetId="0" hidden="1">{#N/A,#N/A,FALSE,"WPO_6221 &amp; 6331"}</definedName>
    <definedName name="wrn.Bahan._.Bakar._.Pelumas._.Listrik._3" localSheetId="7" hidden="1">{#N/A,#N/A,FALSE,"WPO_6221 &amp; 6331"}</definedName>
    <definedName name="wrn.Bahan._.Bakar._.Pelumas._.Listrik._3" localSheetId="13" hidden="1">{#N/A,#N/A,FALSE,"WPO_6221 &amp; 6331"}</definedName>
    <definedName name="wrn.Bahan._.Bakar._.Pelumas._.Listrik._3" localSheetId="8" hidden="1">{#N/A,#N/A,FALSE,"WPO_6221 &amp; 6331"}</definedName>
    <definedName name="wrn.Bahan._.Bakar._.Pelumas._.Listrik._3" localSheetId="12" hidden="1">{#N/A,#N/A,FALSE,"WPO_6221 &amp; 6331"}</definedName>
    <definedName name="wrn.Bahan._.Bakar._.Pelumas._.Listrik._3" hidden="1">{#N/A,#N/A,FALSE,"WPO_6221 &amp; 6331"}</definedName>
    <definedName name="wrn.Bahan._.Bakar._.Pelumas._.Listrik._4" localSheetId="15" hidden="1">{#N/A,#N/A,FALSE,"WPO_6221 &amp; 6331"}</definedName>
    <definedName name="wrn.Bahan._.Bakar._.Pelumas._.Listrik._4" localSheetId="9" hidden="1">{#N/A,#N/A,FALSE,"WPO_6221 &amp; 6331"}</definedName>
    <definedName name="wrn.Bahan._.Bakar._.Pelumas._.Listrik._4" localSheetId="0" hidden="1">{#N/A,#N/A,FALSE,"WPO_6221 &amp; 6331"}</definedName>
    <definedName name="wrn.Bahan._.Bakar._.Pelumas._.Listrik._4" localSheetId="7" hidden="1">{#N/A,#N/A,FALSE,"WPO_6221 &amp; 6331"}</definedName>
    <definedName name="wrn.Bahan._.Bakar._.Pelumas._.Listrik._4" localSheetId="13" hidden="1">{#N/A,#N/A,FALSE,"WPO_6221 &amp; 6331"}</definedName>
    <definedName name="wrn.Bahan._.Bakar._.Pelumas._.Listrik._4" localSheetId="8" hidden="1">{#N/A,#N/A,FALSE,"WPO_6221 &amp; 6331"}</definedName>
    <definedName name="wrn.Bahan._.Bakar._.Pelumas._.Listrik._4" localSheetId="12" hidden="1">{#N/A,#N/A,FALSE,"WPO_6221 &amp; 6331"}</definedName>
    <definedName name="wrn.Bahan._.Bakar._.Pelumas._.Listrik._4" hidden="1">{#N/A,#N/A,FALSE,"WPO_6221 &amp; 6331"}</definedName>
    <definedName name="wrn.Bahan._.Bakar._.Pelumas._.Listrik._5" localSheetId="15" hidden="1">{#N/A,#N/A,FALSE,"WPO_6221 &amp; 6331"}</definedName>
    <definedName name="wrn.Bahan._.Bakar._.Pelumas._.Listrik._5" localSheetId="9" hidden="1">{#N/A,#N/A,FALSE,"WPO_6221 &amp; 6331"}</definedName>
    <definedName name="wrn.Bahan._.Bakar._.Pelumas._.Listrik._5" localSheetId="0" hidden="1">{#N/A,#N/A,FALSE,"WPO_6221 &amp; 6331"}</definedName>
    <definedName name="wrn.Bahan._.Bakar._.Pelumas._.Listrik._5" localSheetId="7" hidden="1">{#N/A,#N/A,FALSE,"WPO_6221 &amp; 6331"}</definedName>
    <definedName name="wrn.Bahan._.Bakar._.Pelumas._.Listrik._5" localSheetId="13" hidden="1">{#N/A,#N/A,FALSE,"WPO_6221 &amp; 6331"}</definedName>
    <definedName name="wrn.Bahan._.Bakar._.Pelumas._.Listrik._5" localSheetId="8" hidden="1">{#N/A,#N/A,FALSE,"WPO_6221 &amp; 6331"}</definedName>
    <definedName name="wrn.Bahan._.Bakar._.Pelumas._.Listrik._5" localSheetId="12" hidden="1">{#N/A,#N/A,FALSE,"WPO_6221 &amp; 6331"}</definedName>
    <definedName name="wrn.Bahan._.Bakar._.Pelumas._.Listrik._5" hidden="1">{#N/A,#N/A,FALSE,"WPO_6221 &amp; 6331"}</definedName>
    <definedName name="wrn.Biaya._.Cetak._.Ongkos._.Angkut." localSheetId="15" hidden="1">{#N/A,#N/A,FALSE,"WPO_6230 &amp; 6415"}</definedName>
    <definedName name="wrn.Biaya._.Cetak._.Ongkos._.Angkut." localSheetId="9" hidden="1">{#N/A,#N/A,FALSE,"WPO_6230 &amp; 6415"}</definedName>
    <definedName name="wrn.Biaya._.Cetak._.Ongkos._.Angkut." localSheetId="0" hidden="1">{#N/A,#N/A,FALSE,"WPO_6230 &amp; 6415"}</definedName>
    <definedName name="wrn.Biaya._.Cetak._.Ongkos._.Angkut." localSheetId="7" hidden="1">{#N/A,#N/A,FALSE,"WPO_6230 &amp; 6415"}</definedName>
    <definedName name="wrn.Biaya._.Cetak._.Ongkos._.Angkut." localSheetId="13" hidden="1">{#N/A,#N/A,FALSE,"WPO_6230 &amp; 6415"}</definedName>
    <definedName name="wrn.Biaya._.Cetak._.Ongkos._.Angkut." localSheetId="8" hidden="1">{#N/A,#N/A,FALSE,"WPO_6230 &amp; 6415"}</definedName>
    <definedName name="wrn.Biaya._.Cetak._.Ongkos._.Angkut." localSheetId="12" hidden="1">{#N/A,#N/A,FALSE,"WPO_6230 &amp; 6415"}</definedName>
    <definedName name="wrn.Biaya._.Cetak._.Ongkos._.Angkut." hidden="1">{#N/A,#N/A,FALSE,"WPO_6230 &amp; 6415"}</definedName>
    <definedName name="wrn.Biaya._.Cetak._.Ongkos._.Angkut._2" localSheetId="15" hidden="1">{#N/A,#N/A,FALSE,"WPO_6230 &amp; 6415"}</definedName>
    <definedName name="wrn.Biaya._.Cetak._.Ongkos._.Angkut._2" localSheetId="9" hidden="1">{#N/A,#N/A,FALSE,"WPO_6230 &amp; 6415"}</definedName>
    <definedName name="wrn.Biaya._.Cetak._.Ongkos._.Angkut._2" localSheetId="0" hidden="1">{#N/A,#N/A,FALSE,"WPO_6230 &amp; 6415"}</definedName>
    <definedName name="wrn.Biaya._.Cetak._.Ongkos._.Angkut._2" localSheetId="7" hidden="1">{#N/A,#N/A,FALSE,"WPO_6230 &amp; 6415"}</definedName>
    <definedName name="wrn.Biaya._.Cetak._.Ongkos._.Angkut._2" localSheetId="13" hidden="1">{#N/A,#N/A,FALSE,"WPO_6230 &amp; 6415"}</definedName>
    <definedName name="wrn.Biaya._.Cetak._.Ongkos._.Angkut._2" localSheetId="8" hidden="1">{#N/A,#N/A,FALSE,"WPO_6230 &amp; 6415"}</definedName>
    <definedName name="wrn.Biaya._.Cetak._.Ongkos._.Angkut._2" localSheetId="12" hidden="1">{#N/A,#N/A,FALSE,"WPO_6230 &amp; 6415"}</definedName>
    <definedName name="wrn.Biaya._.Cetak._.Ongkos._.Angkut._2" hidden="1">{#N/A,#N/A,FALSE,"WPO_6230 &amp; 6415"}</definedName>
    <definedName name="wrn.Biaya._.Cetak._.Ongkos._.Angkut._3" localSheetId="15" hidden="1">{#N/A,#N/A,FALSE,"WPO_6230 &amp; 6415"}</definedName>
    <definedName name="wrn.Biaya._.Cetak._.Ongkos._.Angkut._3" localSheetId="9" hidden="1">{#N/A,#N/A,FALSE,"WPO_6230 &amp; 6415"}</definedName>
    <definedName name="wrn.Biaya._.Cetak._.Ongkos._.Angkut._3" localSheetId="0" hidden="1">{#N/A,#N/A,FALSE,"WPO_6230 &amp; 6415"}</definedName>
    <definedName name="wrn.Biaya._.Cetak._.Ongkos._.Angkut._3" localSheetId="7" hidden="1">{#N/A,#N/A,FALSE,"WPO_6230 &amp; 6415"}</definedName>
    <definedName name="wrn.Biaya._.Cetak._.Ongkos._.Angkut._3" localSheetId="13" hidden="1">{#N/A,#N/A,FALSE,"WPO_6230 &amp; 6415"}</definedName>
    <definedName name="wrn.Biaya._.Cetak._.Ongkos._.Angkut._3" localSheetId="8" hidden="1">{#N/A,#N/A,FALSE,"WPO_6230 &amp; 6415"}</definedName>
    <definedName name="wrn.Biaya._.Cetak._.Ongkos._.Angkut._3" localSheetId="12" hidden="1">{#N/A,#N/A,FALSE,"WPO_6230 &amp; 6415"}</definedName>
    <definedName name="wrn.Biaya._.Cetak._.Ongkos._.Angkut._3" hidden="1">{#N/A,#N/A,FALSE,"WPO_6230 &amp; 6415"}</definedName>
    <definedName name="wrn.Biaya._.Cetak._.Ongkos._.Angkut._4" localSheetId="15" hidden="1">{#N/A,#N/A,FALSE,"WPO_6230 &amp; 6415"}</definedName>
    <definedName name="wrn.Biaya._.Cetak._.Ongkos._.Angkut._4" localSheetId="9" hidden="1">{#N/A,#N/A,FALSE,"WPO_6230 &amp; 6415"}</definedName>
    <definedName name="wrn.Biaya._.Cetak._.Ongkos._.Angkut._4" localSheetId="0" hidden="1">{#N/A,#N/A,FALSE,"WPO_6230 &amp; 6415"}</definedName>
    <definedName name="wrn.Biaya._.Cetak._.Ongkos._.Angkut._4" localSheetId="7" hidden="1">{#N/A,#N/A,FALSE,"WPO_6230 &amp; 6415"}</definedName>
    <definedName name="wrn.Biaya._.Cetak._.Ongkos._.Angkut._4" localSheetId="13" hidden="1">{#N/A,#N/A,FALSE,"WPO_6230 &amp; 6415"}</definedName>
    <definedName name="wrn.Biaya._.Cetak._.Ongkos._.Angkut._4" localSheetId="8" hidden="1">{#N/A,#N/A,FALSE,"WPO_6230 &amp; 6415"}</definedName>
    <definedName name="wrn.Biaya._.Cetak._.Ongkos._.Angkut._4" localSheetId="12" hidden="1">{#N/A,#N/A,FALSE,"WPO_6230 &amp; 6415"}</definedName>
    <definedName name="wrn.Biaya._.Cetak._.Ongkos._.Angkut._4" hidden="1">{#N/A,#N/A,FALSE,"WPO_6230 &amp; 6415"}</definedName>
    <definedName name="wrn.Biaya._.Cetak._.Ongkos._.Angkut._5" localSheetId="15" hidden="1">{#N/A,#N/A,FALSE,"WPO_6230 &amp; 6415"}</definedName>
    <definedName name="wrn.Biaya._.Cetak._.Ongkos._.Angkut._5" localSheetId="9" hidden="1">{#N/A,#N/A,FALSE,"WPO_6230 &amp; 6415"}</definedName>
    <definedName name="wrn.Biaya._.Cetak._.Ongkos._.Angkut._5" localSheetId="0" hidden="1">{#N/A,#N/A,FALSE,"WPO_6230 &amp; 6415"}</definedName>
    <definedName name="wrn.Biaya._.Cetak._.Ongkos._.Angkut._5" localSheetId="7" hidden="1">{#N/A,#N/A,FALSE,"WPO_6230 &amp; 6415"}</definedName>
    <definedName name="wrn.Biaya._.Cetak._.Ongkos._.Angkut._5" localSheetId="13" hidden="1">{#N/A,#N/A,FALSE,"WPO_6230 &amp; 6415"}</definedName>
    <definedName name="wrn.Biaya._.Cetak._.Ongkos._.Angkut._5" localSheetId="8" hidden="1">{#N/A,#N/A,FALSE,"WPO_6230 &amp; 6415"}</definedName>
    <definedName name="wrn.Biaya._.Cetak._.Ongkos._.Angkut._5" localSheetId="12" hidden="1">{#N/A,#N/A,FALSE,"WPO_6230 &amp; 6415"}</definedName>
    <definedName name="wrn.Biaya._.Cetak._.Ongkos._.Angkut._5" hidden="1">{#N/A,#N/A,FALSE,"WPO_6230 &amp; 6415"}</definedName>
    <definedName name="wrn.Biaya._.Produksi." localSheetId="15" hidden="1">{#N/A,#N/A,FALSE,"WPO6426_TBL";#N/A,#N/A,FALSE,"WPO6426"}</definedName>
    <definedName name="wrn.Biaya._.Produksi." localSheetId="9" hidden="1">{#N/A,#N/A,FALSE,"WPO6426_TBL";#N/A,#N/A,FALSE,"WPO6426"}</definedName>
    <definedName name="wrn.Biaya._.Produksi." localSheetId="0" hidden="1">{#N/A,#N/A,FALSE,"WPO6426_TBL";#N/A,#N/A,FALSE,"WPO6426"}</definedName>
    <definedName name="wrn.Biaya._.Produksi." localSheetId="7" hidden="1">{#N/A,#N/A,FALSE,"WPO6426_TBL";#N/A,#N/A,FALSE,"WPO6426"}</definedName>
    <definedName name="wrn.Biaya._.Produksi." localSheetId="13" hidden="1">{#N/A,#N/A,FALSE,"WPO6426_TBL";#N/A,#N/A,FALSE,"WPO6426"}</definedName>
    <definedName name="wrn.Biaya._.Produksi." localSheetId="8" hidden="1">{#N/A,#N/A,FALSE,"WPO6426_TBL";#N/A,#N/A,FALSE,"WPO6426"}</definedName>
    <definedName name="wrn.Biaya._.Produksi." localSheetId="12" hidden="1">{#N/A,#N/A,FALSE,"WPO6426_TBL";#N/A,#N/A,FALSE,"WPO6426"}</definedName>
    <definedName name="wrn.Biaya._.Produksi." hidden="1">{#N/A,#N/A,FALSE,"WPO6426_TBL";#N/A,#N/A,FALSE,"WPO6426"}</definedName>
    <definedName name="wrn.Biaya._.Produksi._2" localSheetId="15" hidden="1">{#N/A,#N/A,FALSE,"WPO6426_TBL";#N/A,#N/A,FALSE,"WPO6426"}</definedName>
    <definedName name="wrn.Biaya._.Produksi._2" localSheetId="9" hidden="1">{#N/A,#N/A,FALSE,"WPO6426_TBL";#N/A,#N/A,FALSE,"WPO6426"}</definedName>
    <definedName name="wrn.Biaya._.Produksi._2" localSheetId="0" hidden="1">{#N/A,#N/A,FALSE,"WPO6426_TBL";#N/A,#N/A,FALSE,"WPO6426"}</definedName>
    <definedName name="wrn.Biaya._.Produksi._2" localSheetId="7" hidden="1">{#N/A,#N/A,FALSE,"WPO6426_TBL";#N/A,#N/A,FALSE,"WPO6426"}</definedName>
    <definedName name="wrn.Biaya._.Produksi._2" localSheetId="13" hidden="1">{#N/A,#N/A,FALSE,"WPO6426_TBL";#N/A,#N/A,FALSE,"WPO6426"}</definedName>
    <definedName name="wrn.Biaya._.Produksi._2" localSheetId="8" hidden="1">{#N/A,#N/A,FALSE,"WPO6426_TBL";#N/A,#N/A,FALSE,"WPO6426"}</definedName>
    <definedName name="wrn.Biaya._.Produksi._2" localSheetId="12" hidden="1">{#N/A,#N/A,FALSE,"WPO6426_TBL";#N/A,#N/A,FALSE,"WPO6426"}</definedName>
    <definedName name="wrn.Biaya._.Produksi._2" hidden="1">{#N/A,#N/A,FALSE,"WPO6426_TBL";#N/A,#N/A,FALSE,"WPO6426"}</definedName>
    <definedName name="wrn.Biaya._.Produksi._3" localSheetId="15" hidden="1">{#N/A,#N/A,FALSE,"WPO6426_TBL";#N/A,#N/A,FALSE,"WPO6426"}</definedName>
    <definedName name="wrn.Biaya._.Produksi._3" localSheetId="9" hidden="1">{#N/A,#N/A,FALSE,"WPO6426_TBL";#N/A,#N/A,FALSE,"WPO6426"}</definedName>
    <definedName name="wrn.Biaya._.Produksi._3" localSheetId="0" hidden="1">{#N/A,#N/A,FALSE,"WPO6426_TBL";#N/A,#N/A,FALSE,"WPO6426"}</definedName>
    <definedName name="wrn.Biaya._.Produksi._3" localSheetId="7" hidden="1">{#N/A,#N/A,FALSE,"WPO6426_TBL";#N/A,#N/A,FALSE,"WPO6426"}</definedName>
    <definedName name="wrn.Biaya._.Produksi._3" localSheetId="13" hidden="1">{#N/A,#N/A,FALSE,"WPO6426_TBL";#N/A,#N/A,FALSE,"WPO6426"}</definedName>
    <definedName name="wrn.Biaya._.Produksi._3" localSheetId="8" hidden="1">{#N/A,#N/A,FALSE,"WPO6426_TBL";#N/A,#N/A,FALSE,"WPO6426"}</definedName>
    <definedName name="wrn.Biaya._.Produksi._3" localSheetId="12" hidden="1">{#N/A,#N/A,FALSE,"WPO6426_TBL";#N/A,#N/A,FALSE,"WPO6426"}</definedName>
    <definedName name="wrn.Biaya._.Produksi._3" hidden="1">{#N/A,#N/A,FALSE,"WPO6426_TBL";#N/A,#N/A,FALSE,"WPO6426"}</definedName>
    <definedName name="wrn.Biaya._.Produksi._4" localSheetId="15" hidden="1">{#N/A,#N/A,FALSE,"WPO6426_TBL";#N/A,#N/A,FALSE,"WPO6426"}</definedName>
    <definedName name="wrn.Biaya._.Produksi._4" localSheetId="9" hidden="1">{#N/A,#N/A,FALSE,"WPO6426_TBL";#N/A,#N/A,FALSE,"WPO6426"}</definedName>
    <definedName name="wrn.Biaya._.Produksi._4" localSheetId="0" hidden="1">{#N/A,#N/A,FALSE,"WPO6426_TBL";#N/A,#N/A,FALSE,"WPO6426"}</definedName>
    <definedName name="wrn.Biaya._.Produksi._4" localSheetId="7" hidden="1">{#N/A,#N/A,FALSE,"WPO6426_TBL";#N/A,#N/A,FALSE,"WPO6426"}</definedName>
    <definedName name="wrn.Biaya._.Produksi._4" localSheetId="13" hidden="1">{#N/A,#N/A,FALSE,"WPO6426_TBL";#N/A,#N/A,FALSE,"WPO6426"}</definedName>
    <definedName name="wrn.Biaya._.Produksi._4" localSheetId="8" hidden="1">{#N/A,#N/A,FALSE,"WPO6426_TBL";#N/A,#N/A,FALSE,"WPO6426"}</definedName>
    <definedName name="wrn.Biaya._.Produksi._4" localSheetId="12" hidden="1">{#N/A,#N/A,FALSE,"WPO6426_TBL";#N/A,#N/A,FALSE,"WPO6426"}</definedName>
    <definedName name="wrn.Biaya._.Produksi._4" hidden="1">{#N/A,#N/A,FALSE,"WPO6426_TBL";#N/A,#N/A,FALSE,"WPO6426"}</definedName>
    <definedName name="wrn.Biaya._.Produksi._5" localSheetId="15" hidden="1">{#N/A,#N/A,FALSE,"WPO6426_TBL";#N/A,#N/A,FALSE,"WPO6426"}</definedName>
    <definedName name="wrn.Biaya._.Produksi._5" localSheetId="9" hidden="1">{#N/A,#N/A,FALSE,"WPO6426_TBL";#N/A,#N/A,FALSE,"WPO6426"}</definedName>
    <definedName name="wrn.Biaya._.Produksi._5" localSheetId="0" hidden="1">{#N/A,#N/A,FALSE,"WPO6426_TBL";#N/A,#N/A,FALSE,"WPO6426"}</definedName>
    <definedName name="wrn.Biaya._.Produksi._5" localSheetId="7" hidden="1">{#N/A,#N/A,FALSE,"WPO6426_TBL";#N/A,#N/A,FALSE,"WPO6426"}</definedName>
    <definedName name="wrn.Biaya._.Produksi._5" localSheetId="13" hidden="1">{#N/A,#N/A,FALSE,"WPO6426_TBL";#N/A,#N/A,FALSE,"WPO6426"}</definedName>
    <definedName name="wrn.Biaya._.Produksi._5" localSheetId="8" hidden="1">{#N/A,#N/A,FALSE,"WPO6426_TBL";#N/A,#N/A,FALSE,"WPO6426"}</definedName>
    <definedName name="wrn.Biaya._.Produksi._5" localSheetId="12" hidden="1">{#N/A,#N/A,FALSE,"WPO6426_TBL";#N/A,#N/A,FALSE,"WPO6426"}</definedName>
    <definedName name="wrn.Biaya._.Produksi._5" hidden="1">{#N/A,#N/A,FALSE,"WPO6426_TBL";#N/A,#N/A,FALSE,"WPO6426"}</definedName>
    <definedName name="wrn.chi._.tiÆt." localSheetId="15" hidden="1">{#N/A,#N/A,FALSE,"Chi tiÆt"}</definedName>
    <definedName name="wrn.chi._.tiÆt." localSheetId="9" hidden="1">{#N/A,#N/A,FALSE,"Chi tiÆt"}</definedName>
    <definedName name="wrn.chi._.tiÆt." localSheetId="0" hidden="1">{#N/A,#N/A,FALSE,"Chi tiÆt"}</definedName>
    <definedName name="wrn.chi._.tiÆt." localSheetId="7" hidden="1">{#N/A,#N/A,FALSE,"Chi tiÆt"}</definedName>
    <definedName name="wrn.chi._.tiÆt." localSheetId="13" hidden="1">{#N/A,#N/A,FALSE,"Chi tiÆt"}</definedName>
    <definedName name="wrn.chi._.tiÆt." localSheetId="8" hidden="1">{#N/A,#N/A,FALSE,"Chi tiÆt"}</definedName>
    <definedName name="wrn.chi._.tiÆt." localSheetId="12" hidden="1">{#N/A,#N/A,FALSE,"Chi tiÆt"}</definedName>
    <definedName name="wrn.chi._.tiÆt." hidden="1">{#N/A,#N/A,FALSE,"Chi tiÆt"}</definedName>
    <definedName name="wrn.chi._.tiÆt._2" localSheetId="15" hidden="1">{#N/A,#N/A,FALSE,"Chi tiÆt"}</definedName>
    <definedName name="wrn.chi._.tiÆt._2" localSheetId="9" hidden="1">{#N/A,#N/A,FALSE,"Chi tiÆt"}</definedName>
    <definedName name="wrn.chi._.tiÆt._2" localSheetId="0" hidden="1">{#N/A,#N/A,FALSE,"Chi tiÆt"}</definedName>
    <definedName name="wrn.chi._.tiÆt._2" localSheetId="7" hidden="1">{#N/A,#N/A,FALSE,"Chi tiÆt"}</definedName>
    <definedName name="wrn.chi._.tiÆt._2" localSheetId="13" hidden="1">{#N/A,#N/A,FALSE,"Chi tiÆt"}</definedName>
    <definedName name="wrn.chi._.tiÆt._2" localSheetId="8" hidden="1">{#N/A,#N/A,FALSE,"Chi tiÆt"}</definedName>
    <definedName name="wrn.chi._.tiÆt._2" localSheetId="12" hidden="1">{#N/A,#N/A,FALSE,"Chi tiÆt"}</definedName>
    <definedName name="wrn.chi._.tiÆt._2" hidden="1">{#N/A,#N/A,FALSE,"Chi tiÆt"}</definedName>
    <definedName name="wrn.chi._.tiÆt._3" localSheetId="15" hidden="1">{#N/A,#N/A,FALSE,"Chi tiÆt"}</definedName>
    <definedName name="wrn.chi._.tiÆt._3" localSheetId="9" hidden="1">{#N/A,#N/A,FALSE,"Chi tiÆt"}</definedName>
    <definedName name="wrn.chi._.tiÆt._3" localSheetId="0" hidden="1">{#N/A,#N/A,FALSE,"Chi tiÆt"}</definedName>
    <definedName name="wrn.chi._.tiÆt._3" localSheetId="7" hidden="1">{#N/A,#N/A,FALSE,"Chi tiÆt"}</definedName>
    <definedName name="wrn.chi._.tiÆt._3" localSheetId="13" hidden="1">{#N/A,#N/A,FALSE,"Chi tiÆt"}</definedName>
    <definedName name="wrn.chi._.tiÆt._3" localSheetId="8" hidden="1">{#N/A,#N/A,FALSE,"Chi tiÆt"}</definedName>
    <definedName name="wrn.chi._.tiÆt._3" localSheetId="12" hidden="1">{#N/A,#N/A,FALSE,"Chi tiÆt"}</definedName>
    <definedName name="wrn.chi._.tiÆt._3" hidden="1">{#N/A,#N/A,FALSE,"Chi tiÆt"}</definedName>
    <definedName name="wrn.chi._.tiÆt._4" localSheetId="15" hidden="1">{#N/A,#N/A,FALSE,"Chi tiÆt"}</definedName>
    <definedName name="wrn.chi._.tiÆt._4" localSheetId="9" hidden="1">{#N/A,#N/A,FALSE,"Chi tiÆt"}</definedName>
    <definedName name="wrn.chi._.tiÆt._4" localSheetId="0" hidden="1">{#N/A,#N/A,FALSE,"Chi tiÆt"}</definedName>
    <definedName name="wrn.chi._.tiÆt._4" localSheetId="7" hidden="1">{#N/A,#N/A,FALSE,"Chi tiÆt"}</definedName>
    <definedName name="wrn.chi._.tiÆt._4" localSheetId="13" hidden="1">{#N/A,#N/A,FALSE,"Chi tiÆt"}</definedName>
    <definedName name="wrn.chi._.tiÆt._4" localSheetId="8" hidden="1">{#N/A,#N/A,FALSE,"Chi tiÆt"}</definedName>
    <definedName name="wrn.chi._.tiÆt._4" localSheetId="12" hidden="1">{#N/A,#N/A,FALSE,"Chi tiÆt"}</definedName>
    <definedName name="wrn.chi._.tiÆt._4" hidden="1">{#N/A,#N/A,FALSE,"Chi tiÆt"}</definedName>
    <definedName name="wrn.chi._.tiÆt._5" localSheetId="15" hidden="1">{#N/A,#N/A,FALSE,"Chi tiÆt"}</definedName>
    <definedName name="wrn.chi._.tiÆt._5" localSheetId="9" hidden="1">{#N/A,#N/A,FALSE,"Chi tiÆt"}</definedName>
    <definedName name="wrn.chi._.tiÆt._5" localSheetId="0" hidden="1">{#N/A,#N/A,FALSE,"Chi tiÆt"}</definedName>
    <definedName name="wrn.chi._.tiÆt._5" localSheetId="7" hidden="1">{#N/A,#N/A,FALSE,"Chi tiÆt"}</definedName>
    <definedName name="wrn.chi._.tiÆt._5" localSheetId="13" hidden="1">{#N/A,#N/A,FALSE,"Chi tiÆt"}</definedName>
    <definedName name="wrn.chi._.tiÆt._5" localSheetId="8" hidden="1">{#N/A,#N/A,FALSE,"Chi tiÆt"}</definedName>
    <definedName name="wrn.chi._.tiÆt._5" localSheetId="12" hidden="1">{#N/A,#N/A,FALSE,"Chi tiÆt"}</definedName>
    <definedName name="wrn.chi._.tiÆt._5" hidden="1">{#N/A,#N/A,FALSE,"Chi tiÆt"}</definedName>
    <definedName name="wrn.Cukai._.PPN._.Bandrol._.Rusak." localSheetId="15" hidden="1">{#N/A,#N/A,FALSE,"WPO6241_TBL";#N/A,#N/A,FALSE,"WPO6242_TBL";#N/A,#N/A,FALSE,"WPO_Cukai_PPN"}</definedName>
    <definedName name="wrn.Cukai._.PPN._.Bandrol._.Rusak." localSheetId="9" hidden="1">{#N/A,#N/A,FALSE,"WPO6241_TBL";#N/A,#N/A,FALSE,"WPO6242_TBL";#N/A,#N/A,FALSE,"WPO_Cukai_PPN"}</definedName>
    <definedName name="wrn.Cukai._.PPN._.Bandrol._.Rusak." localSheetId="0" hidden="1">{#N/A,#N/A,FALSE,"WPO6241_TBL";#N/A,#N/A,FALSE,"WPO6242_TBL";#N/A,#N/A,FALSE,"WPO_Cukai_PPN"}</definedName>
    <definedName name="wrn.Cukai._.PPN._.Bandrol._.Rusak." localSheetId="7" hidden="1">{#N/A,#N/A,FALSE,"WPO6241_TBL";#N/A,#N/A,FALSE,"WPO6242_TBL";#N/A,#N/A,FALSE,"WPO_Cukai_PPN"}</definedName>
    <definedName name="wrn.Cukai._.PPN._.Bandrol._.Rusak." localSheetId="13" hidden="1">{#N/A,#N/A,FALSE,"WPO6241_TBL";#N/A,#N/A,FALSE,"WPO6242_TBL";#N/A,#N/A,FALSE,"WPO_Cukai_PPN"}</definedName>
    <definedName name="wrn.Cukai._.PPN._.Bandrol._.Rusak." localSheetId="8" hidden="1">{#N/A,#N/A,FALSE,"WPO6241_TBL";#N/A,#N/A,FALSE,"WPO6242_TBL";#N/A,#N/A,FALSE,"WPO_Cukai_PPN"}</definedName>
    <definedName name="wrn.Cukai._.PPN._.Bandrol._.Rusak." localSheetId="12" hidden="1">{#N/A,#N/A,FALSE,"WPO6241_TBL";#N/A,#N/A,FALSE,"WPO6242_TBL";#N/A,#N/A,FALSE,"WPO_Cukai_PPN"}</definedName>
    <definedName name="wrn.Cukai._.PPN._.Bandrol._.Rusak." hidden="1">{#N/A,#N/A,FALSE,"WPO6241_TBL";#N/A,#N/A,FALSE,"WPO6242_TBL";#N/A,#N/A,FALSE,"WPO_Cukai_PPN"}</definedName>
    <definedName name="wrn.Cukai._.PPN._.Bandrol._.Rusak._2" localSheetId="15" hidden="1">{#N/A,#N/A,FALSE,"WPO6241_TBL";#N/A,#N/A,FALSE,"WPO6242_TBL";#N/A,#N/A,FALSE,"WPO_Cukai_PPN"}</definedName>
    <definedName name="wrn.Cukai._.PPN._.Bandrol._.Rusak._2" localSheetId="9" hidden="1">{#N/A,#N/A,FALSE,"WPO6241_TBL";#N/A,#N/A,FALSE,"WPO6242_TBL";#N/A,#N/A,FALSE,"WPO_Cukai_PPN"}</definedName>
    <definedName name="wrn.Cukai._.PPN._.Bandrol._.Rusak._2" localSheetId="0" hidden="1">{#N/A,#N/A,FALSE,"WPO6241_TBL";#N/A,#N/A,FALSE,"WPO6242_TBL";#N/A,#N/A,FALSE,"WPO_Cukai_PPN"}</definedName>
    <definedName name="wrn.Cukai._.PPN._.Bandrol._.Rusak._2" localSheetId="7" hidden="1">{#N/A,#N/A,FALSE,"WPO6241_TBL";#N/A,#N/A,FALSE,"WPO6242_TBL";#N/A,#N/A,FALSE,"WPO_Cukai_PPN"}</definedName>
    <definedName name="wrn.Cukai._.PPN._.Bandrol._.Rusak._2" localSheetId="13" hidden="1">{#N/A,#N/A,FALSE,"WPO6241_TBL";#N/A,#N/A,FALSE,"WPO6242_TBL";#N/A,#N/A,FALSE,"WPO_Cukai_PPN"}</definedName>
    <definedName name="wrn.Cukai._.PPN._.Bandrol._.Rusak._2" localSheetId="8" hidden="1">{#N/A,#N/A,FALSE,"WPO6241_TBL";#N/A,#N/A,FALSE,"WPO6242_TBL";#N/A,#N/A,FALSE,"WPO_Cukai_PPN"}</definedName>
    <definedName name="wrn.Cukai._.PPN._.Bandrol._.Rusak._2" localSheetId="12" hidden="1">{#N/A,#N/A,FALSE,"WPO6241_TBL";#N/A,#N/A,FALSE,"WPO6242_TBL";#N/A,#N/A,FALSE,"WPO_Cukai_PPN"}</definedName>
    <definedName name="wrn.Cukai._.PPN._.Bandrol._.Rusak._2" hidden="1">{#N/A,#N/A,FALSE,"WPO6241_TBL";#N/A,#N/A,FALSE,"WPO6242_TBL";#N/A,#N/A,FALSE,"WPO_Cukai_PPN"}</definedName>
    <definedName name="wrn.Cukai._.PPN._.Bandrol._.Rusak._3" localSheetId="15" hidden="1">{#N/A,#N/A,FALSE,"WPO6241_TBL";#N/A,#N/A,FALSE,"WPO6242_TBL";#N/A,#N/A,FALSE,"WPO_Cukai_PPN"}</definedName>
    <definedName name="wrn.Cukai._.PPN._.Bandrol._.Rusak._3" localSheetId="9" hidden="1">{#N/A,#N/A,FALSE,"WPO6241_TBL";#N/A,#N/A,FALSE,"WPO6242_TBL";#N/A,#N/A,FALSE,"WPO_Cukai_PPN"}</definedName>
    <definedName name="wrn.Cukai._.PPN._.Bandrol._.Rusak._3" localSheetId="0" hidden="1">{#N/A,#N/A,FALSE,"WPO6241_TBL";#N/A,#N/A,FALSE,"WPO6242_TBL";#N/A,#N/A,FALSE,"WPO_Cukai_PPN"}</definedName>
    <definedName name="wrn.Cukai._.PPN._.Bandrol._.Rusak._3" localSheetId="7" hidden="1">{#N/A,#N/A,FALSE,"WPO6241_TBL";#N/A,#N/A,FALSE,"WPO6242_TBL";#N/A,#N/A,FALSE,"WPO_Cukai_PPN"}</definedName>
    <definedName name="wrn.Cukai._.PPN._.Bandrol._.Rusak._3" localSheetId="13" hidden="1">{#N/A,#N/A,FALSE,"WPO6241_TBL";#N/A,#N/A,FALSE,"WPO6242_TBL";#N/A,#N/A,FALSE,"WPO_Cukai_PPN"}</definedName>
    <definedName name="wrn.Cukai._.PPN._.Bandrol._.Rusak._3" localSheetId="8" hidden="1">{#N/A,#N/A,FALSE,"WPO6241_TBL";#N/A,#N/A,FALSE,"WPO6242_TBL";#N/A,#N/A,FALSE,"WPO_Cukai_PPN"}</definedName>
    <definedName name="wrn.Cukai._.PPN._.Bandrol._.Rusak._3" localSheetId="12" hidden="1">{#N/A,#N/A,FALSE,"WPO6241_TBL";#N/A,#N/A,FALSE,"WPO6242_TBL";#N/A,#N/A,FALSE,"WPO_Cukai_PPN"}</definedName>
    <definedName name="wrn.Cukai._.PPN._.Bandrol._.Rusak._3" hidden="1">{#N/A,#N/A,FALSE,"WPO6241_TBL";#N/A,#N/A,FALSE,"WPO6242_TBL";#N/A,#N/A,FALSE,"WPO_Cukai_PPN"}</definedName>
    <definedName name="wrn.Cukai._.PPN._.Bandrol._.Rusak._4" localSheetId="15" hidden="1">{#N/A,#N/A,FALSE,"WPO6241_TBL";#N/A,#N/A,FALSE,"WPO6242_TBL";#N/A,#N/A,FALSE,"WPO_Cukai_PPN"}</definedName>
    <definedName name="wrn.Cukai._.PPN._.Bandrol._.Rusak._4" localSheetId="9" hidden="1">{#N/A,#N/A,FALSE,"WPO6241_TBL";#N/A,#N/A,FALSE,"WPO6242_TBL";#N/A,#N/A,FALSE,"WPO_Cukai_PPN"}</definedName>
    <definedName name="wrn.Cukai._.PPN._.Bandrol._.Rusak._4" localSheetId="0" hidden="1">{#N/A,#N/A,FALSE,"WPO6241_TBL";#N/A,#N/A,FALSE,"WPO6242_TBL";#N/A,#N/A,FALSE,"WPO_Cukai_PPN"}</definedName>
    <definedName name="wrn.Cukai._.PPN._.Bandrol._.Rusak._4" localSheetId="7" hidden="1">{#N/A,#N/A,FALSE,"WPO6241_TBL";#N/A,#N/A,FALSE,"WPO6242_TBL";#N/A,#N/A,FALSE,"WPO_Cukai_PPN"}</definedName>
    <definedName name="wrn.Cukai._.PPN._.Bandrol._.Rusak._4" localSheetId="13" hidden="1">{#N/A,#N/A,FALSE,"WPO6241_TBL";#N/A,#N/A,FALSE,"WPO6242_TBL";#N/A,#N/A,FALSE,"WPO_Cukai_PPN"}</definedName>
    <definedName name="wrn.Cukai._.PPN._.Bandrol._.Rusak._4" localSheetId="8" hidden="1">{#N/A,#N/A,FALSE,"WPO6241_TBL";#N/A,#N/A,FALSE,"WPO6242_TBL";#N/A,#N/A,FALSE,"WPO_Cukai_PPN"}</definedName>
    <definedName name="wrn.Cukai._.PPN._.Bandrol._.Rusak._4" localSheetId="12" hidden="1">{#N/A,#N/A,FALSE,"WPO6241_TBL";#N/A,#N/A,FALSE,"WPO6242_TBL";#N/A,#N/A,FALSE,"WPO_Cukai_PPN"}</definedName>
    <definedName name="wrn.Cukai._.PPN._.Bandrol._.Rusak._4" hidden="1">{#N/A,#N/A,FALSE,"WPO6241_TBL";#N/A,#N/A,FALSE,"WPO6242_TBL";#N/A,#N/A,FALSE,"WPO_Cukai_PPN"}</definedName>
    <definedName name="wrn.Cukai._.PPN._.Bandrol._.Rusak._5" localSheetId="15" hidden="1">{#N/A,#N/A,FALSE,"WPO6241_TBL";#N/A,#N/A,FALSE,"WPO6242_TBL";#N/A,#N/A,FALSE,"WPO_Cukai_PPN"}</definedName>
    <definedName name="wrn.Cukai._.PPN._.Bandrol._.Rusak._5" localSheetId="9" hidden="1">{#N/A,#N/A,FALSE,"WPO6241_TBL";#N/A,#N/A,FALSE,"WPO6242_TBL";#N/A,#N/A,FALSE,"WPO_Cukai_PPN"}</definedName>
    <definedName name="wrn.Cukai._.PPN._.Bandrol._.Rusak._5" localSheetId="0" hidden="1">{#N/A,#N/A,FALSE,"WPO6241_TBL";#N/A,#N/A,FALSE,"WPO6242_TBL";#N/A,#N/A,FALSE,"WPO_Cukai_PPN"}</definedName>
    <definedName name="wrn.Cukai._.PPN._.Bandrol._.Rusak._5" localSheetId="7" hidden="1">{#N/A,#N/A,FALSE,"WPO6241_TBL";#N/A,#N/A,FALSE,"WPO6242_TBL";#N/A,#N/A,FALSE,"WPO_Cukai_PPN"}</definedName>
    <definedName name="wrn.Cukai._.PPN._.Bandrol._.Rusak._5" localSheetId="13" hidden="1">{#N/A,#N/A,FALSE,"WPO6241_TBL";#N/A,#N/A,FALSE,"WPO6242_TBL";#N/A,#N/A,FALSE,"WPO_Cukai_PPN"}</definedName>
    <definedName name="wrn.Cukai._.PPN._.Bandrol._.Rusak._5" localSheetId="8" hidden="1">{#N/A,#N/A,FALSE,"WPO6241_TBL";#N/A,#N/A,FALSE,"WPO6242_TBL";#N/A,#N/A,FALSE,"WPO_Cukai_PPN"}</definedName>
    <definedName name="wrn.Cukai._.PPN._.Bandrol._.Rusak._5" localSheetId="12" hidden="1">{#N/A,#N/A,FALSE,"WPO6241_TBL";#N/A,#N/A,FALSE,"WPO6242_TBL";#N/A,#N/A,FALSE,"WPO_Cukai_PPN"}</definedName>
    <definedName name="wrn.Cukai._.PPN._.Bandrol._.Rusak._5" hidden="1">{#N/A,#N/A,FALSE,"WPO6241_TBL";#N/A,#N/A,FALSE,"WPO6242_TBL";#N/A,#N/A,FALSE,"WPO_Cukai_PPN"}</definedName>
    <definedName name="wrn.Full._.Report.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Legal.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9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0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8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9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9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9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9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9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0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8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Produksi._.Borongan." localSheetId="15" hidden="1">{#N/A,#N/A,FALSE,"WPO6101_TBL";#N/A,#N/A,FALSE,"WPO6101";#N/A,#N/A,FALSE,"WPO6102_TBL";#N/A,#N/A,FALSE,"WPO6102";#N/A,#N/A,FALSE,"WPO6111_TBL";#N/A,#N/A,FALSE,"WPO_borongan"}</definedName>
    <definedName name="wrn.Produksi._.Borongan." localSheetId="9" hidden="1">{#N/A,#N/A,FALSE,"WPO6101_TBL";#N/A,#N/A,FALSE,"WPO6101";#N/A,#N/A,FALSE,"WPO6102_TBL";#N/A,#N/A,FALSE,"WPO6102";#N/A,#N/A,FALSE,"WPO6111_TBL";#N/A,#N/A,FALSE,"WPO_borongan"}</definedName>
    <definedName name="wrn.Produksi._.Borongan." localSheetId="0" hidden="1">{#N/A,#N/A,FALSE,"WPO6101_TBL";#N/A,#N/A,FALSE,"WPO6101";#N/A,#N/A,FALSE,"WPO6102_TBL";#N/A,#N/A,FALSE,"WPO6102";#N/A,#N/A,FALSE,"WPO6111_TBL";#N/A,#N/A,FALSE,"WPO_borongan"}</definedName>
    <definedName name="wrn.Produksi._.Borongan." localSheetId="7" hidden="1">{#N/A,#N/A,FALSE,"WPO6101_TBL";#N/A,#N/A,FALSE,"WPO6101";#N/A,#N/A,FALSE,"WPO6102_TBL";#N/A,#N/A,FALSE,"WPO6102";#N/A,#N/A,FALSE,"WPO6111_TBL";#N/A,#N/A,FALSE,"WPO_borongan"}</definedName>
    <definedName name="wrn.Produksi._.Borongan." localSheetId="13" hidden="1">{#N/A,#N/A,FALSE,"WPO6101_TBL";#N/A,#N/A,FALSE,"WPO6101";#N/A,#N/A,FALSE,"WPO6102_TBL";#N/A,#N/A,FALSE,"WPO6102";#N/A,#N/A,FALSE,"WPO6111_TBL";#N/A,#N/A,FALSE,"WPO_borongan"}</definedName>
    <definedName name="wrn.Produksi._.Borongan." localSheetId="8" hidden="1">{#N/A,#N/A,FALSE,"WPO6101_TBL";#N/A,#N/A,FALSE,"WPO6101";#N/A,#N/A,FALSE,"WPO6102_TBL";#N/A,#N/A,FALSE,"WPO6102";#N/A,#N/A,FALSE,"WPO6111_TBL";#N/A,#N/A,FALSE,"WPO_borongan"}</definedName>
    <definedName name="wrn.Produksi._.Borongan." localSheetId="12" hidden="1">{#N/A,#N/A,FALSE,"WPO6101_TBL";#N/A,#N/A,FALSE,"WPO6101";#N/A,#N/A,FALSE,"WPO6102_TBL";#N/A,#N/A,FALSE,"WPO6102";#N/A,#N/A,FALSE,"WPO6111_TBL";#N/A,#N/A,FALSE,"WPO_borongan"}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localSheetId="15" hidden="1">{#N/A,#N/A,FALSE,"WPO6105_TBL";#N/A,#N/A,FALSE,"WPO6105";#N/A,#N/A,FALSE,"WPO6106_TBL";#N/A,#N/A,FALSE,"WPO6106"}</definedName>
    <definedName name="wrn.Produksi._.Borongan._.Belajar." localSheetId="9" hidden="1">{#N/A,#N/A,FALSE,"WPO6105_TBL";#N/A,#N/A,FALSE,"WPO6105";#N/A,#N/A,FALSE,"WPO6106_TBL";#N/A,#N/A,FALSE,"WPO6106"}</definedName>
    <definedName name="wrn.Produksi._.Borongan._.Belajar." localSheetId="0" hidden="1">{#N/A,#N/A,FALSE,"WPO6105_TBL";#N/A,#N/A,FALSE,"WPO6105";#N/A,#N/A,FALSE,"WPO6106_TBL";#N/A,#N/A,FALSE,"WPO6106"}</definedName>
    <definedName name="wrn.Produksi._.Borongan._.Belajar." localSheetId="7" hidden="1">{#N/A,#N/A,FALSE,"WPO6105_TBL";#N/A,#N/A,FALSE,"WPO6105";#N/A,#N/A,FALSE,"WPO6106_TBL";#N/A,#N/A,FALSE,"WPO6106"}</definedName>
    <definedName name="wrn.Produksi._.Borongan._.Belajar." localSheetId="13" hidden="1">{#N/A,#N/A,FALSE,"WPO6105_TBL";#N/A,#N/A,FALSE,"WPO6105";#N/A,#N/A,FALSE,"WPO6106_TBL";#N/A,#N/A,FALSE,"WPO6106"}</definedName>
    <definedName name="wrn.Produksi._.Borongan._.Belajar." localSheetId="8" hidden="1">{#N/A,#N/A,FALSE,"WPO6105_TBL";#N/A,#N/A,FALSE,"WPO6105";#N/A,#N/A,FALSE,"WPO6106_TBL";#N/A,#N/A,FALSE,"WPO6106"}</definedName>
    <definedName name="wrn.Produksi._.Borongan._.Belajar." localSheetId="12" hidden="1">{#N/A,#N/A,FALSE,"WPO6105_TBL";#N/A,#N/A,FALSE,"WPO6105";#N/A,#N/A,FALSE,"WPO6106_TBL";#N/A,#N/A,FALSE,"WPO6106"}</definedName>
    <definedName name="wrn.Produksi._.Borongan._.Belajar." hidden="1">{#N/A,#N/A,FALSE,"WPO6105_TBL";#N/A,#N/A,FALSE,"WPO6105";#N/A,#N/A,FALSE,"WPO6106_TBL";#N/A,#N/A,FALSE,"WPO6106"}</definedName>
    <definedName name="wrn.Produksi._.Borongan._.Belajar._2" localSheetId="15" hidden="1">{#N/A,#N/A,FALSE,"WPO6105_TBL";#N/A,#N/A,FALSE,"WPO6105";#N/A,#N/A,FALSE,"WPO6106_TBL";#N/A,#N/A,FALSE,"WPO6106"}</definedName>
    <definedName name="wrn.Produksi._.Borongan._.Belajar._2" localSheetId="9" hidden="1">{#N/A,#N/A,FALSE,"WPO6105_TBL";#N/A,#N/A,FALSE,"WPO6105";#N/A,#N/A,FALSE,"WPO6106_TBL";#N/A,#N/A,FALSE,"WPO6106"}</definedName>
    <definedName name="wrn.Produksi._.Borongan._.Belajar._2" localSheetId="0" hidden="1">{#N/A,#N/A,FALSE,"WPO6105_TBL";#N/A,#N/A,FALSE,"WPO6105";#N/A,#N/A,FALSE,"WPO6106_TBL";#N/A,#N/A,FALSE,"WPO6106"}</definedName>
    <definedName name="wrn.Produksi._.Borongan._.Belajar._2" localSheetId="7" hidden="1">{#N/A,#N/A,FALSE,"WPO6105_TBL";#N/A,#N/A,FALSE,"WPO6105";#N/A,#N/A,FALSE,"WPO6106_TBL";#N/A,#N/A,FALSE,"WPO6106"}</definedName>
    <definedName name="wrn.Produksi._.Borongan._.Belajar._2" localSheetId="13" hidden="1">{#N/A,#N/A,FALSE,"WPO6105_TBL";#N/A,#N/A,FALSE,"WPO6105";#N/A,#N/A,FALSE,"WPO6106_TBL";#N/A,#N/A,FALSE,"WPO6106"}</definedName>
    <definedName name="wrn.Produksi._.Borongan._.Belajar._2" localSheetId="8" hidden="1">{#N/A,#N/A,FALSE,"WPO6105_TBL";#N/A,#N/A,FALSE,"WPO6105";#N/A,#N/A,FALSE,"WPO6106_TBL";#N/A,#N/A,FALSE,"WPO6106"}</definedName>
    <definedName name="wrn.Produksi._.Borongan._.Belajar._2" localSheetId="12" hidden="1">{#N/A,#N/A,FALSE,"WPO6105_TBL";#N/A,#N/A,FALSE,"WPO6105";#N/A,#N/A,FALSE,"WPO6106_TBL";#N/A,#N/A,FALSE,"WPO6106"}</definedName>
    <definedName name="wrn.Produksi._.Borongan._.Belajar._2" hidden="1">{#N/A,#N/A,FALSE,"WPO6105_TBL";#N/A,#N/A,FALSE,"WPO6105";#N/A,#N/A,FALSE,"WPO6106_TBL";#N/A,#N/A,FALSE,"WPO6106"}</definedName>
    <definedName name="wrn.Produksi._.Borongan._.Belajar._3" localSheetId="15" hidden="1">{#N/A,#N/A,FALSE,"WPO6105_TBL";#N/A,#N/A,FALSE,"WPO6105";#N/A,#N/A,FALSE,"WPO6106_TBL";#N/A,#N/A,FALSE,"WPO6106"}</definedName>
    <definedName name="wrn.Produksi._.Borongan._.Belajar._3" localSheetId="9" hidden="1">{#N/A,#N/A,FALSE,"WPO6105_TBL";#N/A,#N/A,FALSE,"WPO6105";#N/A,#N/A,FALSE,"WPO6106_TBL";#N/A,#N/A,FALSE,"WPO6106"}</definedName>
    <definedName name="wrn.Produksi._.Borongan._.Belajar._3" localSheetId="0" hidden="1">{#N/A,#N/A,FALSE,"WPO6105_TBL";#N/A,#N/A,FALSE,"WPO6105";#N/A,#N/A,FALSE,"WPO6106_TBL";#N/A,#N/A,FALSE,"WPO6106"}</definedName>
    <definedName name="wrn.Produksi._.Borongan._.Belajar._3" localSheetId="7" hidden="1">{#N/A,#N/A,FALSE,"WPO6105_TBL";#N/A,#N/A,FALSE,"WPO6105";#N/A,#N/A,FALSE,"WPO6106_TBL";#N/A,#N/A,FALSE,"WPO6106"}</definedName>
    <definedName name="wrn.Produksi._.Borongan._.Belajar._3" localSheetId="13" hidden="1">{#N/A,#N/A,FALSE,"WPO6105_TBL";#N/A,#N/A,FALSE,"WPO6105";#N/A,#N/A,FALSE,"WPO6106_TBL";#N/A,#N/A,FALSE,"WPO6106"}</definedName>
    <definedName name="wrn.Produksi._.Borongan._.Belajar._3" localSheetId="8" hidden="1">{#N/A,#N/A,FALSE,"WPO6105_TBL";#N/A,#N/A,FALSE,"WPO6105";#N/A,#N/A,FALSE,"WPO6106_TBL";#N/A,#N/A,FALSE,"WPO6106"}</definedName>
    <definedName name="wrn.Produksi._.Borongan._.Belajar._3" localSheetId="12" hidden="1">{#N/A,#N/A,FALSE,"WPO6105_TBL";#N/A,#N/A,FALSE,"WPO6105";#N/A,#N/A,FALSE,"WPO6106_TBL";#N/A,#N/A,FALSE,"WPO6106"}</definedName>
    <definedName name="wrn.Produksi._.Borongan._.Belajar._3" hidden="1">{#N/A,#N/A,FALSE,"WPO6105_TBL";#N/A,#N/A,FALSE,"WPO6105";#N/A,#N/A,FALSE,"WPO6106_TBL";#N/A,#N/A,FALSE,"WPO6106"}</definedName>
    <definedName name="wrn.Produksi._.Borongan._.Belajar._4" localSheetId="15" hidden="1">{#N/A,#N/A,FALSE,"WPO6105_TBL";#N/A,#N/A,FALSE,"WPO6105";#N/A,#N/A,FALSE,"WPO6106_TBL";#N/A,#N/A,FALSE,"WPO6106"}</definedName>
    <definedName name="wrn.Produksi._.Borongan._.Belajar._4" localSheetId="9" hidden="1">{#N/A,#N/A,FALSE,"WPO6105_TBL";#N/A,#N/A,FALSE,"WPO6105";#N/A,#N/A,FALSE,"WPO6106_TBL";#N/A,#N/A,FALSE,"WPO6106"}</definedName>
    <definedName name="wrn.Produksi._.Borongan._.Belajar._4" localSheetId="0" hidden="1">{#N/A,#N/A,FALSE,"WPO6105_TBL";#N/A,#N/A,FALSE,"WPO6105";#N/A,#N/A,FALSE,"WPO6106_TBL";#N/A,#N/A,FALSE,"WPO6106"}</definedName>
    <definedName name="wrn.Produksi._.Borongan._.Belajar._4" localSheetId="7" hidden="1">{#N/A,#N/A,FALSE,"WPO6105_TBL";#N/A,#N/A,FALSE,"WPO6105";#N/A,#N/A,FALSE,"WPO6106_TBL";#N/A,#N/A,FALSE,"WPO6106"}</definedName>
    <definedName name="wrn.Produksi._.Borongan._.Belajar._4" localSheetId="13" hidden="1">{#N/A,#N/A,FALSE,"WPO6105_TBL";#N/A,#N/A,FALSE,"WPO6105";#N/A,#N/A,FALSE,"WPO6106_TBL";#N/A,#N/A,FALSE,"WPO6106"}</definedName>
    <definedName name="wrn.Produksi._.Borongan._.Belajar._4" localSheetId="8" hidden="1">{#N/A,#N/A,FALSE,"WPO6105_TBL";#N/A,#N/A,FALSE,"WPO6105";#N/A,#N/A,FALSE,"WPO6106_TBL";#N/A,#N/A,FALSE,"WPO6106"}</definedName>
    <definedName name="wrn.Produksi._.Borongan._.Belajar._4" localSheetId="12" hidden="1">{#N/A,#N/A,FALSE,"WPO6105_TBL";#N/A,#N/A,FALSE,"WPO6105";#N/A,#N/A,FALSE,"WPO6106_TBL";#N/A,#N/A,FALSE,"WPO6106"}</definedName>
    <definedName name="wrn.Produksi._.Borongan._.Belajar._4" hidden="1">{#N/A,#N/A,FALSE,"WPO6105_TBL";#N/A,#N/A,FALSE,"WPO6105";#N/A,#N/A,FALSE,"WPO6106_TBL";#N/A,#N/A,FALSE,"WPO6106"}</definedName>
    <definedName name="wrn.Produksi._.Borongan._.Belajar._5" localSheetId="15" hidden="1">{#N/A,#N/A,FALSE,"WPO6105_TBL";#N/A,#N/A,FALSE,"WPO6105";#N/A,#N/A,FALSE,"WPO6106_TBL";#N/A,#N/A,FALSE,"WPO6106"}</definedName>
    <definedName name="wrn.Produksi._.Borongan._.Belajar._5" localSheetId="9" hidden="1">{#N/A,#N/A,FALSE,"WPO6105_TBL";#N/A,#N/A,FALSE,"WPO6105";#N/A,#N/A,FALSE,"WPO6106_TBL";#N/A,#N/A,FALSE,"WPO6106"}</definedName>
    <definedName name="wrn.Produksi._.Borongan._.Belajar._5" localSheetId="0" hidden="1">{#N/A,#N/A,FALSE,"WPO6105_TBL";#N/A,#N/A,FALSE,"WPO6105";#N/A,#N/A,FALSE,"WPO6106_TBL";#N/A,#N/A,FALSE,"WPO6106"}</definedName>
    <definedName name="wrn.Produksi._.Borongan._.Belajar._5" localSheetId="7" hidden="1">{#N/A,#N/A,FALSE,"WPO6105_TBL";#N/A,#N/A,FALSE,"WPO6105";#N/A,#N/A,FALSE,"WPO6106_TBL";#N/A,#N/A,FALSE,"WPO6106"}</definedName>
    <definedName name="wrn.Produksi._.Borongan._.Belajar._5" localSheetId="13" hidden="1">{#N/A,#N/A,FALSE,"WPO6105_TBL";#N/A,#N/A,FALSE,"WPO6105";#N/A,#N/A,FALSE,"WPO6106_TBL";#N/A,#N/A,FALSE,"WPO6106"}</definedName>
    <definedName name="wrn.Produksi._.Borongan._.Belajar._5" localSheetId="8" hidden="1">{#N/A,#N/A,FALSE,"WPO6105_TBL";#N/A,#N/A,FALSE,"WPO6105";#N/A,#N/A,FALSE,"WPO6106_TBL";#N/A,#N/A,FALSE,"WPO6106"}</definedName>
    <definedName name="wrn.Produksi._.Borongan._.Belajar._5" localSheetId="12" hidden="1">{#N/A,#N/A,FALSE,"WPO6105_TBL";#N/A,#N/A,FALSE,"WPO6105";#N/A,#N/A,FALSE,"WPO6106_TBL";#N/A,#N/A,FALSE,"WPO6106"}</definedName>
    <definedName name="wrn.Produksi._.Borongan._.Belajar._5" hidden="1">{#N/A,#N/A,FALSE,"WPO6105_TBL";#N/A,#N/A,FALSE,"WPO6105";#N/A,#N/A,FALSE,"WPO6106_TBL";#N/A,#N/A,FALSE,"WPO6106"}</definedName>
    <definedName name="wrn.Produksi._.Borongan._2" localSheetId="15" hidden="1">{#N/A,#N/A,FALSE,"WPO6101_TBL";#N/A,#N/A,FALSE,"WPO6101";#N/A,#N/A,FALSE,"WPO6102_TBL";#N/A,#N/A,FALSE,"WPO6102";#N/A,#N/A,FALSE,"WPO6111_TBL";#N/A,#N/A,FALSE,"WPO_borongan"}</definedName>
    <definedName name="wrn.Produksi._.Borongan._2" localSheetId="9" hidden="1">{#N/A,#N/A,FALSE,"WPO6101_TBL";#N/A,#N/A,FALSE,"WPO6101";#N/A,#N/A,FALSE,"WPO6102_TBL";#N/A,#N/A,FALSE,"WPO6102";#N/A,#N/A,FALSE,"WPO6111_TBL";#N/A,#N/A,FALSE,"WPO_borongan"}</definedName>
    <definedName name="wrn.Produksi._.Borongan._2" localSheetId="0" hidden="1">{#N/A,#N/A,FALSE,"WPO6101_TBL";#N/A,#N/A,FALSE,"WPO6101";#N/A,#N/A,FALSE,"WPO6102_TBL";#N/A,#N/A,FALSE,"WPO6102";#N/A,#N/A,FALSE,"WPO6111_TBL";#N/A,#N/A,FALSE,"WPO_borongan"}</definedName>
    <definedName name="wrn.Produksi._.Borongan._2" localSheetId="7" hidden="1">{#N/A,#N/A,FALSE,"WPO6101_TBL";#N/A,#N/A,FALSE,"WPO6101";#N/A,#N/A,FALSE,"WPO6102_TBL";#N/A,#N/A,FALSE,"WPO6102";#N/A,#N/A,FALSE,"WPO6111_TBL";#N/A,#N/A,FALSE,"WPO_borongan"}</definedName>
    <definedName name="wrn.Produksi._.Borongan._2" localSheetId="13" hidden="1">{#N/A,#N/A,FALSE,"WPO6101_TBL";#N/A,#N/A,FALSE,"WPO6101";#N/A,#N/A,FALSE,"WPO6102_TBL";#N/A,#N/A,FALSE,"WPO6102";#N/A,#N/A,FALSE,"WPO6111_TBL";#N/A,#N/A,FALSE,"WPO_borongan"}</definedName>
    <definedName name="wrn.Produksi._.Borongan._2" localSheetId="8" hidden="1">{#N/A,#N/A,FALSE,"WPO6101_TBL";#N/A,#N/A,FALSE,"WPO6101";#N/A,#N/A,FALSE,"WPO6102_TBL";#N/A,#N/A,FALSE,"WPO6102";#N/A,#N/A,FALSE,"WPO6111_TBL";#N/A,#N/A,FALSE,"WPO_borongan"}</definedName>
    <definedName name="wrn.Produksi._.Borongan._2" localSheetId="12" hidden="1">{#N/A,#N/A,FALSE,"WPO6101_TBL";#N/A,#N/A,FALSE,"WPO6101";#N/A,#N/A,FALSE,"WPO6102_TBL";#N/A,#N/A,FALSE,"WPO6102";#N/A,#N/A,FALSE,"WPO6111_TBL";#N/A,#N/A,FALSE,"WPO_borongan"}</definedName>
    <definedName name="wrn.Produksi._.Borongan._2" hidden="1">{#N/A,#N/A,FALSE,"WPO6101_TBL";#N/A,#N/A,FALSE,"WPO6101";#N/A,#N/A,FALSE,"WPO6102_TBL";#N/A,#N/A,FALSE,"WPO6102";#N/A,#N/A,FALSE,"WPO6111_TBL";#N/A,#N/A,FALSE,"WPO_borongan"}</definedName>
    <definedName name="wrn.Produksi._.Borongan._3" localSheetId="15" hidden="1">{#N/A,#N/A,FALSE,"WPO6101_TBL";#N/A,#N/A,FALSE,"WPO6101";#N/A,#N/A,FALSE,"WPO6102_TBL";#N/A,#N/A,FALSE,"WPO6102";#N/A,#N/A,FALSE,"WPO6111_TBL";#N/A,#N/A,FALSE,"WPO_borongan"}</definedName>
    <definedName name="wrn.Produksi._.Borongan._3" localSheetId="9" hidden="1">{#N/A,#N/A,FALSE,"WPO6101_TBL";#N/A,#N/A,FALSE,"WPO6101";#N/A,#N/A,FALSE,"WPO6102_TBL";#N/A,#N/A,FALSE,"WPO6102";#N/A,#N/A,FALSE,"WPO6111_TBL";#N/A,#N/A,FALSE,"WPO_borongan"}</definedName>
    <definedName name="wrn.Produksi._.Borongan._3" localSheetId="0" hidden="1">{#N/A,#N/A,FALSE,"WPO6101_TBL";#N/A,#N/A,FALSE,"WPO6101";#N/A,#N/A,FALSE,"WPO6102_TBL";#N/A,#N/A,FALSE,"WPO6102";#N/A,#N/A,FALSE,"WPO6111_TBL";#N/A,#N/A,FALSE,"WPO_borongan"}</definedName>
    <definedName name="wrn.Produksi._.Borongan._3" localSheetId="7" hidden="1">{#N/A,#N/A,FALSE,"WPO6101_TBL";#N/A,#N/A,FALSE,"WPO6101";#N/A,#N/A,FALSE,"WPO6102_TBL";#N/A,#N/A,FALSE,"WPO6102";#N/A,#N/A,FALSE,"WPO6111_TBL";#N/A,#N/A,FALSE,"WPO_borongan"}</definedName>
    <definedName name="wrn.Produksi._.Borongan._3" localSheetId="13" hidden="1">{#N/A,#N/A,FALSE,"WPO6101_TBL";#N/A,#N/A,FALSE,"WPO6101";#N/A,#N/A,FALSE,"WPO6102_TBL";#N/A,#N/A,FALSE,"WPO6102";#N/A,#N/A,FALSE,"WPO6111_TBL";#N/A,#N/A,FALSE,"WPO_borongan"}</definedName>
    <definedName name="wrn.Produksi._.Borongan._3" localSheetId="8" hidden="1">{#N/A,#N/A,FALSE,"WPO6101_TBL";#N/A,#N/A,FALSE,"WPO6101";#N/A,#N/A,FALSE,"WPO6102_TBL";#N/A,#N/A,FALSE,"WPO6102";#N/A,#N/A,FALSE,"WPO6111_TBL";#N/A,#N/A,FALSE,"WPO_borongan"}</definedName>
    <definedName name="wrn.Produksi._.Borongan._3" localSheetId="12" hidden="1">{#N/A,#N/A,FALSE,"WPO6101_TBL";#N/A,#N/A,FALSE,"WPO6101";#N/A,#N/A,FALSE,"WPO6102_TBL";#N/A,#N/A,FALSE,"WPO6102";#N/A,#N/A,FALSE,"WPO6111_TBL";#N/A,#N/A,FALSE,"WPO_borongan"}</definedName>
    <definedName name="wrn.Produksi._.Borongan._3" hidden="1">{#N/A,#N/A,FALSE,"WPO6101_TBL";#N/A,#N/A,FALSE,"WPO6101";#N/A,#N/A,FALSE,"WPO6102_TBL";#N/A,#N/A,FALSE,"WPO6102";#N/A,#N/A,FALSE,"WPO6111_TBL";#N/A,#N/A,FALSE,"WPO_borongan"}</definedName>
    <definedName name="wrn.Produksi._.Borongan._4" localSheetId="15" hidden="1">{#N/A,#N/A,FALSE,"WPO6101_TBL";#N/A,#N/A,FALSE,"WPO6101";#N/A,#N/A,FALSE,"WPO6102_TBL";#N/A,#N/A,FALSE,"WPO6102";#N/A,#N/A,FALSE,"WPO6111_TBL";#N/A,#N/A,FALSE,"WPO_borongan"}</definedName>
    <definedName name="wrn.Produksi._.Borongan._4" localSheetId="9" hidden="1">{#N/A,#N/A,FALSE,"WPO6101_TBL";#N/A,#N/A,FALSE,"WPO6101";#N/A,#N/A,FALSE,"WPO6102_TBL";#N/A,#N/A,FALSE,"WPO6102";#N/A,#N/A,FALSE,"WPO6111_TBL";#N/A,#N/A,FALSE,"WPO_borongan"}</definedName>
    <definedName name="wrn.Produksi._.Borongan._4" localSheetId="0" hidden="1">{#N/A,#N/A,FALSE,"WPO6101_TBL";#N/A,#N/A,FALSE,"WPO6101";#N/A,#N/A,FALSE,"WPO6102_TBL";#N/A,#N/A,FALSE,"WPO6102";#N/A,#N/A,FALSE,"WPO6111_TBL";#N/A,#N/A,FALSE,"WPO_borongan"}</definedName>
    <definedName name="wrn.Produksi._.Borongan._4" localSheetId="7" hidden="1">{#N/A,#N/A,FALSE,"WPO6101_TBL";#N/A,#N/A,FALSE,"WPO6101";#N/A,#N/A,FALSE,"WPO6102_TBL";#N/A,#N/A,FALSE,"WPO6102";#N/A,#N/A,FALSE,"WPO6111_TBL";#N/A,#N/A,FALSE,"WPO_borongan"}</definedName>
    <definedName name="wrn.Produksi._.Borongan._4" localSheetId="13" hidden="1">{#N/A,#N/A,FALSE,"WPO6101_TBL";#N/A,#N/A,FALSE,"WPO6101";#N/A,#N/A,FALSE,"WPO6102_TBL";#N/A,#N/A,FALSE,"WPO6102";#N/A,#N/A,FALSE,"WPO6111_TBL";#N/A,#N/A,FALSE,"WPO_borongan"}</definedName>
    <definedName name="wrn.Produksi._.Borongan._4" localSheetId="8" hidden="1">{#N/A,#N/A,FALSE,"WPO6101_TBL";#N/A,#N/A,FALSE,"WPO6101";#N/A,#N/A,FALSE,"WPO6102_TBL";#N/A,#N/A,FALSE,"WPO6102";#N/A,#N/A,FALSE,"WPO6111_TBL";#N/A,#N/A,FALSE,"WPO_borongan"}</definedName>
    <definedName name="wrn.Produksi._.Borongan._4" localSheetId="12" hidden="1">{#N/A,#N/A,FALSE,"WPO6101_TBL";#N/A,#N/A,FALSE,"WPO6101";#N/A,#N/A,FALSE,"WPO6102_TBL";#N/A,#N/A,FALSE,"WPO6102";#N/A,#N/A,FALSE,"WPO6111_TBL";#N/A,#N/A,FALSE,"WPO_borongan"}</definedName>
    <definedName name="wrn.Produksi._.Borongan._4" hidden="1">{#N/A,#N/A,FALSE,"WPO6101_TBL";#N/A,#N/A,FALSE,"WPO6101";#N/A,#N/A,FALSE,"WPO6102_TBL";#N/A,#N/A,FALSE,"WPO6102";#N/A,#N/A,FALSE,"WPO6111_TBL";#N/A,#N/A,FALSE,"WPO_borongan"}</definedName>
    <definedName name="wrn.Produksi._.Borongan._5" localSheetId="15" hidden="1">{#N/A,#N/A,FALSE,"WPO6101_TBL";#N/A,#N/A,FALSE,"WPO6101";#N/A,#N/A,FALSE,"WPO6102_TBL";#N/A,#N/A,FALSE,"WPO6102";#N/A,#N/A,FALSE,"WPO6111_TBL";#N/A,#N/A,FALSE,"WPO_borongan"}</definedName>
    <definedName name="wrn.Produksi._.Borongan._5" localSheetId="9" hidden="1">{#N/A,#N/A,FALSE,"WPO6101_TBL";#N/A,#N/A,FALSE,"WPO6101";#N/A,#N/A,FALSE,"WPO6102_TBL";#N/A,#N/A,FALSE,"WPO6102";#N/A,#N/A,FALSE,"WPO6111_TBL";#N/A,#N/A,FALSE,"WPO_borongan"}</definedName>
    <definedName name="wrn.Produksi._.Borongan._5" localSheetId="0" hidden="1">{#N/A,#N/A,FALSE,"WPO6101_TBL";#N/A,#N/A,FALSE,"WPO6101";#N/A,#N/A,FALSE,"WPO6102_TBL";#N/A,#N/A,FALSE,"WPO6102";#N/A,#N/A,FALSE,"WPO6111_TBL";#N/A,#N/A,FALSE,"WPO_borongan"}</definedName>
    <definedName name="wrn.Produksi._.Borongan._5" localSheetId="7" hidden="1">{#N/A,#N/A,FALSE,"WPO6101_TBL";#N/A,#N/A,FALSE,"WPO6101";#N/A,#N/A,FALSE,"WPO6102_TBL";#N/A,#N/A,FALSE,"WPO6102";#N/A,#N/A,FALSE,"WPO6111_TBL";#N/A,#N/A,FALSE,"WPO_borongan"}</definedName>
    <definedName name="wrn.Produksi._.Borongan._5" localSheetId="13" hidden="1">{#N/A,#N/A,FALSE,"WPO6101_TBL";#N/A,#N/A,FALSE,"WPO6101";#N/A,#N/A,FALSE,"WPO6102_TBL";#N/A,#N/A,FALSE,"WPO6102";#N/A,#N/A,FALSE,"WPO6111_TBL";#N/A,#N/A,FALSE,"WPO_borongan"}</definedName>
    <definedName name="wrn.Produksi._.Borongan._5" localSheetId="8" hidden="1">{#N/A,#N/A,FALSE,"WPO6101_TBL";#N/A,#N/A,FALSE,"WPO6101";#N/A,#N/A,FALSE,"WPO6102_TBL";#N/A,#N/A,FALSE,"WPO6102";#N/A,#N/A,FALSE,"WPO6111_TBL";#N/A,#N/A,FALSE,"WPO_borongan"}</definedName>
    <definedName name="wrn.Produksi._.Borongan._5" localSheetId="12" hidden="1">{#N/A,#N/A,FALSE,"WPO6101_TBL";#N/A,#N/A,FALSE,"WPO6101";#N/A,#N/A,FALSE,"WPO6102_TBL";#N/A,#N/A,FALSE,"WPO6102";#N/A,#N/A,FALSE,"WPO6111_TBL";#N/A,#N/A,FALSE,"WPO_borongan"}</definedName>
    <definedName name="wrn.Produksi._.Borongan._5" hidden="1">{#N/A,#N/A,FALSE,"WPO6101_TBL";#N/A,#N/A,FALSE,"WPO6101";#N/A,#N/A,FALSE,"WPO6102_TBL";#N/A,#N/A,FALSE,"WPO6102";#N/A,#N/A,FALSE,"WPO6111_TBL";#N/A,#N/A,FALSE,"WPO_borongan"}</definedName>
    <definedName name="wrn.Produksi._.Kontrakan." localSheetId="15" hidden="1">{#N/A,#N/A,FALSE,"WPO_produksi_kontrakan"}</definedName>
    <definedName name="wrn.Produksi._.Kontrakan." localSheetId="9" hidden="1">{#N/A,#N/A,FALSE,"WPO_produksi_kontrakan"}</definedName>
    <definedName name="wrn.Produksi._.Kontrakan." localSheetId="0" hidden="1">{#N/A,#N/A,FALSE,"WPO_produksi_kontrakan"}</definedName>
    <definedName name="wrn.Produksi._.Kontrakan." localSheetId="7" hidden="1">{#N/A,#N/A,FALSE,"WPO_produksi_kontrakan"}</definedName>
    <definedName name="wrn.Produksi._.Kontrakan." localSheetId="13" hidden="1">{#N/A,#N/A,FALSE,"WPO_produksi_kontrakan"}</definedName>
    <definedName name="wrn.Produksi._.Kontrakan." localSheetId="8" hidden="1">{#N/A,#N/A,FALSE,"WPO_produksi_kontrakan"}</definedName>
    <definedName name="wrn.Produksi._.Kontrakan." localSheetId="12" hidden="1">{#N/A,#N/A,FALSE,"WPO_produksi_kontrakan"}</definedName>
    <definedName name="wrn.Produksi._.Kontrakan." hidden="1">{#N/A,#N/A,FALSE,"WPO_produksi_kontrakan"}</definedName>
    <definedName name="wrn.Produksi._.Kontrakan._2" localSheetId="15" hidden="1">{#N/A,#N/A,FALSE,"WPO_produksi_kontrakan"}</definedName>
    <definedName name="wrn.Produksi._.Kontrakan._2" localSheetId="9" hidden="1">{#N/A,#N/A,FALSE,"WPO_produksi_kontrakan"}</definedName>
    <definedName name="wrn.Produksi._.Kontrakan._2" localSheetId="0" hidden="1">{#N/A,#N/A,FALSE,"WPO_produksi_kontrakan"}</definedName>
    <definedName name="wrn.Produksi._.Kontrakan._2" localSheetId="7" hidden="1">{#N/A,#N/A,FALSE,"WPO_produksi_kontrakan"}</definedName>
    <definedName name="wrn.Produksi._.Kontrakan._2" localSheetId="13" hidden="1">{#N/A,#N/A,FALSE,"WPO_produksi_kontrakan"}</definedName>
    <definedName name="wrn.Produksi._.Kontrakan._2" localSheetId="8" hidden="1">{#N/A,#N/A,FALSE,"WPO_produksi_kontrakan"}</definedName>
    <definedName name="wrn.Produksi._.Kontrakan._2" localSheetId="12" hidden="1">{#N/A,#N/A,FALSE,"WPO_produksi_kontrakan"}</definedName>
    <definedName name="wrn.Produksi._.Kontrakan._2" hidden="1">{#N/A,#N/A,FALSE,"WPO_produksi_kontrakan"}</definedName>
    <definedName name="wrn.Produksi._.Kontrakan._3" localSheetId="15" hidden="1">{#N/A,#N/A,FALSE,"WPO_produksi_kontrakan"}</definedName>
    <definedName name="wrn.Produksi._.Kontrakan._3" localSheetId="9" hidden="1">{#N/A,#N/A,FALSE,"WPO_produksi_kontrakan"}</definedName>
    <definedName name="wrn.Produksi._.Kontrakan._3" localSheetId="0" hidden="1">{#N/A,#N/A,FALSE,"WPO_produksi_kontrakan"}</definedName>
    <definedName name="wrn.Produksi._.Kontrakan._3" localSheetId="7" hidden="1">{#N/A,#N/A,FALSE,"WPO_produksi_kontrakan"}</definedName>
    <definedName name="wrn.Produksi._.Kontrakan._3" localSheetId="13" hidden="1">{#N/A,#N/A,FALSE,"WPO_produksi_kontrakan"}</definedName>
    <definedName name="wrn.Produksi._.Kontrakan._3" localSheetId="8" hidden="1">{#N/A,#N/A,FALSE,"WPO_produksi_kontrakan"}</definedName>
    <definedName name="wrn.Produksi._.Kontrakan._3" localSheetId="12" hidden="1">{#N/A,#N/A,FALSE,"WPO_produksi_kontrakan"}</definedName>
    <definedName name="wrn.Produksi._.Kontrakan._3" hidden="1">{#N/A,#N/A,FALSE,"WPO_produksi_kontrakan"}</definedName>
    <definedName name="wrn.Produksi._.Kontrakan._4" localSheetId="15" hidden="1">{#N/A,#N/A,FALSE,"WPO_produksi_kontrakan"}</definedName>
    <definedName name="wrn.Produksi._.Kontrakan._4" localSheetId="9" hidden="1">{#N/A,#N/A,FALSE,"WPO_produksi_kontrakan"}</definedName>
    <definedName name="wrn.Produksi._.Kontrakan._4" localSheetId="0" hidden="1">{#N/A,#N/A,FALSE,"WPO_produksi_kontrakan"}</definedName>
    <definedName name="wrn.Produksi._.Kontrakan._4" localSheetId="7" hidden="1">{#N/A,#N/A,FALSE,"WPO_produksi_kontrakan"}</definedName>
    <definedName name="wrn.Produksi._.Kontrakan._4" localSheetId="13" hidden="1">{#N/A,#N/A,FALSE,"WPO_produksi_kontrakan"}</definedName>
    <definedName name="wrn.Produksi._.Kontrakan._4" localSheetId="8" hidden="1">{#N/A,#N/A,FALSE,"WPO_produksi_kontrakan"}</definedName>
    <definedName name="wrn.Produksi._.Kontrakan._4" localSheetId="12" hidden="1">{#N/A,#N/A,FALSE,"WPO_produksi_kontrakan"}</definedName>
    <definedName name="wrn.Produksi._.Kontrakan._4" hidden="1">{#N/A,#N/A,FALSE,"WPO_produksi_kontrakan"}</definedName>
    <definedName name="wrn.Produksi._.Kontrakan._5" localSheetId="15" hidden="1">{#N/A,#N/A,FALSE,"WPO_produksi_kontrakan"}</definedName>
    <definedName name="wrn.Produksi._.Kontrakan._5" localSheetId="9" hidden="1">{#N/A,#N/A,FALSE,"WPO_produksi_kontrakan"}</definedName>
    <definedName name="wrn.Produksi._.Kontrakan._5" localSheetId="0" hidden="1">{#N/A,#N/A,FALSE,"WPO_produksi_kontrakan"}</definedName>
    <definedName name="wrn.Produksi._.Kontrakan._5" localSheetId="7" hidden="1">{#N/A,#N/A,FALSE,"WPO_produksi_kontrakan"}</definedName>
    <definedName name="wrn.Produksi._.Kontrakan._5" localSheetId="13" hidden="1">{#N/A,#N/A,FALSE,"WPO_produksi_kontrakan"}</definedName>
    <definedName name="wrn.Produksi._.Kontrakan._5" localSheetId="8" hidden="1">{#N/A,#N/A,FALSE,"WPO_produksi_kontrakan"}</definedName>
    <definedName name="wrn.Produksi._.Kontrakan._5" localSheetId="12" hidden="1">{#N/A,#N/A,FALSE,"WPO_produksi_kontrakan"}</definedName>
    <definedName name="wrn.Produksi._.Kontrakan._5" hidden="1">{#N/A,#N/A,FALSE,"WPO_produksi_kontrakan"}</definedName>
    <definedName name="wrn.Proses._.Produksi." localSheetId="15" hidden="1">{#N/A,#N/A,FALSE,"WPO_proses_produksi"}</definedName>
    <definedName name="wrn.Proses._.Produksi." localSheetId="9" hidden="1">{#N/A,#N/A,FALSE,"WPO_proses_produksi"}</definedName>
    <definedName name="wrn.Proses._.Produksi." localSheetId="0" hidden="1">{#N/A,#N/A,FALSE,"WPO_proses_produksi"}</definedName>
    <definedName name="wrn.Proses._.Produksi." localSheetId="7" hidden="1">{#N/A,#N/A,FALSE,"WPO_proses_produksi"}</definedName>
    <definedName name="wrn.Proses._.Produksi." localSheetId="13" hidden="1">{#N/A,#N/A,FALSE,"WPO_proses_produksi"}</definedName>
    <definedName name="wrn.Proses._.Produksi." localSheetId="8" hidden="1">{#N/A,#N/A,FALSE,"WPO_proses_produksi"}</definedName>
    <definedName name="wrn.Proses._.Produksi." localSheetId="12" hidden="1">{#N/A,#N/A,FALSE,"WPO_proses_produksi"}</definedName>
    <definedName name="wrn.Proses._.Produksi." hidden="1">{#N/A,#N/A,FALSE,"WPO_proses_produksi"}</definedName>
    <definedName name="wrn.Proses._.Produksi._2" localSheetId="15" hidden="1">{#N/A,#N/A,FALSE,"WPO_proses_produksi"}</definedName>
    <definedName name="wrn.Proses._.Produksi._2" localSheetId="9" hidden="1">{#N/A,#N/A,FALSE,"WPO_proses_produksi"}</definedName>
    <definedName name="wrn.Proses._.Produksi._2" localSheetId="0" hidden="1">{#N/A,#N/A,FALSE,"WPO_proses_produksi"}</definedName>
    <definedName name="wrn.Proses._.Produksi._2" localSheetId="7" hidden="1">{#N/A,#N/A,FALSE,"WPO_proses_produksi"}</definedName>
    <definedName name="wrn.Proses._.Produksi._2" localSheetId="13" hidden="1">{#N/A,#N/A,FALSE,"WPO_proses_produksi"}</definedName>
    <definedName name="wrn.Proses._.Produksi._2" localSheetId="8" hidden="1">{#N/A,#N/A,FALSE,"WPO_proses_produksi"}</definedName>
    <definedName name="wrn.Proses._.Produksi._2" localSheetId="12" hidden="1">{#N/A,#N/A,FALSE,"WPO_proses_produksi"}</definedName>
    <definedName name="wrn.Proses._.Produksi._2" hidden="1">{#N/A,#N/A,FALSE,"WPO_proses_produksi"}</definedName>
    <definedName name="wrn.Proses._.Produksi._3" localSheetId="15" hidden="1">{#N/A,#N/A,FALSE,"WPO_proses_produksi"}</definedName>
    <definedName name="wrn.Proses._.Produksi._3" localSheetId="9" hidden="1">{#N/A,#N/A,FALSE,"WPO_proses_produksi"}</definedName>
    <definedName name="wrn.Proses._.Produksi._3" localSheetId="0" hidden="1">{#N/A,#N/A,FALSE,"WPO_proses_produksi"}</definedName>
    <definedName name="wrn.Proses._.Produksi._3" localSheetId="7" hidden="1">{#N/A,#N/A,FALSE,"WPO_proses_produksi"}</definedName>
    <definedName name="wrn.Proses._.Produksi._3" localSheetId="13" hidden="1">{#N/A,#N/A,FALSE,"WPO_proses_produksi"}</definedName>
    <definedName name="wrn.Proses._.Produksi._3" localSheetId="8" hidden="1">{#N/A,#N/A,FALSE,"WPO_proses_produksi"}</definedName>
    <definedName name="wrn.Proses._.Produksi._3" localSheetId="12" hidden="1">{#N/A,#N/A,FALSE,"WPO_proses_produksi"}</definedName>
    <definedName name="wrn.Proses._.Produksi._3" hidden="1">{#N/A,#N/A,FALSE,"WPO_proses_produksi"}</definedName>
    <definedName name="wrn.Proses._.Produksi._4" localSheetId="15" hidden="1">{#N/A,#N/A,FALSE,"WPO_proses_produksi"}</definedName>
    <definedName name="wrn.Proses._.Produksi._4" localSheetId="9" hidden="1">{#N/A,#N/A,FALSE,"WPO_proses_produksi"}</definedName>
    <definedName name="wrn.Proses._.Produksi._4" localSheetId="0" hidden="1">{#N/A,#N/A,FALSE,"WPO_proses_produksi"}</definedName>
    <definedName name="wrn.Proses._.Produksi._4" localSheetId="7" hidden="1">{#N/A,#N/A,FALSE,"WPO_proses_produksi"}</definedName>
    <definedName name="wrn.Proses._.Produksi._4" localSheetId="13" hidden="1">{#N/A,#N/A,FALSE,"WPO_proses_produksi"}</definedName>
    <definedName name="wrn.Proses._.Produksi._4" localSheetId="8" hidden="1">{#N/A,#N/A,FALSE,"WPO_proses_produksi"}</definedName>
    <definedName name="wrn.Proses._.Produksi._4" localSheetId="12" hidden="1">{#N/A,#N/A,FALSE,"WPO_proses_produksi"}</definedName>
    <definedName name="wrn.Proses._.Produksi._4" hidden="1">{#N/A,#N/A,FALSE,"WPO_proses_produksi"}</definedName>
    <definedName name="wrn.Proses._.Produksi._5" localSheetId="15" hidden="1">{#N/A,#N/A,FALSE,"WPO_proses_produksi"}</definedName>
    <definedName name="wrn.Proses._.Produksi._5" localSheetId="9" hidden="1">{#N/A,#N/A,FALSE,"WPO_proses_produksi"}</definedName>
    <definedName name="wrn.Proses._.Produksi._5" localSheetId="0" hidden="1">{#N/A,#N/A,FALSE,"WPO_proses_produksi"}</definedName>
    <definedName name="wrn.Proses._.Produksi._5" localSheetId="7" hidden="1">{#N/A,#N/A,FALSE,"WPO_proses_produksi"}</definedName>
    <definedName name="wrn.Proses._.Produksi._5" localSheetId="13" hidden="1">{#N/A,#N/A,FALSE,"WPO_proses_produksi"}</definedName>
    <definedName name="wrn.Proses._.Produksi._5" localSheetId="8" hidden="1">{#N/A,#N/A,FALSE,"WPO_proses_produksi"}</definedName>
    <definedName name="wrn.Proses._.Produksi._5" localSheetId="12" hidden="1">{#N/A,#N/A,FALSE,"WPO_proses_produksi"}</definedName>
    <definedName name="wrn.Proses._.Produksi._5" hidden="1">{#N/A,#N/A,FALSE,"WPO_proses_produksi"}</definedName>
    <definedName name="wrn.rtpl." localSheetId="15" hidden="1">{#N/A,#N/A,FALSE,"REK-S-TPL";#N/A,#N/A,FALSE,"REK-TPML";#N/A,#N/A,FALSE,"RAB-TEMPEL"}</definedName>
    <definedName name="wrn.rtpl." localSheetId="9" hidden="1">{#N/A,#N/A,FALSE,"REK-S-TPL";#N/A,#N/A,FALSE,"REK-TPML";#N/A,#N/A,FALSE,"RAB-TEMPEL"}</definedName>
    <definedName name="wrn.rtpl." localSheetId="0" hidden="1">{#N/A,#N/A,FALSE,"REK-S-TPL";#N/A,#N/A,FALSE,"REK-TPML";#N/A,#N/A,FALSE,"RAB-TEMPEL"}</definedName>
    <definedName name="wrn.rtpl." localSheetId="7" hidden="1">{#N/A,#N/A,FALSE,"REK-S-TPL";#N/A,#N/A,FALSE,"REK-TPML";#N/A,#N/A,FALSE,"RAB-TEMPEL"}</definedName>
    <definedName name="wrn.rtpl." localSheetId="13" hidden="1">{#N/A,#N/A,FALSE,"REK-S-TPL";#N/A,#N/A,FALSE,"REK-TPML";#N/A,#N/A,FALSE,"RAB-TEMPEL"}</definedName>
    <definedName name="wrn.rtpl." localSheetId="8" hidden="1">{#N/A,#N/A,FALSE,"REK-S-TPL";#N/A,#N/A,FALSE,"REK-TPML";#N/A,#N/A,FALSE,"RAB-TEMPEL"}</definedName>
    <definedName name="wrn.rtpl." localSheetId="12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_2" localSheetId="15" hidden="1">{#N/A,#N/A,FALSE,"REK-S-TPL";#N/A,#N/A,FALSE,"REK-TPML";#N/A,#N/A,FALSE,"RAB-TEMPEL"}</definedName>
    <definedName name="wrn.rtpl._2" localSheetId="9" hidden="1">{#N/A,#N/A,FALSE,"REK-S-TPL";#N/A,#N/A,FALSE,"REK-TPML";#N/A,#N/A,FALSE,"RAB-TEMPEL"}</definedName>
    <definedName name="wrn.rtpl._2" localSheetId="0" hidden="1">{#N/A,#N/A,FALSE,"REK-S-TPL";#N/A,#N/A,FALSE,"REK-TPML";#N/A,#N/A,FALSE,"RAB-TEMPEL"}</definedName>
    <definedName name="wrn.rtpl._2" localSheetId="7" hidden="1">{#N/A,#N/A,FALSE,"REK-S-TPL";#N/A,#N/A,FALSE,"REK-TPML";#N/A,#N/A,FALSE,"RAB-TEMPEL"}</definedName>
    <definedName name="wrn.rtpl._2" localSheetId="13" hidden="1">{#N/A,#N/A,FALSE,"REK-S-TPL";#N/A,#N/A,FALSE,"REK-TPML";#N/A,#N/A,FALSE,"RAB-TEMPEL"}</definedName>
    <definedName name="wrn.rtpl._2" localSheetId="8" hidden="1">{#N/A,#N/A,FALSE,"REK-S-TPL";#N/A,#N/A,FALSE,"REK-TPML";#N/A,#N/A,FALSE,"RAB-TEMPEL"}</definedName>
    <definedName name="wrn.rtpl._2" localSheetId="12" hidden="1">{#N/A,#N/A,FALSE,"REK-S-TPL";#N/A,#N/A,FALSE,"REK-TPML";#N/A,#N/A,FALSE,"RAB-TEMPEL"}</definedName>
    <definedName name="wrn.rtpl._2" hidden="1">{#N/A,#N/A,FALSE,"REK-S-TPL";#N/A,#N/A,FALSE,"REK-TPML";#N/A,#N/A,FALSE,"RAB-TEMPEL"}</definedName>
    <definedName name="wrn.rtpl._3" localSheetId="15" hidden="1">{#N/A,#N/A,FALSE,"REK-S-TPL";#N/A,#N/A,FALSE,"REK-TPML";#N/A,#N/A,FALSE,"RAB-TEMPEL"}</definedName>
    <definedName name="wrn.rtpl._3" localSheetId="9" hidden="1">{#N/A,#N/A,FALSE,"REK-S-TPL";#N/A,#N/A,FALSE,"REK-TPML";#N/A,#N/A,FALSE,"RAB-TEMPEL"}</definedName>
    <definedName name="wrn.rtpl._3" localSheetId="0" hidden="1">{#N/A,#N/A,FALSE,"REK-S-TPL";#N/A,#N/A,FALSE,"REK-TPML";#N/A,#N/A,FALSE,"RAB-TEMPEL"}</definedName>
    <definedName name="wrn.rtpl._3" localSheetId="7" hidden="1">{#N/A,#N/A,FALSE,"REK-S-TPL";#N/A,#N/A,FALSE,"REK-TPML";#N/A,#N/A,FALSE,"RAB-TEMPEL"}</definedName>
    <definedName name="wrn.rtpl._3" localSheetId="13" hidden="1">{#N/A,#N/A,FALSE,"REK-S-TPL";#N/A,#N/A,FALSE,"REK-TPML";#N/A,#N/A,FALSE,"RAB-TEMPEL"}</definedName>
    <definedName name="wrn.rtpl._3" localSheetId="8" hidden="1">{#N/A,#N/A,FALSE,"REK-S-TPL";#N/A,#N/A,FALSE,"REK-TPML";#N/A,#N/A,FALSE,"RAB-TEMPEL"}</definedName>
    <definedName name="wrn.rtpl._3" localSheetId="12" hidden="1">{#N/A,#N/A,FALSE,"REK-S-TPL";#N/A,#N/A,FALSE,"REK-TPML";#N/A,#N/A,FALSE,"RAB-TEMPEL"}</definedName>
    <definedName name="wrn.rtpl._3" hidden="1">{#N/A,#N/A,FALSE,"REK-S-TPL";#N/A,#N/A,FALSE,"REK-TPML";#N/A,#N/A,FALSE,"RAB-TEMPEL"}</definedName>
    <definedName name="wrn.rtpl._4" localSheetId="15" hidden="1">{#N/A,#N/A,FALSE,"REK-S-TPL";#N/A,#N/A,FALSE,"REK-TPML";#N/A,#N/A,FALSE,"RAB-TEMPEL"}</definedName>
    <definedName name="wrn.rtpl._4" localSheetId="9" hidden="1">{#N/A,#N/A,FALSE,"REK-S-TPL";#N/A,#N/A,FALSE,"REK-TPML";#N/A,#N/A,FALSE,"RAB-TEMPEL"}</definedName>
    <definedName name="wrn.rtpl._4" localSheetId="0" hidden="1">{#N/A,#N/A,FALSE,"REK-S-TPL";#N/A,#N/A,FALSE,"REK-TPML";#N/A,#N/A,FALSE,"RAB-TEMPEL"}</definedName>
    <definedName name="wrn.rtpl._4" localSheetId="7" hidden="1">{#N/A,#N/A,FALSE,"REK-S-TPL";#N/A,#N/A,FALSE,"REK-TPML";#N/A,#N/A,FALSE,"RAB-TEMPEL"}</definedName>
    <definedName name="wrn.rtpl._4" localSheetId="13" hidden="1">{#N/A,#N/A,FALSE,"REK-S-TPL";#N/A,#N/A,FALSE,"REK-TPML";#N/A,#N/A,FALSE,"RAB-TEMPEL"}</definedName>
    <definedName name="wrn.rtpl._4" localSheetId="8" hidden="1">{#N/A,#N/A,FALSE,"REK-S-TPL";#N/A,#N/A,FALSE,"REK-TPML";#N/A,#N/A,FALSE,"RAB-TEMPEL"}</definedName>
    <definedName name="wrn.rtpl._4" localSheetId="12" hidden="1">{#N/A,#N/A,FALSE,"REK-S-TPL";#N/A,#N/A,FALSE,"REK-TPML";#N/A,#N/A,FALSE,"RAB-TEMPEL"}</definedName>
    <definedName name="wrn.rtpl._4" hidden="1">{#N/A,#N/A,FALSE,"REK-S-TPL";#N/A,#N/A,FALSE,"REK-TPML";#N/A,#N/A,FALSE,"RAB-TEMPEL"}</definedName>
    <definedName name="wrn.rtpl._5" localSheetId="15" hidden="1">{#N/A,#N/A,FALSE,"REK-S-TPL";#N/A,#N/A,FALSE,"REK-TPML";#N/A,#N/A,FALSE,"RAB-TEMPEL"}</definedName>
    <definedName name="wrn.rtpl._5" localSheetId="9" hidden="1">{#N/A,#N/A,FALSE,"REK-S-TPL";#N/A,#N/A,FALSE,"REK-TPML";#N/A,#N/A,FALSE,"RAB-TEMPEL"}</definedName>
    <definedName name="wrn.rtpl._5" localSheetId="0" hidden="1">{#N/A,#N/A,FALSE,"REK-S-TPL";#N/A,#N/A,FALSE,"REK-TPML";#N/A,#N/A,FALSE,"RAB-TEMPEL"}</definedName>
    <definedName name="wrn.rtpl._5" localSheetId="7" hidden="1">{#N/A,#N/A,FALSE,"REK-S-TPL";#N/A,#N/A,FALSE,"REK-TPML";#N/A,#N/A,FALSE,"RAB-TEMPEL"}</definedName>
    <definedName name="wrn.rtpl._5" localSheetId="13" hidden="1">{#N/A,#N/A,FALSE,"REK-S-TPL";#N/A,#N/A,FALSE,"REK-TPML";#N/A,#N/A,FALSE,"RAB-TEMPEL"}</definedName>
    <definedName name="wrn.rtpl._5" localSheetId="8" hidden="1">{#N/A,#N/A,FALSE,"REK-S-TPL";#N/A,#N/A,FALSE,"REK-TPML";#N/A,#N/A,FALSE,"RAB-TEMPEL"}</definedName>
    <definedName name="wrn.rtpl._5" localSheetId="12" hidden="1">{#N/A,#N/A,FALSE,"REK-S-TPL";#N/A,#N/A,FALSE,"REK-TPML";#N/A,#N/A,FALSE,"RAB-TEMPEL"}</definedName>
    <definedName name="wrn.rtpl._5" hidden="1">{#N/A,#N/A,FALSE,"REK-S-TPL";#N/A,#N/A,FALSE,"REK-TPML";#N/A,#N/A,FALSE,"RAB-TEMPEL"}</definedName>
    <definedName name="wrn.ry" localSheetId="15" hidden="1">{#N/A,#N/A,FALSE,"REK";#N/A,#N/A,FALSE,"rab"}</definedName>
    <definedName name="wrn.ry" localSheetId="9" hidden="1">{#N/A,#N/A,FALSE,"REK";#N/A,#N/A,FALSE,"rab"}</definedName>
    <definedName name="wrn.ry" localSheetId="0" hidden="1">{#N/A,#N/A,FALSE,"REK";#N/A,#N/A,FALSE,"rab"}</definedName>
    <definedName name="wrn.ry" localSheetId="7" hidden="1">{#N/A,#N/A,FALSE,"REK";#N/A,#N/A,FALSE,"rab"}</definedName>
    <definedName name="wrn.ry" localSheetId="13" hidden="1">{#N/A,#N/A,FALSE,"REK";#N/A,#N/A,FALSE,"rab"}</definedName>
    <definedName name="wrn.ry" localSheetId="8" hidden="1">{#N/A,#N/A,FALSE,"REK";#N/A,#N/A,FALSE,"rab"}</definedName>
    <definedName name="wrn.ry" localSheetId="12" hidden="1">{#N/A,#N/A,FALSE,"REK";#N/A,#N/A,FALSE,"rab"}</definedName>
    <definedName name="wrn.ry" hidden="1">{#N/A,#N/A,FALSE,"REK";#N/A,#N/A,FALSE,"rab"}</definedName>
    <definedName name="wrn.ry." localSheetId="15" hidden="1">{#N/A,#N/A,FALSE,"REK";#N/A,#N/A,FALSE,"rab"}</definedName>
    <definedName name="wrn.ry." localSheetId="9" hidden="1">{#N/A,#N/A,FALSE,"REK";#N/A,#N/A,FALSE,"rab"}</definedName>
    <definedName name="wrn.ry." localSheetId="0" hidden="1">{#N/A,#N/A,FALSE,"REK";#N/A,#N/A,FALSE,"rab"}</definedName>
    <definedName name="wrn.ry." localSheetId="7" hidden="1">{#N/A,#N/A,FALSE,"REK";#N/A,#N/A,FALSE,"rab"}</definedName>
    <definedName name="wrn.ry." localSheetId="13" hidden="1">{#N/A,#N/A,FALSE,"REK";#N/A,#N/A,FALSE,"rab"}</definedName>
    <definedName name="wrn.ry." localSheetId="8" hidden="1">{#N/A,#N/A,FALSE,"REK";#N/A,#N/A,FALSE,"rab"}</definedName>
    <definedName name="wrn.ry." localSheetId="12" hidden="1">{#N/A,#N/A,FALSE,"REK";#N/A,#N/A,FALSE,"rab"}</definedName>
    <definedName name="wrn.ry." hidden="1">{#N/A,#N/A,FALSE,"REK";#N/A,#N/A,FALSE,"rab"}</definedName>
    <definedName name="wrn.ry._2" localSheetId="15" hidden="1">{#N/A,#N/A,FALSE,"REK";#N/A,#N/A,FALSE,"rab"}</definedName>
    <definedName name="wrn.ry._2" localSheetId="9" hidden="1">{#N/A,#N/A,FALSE,"REK";#N/A,#N/A,FALSE,"rab"}</definedName>
    <definedName name="wrn.ry._2" localSheetId="0" hidden="1">{#N/A,#N/A,FALSE,"REK";#N/A,#N/A,FALSE,"rab"}</definedName>
    <definedName name="wrn.ry._2" localSheetId="7" hidden="1">{#N/A,#N/A,FALSE,"REK";#N/A,#N/A,FALSE,"rab"}</definedName>
    <definedName name="wrn.ry._2" localSheetId="13" hidden="1">{#N/A,#N/A,FALSE,"REK";#N/A,#N/A,FALSE,"rab"}</definedName>
    <definedName name="wrn.ry._2" localSheetId="8" hidden="1">{#N/A,#N/A,FALSE,"REK";#N/A,#N/A,FALSE,"rab"}</definedName>
    <definedName name="wrn.ry._2" localSheetId="12" hidden="1">{#N/A,#N/A,FALSE,"REK";#N/A,#N/A,FALSE,"rab"}</definedName>
    <definedName name="wrn.ry._2" hidden="1">{#N/A,#N/A,FALSE,"REK";#N/A,#N/A,FALSE,"rab"}</definedName>
    <definedName name="wrn.ry._3" localSheetId="15" hidden="1">{#N/A,#N/A,FALSE,"REK";#N/A,#N/A,FALSE,"rab"}</definedName>
    <definedName name="wrn.ry._3" localSheetId="9" hidden="1">{#N/A,#N/A,FALSE,"REK";#N/A,#N/A,FALSE,"rab"}</definedName>
    <definedName name="wrn.ry._3" localSheetId="0" hidden="1">{#N/A,#N/A,FALSE,"REK";#N/A,#N/A,FALSE,"rab"}</definedName>
    <definedName name="wrn.ry._3" localSheetId="7" hidden="1">{#N/A,#N/A,FALSE,"REK";#N/A,#N/A,FALSE,"rab"}</definedName>
    <definedName name="wrn.ry._3" localSheetId="13" hidden="1">{#N/A,#N/A,FALSE,"REK";#N/A,#N/A,FALSE,"rab"}</definedName>
    <definedName name="wrn.ry._3" localSheetId="8" hidden="1">{#N/A,#N/A,FALSE,"REK";#N/A,#N/A,FALSE,"rab"}</definedName>
    <definedName name="wrn.ry._3" localSheetId="12" hidden="1">{#N/A,#N/A,FALSE,"REK";#N/A,#N/A,FALSE,"rab"}</definedName>
    <definedName name="wrn.ry._3" hidden="1">{#N/A,#N/A,FALSE,"REK";#N/A,#N/A,FALSE,"rab"}</definedName>
    <definedName name="wrn.ry._4" localSheetId="15" hidden="1">{#N/A,#N/A,FALSE,"REK";#N/A,#N/A,FALSE,"rab"}</definedName>
    <definedName name="wrn.ry._4" localSheetId="9" hidden="1">{#N/A,#N/A,FALSE,"REK";#N/A,#N/A,FALSE,"rab"}</definedName>
    <definedName name="wrn.ry._4" localSheetId="0" hidden="1">{#N/A,#N/A,FALSE,"REK";#N/A,#N/A,FALSE,"rab"}</definedName>
    <definedName name="wrn.ry._4" localSheetId="7" hidden="1">{#N/A,#N/A,FALSE,"REK";#N/A,#N/A,FALSE,"rab"}</definedName>
    <definedName name="wrn.ry._4" localSheetId="13" hidden="1">{#N/A,#N/A,FALSE,"REK";#N/A,#N/A,FALSE,"rab"}</definedName>
    <definedName name="wrn.ry._4" localSheetId="8" hidden="1">{#N/A,#N/A,FALSE,"REK";#N/A,#N/A,FALSE,"rab"}</definedName>
    <definedName name="wrn.ry._4" localSheetId="12" hidden="1">{#N/A,#N/A,FALSE,"REK";#N/A,#N/A,FALSE,"rab"}</definedName>
    <definedName name="wrn.ry._4" hidden="1">{#N/A,#N/A,FALSE,"REK";#N/A,#N/A,FALSE,"rab"}</definedName>
    <definedName name="wrn.ry._5" localSheetId="15" hidden="1">{#N/A,#N/A,FALSE,"REK";#N/A,#N/A,FALSE,"rab"}</definedName>
    <definedName name="wrn.ry._5" localSheetId="9" hidden="1">{#N/A,#N/A,FALSE,"REK";#N/A,#N/A,FALSE,"rab"}</definedName>
    <definedName name="wrn.ry._5" localSheetId="0" hidden="1">{#N/A,#N/A,FALSE,"REK";#N/A,#N/A,FALSE,"rab"}</definedName>
    <definedName name="wrn.ry._5" localSheetId="7" hidden="1">{#N/A,#N/A,FALSE,"REK";#N/A,#N/A,FALSE,"rab"}</definedName>
    <definedName name="wrn.ry._5" localSheetId="13" hidden="1">{#N/A,#N/A,FALSE,"REK";#N/A,#N/A,FALSE,"rab"}</definedName>
    <definedName name="wrn.ry._5" localSheetId="8" hidden="1">{#N/A,#N/A,FALSE,"REK";#N/A,#N/A,FALSE,"rab"}</definedName>
    <definedName name="wrn.ry._5" localSheetId="12" hidden="1">{#N/A,#N/A,FALSE,"REK";#N/A,#N/A,FALSE,"rab"}</definedName>
    <definedName name="wrn.ry._5" hidden="1">{#N/A,#N/A,FALSE,"REK";#N/A,#N/A,FALSE,"rab"}</definedName>
    <definedName name="wrn.Tabel.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9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9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9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9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9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0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8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localSheetId="15" hidden="1">{#N/A,#N/A,FALSE,"WPO_tenaga_kontrakan"}</definedName>
    <definedName name="wrn.Tenaga._.Kontrakan." localSheetId="9" hidden="1">{#N/A,#N/A,FALSE,"WPO_tenaga_kontrakan"}</definedName>
    <definedName name="wrn.Tenaga._.Kontrakan." localSheetId="0" hidden="1">{#N/A,#N/A,FALSE,"WPO_tenaga_kontrakan"}</definedName>
    <definedName name="wrn.Tenaga._.Kontrakan." localSheetId="7" hidden="1">{#N/A,#N/A,FALSE,"WPO_tenaga_kontrakan"}</definedName>
    <definedName name="wrn.Tenaga._.Kontrakan." localSheetId="13" hidden="1">{#N/A,#N/A,FALSE,"WPO_tenaga_kontrakan"}</definedName>
    <definedName name="wrn.Tenaga._.Kontrakan." localSheetId="8" hidden="1">{#N/A,#N/A,FALSE,"WPO_tenaga_kontrakan"}</definedName>
    <definedName name="wrn.Tenaga._.Kontrakan." localSheetId="12" hidden="1">{#N/A,#N/A,FALSE,"WPO_tenaga_kontrakan"}</definedName>
    <definedName name="wrn.Tenaga._.Kontrakan." hidden="1">{#N/A,#N/A,FALSE,"WPO_tenaga_kontrakan"}</definedName>
    <definedName name="wrn.Tenaga._.Kontrakan._2" localSheetId="15" hidden="1">{#N/A,#N/A,FALSE,"WPO_tenaga_kontrakan"}</definedName>
    <definedName name="wrn.Tenaga._.Kontrakan._2" localSheetId="9" hidden="1">{#N/A,#N/A,FALSE,"WPO_tenaga_kontrakan"}</definedName>
    <definedName name="wrn.Tenaga._.Kontrakan._2" localSheetId="0" hidden="1">{#N/A,#N/A,FALSE,"WPO_tenaga_kontrakan"}</definedName>
    <definedName name="wrn.Tenaga._.Kontrakan._2" localSheetId="7" hidden="1">{#N/A,#N/A,FALSE,"WPO_tenaga_kontrakan"}</definedName>
    <definedName name="wrn.Tenaga._.Kontrakan._2" localSheetId="13" hidden="1">{#N/A,#N/A,FALSE,"WPO_tenaga_kontrakan"}</definedName>
    <definedName name="wrn.Tenaga._.Kontrakan._2" localSheetId="8" hidden="1">{#N/A,#N/A,FALSE,"WPO_tenaga_kontrakan"}</definedName>
    <definedName name="wrn.Tenaga._.Kontrakan._2" localSheetId="12" hidden="1">{#N/A,#N/A,FALSE,"WPO_tenaga_kontrakan"}</definedName>
    <definedName name="wrn.Tenaga._.Kontrakan._2" hidden="1">{#N/A,#N/A,FALSE,"WPO_tenaga_kontrakan"}</definedName>
    <definedName name="wrn.Tenaga._.Kontrakan._3" localSheetId="15" hidden="1">{#N/A,#N/A,FALSE,"WPO_tenaga_kontrakan"}</definedName>
    <definedName name="wrn.Tenaga._.Kontrakan._3" localSheetId="9" hidden="1">{#N/A,#N/A,FALSE,"WPO_tenaga_kontrakan"}</definedName>
    <definedName name="wrn.Tenaga._.Kontrakan._3" localSheetId="0" hidden="1">{#N/A,#N/A,FALSE,"WPO_tenaga_kontrakan"}</definedName>
    <definedName name="wrn.Tenaga._.Kontrakan._3" localSheetId="7" hidden="1">{#N/A,#N/A,FALSE,"WPO_tenaga_kontrakan"}</definedName>
    <definedName name="wrn.Tenaga._.Kontrakan._3" localSheetId="13" hidden="1">{#N/A,#N/A,FALSE,"WPO_tenaga_kontrakan"}</definedName>
    <definedName name="wrn.Tenaga._.Kontrakan._3" localSheetId="8" hidden="1">{#N/A,#N/A,FALSE,"WPO_tenaga_kontrakan"}</definedName>
    <definedName name="wrn.Tenaga._.Kontrakan._3" localSheetId="12" hidden="1">{#N/A,#N/A,FALSE,"WPO_tenaga_kontrakan"}</definedName>
    <definedName name="wrn.Tenaga._.Kontrakan._3" hidden="1">{#N/A,#N/A,FALSE,"WPO_tenaga_kontrakan"}</definedName>
    <definedName name="wrn.Tenaga._.Kontrakan._4" localSheetId="15" hidden="1">{#N/A,#N/A,FALSE,"WPO_tenaga_kontrakan"}</definedName>
    <definedName name="wrn.Tenaga._.Kontrakan._4" localSheetId="9" hidden="1">{#N/A,#N/A,FALSE,"WPO_tenaga_kontrakan"}</definedName>
    <definedName name="wrn.Tenaga._.Kontrakan._4" localSheetId="0" hidden="1">{#N/A,#N/A,FALSE,"WPO_tenaga_kontrakan"}</definedName>
    <definedName name="wrn.Tenaga._.Kontrakan._4" localSheetId="7" hidden="1">{#N/A,#N/A,FALSE,"WPO_tenaga_kontrakan"}</definedName>
    <definedName name="wrn.Tenaga._.Kontrakan._4" localSheetId="13" hidden="1">{#N/A,#N/A,FALSE,"WPO_tenaga_kontrakan"}</definedName>
    <definedName name="wrn.Tenaga._.Kontrakan._4" localSheetId="8" hidden="1">{#N/A,#N/A,FALSE,"WPO_tenaga_kontrakan"}</definedName>
    <definedName name="wrn.Tenaga._.Kontrakan._4" localSheetId="12" hidden="1">{#N/A,#N/A,FALSE,"WPO_tenaga_kontrakan"}</definedName>
    <definedName name="wrn.Tenaga._.Kontrakan._4" hidden="1">{#N/A,#N/A,FALSE,"WPO_tenaga_kontrakan"}</definedName>
    <definedName name="wrn.Tenaga._.Kontrakan._5" localSheetId="15" hidden="1">{#N/A,#N/A,FALSE,"WPO_tenaga_kontrakan"}</definedName>
    <definedName name="wrn.Tenaga._.Kontrakan._5" localSheetId="9" hidden="1">{#N/A,#N/A,FALSE,"WPO_tenaga_kontrakan"}</definedName>
    <definedName name="wrn.Tenaga._.Kontrakan._5" localSheetId="0" hidden="1">{#N/A,#N/A,FALSE,"WPO_tenaga_kontrakan"}</definedName>
    <definedName name="wrn.Tenaga._.Kontrakan._5" localSheetId="7" hidden="1">{#N/A,#N/A,FALSE,"WPO_tenaga_kontrakan"}</definedName>
    <definedName name="wrn.Tenaga._.Kontrakan._5" localSheetId="13" hidden="1">{#N/A,#N/A,FALSE,"WPO_tenaga_kontrakan"}</definedName>
    <definedName name="wrn.Tenaga._.Kontrakan._5" localSheetId="8" hidden="1">{#N/A,#N/A,FALSE,"WPO_tenaga_kontrakan"}</definedName>
    <definedName name="wrn.Tenaga._.Kontrakan._5" localSheetId="12" hidden="1">{#N/A,#N/A,FALSE,"WPO_tenaga_kontrakan"}</definedName>
    <definedName name="wrn.Tenaga._.Kontrakan._5" hidden="1">{#N/A,#N/A,FALSE,"WPO_tenaga_kontrakan"}</definedName>
    <definedName name="wrn.Upah._.Buruh._.Langsung.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9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9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9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9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9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0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8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localSheetId="15" hidden="1">{#N/A,#N/A,FALSE,"WPO_upah_lain-lain"}</definedName>
    <definedName name="wrn.Upah._.Lain._.lain." localSheetId="9" hidden="1">{#N/A,#N/A,FALSE,"WPO_upah_lain-lain"}</definedName>
    <definedName name="wrn.Upah._.Lain._.lain." localSheetId="0" hidden="1">{#N/A,#N/A,FALSE,"WPO_upah_lain-lain"}</definedName>
    <definedName name="wrn.Upah._.Lain._.lain." localSheetId="7" hidden="1">{#N/A,#N/A,FALSE,"WPO_upah_lain-lain"}</definedName>
    <definedName name="wrn.Upah._.Lain._.lain." localSheetId="13" hidden="1">{#N/A,#N/A,FALSE,"WPO_upah_lain-lain"}</definedName>
    <definedName name="wrn.Upah._.Lain._.lain." localSheetId="8" hidden="1">{#N/A,#N/A,FALSE,"WPO_upah_lain-lain"}</definedName>
    <definedName name="wrn.Upah._.Lain._.lain." localSheetId="12" hidden="1">{#N/A,#N/A,FALSE,"WPO_upah_lain-lain"}</definedName>
    <definedName name="wrn.Upah._.Lain._.lain." hidden="1">{#N/A,#N/A,FALSE,"WPO_upah_lain-lain"}</definedName>
    <definedName name="wrn.Upah._.Lain._.lain._2" localSheetId="15" hidden="1">{#N/A,#N/A,FALSE,"WPO_upah_lain-lain"}</definedName>
    <definedName name="wrn.Upah._.Lain._.lain._2" localSheetId="9" hidden="1">{#N/A,#N/A,FALSE,"WPO_upah_lain-lain"}</definedName>
    <definedName name="wrn.Upah._.Lain._.lain._2" localSheetId="0" hidden="1">{#N/A,#N/A,FALSE,"WPO_upah_lain-lain"}</definedName>
    <definedName name="wrn.Upah._.Lain._.lain._2" localSheetId="7" hidden="1">{#N/A,#N/A,FALSE,"WPO_upah_lain-lain"}</definedName>
    <definedName name="wrn.Upah._.Lain._.lain._2" localSheetId="13" hidden="1">{#N/A,#N/A,FALSE,"WPO_upah_lain-lain"}</definedName>
    <definedName name="wrn.Upah._.Lain._.lain._2" localSheetId="8" hidden="1">{#N/A,#N/A,FALSE,"WPO_upah_lain-lain"}</definedName>
    <definedName name="wrn.Upah._.Lain._.lain._2" localSheetId="12" hidden="1">{#N/A,#N/A,FALSE,"WPO_upah_lain-lain"}</definedName>
    <definedName name="wrn.Upah._.Lain._.lain._2" hidden="1">{#N/A,#N/A,FALSE,"WPO_upah_lain-lain"}</definedName>
    <definedName name="wrn.Upah._.Lain._.lain._3" localSheetId="15" hidden="1">{#N/A,#N/A,FALSE,"WPO_upah_lain-lain"}</definedName>
    <definedName name="wrn.Upah._.Lain._.lain._3" localSheetId="9" hidden="1">{#N/A,#N/A,FALSE,"WPO_upah_lain-lain"}</definedName>
    <definedName name="wrn.Upah._.Lain._.lain._3" localSheetId="0" hidden="1">{#N/A,#N/A,FALSE,"WPO_upah_lain-lain"}</definedName>
    <definedName name="wrn.Upah._.Lain._.lain._3" localSheetId="7" hidden="1">{#N/A,#N/A,FALSE,"WPO_upah_lain-lain"}</definedName>
    <definedName name="wrn.Upah._.Lain._.lain._3" localSheetId="13" hidden="1">{#N/A,#N/A,FALSE,"WPO_upah_lain-lain"}</definedName>
    <definedName name="wrn.Upah._.Lain._.lain._3" localSheetId="8" hidden="1">{#N/A,#N/A,FALSE,"WPO_upah_lain-lain"}</definedName>
    <definedName name="wrn.Upah._.Lain._.lain._3" localSheetId="12" hidden="1">{#N/A,#N/A,FALSE,"WPO_upah_lain-lain"}</definedName>
    <definedName name="wrn.Upah._.Lain._.lain._3" hidden="1">{#N/A,#N/A,FALSE,"WPO_upah_lain-lain"}</definedName>
    <definedName name="wrn.Upah._.Lain._.lain._4" localSheetId="15" hidden="1">{#N/A,#N/A,FALSE,"WPO_upah_lain-lain"}</definedName>
    <definedName name="wrn.Upah._.Lain._.lain._4" localSheetId="9" hidden="1">{#N/A,#N/A,FALSE,"WPO_upah_lain-lain"}</definedName>
    <definedName name="wrn.Upah._.Lain._.lain._4" localSheetId="0" hidden="1">{#N/A,#N/A,FALSE,"WPO_upah_lain-lain"}</definedName>
    <definedName name="wrn.Upah._.Lain._.lain._4" localSheetId="7" hidden="1">{#N/A,#N/A,FALSE,"WPO_upah_lain-lain"}</definedName>
    <definedName name="wrn.Upah._.Lain._.lain._4" localSheetId="13" hidden="1">{#N/A,#N/A,FALSE,"WPO_upah_lain-lain"}</definedName>
    <definedName name="wrn.Upah._.Lain._.lain._4" localSheetId="8" hidden="1">{#N/A,#N/A,FALSE,"WPO_upah_lain-lain"}</definedName>
    <definedName name="wrn.Upah._.Lain._.lain._4" localSheetId="12" hidden="1">{#N/A,#N/A,FALSE,"WPO_upah_lain-lain"}</definedName>
    <definedName name="wrn.Upah._.Lain._.lain._4" hidden="1">{#N/A,#N/A,FALSE,"WPO_upah_lain-lain"}</definedName>
    <definedName name="wrn.Upah._.Lain._.lain._5" localSheetId="15" hidden="1">{#N/A,#N/A,FALSE,"WPO_upah_lain-lain"}</definedName>
    <definedName name="wrn.Upah._.Lain._.lain._5" localSheetId="9" hidden="1">{#N/A,#N/A,FALSE,"WPO_upah_lain-lain"}</definedName>
    <definedName name="wrn.Upah._.Lain._.lain._5" localSheetId="0" hidden="1">{#N/A,#N/A,FALSE,"WPO_upah_lain-lain"}</definedName>
    <definedName name="wrn.Upah._.Lain._.lain._5" localSheetId="7" hidden="1">{#N/A,#N/A,FALSE,"WPO_upah_lain-lain"}</definedName>
    <definedName name="wrn.Upah._.Lain._.lain._5" localSheetId="13" hidden="1">{#N/A,#N/A,FALSE,"WPO_upah_lain-lain"}</definedName>
    <definedName name="wrn.Upah._.Lain._.lain._5" localSheetId="8" hidden="1">{#N/A,#N/A,FALSE,"WPO_upah_lain-lain"}</definedName>
    <definedName name="wrn.Upah._.Lain._.lain._5" localSheetId="12" hidden="1">{#N/A,#N/A,FALSE,"WPO_upah_lain-lain"}</definedName>
    <definedName name="wrn.Upah._.Lain._.lain._5" hidden="1">{#N/A,#N/A,FALSE,"WPO_upah_lain-lain"}</definedName>
    <definedName name="wrn.Upah._.Tak._.Langsung." localSheetId="15" hidden="1">{#N/A,#N/A,FALSE,"WPO_tenaga_kontrakan";#N/A,#N/A,FALSE,"WPO_upah_lain-lain"}</definedName>
    <definedName name="wrn.Upah._.Tak._.Langsung." localSheetId="9" hidden="1">{#N/A,#N/A,FALSE,"WPO_tenaga_kontrakan";#N/A,#N/A,FALSE,"WPO_upah_lain-lain"}</definedName>
    <definedName name="wrn.Upah._.Tak._.Langsung." localSheetId="0" hidden="1">{#N/A,#N/A,FALSE,"WPO_tenaga_kontrakan";#N/A,#N/A,FALSE,"WPO_upah_lain-lain"}</definedName>
    <definedName name="wrn.Upah._.Tak._.Langsung." localSheetId="7" hidden="1">{#N/A,#N/A,FALSE,"WPO_tenaga_kontrakan";#N/A,#N/A,FALSE,"WPO_upah_lain-lain"}</definedName>
    <definedName name="wrn.Upah._.Tak._.Langsung." localSheetId="13" hidden="1">{#N/A,#N/A,FALSE,"WPO_tenaga_kontrakan";#N/A,#N/A,FALSE,"WPO_upah_lain-lain"}</definedName>
    <definedName name="wrn.Upah._.Tak._.Langsung." localSheetId="8" hidden="1">{#N/A,#N/A,FALSE,"WPO_tenaga_kontrakan";#N/A,#N/A,FALSE,"WPO_upah_lain-lain"}</definedName>
    <definedName name="wrn.Upah._.Tak._.Langsung." localSheetId="12" hidden="1">{#N/A,#N/A,FALSE,"WPO_tenaga_kontrakan";#N/A,#N/A,FALSE,"WPO_upah_lain-lain"}</definedName>
    <definedName name="wrn.Upah._.Tak._.Langsung." hidden="1">{#N/A,#N/A,FALSE,"WPO_tenaga_kontrakan";#N/A,#N/A,FALSE,"WPO_upah_lain-lain"}</definedName>
    <definedName name="wrn.Upah._.Tak._.Langsung._2" localSheetId="15" hidden="1">{#N/A,#N/A,FALSE,"WPO_tenaga_kontrakan";#N/A,#N/A,FALSE,"WPO_upah_lain-lain"}</definedName>
    <definedName name="wrn.Upah._.Tak._.Langsung._2" localSheetId="9" hidden="1">{#N/A,#N/A,FALSE,"WPO_tenaga_kontrakan";#N/A,#N/A,FALSE,"WPO_upah_lain-lain"}</definedName>
    <definedName name="wrn.Upah._.Tak._.Langsung._2" localSheetId="0" hidden="1">{#N/A,#N/A,FALSE,"WPO_tenaga_kontrakan";#N/A,#N/A,FALSE,"WPO_upah_lain-lain"}</definedName>
    <definedName name="wrn.Upah._.Tak._.Langsung._2" localSheetId="7" hidden="1">{#N/A,#N/A,FALSE,"WPO_tenaga_kontrakan";#N/A,#N/A,FALSE,"WPO_upah_lain-lain"}</definedName>
    <definedName name="wrn.Upah._.Tak._.Langsung._2" localSheetId="13" hidden="1">{#N/A,#N/A,FALSE,"WPO_tenaga_kontrakan";#N/A,#N/A,FALSE,"WPO_upah_lain-lain"}</definedName>
    <definedName name="wrn.Upah._.Tak._.Langsung._2" localSheetId="8" hidden="1">{#N/A,#N/A,FALSE,"WPO_tenaga_kontrakan";#N/A,#N/A,FALSE,"WPO_upah_lain-lain"}</definedName>
    <definedName name="wrn.Upah._.Tak._.Langsung._2" localSheetId="12" hidden="1">{#N/A,#N/A,FALSE,"WPO_tenaga_kontrakan";#N/A,#N/A,FALSE,"WPO_upah_lain-lain"}</definedName>
    <definedName name="wrn.Upah._.Tak._.Langsung._2" hidden="1">{#N/A,#N/A,FALSE,"WPO_tenaga_kontrakan";#N/A,#N/A,FALSE,"WPO_upah_lain-lain"}</definedName>
    <definedName name="wrn.Upah._.Tak._.Langsung._3" localSheetId="15" hidden="1">{#N/A,#N/A,FALSE,"WPO_tenaga_kontrakan";#N/A,#N/A,FALSE,"WPO_upah_lain-lain"}</definedName>
    <definedName name="wrn.Upah._.Tak._.Langsung._3" localSheetId="9" hidden="1">{#N/A,#N/A,FALSE,"WPO_tenaga_kontrakan";#N/A,#N/A,FALSE,"WPO_upah_lain-lain"}</definedName>
    <definedName name="wrn.Upah._.Tak._.Langsung._3" localSheetId="0" hidden="1">{#N/A,#N/A,FALSE,"WPO_tenaga_kontrakan";#N/A,#N/A,FALSE,"WPO_upah_lain-lain"}</definedName>
    <definedName name="wrn.Upah._.Tak._.Langsung._3" localSheetId="7" hidden="1">{#N/A,#N/A,FALSE,"WPO_tenaga_kontrakan";#N/A,#N/A,FALSE,"WPO_upah_lain-lain"}</definedName>
    <definedName name="wrn.Upah._.Tak._.Langsung._3" localSheetId="13" hidden="1">{#N/A,#N/A,FALSE,"WPO_tenaga_kontrakan";#N/A,#N/A,FALSE,"WPO_upah_lain-lain"}</definedName>
    <definedName name="wrn.Upah._.Tak._.Langsung._3" localSheetId="8" hidden="1">{#N/A,#N/A,FALSE,"WPO_tenaga_kontrakan";#N/A,#N/A,FALSE,"WPO_upah_lain-lain"}</definedName>
    <definedName name="wrn.Upah._.Tak._.Langsung._3" localSheetId="12" hidden="1">{#N/A,#N/A,FALSE,"WPO_tenaga_kontrakan";#N/A,#N/A,FALSE,"WPO_upah_lain-lain"}</definedName>
    <definedName name="wrn.Upah._.Tak._.Langsung._3" hidden="1">{#N/A,#N/A,FALSE,"WPO_tenaga_kontrakan";#N/A,#N/A,FALSE,"WPO_upah_lain-lain"}</definedName>
    <definedName name="wrn.Upah._.Tak._.Langsung._4" localSheetId="15" hidden="1">{#N/A,#N/A,FALSE,"WPO_tenaga_kontrakan";#N/A,#N/A,FALSE,"WPO_upah_lain-lain"}</definedName>
    <definedName name="wrn.Upah._.Tak._.Langsung._4" localSheetId="9" hidden="1">{#N/A,#N/A,FALSE,"WPO_tenaga_kontrakan";#N/A,#N/A,FALSE,"WPO_upah_lain-lain"}</definedName>
    <definedName name="wrn.Upah._.Tak._.Langsung._4" localSheetId="0" hidden="1">{#N/A,#N/A,FALSE,"WPO_tenaga_kontrakan";#N/A,#N/A,FALSE,"WPO_upah_lain-lain"}</definedName>
    <definedName name="wrn.Upah._.Tak._.Langsung._4" localSheetId="7" hidden="1">{#N/A,#N/A,FALSE,"WPO_tenaga_kontrakan";#N/A,#N/A,FALSE,"WPO_upah_lain-lain"}</definedName>
    <definedName name="wrn.Upah._.Tak._.Langsung._4" localSheetId="13" hidden="1">{#N/A,#N/A,FALSE,"WPO_tenaga_kontrakan";#N/A,#N/A,FALSE,"WPO_upah_lain-lain"}</definedName>
    <definedName name="wrn.Upah._.Tak._.Langsung._4" localSheetId="8" hidden="1">{#N/A,#N/A,FALSE,"WPO_tenaga_kontrakan";#N/A,#N/A,FALSE,"WPO_upah_lain-lain"}</definedName>
    <definedName name="wrn.Upah._.Tak._.Langsung._4" localSheetId="12" hidden="1">{#N/A,#N/A,FALSE,"WPO_tenaga_kontrakan";#N/A,#N/A,FALSE,"WPO_upah_lain-lain"}</definedName>
    <definedName name="wrn.Upah._.Tak._.Langsung._4" hidden="1">{#N/A,#N/A,FALSE,"WPO_tenaga_kontrakan";#N/A,#N/A,FALSE,"WPO_upah_lain-lain"}</definedName>
    <definedName name="wrn.Upah._.Tak._.Langsung._5" localSheetId="15" hidden="1">{#N/A,#N/A,FALSE,"WPO_tenaga_kontrakan";#N/A,#N/A,FALSE,"WPO_upah_lain-lain"}</definedName>
    <definedName name="wrn.Upah._.Tak._.Langsung._5" localSheetId="9" hidden="1">{#N/A,#N/A,FALSE,"WPO_tenaga_kontrakan";#N/A,#N/A,FALSE,"WPO_upah_lain-lain"}</definedName>
    <definedName name="wrn.Upah._.Tak._.Langsung._5" localSheetId="0" hidden="1">{#N/A,#N/A,FALSE,"WPO_tenaga_kontrakan";#N/A,#N/A,FALSE,"WPO_upah_lain-lain"}</definedName>
    <definedName name="wrn.Upah._.Tak._.Langsung._5" localSheetId="7" hidden="1">{#N/A,#N/A,FALSE,"WPO_tenaga_kontrakan";#N/A,#N/A,FALSE,"WPO_upah_lain-lain"}</definedName>
    <definedName name="wrn.Upah._.Tak._.Langsung._5" localSheetId="13" hidden="1">{#N/A,#N/A,FALSE,"WPO_tenaga_kontrakan";#N/A,#N/A,FALSE,"WPO_upah_lain-lain"}</definedName>
    <definedName name="wrn.Upah._.Tak._.Langsung._5" localSheetId="8" hidden="1">{#N/A,#N/A,FALSE,"WPO_tenaga_kontrakan";#N/A,#N/A,FALSE,"WPO_upah_lain-lain"}</definedName>
    <definedName name="wrn.Upah._.Tak._.Langsung._5" localSheetId="12" hidden="1">{#N/A,#N/A,FALSE,"WPO_tenaga_kontrakan";#N/A,#N/A,FALSE,"WPO_upah_lain-lain"}</definedName>
    <definedName name="wrn.Upah._.Tak._.Langsung._5" hidden="1">{#N/A,#N/A,FALSE,"WPO_tenaga_kontrakan";#N/A,#N/A,FALSE,"WPO_upah_lain-lain"}</definedName>
    <definedName name="wterstop">'[55]DAF-5'!$I$75</definedName>
    <definedName name="wterstopbahan">[55]sheet1!$H$37</definedName>
    <definedName name="XCCT">0.5</definedName>
    <definedName name="xiggvl">'[9]CHITIET VL-NC'!$G$53</definedName>
    <definedName name="xittvl">'[9]CHITIET VL-NC'!$G$44</definedName>
    <definedName name="XX_10">"$#REF!.$#REF!$#REF!"</definedName>
    <definedName name="XX_13">"$#REF!.$#REF!$#REF!"</definedName>
    <definedName name="XX_5">"$#REF!.$#REF!$#REF!"</definedName>
    <definedName name="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yuk" localSheetId="9" hidden="1">#REF!</definedName>
    <definedName name="yayuk" localSheetId="0" hidden="1">#REF!</definedName>
    <definedName name="yayuk" localSheetId="7" hidden="1">#REF!</definedName>
    <definedName name="yayuk" localSheetId="13" hidden="1">#REF!</definedName>
    <definedName name="yayuk" localSheetId="8" hidden="1">#REF!</definedName>
    <definedName name="yayuk" localSheetId="12" hidden="1">#REF!</definedName>
    <definedName name="yayuk" hidden="1">#REF!</definedName>
    <definedName name="yukt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am" localSheetId="15">{"Book1","RAB PASAR 30 AUG SCRAB.xls"}</definedName>
    <definedName name="yuyam" localSheetId="9">{"Book1","RAB PASAR 30 AUG SCRAB.xls"}</definedName>
    <definedName name="yuyam" localSheetId="0">{"Book1","RAB PASAR 30 AUG SCRAB.xls"}</definedName>
    <definedName name="yuyam" localSheetId="7">{"Book1","RAB PASAR 30 AUG SCRAB.xls"}</definedName>
    <definedName name="yuyam" localSheetId="13">{"Book1","RAB PASAR 30 AUG SCRAB.xls"}</definedName>
    <definedName name="yuyam" localSheetId="8">{"Book1","RAB PASAR 30 AUG SCRAB.xls"}</definedName>
    <definedName name="yuyam" localSheetId="12">{"Book1","RAB PASAR 30 AUG SCRAB.xls"}</definedName>
    <definedName name="yuyam">{"Book1","RAB PASAR 30 AUG SCRAB.xls"}</definedName>
    <definedName name="YWRY4Y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_4900D912_D400_4A61_8DD9_12CD5711EDE2_.wvu.FilterData" localSheetId="12" hidden="1">'[161]HRG BAHAN &amp; UPAH okk'!#REF!</definedName>
    <definedName name="Z_4900D912_D400_4A61_8DD9_12CD5711EDE2_.wvu.FilterData" hidden="1">'[161]HRG BAHAN &amp; UPAH okk'!#REF!</definedName>
    <definedName name="Z_4A4DBCF5_6E02_43D6_8F4D_223D21633DB8_.wvu.Rows" localSheetId="9" hidden="1">#REF!,#REF!</definedName>
    <definedName name="Z_4A4DBCF5_6E02_43D6_8F4D_223D21633DB8_.wvu.Rows" localSheetId="0" hidden="1">#REF!,#REF!</definedName>
    <definedName name="Z_4A4DBCF5_6E02_43D6_8F4D_223D21633DB8_.wvu.Rows" localSheetId="7" hidden="1">#REF!,#REF!</definedName>
    <definedName name="Z_4A4DBCF5_6E02_43D6_8F4D_223D21633DB8_.wvu.Rows" localSheetId="13" hidden="1">#REF!,#REF!</definedName>
    <definedName name="Z_4A4DBCF5_6E02_43D6_8F4D_223D21633DB8_.wvu.Rows" localSheetId="8" hidden="1">#REF!,#REF!</definedName>
    <definedName name="Z_4A4DBCF5_6E02_43D6_8F4D_223D21633DB8_.wvu.Rows" hidden="1">#REF!,#REF!</definedName>
    <definedName name="Z_5107985B_0AF1_481E_8B01_41E5AE471770_.wvu.FilterData" localSheetId="9" hidden="1">'[161]HRG BAHAN &amp; UPAH okk'!#REF!</definedName>
    <definedName name="Z_5107985B_0AF1_481E_8B01_41E5AE471770_.wvu.FilterData" localSheetId="0" hidden="1">'[161]HRG BAHAN &amp; UPAH okk'!#REF!</definedName>
    <definedName name="Z_5107985B_0AF1_481E_8B01_41E5AE471770_.wvu.FilterData" localSheetId="7" hidden="1">'[161]HRG BAHAN &amp; UPAH okk'!#REF!</definedName>
    <definedName name="Z_5107985B_0AF1_481E_8B01_41E5AE471770_.wvu.FilterData" localSheetId="13" hidden="1">'[161]HRG BAHAN &amp; UPAH okk'!#REF!</definedName>
    <definedName name="Z_5107985B_0AF1_481E_8B01_41E5AE471770_.wvu.FilterData" localSheetId="8" hidden="1">'[161]HRG BAHAN &amp; UPAH okk'!#REF!</definedName>
    <definedName name="Z_5107985B_0AF1_481E_8B01_41E5AE471770_.wvu.FilterData" localSheetId="12" hidden="1">'[161]HRG BAHAN &amp; UPAH okk'!#REF!</definedName>
    <definedName name="Z_5107985B_0AF1_481E_8B01_41E5AE471770_.wvu.FilterData" hidden="1">'[161]HRG BAHAN &amp; UPAH okk'!#REF!</definedName>
    <definedName name="Z_60C09D59_E1B8_4DE0_84A5_C4D52EC877AC_.wvu.Rows" hidden="1">'[161]Analis Kusen okk'!$A$17:$IV$20,'[161]Analis Kusen okk'!$A$25:$IV$26,'[161]Analis Kusen okk'!$A$28:$IV$30,'[161]Analis Kusen okk'!$A$33:$IV$42,'[161]Analis Kusen okk'!$A$44:$IV$44,'[161]Analis Kusen okk'!$A$47:$IV$50,'[161]Analis Kusen okk'!$A$52:$IV$60,'[161]Analis Kusen okk'!$A$65:$IV$67,'[161]Analis Kusen okk'!$A$143:$IV$878</definedName>
    <definedName name="Z_905CC869_795C_4E5E_B879_52BB42470404_.wvu.FilterData" localSheetId="9" hidden="1">'[161]HRG BAHAN &amp; UPAH okk'!#REF!</definedName>
    <definedName name="Z_905CC869_795C_4E5E_B879_52BB42470404_.wvu.FilterData" localSheetId="7" hidden="1">'[161]HRG BAHAN &amp; UPAH okk'!#REF!</definedName>
    <definedName name="Z_905CC869_795C_4E5E_B879_52BB42470404_.wvu.FilterData" localSheetId="13" hidden="1">'[161]HRG BAHAN &amp; UPAH okk'!#REF!</definedName>
    <definedName name="Z_905CC869_795C_4E5E_B879_52BB42470404_.wvu.FilterData" localSheetId="8" hidden="1">'[161]HRG BAHAN &amp; UPAH okk'!#REF!</definedName>
    <definedName name="Z_905CC869_795C_4E5E_B879_52BB42470404_.wvu.FilterData" hidden="1">'[161]HRG BAHAN &amp; UPAH okk'!#REF!</definedName>
    <definedName name="Z_951381D6_C6D1_4C6C_A572_59CAF1F656FA_.wvu.Rows" localSheetId="9" hidden="1">#REF!</definedName>
    <definedName name="Z_951381D6_C6D1_4C6C_A572_59CAF1F656FA_.wvu.Rows" localSheetId="0" hidden="1">#REF!</definedName>
    <definedName name="Z_951381D6_C6D1_4C6C_A572_59CAF1F656FA_.wvu.Rows" localSheetId="7" hidden="1">#REF!</definedName>
    <definedName name="Z_951381D6_C6D1_4C6C_A572_59CAF1F656FA_.wvu.Rows" localSheetId="13" hidden="1">#REF!</definedName>
    <definedName name="Z_951381D6_C6D1_4C6C_A572_59CAF1F656FA_.wvu.Rows" localSheetId="8" hidden="1">#REF!</definedName>
    <definedName name="Z_951381D6_C6D1_4C6C_A572_59CAF1F656FA_.wvu.Rows" hidden="1">#REF!</definedName>
    <definedName name="Z_C5F07B99_5B9B_4D7E_8E51_7715CFFC23CA_.wvu.Rows" hidden="1">[162]Estimate!$32:$42,[162]Estimate!$56:$63,[162]Estimate!$69:$72,[162]Estimate!$85:$90,[162]Estimate!$103:$108,[162]Estimate!$125:$126,[162]Estimate!$142:$147,[162]Estimate!$151:$154,[162]Estimate!$158:$191,[162]Estimate!$193:$194,[162]Estimate!$198:$225,[162]Estimate!$227:$232,[162]Estimate!$253:$254,[162]Estimate!$265:$274,[162]Estimate!$287:$316,[162]Estimate!$319:$354</definedName>
    <definedName name="Z_C68F7E66_DBEE_4C62_8CE7_6B99B31303FC_.wvu.Rows" hidden="1">'[163]AnalisaSIPIL RIIL'!$A$208:$IV$214,'[163]AnalisaSIPIL RIIL'!$A$224:$IV$231,'[163]AnalisaSIPIL RIIL'!$A$468:$IV$482</definedName>
    <definedName name="ZINCROMATE">'[21]Sat-Rap'!$F$76</definedName>
    <definedName name="給排水衛生">[164]概総括1!$A$1:$O$29</definedName>
    <definedName name="見積方式">[165]bq!$AA$1:$AB$5</definedName>
  </definedNames>
</workbook>
</file>

<file path=xl/comments22.xml><?xml version="1.0" encoding="utf-8"?>
<comments xmlns="http://schemas.openxmlformats.org/spreadsheetml/2006/main">
  <authors>
    <author>Heri</author>
  </authors>
  <commentList>
    <comment ref="X3" authorId="0">
      <text>
        <t>Lebar space 1 sisi</t>
      </text>
    </comment>
    <comment ref="L5" authorId="0">
      <text>
        <t xml:space="preserve">El. Tanah hasil perataan lahan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7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_-;\-* #,##0_-;_-* &quot;-&quot;_-;_-@_-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_(* #,##0_);_(* \(#,##0\);_(* &quot;-&quot;??_);_(@_)"/>
    <numFmt numFmtId="168" formatCode="_(* #,##0.000_);_(* \(#,##0.000\);_(* &quot;-&quot;??_);_(@_)"/>
    <numFmt numFmtId="169" formatCode="mmmm\ d\,\ yyyy"/>
    <numFmt numFmtId="170" formatCode="_-* #,##0.00_-;\-* #,##0.00_-;_-* &quot;-&quot;_-;_-@_-"/>
    <numFmt numFmtId="171" formatCode="\ 0.00"/>
    <numFmt numFmtId="172" formatCode="_(* #,##0.0000_);_(* \(#,##0.0000\);_(* &quot;-&quot;??_);_(@_)"/>
    <numFmt numFmtId="173" formatCode="0.000000"/>
    <numFmt numFmtId="174" formatCode="#,##0.000"/>
    <numFmt numFmtId="175" formatCode="_(* #,##0.00_);_(* \(#,##0.00\);_(* &quot;-&quot;_);_(@_)"/>
    <numFmt numFmtId="176" formatCode="_(* #,##0.00000000000000_);_(* \(#,##0.00000000000000\);_(* &quot;-&quot;??_);_(@_)"/>
    <numFmt numFmtId="177" formatCode="0.00_)"/>
    <numFmt numFmtId="178" formatCode="mm/dd/yy"/>
    <numFmt numFmtId="179" formatCode="_(* #,##0.0_);_(* \(#,##0.0\);_(* &quot;-&quot;_);_(@_)"/>
    <numFmt numFmtId="180" formatCode="0.000"/>
    <numFmt numFmtId="181" formatCode="0.0"/>
    <numFmt numFmtId="182" formatCode="_(* #,##0.000_);_(* \(#,##0.000\);_(* \-???_);_(@_)"/>
    <numFmt numFmtId="183" formatCode="_(* #,##0_);_(* \(#,##0\);_(* \-_);_(@_)"/>
    <numFmt numFmtId="184" formatCode="_(* #,##0.00_);_(* \(#,##0.00\);_(* \-??_);_(@_)"/>
    <numFmt numFmtId="185" formatCode="_(* #,##0_);_(* \(#,##0\);_(* \-??_);_(@_)"/>
    <numFmt numFmtId="186" formatCode="General_)"/>
    <numFmt numFmtId="187" formatCode="_([$Rp-421]* #,##0.00_);_([$Rp-421]* \(#,##0.00\);_([$Rp-421]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theme" Target="theme/theme1.xml"/><Relationship Id="rId147" Type="http://schemas.openxmlformats.org/officeDocument/2006/relationships/styles" Target="styles.xml"/><Relationship Id="rId14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2.vml"/><Relationship Id="rId2" Type="http://schemas.openxmlformats.org/officeDocument/2006/relationships/comments" Target="../comments2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6"/>
  <sheetViews>
    <sheetView workbookViewId="0" rightToLeft="0"/>
  </sheetViews>
  <sheetData>
    <row r="1">
      <c r="A1" t="str">
        <v>Perhitungan Volume Plumbing</v>
      </c>
    </row>
    <row r="3">
      <c r="A3" t="str">
        <v>Proyek</v>
      </c>
      <c r="B3" t="str">
        <v>: DHR C2</v>
      </c>
    </row>
    <row r="5" xml:space="preserve">
      <c r="A5" t="str">
        <v>Lantai</v>
      </c>
      <c r="B5" t="str">
        <v>Nomor</v>
      </c>
      <c r="C5" t="str">
        <v>Pipa Air Hujan Horizontal (2.5")</v>
      </c>
      <c r="D5" t="str">
        <v>Pipa Air Hujan Vertikal (2.5")</v>
      </c>
      <c r="E5" t="str" xml:space="preserve">
        <v xml:space="preserve">Pipa Air Hujan Horizontal_x000d_
(4")</v>
      </c>
      <c r="F5" t="str">
        <v>Pipa Air Hujan Vertikal (4")</v>
      </c>
      <c r="G5" t="str" xml:space="preserve">
        <v xml:space="preserve">Pipa Air Hujan Horizontal_x000d_
(6")</v>
      </c>
      <c r="H5" t="str">
        <v>Pipa Air Hujan Vertikal (6")</v>
      </c>
      <c r="I5" t="str">
        <v>Pipa Air Hujan Utama (8")</v>
      </c>
      <c r="K5" t="str">
        <v>Pipa Air Kotor Horizontal (1.5")</v>
      </c>
      <c r="L5" t="str">
        <v>Pipa Air Kotor Vertikal (1.5")</v>
      </c>
      <c r="M5" t="str" xml:space="preserve">
        <v xml:space="preserve">Pipa Air Kotor Horizontal_x000d_
(3")</v>
      </c>
      <c r="N5" t="str" xml:space="preserve">
        <v xml:space="preserve">Pipa Air Kotor Vertikal_x000d_
(3")</v>
      </c>
      <c r="O5" t="str" xml:space="preserve">
        <v xml:space="preserve">Pipa Kitchen Horizontal_x000d_
(3")</v>
      </c>
      <c r="P5" t="str" xml:space="preserve">
        <v xml:space="preserve">Pipa Kitchen Vertikal_x000d_
(3")</v>
      </c>
      <c r="R5" t="str" xml:space="preserve">
        <v xml:space="preserve">Pipa WC Vertikal_x000d_
(3")</v>
      </c>
      <c r="S5" t="str">
        <v>Pipa WC Horizontal (3")</v>
      </c>
      <c r="T5" t="str">
        <v>Pipa Hawa Septic Tank Horizontal (1.5")</v>
      </c>
      <c r="U5" t="str">
        <v>Pipa Hawa Septic Tank Vertikal (1.5")</v>
      </c>
      <c r="V5" t="str">
        <v>Pipa Resapan ke &amp; dari Septic Tank (4")</v>
      </c>
      <c r="W5" t="str">
        <v>Pipa Utama 4" vertikal</v>
      </c>
      <c r="X5" t="str">
        <v>Pipa Utama 8"</v>
      </c>
    </row>
    <row r="7">
      <c r="A7" t="str">
        <v xml:space="preserve">PAH Atap </v>
      </c>
    </row>
    <row r="8">
      <c r="A8" t="str">
        <v>PAH LT3</v>
      </c>
    </row>
    <row r="9">
      <c r="A9" t="str">
        <v>PAH LT3</v>
      </c>
    </row>
    <row r="10">
      <c r="A10" t="str">
        <v>PAH LT2</v>
      </c>
    </row>
    <row r="11">
      <c r="A11" t="str">
        <v>PAH LT2</v>
      </c>
    </row>
    <row r="12">
      <c r="A12" t="str">
        <v>PAH LT2</v>
      </c>
    </row>
    <row r="13">
      <c r="A13" t="str">
        <v>PAH LT1</v>
      </c>
    </row>
    <row r="14">
      <c r="A14" t="str">
        <v>PAH LT1</v>
      </c>
    </row>
    <row r="15">
      <c r="A15" t="str">
        <v>PAH LT1</v>
      </c>
    </row>
    <row r="16">
      <c r="A16" t="str">
        <v>PAH LT1</v>
      </c>
    </row>
    <row r="17">
      <c r="A17" t="str">
        <v>PAH Basement</v>
      </c>
    </row>
    <row r="18">
      <c r="A18" t="str">
        <v>PAH Basement</v>
      </c>
    </row>
    <row r="19">
      <c r="A19" t="str">
        <v>PAH Basement</v>
      </c>
    </row>
    <row r="20">
      <c r="A20" t="str">
        <v>PAH Basement</v>
      </c>
    </row>
    <row r="21">
      <c r="A21" t="str">
        <v>PAH Basement only</v>
      </c>
    </row>
    <row r="23">
      <c r="A23" t="str">
        <v>PAK LT3</v>
      </c>
    </row>
    <row r="24">
      <c r="A24" t="str">
        <v>PAK LT2</v>
      </c>
    </row>
    <row r="25">
      <c r="A25" t="str">
        <v>PAK LT2</v>
      </c>
    </row>
    <row r="26">
      <c r="A26" t="str">
        <v>PAK LT1</v>
      </c>
    </row>
    <row r="27">
      <c r="A27" t="str">
        <v>PAK LT1</v>
      </c>
    </row>
    <row r="28">
      <c r="A28" t="str">
        <v>PAK LT1</v>
      </c>
    </row>
    <row r="29">
      <c r="A29" t="str">
        <v>PAK Basement terusan</v>
      </c>
    </row>
    <row r="30">
      <c r="A30" t="str">
        <v>PAK Basement terusan</v>
      </c>
    </row>
    <row r="31">
      <c r="A31" t="str">
        <v>PAK Basement terusan</v>
      </c>
    </row>
    <row r="32">
      <c r="A32" t="str">
        <v>PAK Basement only</v>
      </c>
    </row>
    <row r="34">
      <c r="A34" t="str">
        <v>PWC LT3</v>
      </c>
    </row>
    <row r="35">
      <c r="A35" t="str">
        <v>PWC LT2</v>
      </c>
    </row>
    <row r="36">
      <c r="A36" t="str">
        <v>PWC LT2</v>
      </c>
    </row>
    <row r="37">
      <c r="A37" t="str">
        <v>PWC LT1</v>
      </c>
    </row>
    <row r="38">
      <c r="A38" t="str">
        <v>PWC LT1</v>
      </c>
    </row>
    <row r="39">
      <c r="A39" t="str">
        <v>PWC LT1</v>
      </c>
    </row>
    <row r="40">
      <c r="A40" t="str">
        <v>PWC Basement</v>
      </c>
    </row>
    <row r="41">
      <c r="A41" t="str">
        <v>PWC Basement</v>
      </c>
    </row>
    <row r="42">
      <c r="A42" t="str">
        <v>PWC Basement</v>
      </c>
    </row>
    <row r="43">
      <c r="A43" t="str">
        <v>PWC Basement</v>
      </c>
    </row>
    <row r="44">
      <c r="A44" t="str">
        <v>PWC Basement only</v>
      </c>
    </row>
    <row r="46">
      <c r="A46" t="str">
        <v>Pipa Vent Atap</v>
      </c>
    </row>
    <row r="47">
      <c r="A47" t="str">
        <v>Pipa Vent LT3</v>
      </c>
    </row>
    <row r="48">
      <c r="A48" t="str">
        <v>Pipa Vent LT2</v>
      </c>
    </row>
    <row r="49">
      <c r="A49" t="str">
        <v>Pipa Vent LT1</v>
      </c>
    </row>
    <row r="50">
      <c r="A50" t="str">
        <v>Pipa Vent Basement</v>
      </c>
    </row>
    <row r="53">
      <c r="A53" t="str">
        <v>TOTAL (mm' net)</v>
      </c>
      <c r="C53">
        <f>SUM(C6:C52)</f>
        <v>0</v>
      </c>
      <c r="D53">
        <f>SUM(D6:D52)</f>
        <v>0</v>
      </c>
      <c r="E53">
        <f>SUM(E6:E52)</f>
        <v>0</v>
      </c>
      <c r="F53">
        <f>SUM(F6:F52)</f>
        <v>0</v>
      </c>
      <c r="G53">
        <f>SUM(G6:G52)</f>
        <v>0</v>
      </c>
      <c r="H53">
        <f>SUM(H6:H52)</f>
        <v>0</v>
      </c>
      <c r="I53">
        <f>SUM(I6:I52)</f>
        <v>0</v>
      </c>
      <c r="K53">
        <f>SUM(K6:K52)</f>
        <v>0</v>
      </c>
      <c r="L53">
        <f>SUM(L6:L52)</f>
        <v>0</v>
      </c>
      <c r="M53">
        <f>SUM(M6:M52)</f>
        <v>0</v>
      </c>
      <c r="N53">
        <f>SUM(N6:N52)</f>
        <v>0</v>
      </c>
      <c r="O53">
        <f>SUM(O6:O52)</f>
        <v>0</v>
      </c>
      <c r="P53">
        <f>SUM(P6:P52)</f>
        <v>0</v>
      </c>
      <c r="R53">
        <f>SUM(R6:R52)</f>
        <v>0</v>
      </c>
      <c r="S53">
        <f>SUM(S6:S52)</f>
        <v>0</v>
      </c>
      <c r="T53">
        <f>SUM(T6:T52)</f>
        <v>0</v>
      </c>
      <c r="U53">
        <f>SUM(U6:U52)</f>
        <v>0</v>
      </c>
      <c r="V53">
        <f>SUM(V6:V52)</f>
        <v>0</v>
      </c>
      <c r="W53">
        <f>SUM(W6:W52)</f>
        <v>0</v>
      </c>
      <c r="X53">
        <f>SUM(X6:X52)</f>
        <v>0</v>
      </c>
    </row>
    <row r="55">
      <c r="A55" t="str">
        <v>TOTAL (m' dibulatkan)</v>
      </c>
      <c r="C55">
        <f>ROUNDUP(C53/4000,0)*4</f>
        <v>0</v>
      </c>
      <c r="D55">
        <f>ROUNDUP(D53/4000,0)*4</f>
        <v>0</v>
      </c>
      <c r="E55">
        <f>ROUNDUP(E53/4000,0)*4</f>
        <v>0</v>
      </c>
      <c r="F55">
        <f>ROUNDUP(F53/4000,0)*4</f>
        <v>0</v>
      </c>
      <c r="G55">
        <f>ROUNDUP(G53/4000,0)*4</f>
        <v>0</v>
      </c>
      <c r="H55">
        <f>ROUNDUP(H53/4000,0)*4</f>
        <v>0</v>
      </c>
      <c r="I55">
        <f>ROUNDUP(I53/4000,0)*4</f>
        <v>0</v>
      </c>
      <c r="K55">
        <f>ROUNDUP(K53/4000,0)*4</f>
        <v>0</v>
      </c>
      <c r="L55">
        <f>ROUNDUP(L53/4000,0)*4</f>
        <v>0</v>
      </c>
      <c r="M55">
        <f>ROUNDUP(M53/4000,0)*4</f>
        <v>0</v>
      </c>
      <c r="N55">
        <f>ROUNDUP(N53/4000,0)*4</f>
        <v>0</v>
      </c>
      <c r="O55">
        <f>ROUNDUP(O53/4000,0)*4</f>
        <v>0</v>
      </c>
      <c r="P55">
        <f>ROUNDUP(P53/4000,0)*4</f>
        <v>0</v>
      </c>
      <c r="R55">
        <f>ROUNDUP(R53/4000,0)*4</f>
        <v>0</v>
      </c>
      <c r="S55">
        <f>ROUNDUP(S53/4000,0)*4</f>
        <v>0</v>
      </c>
      <c r="T55">
        <f>ROUNDUP(T53/4000,0)*4</f>
        <v>0</v>
      </c>
      <c r="U55">
        <f>ROUNDUP(U53/4000,0)*4</f>
        <v>0</v>
      </c>
      <c r="V55">
        <f>ROUNDUP(V53/4000,0)*4</f>
        <v>0</v>
      </c>
      <c r="W55">
        <f>ROUNDUP(W53/4000,0)*4</f>
        <v>0</v>
      </c>
      <c r="X55">
        <f>ROUNDUP(X53/4000,0)*4</f>
        <v>0</v>
      </c>
    </row>
    <row r="57">
      <c r="C57" t="str">
        <v>m'</v>
      </c>
      <c r="D57" t="str">
        <v>btg</v>
      </c>
      <c r="E57" t="str">
        <v>Sisa</v>
      </c>
    </row>
    <row r="58">
      <c r="B58" t="str">
        <v>1,5"</v>
      </c>
      <c r="C58">
        <f>K55+L55+T55+U55</f>
        <v>0</v>
      </c>
      <c r="D58">
        <f>C58/4</f>
        <v>0</v>
      </c>
      <c r="E58">
        <f>D58-SUM($F58:$XFD58)</f>
        <v>0</v>
      </c>
    </row>
    <row r="59">
      <c r="B59" t="str">
        <v>2"</v>
      </c>
    </row>
    <row r="60">
      <c r="B60" t="str">
        <v>2,5"</v>
      </c>
      <c r="C60">
        <f>C55+D55</f>
        <v>0</v>
      </c>
      <c r="D60">
        <f>C60/4</f>
        <v>0</v>
      </c>
      <c r="E60">
        <f>D60-SUM($F60:$XFD60)</f>
        <v>0</v>
      </c>
    </row>
    <row r="61">
      <c r="B61" t="str">
        <v>3"</v>
      </c>
      <c r="C61">
        <f>+M55+N55+O55+P55+R55+S55</f>
        <v>0</v>
      </c>
      <c r="D61">
        <f>C61/4</f>
        <v>0</v>
      </c>
      <c r="E61">
        <f>D61-SUM($F61:$XFD61)</f>
        <v>0</v>
      </c>
    </row>
    <row r="62">
      <c r="B62" t="str">
        <v>4"</v>
      </c>
      <c r="C62">
        <f>+E55+F55+V55+W55</f>
        <v>0</v>
      </c>
      <c r="D62">
        <f>C62/4</f>
        <v>0</v>
      </c>
      <c r="E62">
        <f>D62-SUM($F62:$XFD62)</f>
        <v>0</v>
      </c>
    </row>
    <row r="63">
      <c r="B63" t="str">
        <v>6"</v>
      </c>
      <c r="C63">
        <f>G55+H55</f>
        <v>0</v>
      </c>
      <c r="D63">
        <f>C63/4</f>
        <v>0</v>
      </c>
      <c r="E63">
        <f>D63-SUM($F63:$XFD63)</f>
        <v>0</v>
      </c>
    </row>
    <row r="64">
      <c r="B64" t="str">
        <v>8"</v>
      </c>
      <c r="C64">
        <f>+I55</f>
        <v>0</v>
      </c>
      <c r="D64">
        <f>C64/4</f>
        <v>0</v>
      </c>
      <c r="E64">
        <f>D64-SUM($F64:$XFD64)</f>
        <v>0</v>
      </c>
    </row>
    <row r="66">
      <c r="H66" t="str">
        <v xml:space="preserve"> </v>
      </c>
    </row>
  </sheetData>
  <mergeCells count="2">
    <mergeCell ref="A53:B53"/>
    <mergeCell ref="A55:B55"/>
  </mergeCells>
  <pageMargins left="0.7" right="0.7" top="0.75" bottom="0.75" header="0.3" footer="0.3"/>
  <ignoredErrors>
    <ignoredError numberStoredAsText="1" sqref="A1:X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H111"/>
  <sheetViews>
    <sheetView workbookViewId="0" rightToLeft="0"/>
  </sheetViews>
  <sheetData>
    <row r="4">
      <c r="A4" t="str">
        <v>No.</v>
      </c>
      <c r="B4" t="str">
        <v>P E K E R J A A N</v>
      </c>
      <c r="C4" t="str">
        <v>SAT</v>
      </c>
      <c r="D4" t="str">
        <v>UPAH NET</v>
      </c>
      <c r="F4" t="str">
        <v>UPAH MANDOR (LT. DASAR)</v>
      </c>
      <c r="H4" t="str">
        <v>UPAH TATA</v>
      </c>
    </row>
    <row r="5">
      <c r="D5" t="str">
        <v>Rp.</v>
      </c>
      <c r="F5" t="str">
        <v>Rp.</v>
      </c>
    </row>
    <row r="7">
      <c r="A7">
        <v>1</v>
      </c>
      <c r="B7" t="str">
        <v>Pekerjaan Galian manual</v>
      </c>
      <c r="C7" t="str">
        <v>m3</v>
      </c>
    </row>
    <row r="8">
      <c r="A8">
        <f>1+A7</f>
        <v>2</v>
      </c>
      <c r="B8" t="str">
        <v>Pekerjaan urugan kembali</v>
      </c>
      <c r="C8" t="str">
        <v>m3</v>
      </c>
    </row>
    <row r="9">
      <c r="A9">
        <f>1+A8</f>
        <v>3</v>
      </c>
      <c r="B9" t="str">
        <v>Pekerjaan Urugan Pasir</v>
      </c>
      <c r="C9" t="str">
        <v>m3</v>
      </c>
    </row>
    <row r="10">
      <c r="A10">
        <f>1+A9</f>
        <v>4</v>
      </c>
      <c r="B10" t="str">
        <v>Pekerjaan urugan sirtu</v>
      </c>
      <c r="C10" t="str">
        <v>m3</v>
      </c>
    </row>
    <row r="11">
      <c r="A11">
        <f>1+A10</f>
        <v>5</v>
      </c>
      <c r="B11" t="str">
        <v>Pemadatan tanah</v>
      </c>
      <c r="C11" t="str">
        <v>m2</v>
      </c>
    </row>
    <row r="12">
      <c r="A12">
        <f>1+A11</f>
        <v>6</v>
      </c>
      <c r="B12" t="str">
        <v>Bobok kepala tiang diameter 50 cm</v>
      </c>
      <c r="C12" t="str">
        <v>titik</v>
      </c>
    </row>
    <row r="13">
      <c r="A13">
        <f>1+A12</f>
        <v>7</v>
      </c>
      <c r="B13" t="str">
        <v>Bobok kepala mini pile 25 cm x 25 cm</v>
      </c>
      <c r="C13" t="str">
        <v>titik</v>
      </c>
    </row>
    <row r="14">
      <c r="A14">
        <f>1+A13</f>
        <v>8</v>
      </c>
      <c r="B14" t="str">
        <v>Lantai Kerja tebal : 7 cm</v>
      </c>
      <c r="C14" t="str">
        <v>m3</v>
      </c>
      <c r="D14">
        <f>F14</f>
        <v>600000</v>
      </c>
      <c r="F14">
        <v>600000</v>
      </c>
      <c r="H14">
        <v>300000</v>
      </c>
    </row>
    <row r="15">
      <c r="A15">
        <f>1+A14</f>
        <v>9</v>
      </c>
      <c r="B15" t="str">
        <v>Lantai kerja plastic sheet</v>
      </c>
      <c r="C15" t="str">
        <v>m2</v>
      </c>
      <c r="D15">
        <f>F15</f>
        <v>0</v>
      </c>
    </row>
    <row r="16">
      <c r="A16">
        <f>1+A15</f>
        <v>10</v>
      </c>
      <c r="B16" t="str">
        <v>Pasang Batu Kali</v>
      </c>
      <c r="C16" t="str">
        <v>m3</v>
      </c>
      <c r="D16">
        <v>100000</v>
      </c>
    </row>
    <row r="17">
      <c r="A17">
        <f>1+A16</f>
        <v>11</v>
      </c>
      <c r="B17" t="str">
        <v>Cor Beton Manual</v>
      </c>
      <c r="C17" t="str">
        <v>m3</v>
      </c>
      <c r="D17">
        <f>F17</f>
        <v>100000</v>
      </c>
      <c r="F17">
        <v>100000</v>
      </c>
      <c r="H17">
        <v>75000</v>
      </c>
    </row>
    <row r="18">
      <c r="A18">
        <f>1+A17</f>
        <v>12</v>
      </c>
      <c r="B18" t="str">
        <v>Cor Beton dengan site mix</v>
      </c>
      <c r="C18" t="str">
        <v>m3</v>
      </c>
      <c r="D18">
        <f>F18</f>
        <v>0</v>
      </c>
    </row>
    <row r="19">
      <c r="A19">
        <f>1+A18</f>
        <v>13</v>
      </c>
      <c r="B19" t="str">
        <v>Cor Beton Dengan Tower Crane (komponen struktur vertikal)</v>
      </c>
      <c r="C19" t="str">
        <v>m3</v>
      </c>
      <c r="D19">
        <f>F19</f>
        <v>0</v>
      </c>
    </row>
    <row r="20">
      <c r="A20">
        <f>1+A19</f>
        <v>14</v>
      </c>
      <c r="B20" t="str">
        <v>Cor Beton Dengan Concrete Pump</v>
      </c>
      <c r="C20" t="str">
        <v>m3</v>
      </c>
      <c r="D20">
        <f>F20</f>
        <v>250000</v>
      </c>
      <c r="F20">
        <v>250000</v>
      </c>
      <c r="H20">
        <v>55000</v>
      </c>
    </row>
    <row r="21">
      <c r="B21" t="str">
        <v>Vibrator</v>
      </c>
      <c r="C21" t="str">
        <v>m3</v>
      </c>
      <c r="D21">
        <f>F21</f>
        <v>15000</v>
      </c>
      <c r="F21">
        <v>15000</v>
      </c>
    </row>
    <row r="22">
      <c r="B22" t="str">
        <v>Sewa concrete pump</v>
      </c>
      <c r="C22" t="str">
        <v>m3</v>
      </c>
      <c r="D22">
        <f>F22</f>
        <v>85000</v>
      </c>
      <c r="F22">
        <v>85000</v>
      </c>
    </row>
    <row r="23">
      <c r="A23">
        <f>1+A20</f>
        <v>15</v>
      </c>
      <c r="B23" t="str">
        <v>Pasang besi dengan Tower Crane</v>
      </c>
      <c r="C23" t="str">
        <v>kg</v>
      </c>
      <c r="D23">
        <f>F23</f>
        <v>0</v>
      </c>
    </row>
    <row r="24">
      <c r="A24">
        <f>1+A23</f>
        <v>16</v>
      </c>
      <c r="B24" t="str">
        <v>Pasang besi manual</v>
      </c>
      <c r="C24" t="str">
        <v>kg</v>
      </c>
      <c r="D24">
        <f>F24</f>
        <v>2500</v>
      </c>
      <c r="F24">
        <v>2500</v>
      </c>
    </row>
    <row r="25">
      <c r="A25">
        <f>1+A24</f>
        <v>17</v>
      </c>
      <c r="B25" t="str">
        <v xml:space="preserve">Pasang Wiremesh </v>
      </c>
      <c r="C25" t="str">
        <v>m2</v>
      </c>
      <c r="D25">
        <f>F25</f>
        <v>8000</v>
      </c>
      <c r="F25">
        <v>8000</v>
      </c>
    </row>
    <row r="26">
      <c r="A26">
        <f>1+A25</f>
        <v>18</v>
      </c>
      <c r="B26" t="str">
        <v>Pasang bekisting batako posisi tidur</v>
      </c>
      <c r="C26" t="str">
        <v>m2</v>
      </c>
      <c r="D26">
        <f>F26</f>
        <v>0</v>
      </c>
    </row>
    <row r="27">
      <c r="A27">
        <f>1+A26</f>
        <v>19</v>
      </c>
      <c r="B27" t="str">
        <v>Pasang bekisting batako posisi berdiri</v>
      </c>
      <c r="C27" t="str">
        <v>m2</v>
      </c>
      <c r="D27">
        <f>F27</f>
        <v>0</v>
      </c>
    </row>
    <row r="28">
      <c r="A28">
        <f>1+A27</f>
        <v>20</v>
      </c>
      <c r="B28" t="str">
        <v>Ongkos pasang bekisting</v>
      </c>
      <c r="C28" t="str">
        <v>m2</v>
      </c>
      <c r="D28">
        <f>F28</f>
        <v>60000</v>
      </c>
      <c r="F28">
        <v>60000</v>
      </c>
    </row>
    <row r="29">
      <c r="B29" t="str">
        <v>Ongkos bongkar bekisting</v>
      </c>
      <c r="C29" t="str">
        <v>m2</v>
      </c>
      <c r="D29">
        <f>F29</f>
        <v>25000</v>
      </c>
      <c r="F29">
        <v>25000</v>
      </c>
    </row>
    <row r="30">
      <c r="B30" t="str">
        <v>Ongkos pasang bekisting bondek</v>
      </c>
      <c r="C30" t="str">
        <v>m2</v>
      </c>
      <c r="D30">
        <f>F30</f>
        <v>85000</v>
      </c>
      <c r="F30">
        <v>85000</v>
      </c>
    </row>
    <row r="31">
      <c r="A31">
        <f>1+A90</f>
        <v>1</v>
      </c>
      <c r="B31" t="str">
        <v>Plesteran Semen Instant</v>
      </c>
      <c r="C31" t="str">
        <v>m2</v>
      </c>
      <c r="D31">
        <f>F31</f>
        <v>35000</v>
      </c>
      <c r="F31">
        <v>35000</v>
      </c>
    </row>
    <row r="32">
      <c r="A32">
        <f>1+A31</f>
        <v>2</v>
      </c>
      <c r="B32" t="str">
        <v>Plesteran Konvensional</v>
      </c>
      <c r="C32" t="str">
        <v>m2</v>
      </c>
      <c r="D32">
        <f>F32</f>
        <v>0</v>
      </c>
    </row>
    <row r="33">
      <c r="A33">
        <f>1+A32</f>
        <v>3</v>
      </c>
      <c r="B33" t="str">
        <v>Acian Semen Instant</v>
      </c>
      <c r="C33" t="str">
        <v>m2</v>
      </c>
      <c r="D33">
        <f>F33</f>
        <v>25000</v>
      </c>
      <c r="F33">
        <v>25000</v>
      </c>
    </row>
    <row r="34">
      <c r="A34">
        <f>1+A33</f>
        <v>4</v>
      </c>
      <c r="B34" t="str">
        <v>Acian Semen Konvensional</v>
      </c>
      <c r="C34" t="str">
        <v>m2</v>
      </c>
      <c r="D34">
        <f>F34</f>
        <v>0</v>
      </c>
    </row>
    <row r="35">
      <c r="A35">
        <f>1+A34</f>
        <v>5</v>
      </c>
      <c r="B35" t="str">
        <v xml:space="preserve">Benangan </v>
      </c>
      <c r="C35" t="str">
        <v>m</v>
      </c>
      <c r="D35">
        <f>F35</f>
        <v>20000</v>
      </c>
      <c r="F35">
        <v>20000</v>
      </c>
    </row>
    <row r="36">
      <c r="A36">
        <f>1+A35</f>
        <v>6</v>
      </c>
      <c r="B36" t="str">
        <v>Pasang Kolom Praktis</v>
      </c>
      <c r="C36" t="str">
        <v>m2</v>
      </c>
      <c r="D36">
        <f>F36</f>
        <v>40000</v>
      </c>
      <c r="F36">
        <v>40000</v>
      </c>
    </row>
    <row r="37">
      <c r="A37">
        <f>1+A36</f>
        <v>7</v>
      </c>
      <c r="B37" t="str">
        <v>Screed Lantai</v>
      </c>
      <c r="C37" t="str">
        <v>m2</v>
      </c>
    </row>
    <row r="38">
      <c r="A38">
        <f>1+A37</f>
        <v>8</v>
      </c>
      <c r="B38" t="str">
        <v>Pasang Keramik dan HT / GT lantai</v>
      </c>
      <c r="C38" t="str">
        <v>m2</v>
      </c>
    </row>
    <row r="39">
      <c r="A39">
        <f>1+A38</f>
        <v>9</v>
      </c>
      <c r="B39" t="str">
        <v>Pasang Keramik lantai bermotif (susun bata / herringbone / dsb)</v>
      </c>
      <c r="C39" t="str">
        <v>m2</v>
      </c>
    </row>
    <row r="40">
      <c r="A40">
        <f>1+A39</f>
        <v>10</v>
      </c>
      <c r="B40" t="str">
        <v>Pasang Keramik dan HT / GT dinding</v>
      </c>
      <c r="C40" t="str">
        <v>m2</v>
      </c>
    </row>
    <row r="41">
      <c r="A41">
        <f>1+A40</f>
        <v>11</v>
      </c>
      <c r="B41" t="str">
        <v>Pasang Skirting Keramik</v>
      </c>
      <c r="C41" t="str">
        <v>m</v>
      </c>
    </row>
    <row r="42">
      <c r="A42">
        <f>1+A41</f>
        <v>12</v>
      </c>
      <c r="B42" t="str">
        <v>Pasang Skirting Homogenous Tile</v>
      </c>
      <c r="C42" t="str">
        <v>m</v>
      </c>
    </row>
    <row r="43">
      <c r="A43">
        <f>1+A42</f>
        <v>13</v>
      </c>
      <c r="B43" t="str">
        <v>Pasang Stepnosing</v>
      </c>
      <c r="C43" t="str">
        <v>m</v>
      </c>
    </row>
    <row r="44">
      <c r="A44">
        <f>1+A43</f>
        <v>14</v>
      </c>
      <c r="B44" t="str">
        <v>Finish Floor Hardener</v>
      </c>
      <c r="C44" t="str">
        <v>m2</v>
      </c>
    </row>
    <row r="45">
      <c r="A45">
        <f>1+A44</f>
        <v>15</v>
      </c>
      <c r="B45" t="str">
        <v>Trowel Finish Lantai</v>
      </c>
      <c r="C45" t="str">
        <v>m2</v>
      </c>
    </row>
    <row r="46">
      <c r="A46">
        <f>1+A45</f>
        <v>16</v>
      </c>
      <c r="B46" t="str">
        <v>Broom Finished lantai</v>
      </c>
      <c r="C46" t="str">
        <v>m2</v>
      </c>
    </row>
    <row r="47">
      <c r="A47">
        <f>1+A46</f>
        <v>17</v>
      </c>
      <c r="B47" t="str">
        <v>Pasang Car Stoper</v>
      </c>
      <c r="C47" t="str">
        <v>bh</v>
      </c>
    </row>
    <row r="48">
      <c r="A48">
        <f>1+A47</f>
        <v>18</v>
      </c>
      <c r="B48" t="str">
        <v>Skim coat</v>
      </c>
      <c r="C48" t="str">
        <v>m2</v>
      </c>
    </row>
    <row r="49">
      <c r="A49">
        <f>1+A48</f>
        <v>19</v>
      </c>
      <c r="B49" t="str">
        <v>Pasang Closet duduk</v>
      </c>
      <c r="C49" t="str">
        <v>Unit</v>
      </c>
    </row>
    <row r="50">
      <c r="A50">
        <f>1+A49</f>
        <v>20</v>
      </c>
      <c r="B50" t="str">
        <v>Pasang Closet jongkok</v>
      </c>
      <c r="C50" t="str">
        <v>Unit</v>
      </c>
    </row>
    <row r="51">
      <c r="A51">
        <f>1+A50</f>
        <v>21</v>
      </c>
      <c r="B51" t="str">
        <v>Pasang Shower Spray</v>
      </c>
      <c r="C51" t="str">
        <v>Unit</v>
      </c>
    </row>
    <row r="52">
      <c r="A52">
        <f>1+A51</f>
        <v>22</v>
      </c>
      <c r="B52" t="str">
        <v>Pasang Floor Drain</v>
      </c>
      <c r="C52" t="str">
        <v>Unit</v>
      </c>
    </row>
    <row r="53">
      <c r="A53">
        <f>1+A52</f>
        <v>23</v>
      </c>
      <c r="B53" t="str">
        <v>Pasang Lavatory</v>
      </c>
      <c r="C53" t="str">
        <v>Unit</v>
      </c>
    </row>
    <row r="54">
      <c r="A54">
        <f>1+A53</f>
        <v>24</v>
      </c>
      <c r="B54" t="str">
        <v>Pasang Hand dryer</v>
      </c>
      <c r="C54" t="str">
        <v>Unit</v>
      </c>
    </row>
    <row r="55">
      <c r="A55">
        <f>1+A54</f>
        <v>25</v>
      </c>
      <c r="B55" t="str">
        <v>Pasang Urinoir</v>
      </c>
      <c r="C55" t="str">
        <v>Unit</v>
      </c>
    </row>
    <row r="56">
      <c r="A56">
        <f>1+A55</f>
        <v>26</v>
      </c>
      <c r="B56" t="str">
        <v>Pasang Sekat Urinoir</v>
      </c>
      <c r="C56" t="str">
        <v>Unit</v>
      </c>
    </row>
    <row r="57">
      <c r="A57">
        <f>1+A56</f>
        <v>27</v>
      </c>
      <c r="B57" t="str">
        <v>Pasang Tissue Holder</v>
      </c>
      <c r="C57" t="str">
        <v>Unit</v>
      </c>
    </row>
    <row r="58">
      <c r="A58">
        <f>1+A57</f>
        <v>28</v>
      </c>
      <c r="B58" t="str">
        <v>Pasang Kran Air</v>
      </c>
      <c r="C58" t="str">
        <v>Unit</v>
      </c>
    </row>
    <row r="59">
      <c r="A59">
        <f>1+A58</f>
        <v>29</v>
      </c>
      <c r="B59" t="str">
        <v>Pasang mixing valve</v>
      </c>
      <c r="C59" t="str">
        <v>Unit</v>
      </c>
    </row>
    <row r="60">
      <c r="A60">
        <f>1+A59</f>
        <v>30</v>
      </c>
      <c r="B60" t="str">
        <v>Pasang towel bar</v>
      </c>
      <c r="C60" t="str">
        <v>Unit</v>
      </c>
    </row>
    <row r="61">
      <c r="A61">
        <f>1+A60</f>
        <v>31</v>
      </c>
      <c r="B61" t="str">
        <v>Pasang robe hook</v>
      </c>
      <c r="C61" t="str">
        <v>Unit</v>
      </c>
    </row>
    <row r="62">
      <c r="A62">
        <f>1+A61</f>
        <v>32</v>
      </c>
      <c r="B62" t="str">
        <v>Pasang Kitchen Sink + cor meja</v>
      </c>
      <c r="C62" t="str">
        <v>Unit</v>
      </c>
    </row>
    <row r="63">
      <c r="A63">
        <f>1+A62</f>
        <v>33</v>
      </c>
      <c r="B63" t="str">
        <v>Pasang Soap Holder</v>
      </c>
      <c r="C63" t="str">
        <v>Unit</v>
      </c>
    </row>
    <row r="64">
      <c r="A64">
        <f>1+A63</f>
        <v>34</v>
      </c>
      <c r="B64" t="str">
        <v>Pasang Fixed Shower Head</v>
      </c>
      <c r="C64" t="str">
        <v>Unit</v>
      </c>
    </row>
    <row r="65">
      <c r="A65">
        <f>1+A64</f>
        <v>35</v>
      </c>
      <c r="B65" t="str">
        <v>Pasang paving</v>
      </c>
      <c r="C65" t="str">
        <v>m2</v>
      </c>
    </row>
    <row r="66">
      <c r="A66">
        <f>1+A65</f>
        <v>36</v>
      </c>
      <c r="B66" t="str">
        <v>Pasang atap corrugated metal</v>
      </c>
      <c r="C66" t="str">
        <v>m2</v>
      </c>
    </row>
    <row r="67">
      <c r="A67">
        <f>1+A66</f>
        <v>37</v>
      </c>
      <c r="B67" t="str">
        <v>Pasang dinding corrugated metal</v>
      </c>
      <c r="C67" t="str">
        <v>m2</v>
      </c>
    </row>
    <row r="69">
      <c r="B69" t="str">
        <v>Data Upah Mandor Slamet (sebelum diskon)</v>
      </c>
    </row>
    <row r="70">
      <c r="B70" t="str">
        <v>note: setiap naik 1 lantai, upah +5%</v>
      </c>
    </row>
    <row r="72">
      <c r="B72" t="str">
        <v>Galian manual</v>
      </c>
      <c r="C72" t="str">
        <v>m3</v>
      </c>
      <c r="D72">
        <f>F72</f>
        <v>85000</v>
      </c>
      <c r="F72">
        <v>85000</v>
      </c>
      <c r="H72">
        <v>80000</v>
      </c>
    </row>
    <row r="73">
      <c r="B73" t="str">
        <v>Urugan tanah manual</v>
      </c>
      <c r="C73" t="str">
        <v>m3</v>
      </c>
      <c r="D73">
        <f>F73</f>
        <v>60000</v>
      </c>
      <c r="F73">
        <v>60000</v>
      </c>
      <c r="H73">
        <v>30000</v>
      </c>
    </row>
    <row r="74">
      <c r="B74" t="str">
        <v>Buang bekas galian</v>
      </c>
      <c r="C74" t="str">
        <v>m3</v>
      </c>
      <c r="D74">
        <f>F74</f>
        <v>60000</v>
      </c>
      <c r="F74">
        <v>60000</v>
      </c>
    </row>
    <row r="75">
      <c r="B75" t="str">
        <v>Perataan &amp; pemadatan tanah</v>
      </c>
      <c r="C75" t="str">
        <v>m3</v>
      </c>
      <c r="D75">
        <f>F75</f>
        <v>20000</v>
      </c>
      <c r="F75">
        <v>20000</v>
      </c>
      <c r="H75">
        <v>9000</v>
      </c>
    </row>
    <row r="76">
      <c r="B76" t="str">
        <v>Bekisting + pembesian + cor POER</v>
      </c>
      <c r="C76" t="str">
        <v>m3</v>
      </c>
      <c r="D76">
        <v>800000</v>
      </c>
      <c r="F76">
        <v>600000</v>
      </c>
    </row>
    <row r="77">
      <c r="B77" t="str">
        <v>Bekisting + pembesian + cor SLOOF</v>
      </c>
      <c r="C77" t="str">
        <v>m3</v>
      </c>
      <c r="D77">
        <v>1100000</v>
      </c>
      <c r="F77">
        <v>1000000</v>
      </c>
    </row>
    <row r="78">
      <c r="B78" t="str">
        <v>Bekisting + pembesian + cor BALOK (rata-rata)</v>
      </c>
      <c r="C78" t="str">
        <v>m3</v>
      </c>
      <c r="D78">
        <v>1500000</v>
      </c>
      <c r="F78">
        <v>1500000</v>
      </c>
    </row>
    <row r="79">
      <c r="B79" t="str">
        <v>Bekisting + pembesian + cor KOLOM (rata-rata)</v>
      </c>
      <c r="C79" t="str">
        <v>m3</v>
      </c>
      <c r="D79">
        <v>1600000</v>
      </c>
      <c r="F79">
        <v>1750000</v>
      </c>
    </row>
    <row r="80">
      <c r="B80" t="str">
        <v>Bekisting + pembesian + cor PLAT LANTAI (lt. dasar)</v>
      </c>
      <c r="C80" t="str">
        <v>m3</v>
      </c>
      <c r="D80">
        <v>800000</v>
      </c>
      <c r="F80">
        <v>800000</v>
      </c>
    </row>
    <row r="81">
      <c r="B81" t="str">
        <v>Bekisting + pembesian + cor PLAT LANTAI (rata-rata)</v>
      </c>
      <c r="C81" t="str">
        <v>m3</v>
      </c>
      <c r="D81">
        <v>1250000</v>
      </c>
      <c r="F81">
        <v>1250000</v>
      </c>
    </row>
    <row r="82">
      <c r="B82" t="str">
        <v>Bekisting + pembesian + cor DINDING BETON (rata-rata)</v>
      </c>
      <c r="C82" t="str">
        <v>m3</v>
      </c>
      <c r="D82">
        <v>1200000</v>
      </c>
      <c r="F82">
        <v>1000000</v>
      </c>
    </row>
    <row r="83">
      <c r="B83" t="str">
        <v>Bekisting + pembesian + cor TANGGA (rata-rata)</v>
      </c>
      <c r="C83" t="str">
        <v>m3</v>
      </c>
      <c r="D83">
        <f>F83</f>
        <v>1750000</v>
      </c>
      <c r="F83">
        <v>1750000</v>
      </c>
    </row>
    <row r="84">
      <c r="B84" t="str">
        <v>Lantai kerja</v>
      </c>
      <c r="C84" t="str">
        <v>m3</v>
      </c>
      <c r="D84">
        <f>F84</f>
        <v>400000</v>
      </c>
      <c r="F84">
        <v>400000</v>
      </c>
      <c r="H84">
        <v>300000</v>
      </c>
    </row>
    <row r="85">
      <c r="B85" t="str">
        <v>Pasang bata merah 1/2 batu (rata-rata)</v>
      </c>
      <c r="C85" t="str">
        <v>m2</v>
      </c>
      <c r="D85">
        <v>80000</v>
      </c>
      <c r="F85">
        <v>50000</v>
      </c>
      <c r="H85">
        <v>30000</v>
      </c>
    </row>
    <row r="86">
      <c r="B86" t="str">
        <v>Pasang bata merah 3/4 batu (rata-rata)</v>
      </c>
      <c r="C86" t="str">
        <v>m2</v>
      </c>
      <c r="D86">
        <v>100000</v>
      </c>
      <c r="F86">
        <v>80000</v>
      </c>
    </row>
    <row r="87">
      <c r="B87" t="str">
        <v>Pasang bata merah 1 batu (rata-rata)</v>
      </c>
      <c r="C87" t="str">
        <v>m2</v>
      </c>
      <c r="D87">
        <v>150000</v>
      </c>
      <c r="F87">
        <v>100000</v>
      </c>
    </row>
    <row r="88">
      <c r="B88" t="str">
        <v>Pasang bata merah 1,5 batu (rata-rata)</v>
      </c>
      <c r="C88" t="str">
        <v>m2</v>
      </c>
      <c r="D88">
        <v>175000</v>
      </c>
      <c r="F88">
        <v>125000</v>
      </c>
    </row>
    <row r="89">
      <c r="B89" t="str">
        <v>Pasang bata merah 1,5 batu (rata-rata)</v>
      </c>
      <c r="C89" t="str">
        <v>m2</v>
      </c>
      <c r="D89">
        <f>F89</f>
        <v>175000</v>
      </c>
      <c r="F89">
        <v>175000</v>
      </c>
    </row>
    <row r="90">
      <c r="B90" t="str">
        <v>Pasang bata ringan 1/2 batu (rata-rata)</v>
      </c>
      <c r="C90" t="str">
        <v>m2</v>
      </c>
      <c r="D90">
        <f>F90</f>
        <v>30000</v>
      </c>
      <c r="F90">
        <v>30000</v>
      </c>
      <c r="H90">
        <v>19500</v>
      </c>
    </row>
    <row r="91">
      <c r="B91" t="str">
        <v>Pasang bata ringan 1 batu (rata-rata)</v>
      </c>
      <c r="C91" t="str">
        <v>m2</v>
      </c>
      <c r="D91">
        <f>F91</f>
        <v>60000</v>
      </c>
      <c r="F91">
        <v>60000</v>
      </c>
    </row>
    <row r="92">
      <c r="B92" t="str">
        <v>Pasang bata ringan 1,5 batu (rata-rata)</v>
      </c>
      <c r="C92" t="str">
        <v>m2</v>
      </c>
      <c r="D92">
        <f>F92</f>
        <v>80000</v>
      </c>
      <c r="F92">
        <v>80000</v>
      </c>
    </row>
    <row r="93">
      <c r="B93" t="str">
        <v>Plesteran dinding (konvensional)</v>
      </c>
      <c r="C93" t="str">
        <v>m2</v>
      </c>
      <c r="D93">
        <f>F93</f>
        <v>60000</v>
      </c>
      <c r="F93">
        <v>60000</v>
      </c>
      <c r="H93">
        <v>22000</v>
      </c>
    </row>
    <row r="94">
      <c r="B94" t="str">
        <v>Plesteran kolom (beton)</v>
      </c>
      <c r="C94" t="str">
        <v>m2</v>
      </c>
      <c r="D94">
        <f>F94</f>
        <v>70000</v>
      </c>
      <c r="F94">
        <v>70000</v>
      </c>
      <c r="H94">
        <v>25000</v>
      </c>
    </row>
    <row r="95">
      <c r="B95" t="str">
        <v>Acian dinding &amp; kolom (semen instan)</v>
      </c>
      <c r="C95" t="str">
        <v>m2</v>
      </c>
      <c r="D95">
        <f>F95</f>
        <v>30000</v>
      </c>
      <c r="F95">
        <v>30000</v>
      </c>
      <c r="H95">
        <v>18000</v>
      </c>
    </row>
    <row r="96">
      <c r="B96" t="str">
        <v>Acian dinding &amp; kolom (konvensional)</v>
      </c>
      <c r="C96" t="str">
        <v>m2</v>
      </c>
      <c r="D96">
        <f>F96</f>
        <v>30000</v>
      </c>
      <c r="F96">
        <v>30000</v>
      </c>
      <c r="H96">
        <v>14000</v>
      </c>
    </row>
    <row r="97">
      <c r="B97" t="str">
        <v>Benangan sudut</v>
      </c>
      <c r="C97" t="str">
        <v>m'</v>
      </c>
      <c r="D97">
        <f>F97</f>
        <v>40000</v>
      </c>
      <c r="F97">
        <v>40000</v>
      </c>
      <c r="H97">
        <v>10000</v>
      </c>
    </row>
    <row r="98">
      <c r="B98" t="str">
        <v>Pekerjaan pipa horizontal lantai dasar (gali + bantalan + urug)</v>
      </c>
      <c r="C98" t="str">
        <v>m'</v>
      </c>
      <c r="D98">
        <f>F98</f>
        <v>40000</v>
      </c>
      <c r="F98">
        <v>40000</v>
      </c>
    </row>
    <row r="99">
      <c r="B99" t="str">
        <v>Pekerjaan pipa vertikal (kawat ayam + cor)</v>
      </c>
      <c r="C99" t="str">
        <v>m'</v>
      </c>
      <c r="D99">
        <f>F99</f>
        <v>30000</v>
      </c>
      <c r="F99">
        <v>30000</v>
      </c>
    </row>
    <row r="100">
      <c r="B100" t="str">
        <v>Pekerjaan pipa horizontal</v>
      </c>
      <c r="C100" t="str">
        <v>m'</v>
      </c>
      <c r="D100">
        <f>F100</f>
        <v>25000</v>
      </c>
      <c r="F100">
        <v>25000</v>
      </c>
    </row>
    <row r="101">
      <c r="B101" t="str">
        <v>Pekerjaan bantalan pipa</v>
      </c>
      <c r="C101" t="str">
        <v>m'</v>
      </c>
      <c r="D101">
        <f>F101</f>
        <v>100000</v>
      </c>
      <c r="F101">
        <v>100000</v>
      </c>
    </row>
    <row r="102">
      <c r="B102" t="str">
        <v>Pekerjaan bak kontrol</v>
      </c>
      <c r="C102" t="str">
        <v>unit</v>
      </c>
      <c r="D102">
        <f>F102</f>
        <v>250000</v>
      </c>
      <c r="F102">
        <v>250000</v>
      </c>
    </row>
    <row r="103">
      <c r="B103" t="str">
        <v>Pekerjaan tandon bawah kaps. 9 m3</v>
      </c>
      <c r="C103" t="str">
        <v>unit</v>
      </c>
      <c r="D103">
        <f>F103</f>
        <v>10000000</v>
      </c>
      <c r="F103">
        <v>10000000</v>
      </c>
    </row>
  </sheetData>
  <mergeCells count="4">
    <mergeCell ref="A4:A5"/>
    <mergeCell ref="B4:B5"/>
    <mergeCell ref="C4:C5"/>
    <mergeCell ref="H4:H5"/>
  </mergeCells>
  <pageMargins left="0.7" right="0.7" top="0.75" bottom="0.75" header="0.3" footer="0.3"/>
  <ignoredErrors>
    <ignoredError numberStoredAsText="1" sqref="A3:H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04"/>
  <sheetViews>
    <sheetView workbookViewId="0" rightToLeft="0"/>
  </sheetViews>
  <sheetData>
    <row r="1">
      <c r="A1" t="str">
        <v>Tanggal</v>
      </c>
      <c r="C1" t="str">
        <v>:</v>
      </c>
    </row>
    <row r="2">
      <c r="A2" t="str">
        <v>Proyek</v>
      </c>
      <c r="C2" t="str">
        <v>:</v>
      </c>
    </row>
    <row r="3">
      <c r="A3" t="str">
        <v>Lokasi</v>
      </c>
      <c r="C3" t="str">
        <v>:</v>
      </c>
    </row>
    <row r="5">
      <c r="A5" t="str">
        <v>No.</v>
      </c>
      <c r="B5" t="str">
        <v>M A T E R I A L S</v>
      </c>
      <c r="E5" t="str">
        <v>PRODUK / MODEL / TIPE</v>
      </c>
      <c r="F5" t="str">
        <v>SAT</v>
      </c>
      <c r="G5" t="str">
        <v>HARGA NET</v>
      </c>
    </row>
    <row r="6">
      <c r="G6" t="str">
        <v>Rp.</v>
      </c>
    </row>
    <row r="7">
      <c r="A7" t="str">
        <v xml:space="preserve"> </v>
      </c>
    </row>
    <row r="8">
      <c r="A8">
        <v>1</v>
      </c>
      <c r="B8" t="str">
        <v>Pasir Pasang</v>
      </c>
      <c r="E8" t="str">
        <v>ex : Lumajang</v>
      </c>
      <c r="F8" t="str">
        <v>m3</v>
      </c>
      <c r="G8">
        <f>ROUNDUP(2100000/6,-4)</f>
        <v>350000</v>
      </c>
      <c r="H8" t="str">
        <v>2,1jt/rit</v>
      </c>
    </row>
    <row r="9">
      <c r="B9" t="str">
        <v>Pasir Pasang</v>
      </c>
      <c r="E9" t="str">
        <v>ex : Kertosono</v>
      </c>
      <c r="F9" t="str">
        <v>m3</v>
      </c>
      <c r="G9">
        <f>ROUNDUP(1300000/6,-4)</f>
        <v>220000</v>
      </c>
      <c r="H9" t="str">
        <v>1,3jt/rit</v>
      </c>
    </row>
    <row r="10">
      <c r="A10">
        <f>+A17+1</f>
        <v>3</v>
      </c>
      <c r="B10" t="str">
        <v>Split 1:1</v>
      </c>
      <c r="E10" t="str">
        <v>ex : lokal</v>
      </c>
      <c r="F10" t="str">
        <v>m3</v>
      </c>
      <c r="G10">
        <v>275000</v>
      </c>
      <c r="I10" t="str">
        <v>harga beton Jayamix BDG H-16 SEBELUM PPN:</v>
      </c>
    </row>
    <row r="11">
      <c r="A11">
        <f>+A27+1</f>
        <v>14</v>
      </c>
      <c r="B11" t="str">
        <v>Readymix K-350 (fc' 35 Mpa)</v>
      </c>
      <c r="E11" t="str">
        <v>slump 18 ± 2 cm, Non Fly Ash, Self-Consolidating Concrete (SCC) atau ditambah additive hyperflow</v>
      </c>
      <c r="F11" t="str">
        <v>m3</v>
      </c>
      <c r="G11">
        <f>1050000*1.11</f>
        <v>1165500</v>
      </c>
      <c r="I11" t="str">
        <v>K-300 (fc'25)</v>
      </c>
      <c r="J11">
        <v>785000</v>
      </c>
    </row>
    <row r="12">
      <c r="A12">
        <f>+A11+1</f>
        <v>15</v>
      </c>
      <c r="B12" t="str">
        <v>Readymix K-350 (fc' 35 Mpa)</v>
      </c>
      <c r="E12" t="str">
        <v>slump 18 ± 2 cm, Non Fly Ash, split 1:1</v>
      </c>
      <c r="F12" t="str">
        <v>m3</v>
      </c>
      <c r="G12">
        <f>1050000*1.11</f>
        <v>1165500</v>
      </c>
      <c r="I12" t="str">
        <v>K-350 (fc'30)</v>
      </c>
      <c r="J12">
        <v>875000</v>
      </c>
    </row>
    <row r="13">
      <c r="B13" t="str">
        <v>Readymix K-350 (fc' 30 Mpa)</v>
      </c>
      <c r="E13" t="str">
        <v>slump 18 ± 2 cm, Non Fly Ash, split 1:1</v>
      </c>
      <c r="F13" t="str">
        <v>m3</v>
      </c>
      <c r="G13">
        <f>1050000*1.11</f>
        <v>1165500</v>
      </c>
      <c r="I13" t="str">
        <v>K-400 (fc'32,5)</v>
      </c>
      <c r="J13">
        <v>840000</v>
      </c>
    </row>
    <row r="14">
      <c r="A14">
        <f>+A20+1</f>
        <v>7</v>
      </c>
      <c r="B14" t="str">
        <v xml:space="preserve">Semen PC </v>
      </c>
      <c r="E14" t="str">
        <v>ex : Semen Gresik / Holcim / Tiga Roda @ 50 kg</v>
      </c>
      <c r="F14" t="str">
        <v>sak</v>
      </c>
      <c r="G14">
        <v>65000</v>
      </c>
      <c r="I14" t="str">
        <v>K-450 (fc'35)</v>
      </c>
      <c r="J14">
        <v>935000</v>
      </c>
    </row>
    <row r="15">
      <c r="B15" t="str">
        <v>Bentonite</v>
      </c>
      <c r="F15" t="str">
        <v>kg</v>
      </c>
      <c r="G15">
        <v>3000</v>
      </c>
      <c r="I15" t="str">
        <v>additive hyperflow</v>
      </c>
      <c r="J15">
        <v>50000</v>
      </c>
    </row>
    <row r="16">
      <c r="B16" t="str">
        <v>Bahan bakar molen</v>
      </c>
      <c r="F16" t="str">
        <v>ltr</v>
      </c>
      <c r="G16">
        <v>13000</v>
      </c>
    </row>
    <row r="17">
      <c r="A17">
        <f>+A8+1</f>
        <v>2</v>
      </c>
      <c r="B17" t="str">
        <v>Pasir Urug</v>
      </c>
      <c r="E17" t="str">
        <v>ex : lokal</v>
      </c>
      <c r="F17" t="str">
        <v>m3</v>
      </c>
      <c r="G17">
        <v>175000</v>
      </c>
    </row>
    <row r="18">
      <c r="A18">
        <f>+A10+1</f>
        <v>4</v>
      </c>
      <c r="B18" t="str">
        <v>Sirtu</v>
      </c>
      <c r="E18" t="str">
        <v>ex : lokal</v>
      </c>
      <c r="F18" t="str">
        <v>m3</v>
      </c>
    </row>
    <row r="19">
      <c r="A19">
        <f>A18+1</f>
        <v>5</v>
      </c>
      <c r="B19" t="str">
        <v>Batu kali</v>
      </c>
      <c r="E19" t="str">
        <v>ex : lokal</v>
      </c>
      <c r="F19" t="str">
        <v>m3</v>
      </c>
      <c r="G19">
        <v>250000</v>
      </c>
    </row>
    <row r="20">
      <c r="A20">
        <f>A19+1</f>
        <v>6</v>
      </c>
      <c r="B20" t="str">
        <v>Batako tebal 10 cm</v>
      </c>
      <c r="E20" t="str">
        <v>ex : lokal</v>
      </c>
      <c r="F20" t="str">
        <v>bh</v>
      </c>
      <c r="G20">
        <v>4500</v>
      </c>
    </row>
    <row r="21">
      <c r="B21" t="str">
        <v>Air kerja</v>
      </c>
      <c r="F21" t="str">
        <v>m3</v>
      </c>
      <c r="G21">
        <v>40000</v>
      </c>
    </row>
    <row r="22">
      <c r="A22">
        <f>+A14+1</f>
        <v>8</v>
      </c>
      <c r="B22" t="str">
        <v>Readymix B0</v>
      </c>
      <c r="E22" t="str">
        <v>slump 12 ± 2 cm, FA max 10%</v>
      </c>
      <c r="F22" t="str">
        <v>m3</v>
      </c>
    </row>
    <row r="23">
      <c r="A23">
        <f>+A22+1</f>
        <v>9</v>
      </c>
      <c r="B23" t="str">
        <v>Readymix fc' 35 Mpa (khusus Raft)</v>
      </c>
      <c r="F23" t="str">
        <v>m3</v>
      </c>
    </row>
    <row r="24">
      <c r="A24">
        <f>+A23+1</f>
        <v>10</v>
      </c>
      <c r="B24" t="str">
        <v>Readymix fc' 25 MPa</v>
      </c>
      <c r="F24" t="str">
        <v>m3</v>
      </c>
    </row>
    <row r="25">
      <c r="A25">
        <f>+A24+1</f>
        <v>11</v>
      </c>
      <c r="B25" t="str">
        <v>Readymix fc' 30 MPa</v>
      </c>
      <c r="F25" t="str">
        <v>m3</v>
      </c>
    </row>
    <row r="26">
      <c r="A26">
        <f>+A25+1</f>
        <v>12</v>
      </c>
      <c r="B26" t="str">
        <v>Readymix fc' 35 MPa</v>
      </c>
      <c r="F26" t="str">
        <v>m3</v>
      </c>
    </row>
    <row r="27">
      <c r="A27">
        <f>+A26+1</f>
        <v>13</v>
      </c>
      <c r="B27" t="str">
        <v>Readymix fc' 40 MPa</v>
      </c>
      <c r="F27" t="str">
        <v>m3</v>
      </c>
    </row>
    <row r="28">
      <c r="A28">
        <f>+A12+1</f>
        <v>16</v>
      </c>
      <c r="B28" t="str">
        <v>Readymix K-250</v>
      </c>
      <c r="F28" t="str">
        <v>m3</v>
      </c>
    </row>
    <row r="29">
      <c r="A29">
        <f>+A28+1</f>
        <v>17</v>
      </c>
      <c r="B29" t="str">
        <v>Additive</v>
      </c>
      <c r="E29" t="str">
        <v>ex : LN</v>
      </c>
      <c r="F29" t="str">
        <v>ltr</v>
      </c>
    </row>
    <row r="30">
      <c r="A30">
        <f>+A29+1</f>
        <v>18</v>
      </c>
      <c r="B30" t="str">
        <v>Curing Compound</v>
      </c>
      <c r="E30" t="str">
        <v>ex : Masterkure 128 ex. BASF</v>
      </c>
      <c r="F30" t="str">
        <v>ltr</v>
      </c>
    </row>
    <row r="31">
      <c r="A31">
        <f>+A30+1</f>
        <v>19</v>
      </c>
      <c r="B31" t="str">
        <v>Form oil</v>
      </c>
      <c r="F31" t="str">
        <v>ltr</v>
      </c>
      <c r="G31">
        <v>27500</v>
      </c>
      <c r="J31" t="str">
        <v>Wire Mesh</v>
      </c>
      <c r="K31">
        <v>10000</v>
      </c>
      <c r="L31" t="str">
        <v>/kg</v>
      </c>
    </row>
    <row r="32">
      <c r="A32">
        <f>+A31+1</f>
        <v>20</v>
      </c>
      <c r="B32" t="str">
        <v>Bonding Agent</v>
      </c>
      <c r="E32" t="str">
        <v>ex : Sikabond</v>
      </c>
      <c r="F32" t="str">
        <v>ltr</v>
      </c>
    </row>
    <row r="33">
      <c r="A33">
        <f>+A32+1</f>
        <v>21</v>
      </c>
      <c r="B33" t="str">
        <v>Besi beton BJTP U24 &amp; BJTD U40</v>
      </c>
      <c r="E33" t="str">
        <v>standard SNI</v>
      </c>
      <c r="F33" t="str">
        <v>kg</v>
      </c>
      <c r="G33">
        <v>9500</v>
      </c>
      <c r="I33" t="str">
        <v>dia</v>
      </c>
      <c r="J33" t="str">
        <v>jarak</v>
      </c>
      <c r="K33" t="str">
        <v>P</v>
      </c>
      <c r="L33" t="str">
        <v>L</v>
      </c>
      <c r="M33" t="str">
        <v>brt/m2</v>
      </c>
    </row>
    <row r="34">
      <c r="A34">
        <f>+A33+1</f>
        <v>22</v>
      </c>
      <c r="B34" t="str">
        <v>Wiremesh M-10</v>
      </c>
      <c r="E34" t="str">
        <v>ex. BHP / Lion</v>
      </c>
      <c r="F34" t="str">
        <v>m2</v>
      </c>
      <c r="G34">
        <f>M34*$K$31</f>
        <v>85135.71428571429</v>
      </c>
      <c r="I34">
        <v>10</v>
      </c>
      <c r="J34">
        <v>150</v>
      </c>
      <c r="K34">
        <v>5.4</v>
      </c>
      <c r="L34">
        <v>2.1</v>
      </c>
      <c r="M34">
        <f>(0.006165*I34*I34)*(K34*ROUND(L34/(J34/1000)+1,0)+L34*ROUND(K34/(J34/1000),0))/(K34*L34)</f>
        <v>8.51357142857143</v>
      </c>
    </row>
    <row r="35">
      <c r="A35">
        <f>+A34+1</f>
        <v>23</v>
      </c>
      <c r="B35" t="str">
        <v>Wiremesh M-9</v>
      </c>
      <c r="E35" t="str">
        <v>ex. BHP / Lion</v>
      </c>
      <c r="F35" t="str">
        <v>m2</v>
      </c>
      <c r="G35">
        <f>M35*$K$31</f>
        <v>68959.92857142858</v>
      </c>
      <c r="H35">
        <f>778000/(2.1*5.4)</f>
        <v>68606.70194003526</v>
      </c>
      <c r="I35">
        <v>9</v>
      </c>
      <c r="J35">
        <v>150</v>
      </c>
      <c r="K35">
        <v>5.4</v>
      </c>
      <c r="L35">
        <v>2.1</v>
      </c>
      <c r="M35">
        <f>(0.006165*I35*I35)*(K35*ROUND(L35/(J35/1000)+1,0)+L35*ROUND(K35/(J35/1000),0))/(K35*L35)</f>
        <v>6.895992857142859</v>
      </c>
    </row>
    <row r="36">
      <c r="A36">
        <f>+A35+1</f>
        <v>24</v>
      </c>
      <c r="B36" t="str">
        <v>Wiremesh M-8</v>
      </c>
      <c r="E36" t="str">
        <v>ex. BHP / Lion</v>
      </c>
      <c r="F36" t="str">
        <v>m2</v>
      </c>
      <c r="G36">
        <f>M36*$K$31</f>
        <v>54486.857142857145</v>
      </c>
      <c r="H36">
        <f>549000/(2.1*5.4)</f>
        <v>48412.6984126984</v>
      </c>
      <c r="I36">
        <v>8</v>
      </c>
      <c r="J36">
        <v>150</v>
      </c>
      <c r="K36">
        <v>5.4</v>
      </c>
      <c r="L36">
        <v>2.1</v>
      </c>
      <c r="M36">
        <f>(0.006165*I36*I36)*(K36*ROUND(L36/(J36/1000)+1,0)+L36*ROUND(K36/(J36/1000),0))/(K36*L36)</f>
        <v>5.448685714285714</v>
      </c>
    </row>
    <row r="37">
      <c r="A37">
        <f>+A36+1</f>
        <v>25</v>
      </c>
      <c r="B37" t="str">
        <v>Wiremesh M-7</v>
      </c>
      <c r="E37" t="str">
        <v>ex. BHP / Lion</v>
      </c>
      <c r="F37" t="str">
        <v>m2</v>
      </c>
      <c r="G37">
        <f>M37*$K$31</f>
        <v>41716.5</v>
      </c>
      <c r="H37">
        <f>419000/(2.1*5.4)</f>
        <v>36948.853615520275</v>
      </c>
      <c r="I37">
        <v>7</v>
      </c>
      <c r="J37">
        <v>150</v>
      </c>
      <c r="K37">
        <v>5.4</v>
      </c>
      <c r="L37">
        <v>2.1</v>
      </c>
      <c r="M37">
        <f>(0.006165*I37*I37)*(K37*ROUND(L37/(J37/1000)+1,0)+L37*ROUND(K37/(J37/1000),0))/(K37*L37)</f>
        <v>4.17165</v>
      </c>
    </row>
    <row r="38">
      <c r="A38">
        <f>+A37+1</f>
        <v>26</v>
      </c>
      <c r="B38" t="str">
        <v>Wiremesh M-5</v>
      </c>
      <c r="E38" t="str">
        <v>ex. BHP / Lion</v>
      </c>
      <c r="F38" t="str">
        <v>m2</v>
      </c>
      <c r="G38">
        <f>M38*$K$31</f>
        <v>30648.85714285715</v>
      </c>
      <c r="I38">
        <v>6</v>
      </c>
      <c r="J38">
        <v>150</v>
      </c>
      <c r="K38">
        <v>5.4</v>
      </c>
      <c r="L38">
        <v>2.1</v>
      </c>
      <c r="M38">
        <f>(0.006165*I38*I38)*(K38*ROUND(L38/(J38/1000)+1,0)+L38*ROUND(K38/(J38/1000),0))/(K38*L38)</f>
        <v>3.064885714285715</v>
      </c>
    </row>
    <row r="39">
      <c r="A39">
        <f>+A38+1</f>
        <v>27</v>
      </c>
      <c r="B39" t="str">
        <v>Kawat beton</v>
      </c>
      <c r="E39" t="str">
        <v>ex : lokal</v>
      </c>
      <c r="F39" t="str">
        <v>kg</v>
      </c>
      <c r="G39">
        <v>17500</v>
      </c>
    </row>
    <row r="41">
      <c r="B41" t="str">
        <v>Profil baja standar</v>
      </c>
      <c r="F41" t="str">
        <v>kg</v>
      </c>
      <c r="G41">
        <v>30000</v>
      </c>
    </row>
    <row r="42">
      <c r="B42" t="str">
        <v>Profil baja besar</v>
      </c>
      <c r="F42" t="str">
        <v>kg</v>
      </c>
      <c r="G42">
        <v>32500</v>
      </c>
    </row>
    <row r="43">
      <c r="B43" t="str">
        <v>Profil baja khusus (misal: gording)</v>
      </c>
      <c r="F43" t="str">
        <v>kg</v>
      </c>
      <c r="G43">
        <v>27500</v>
      </c>
    </row>
    <row r="44">
      <c r="B44" t="str">
        <v>Lisplank baja PL8 tinggi 350 mm</v>
      </c>
      <c r="F44" t="str">
        <v>m'</v>
      </c>
      <c r="G44">
        <v>2150000</v>
      </c>
    </row>
    <row r="45">
      <c r="B45" t="str">
        <v>Lisplank baja PL8 tinggi 260 mm</v>
      </c>
      <c r="F45" t="str">
        <v>m'</v>
      </c>
      <c r="G45">
        <v>1850000</v>
      </c>
    </row>
    <row r="46">
      <c r="B46" t="str">
        <v>Plat baja</v>
      </c>
      <c r="F46" t="str">
        <v>kg</v>
      </c>
      <c r="G46">
        <v>30000</v>
      </c>
    </row>
    <row r="47">
      <c r="B47" t="str">
        <v>Sagrod / trekstang</v>
      </c>
      <c r="F47" t="str">
        <v>kg</v>
      </c>
      <c r="G47">
        <v>12500</v>
      </c>
    </row>
    <row r="48">
      <c r="B48" t="str">
        <v>Ikatan angin</v>
      </c>
      <c r="F48" t="str">
        <v>kg</v>
      </c>
      <c r="G48">
        <v>12500</v>
      </c>
    </row>
    <row r="50">
      <c r="B50" t="str">
        <v>Bekisting bondek / smartdeck 0.75 mm TCT</v>
      </c>
      <c r="F50" t="str">
        <v>m2</v>
      </c>
      <c r="G50">
        <v>150000</v>
      </c>
    </row>
    <row r="51">
      <c r="B51" t="str">
        <v>Bekisting kolom praktis (simplified)</v>
      </c>
      <c r="F51" t="str">
        <v>m2</v>
      </c>
      <c r="G51">
        <v>40000</v>
      </c>
    </row>
    <row r="52">
      <c r="A52">
        <f>+A39+1</f>
        <v>28</v>
      </c>
      <c r="B52" t="str">
        <v>Kayu balok</v>
      </c>
      <c r="E52" t="str">
        <v>Meranti campur</v>
      </c>
      <c r="F52" t="str">
        <v>m3</v>
      </c>
      <c r="G52">
        <v>4200000</v>
      </c>
    </row>
    <row r="53">
      <c r="A53">
        <f>+A52+1</f>
        <v>29</v>
      </c>
      <c r="B53" t="str">
        <v>Kayu usuk 5/7</v>
      </c>
      <c r="F53" t="str">
        <v>pcs</v>
      </c>
      <c r="G53">
        <f>50*70*4000/1000000000*G52</f>
        <v>58800</v>
      </c>
    </row>
    <row r="54">
      <c r="B54" t="str">
        <v>Kayu usuk 4/6</v>
      </c>
      <c r="F54" t="str">
        <v>pcs</v>
      </c>
      <c r="G54">
        <f>40*60*4000/1000000000*G52</f>
        <v>40320</v>
      </c>
    </row>
    <row r="55">
      <c r="B55" t="str">
        <v>Papan 2/20</v>
      </c>
      <c r="F55" t="str">
        <v>lbr</v>
      </c>
      <c r="G55">
        <v>44800</v>
      </c>
    </row>
    <row r="56">
      <c r="A56">
        <f>+A58+1</f>
        <v>1</v>
      </c>
      <c r="B56" t="str">
        <v>Multipleks t= 9 mm (4'x8')</v>
      </c>
      <c r="F56" t="str">
        <v>lbr</v>
      </c>
      <c r="G56">
        <v>115000</v>
      </c>
    </row>
    <row r="58">
      <c r="B58" t="str">
        <v>Multipleks t = 9 mm</v>
      </c>
      <c r="E58" t="str">
        <v>Meranti full</v>
      </c>
      <c r="F58" t="str">
        <v>lbr</v>
      </c>
      <c r="G58">
        <v>175000</v>
      </c>
    </row>
    <row r="59">
      <c r="B59" t="str">
        <v>Multipleks t = 12 mm</v>
      </c>
      <c r="E59" t="str">
        <v>Meranti full</v>
      </c>
      <c r="F59" t="str">
        <v>lbr</v>
      </c>
      <c r="G59">
        <v>200000</v>
      </c>
    </row>
    <row r="60">
      <c r="B60" t="str">
        <v>Multipleks t = 15 mm</v>
      </c>
      <c r="E60" t="str">
        <v>Meranti full</v>
      </c>
      <c r="F60" t="str">
        <v>lbr</v>
      </c>
      <c r="G60">
        <v>285000</v>
      </c>
    </row>
    <row r="61">
      <c r="B61" t="str">
        <v>Multipleks t = 18 mm</v>
      </c>
      <c r="E61" t="str">
        <v>Meranti full</v>
      </c>
      <c r="F61" t="str">
        <v>lbr</v>
      </c>
      <c r="G61">
        <v>400000</v>
      </c>
    </row>
    <row r="63">
      <c r="B63" t="str">
        <v>Multipleks t = 9 mm</v>
      </c>
      <c r="E63" t="str">
        <v>Meranti campur</v>
      </c>
      <c r="F63" t="str">
        <v>lbr</v>
      </c>
      <c r="G63">
        <v>105000</v>
      </c>
    </row>
    <row r="64">
      <c r="B64" t="str">
        <v>Multipleks t = 12 mm</v>
      </c>
      <c r="E64" t="str">
        <v>Meranti campur</v>
      </c>
      <c r="F64" t="str">
        <v>lbr</v>
      </c>
      <c r="G64">
        <v>170000</v>
      </c>
      <c r="H64">
        <v>162500</v>
      </c>
      <c r="I64" t="str">
        <v>harga update 25 November 2025</v>
      </c>
    </row>
    <row r="65">
      <c r="B65" t="str">
        <v>Multipleks t = 15 mm</v>
      </c>
      <c r="E65" t="str">
        <v>Meranti campur</v>
      </c>
      <c r="F65" t="str">
        <v>lbr</v>
      </c>
      <c r="G65">
        <v>200000</v>
      </c>
      <c r="H65">
        <v>197500</v>
      </c>
      <c r="I65" t="str">
        <v>harga update 25 November 2025</v>
      </c>
    </row>
    <row r="66">
      <c r="B66" t="str">
        <v>Multipleks t = 18 mm</v>
      </c>
      <c r="E66" t="str">
        <v>Meranti campur</v>
      </c>
      <c r="F66" t="str">
        <v>lbr</v>
      </c>
      <c r="G66">
        <v>232500</v>
      </c>
    </row>
    <row r="68">
      <c r="B68" t="str">
        <v>Multipleks phenol film t = 12 mm</v>
      </c>
      <c r="E68" t="str">
        <v>Meranti campur</v>
      </c>
      <c r="F68" t="str">
        <v>lbr</v>
      </c>
      <c r="G68">
        <v>215000</v>
      </c>
    </row>
    <row r="69">
      <c r="B69" t="str">
        <v>Multipleks phenol film t = 15 mm</v>
      </c>
      <c r="E69" t="str">
        <v>Meranti campur</v>
      </c>
      <c r="F69" t="str">
        <v>lbr</v>
      </c>
      <c r="G69">
        <v>280000</v>
      </c>
      <c r="H69">
        <v>275000</v>
      </c>
      <c r="I69" t="str">
        <v>harga update 5 april 2023</v>
      </c>
    </row>
    <row r="70">
      <c r="B70" t="str">
        <v>Multipleks phenol film t = 18 mm</v>
      </c>
      <c r="E70" t="str">
        <v>Meranti campur</v>
      </c>
      <c r="F70" t="str">
        <v>lbr</v>
      </c>
      <c r="G70">
        <v>280000</v>
      </c>
    </row>
    <row r="72">
      <c r="A72">
        <f>+A59+1</f>
        <v>1</v>
      </c>
      <c r="B72" t="str">
        <v>Phenol Film t= 12 mm (4'x8')</v>
      </c>
      <c r="E72" t="str">
        <v>ex : lokal full meranti</v>
      </c>
      <c r="F72" t="str">
        <v>lbr</v>
      </c>
    </row>
    <row r="73">
      <c r="A73">
        <f>+A72+1</f>
        <v>2</v>
      </c>
      <c r="B73" t="str">
        <v>Phenol Film t= 15 mm (4'x8')</v>
      </c>
      <c r="E73" t="str">
        <v>ex : lokal full meranti</v>
      </c>
      <c r="F73" t="str">
        <v>lbr</v>
      </c>
    </row>
    <row r="74">
      <c r="A74">
        <f>+A73+1</f>
        <v>3</v>
      </c>
      <c r="B74" t="str">
        <v>Paku</v>
      </c>
      <c r="E74" t="str">
        <v>ex : lokal</v>
      </c>
      <c r="F74" t="str">
        <v>kg</v>
      </c>
      <c r="G74">
        <v>13000</v>
      </c>
    </row>
    <row r="75">
      <c r="A75">
        <f>+A74+1</f>
        <v>4</v>
      </c>
      <c r="B75" t="str">
        <v>Kawat ayam</v>
      </c>
      <c r="E75" t="str">
        <v>ex : lokal</v>
      </c>
      <c r="F75" t="str">
        <v>m2</v>
      </c>
      <c r="G75">
        <v>15000</v>
      </c>
    </row>
    <row r="76">
      <c r="B76" t="str">
        <v>Bata merah</v>
      </c>
      <c r="E76" t="str">
        <v>biasa (poklu)</v>
      </c>
      <c r="F76" t="str">
        <v>bh</v>
      </c>
      <c r="G76">
        <v>750</v>
      </c>
    </row>
    <row r="77">
      <c r="A77">
        <f>+A75+1</f>
        <v>5</v>
      </c>
      <c r="B77" t="str">
        <v>Bata merah</v>
      </c>
      <c r="E77" t="str">
        <v>press (MRH)</v>
      </c>
      <c r="F77" t="str">
        <v>bh</v>
      </c>
      <c r="G77">
        <v>750</v>
      </c>
    </row>
    <row r="78">
      <c r="B78" t="str">
        <v>Bata ringan</v>
      </c>
      <c r="F78" t="str">
        <v>m3</v>
      </c>
      <c r="G78">
        <v>680000</v>
      </c>
    </row>
    <row r="79">
      <c r="A79">
        <f>+A77+1</f>
        <v>6</v>
      </c>
      <c r="B79" t="str">
        <v>Perekat bata ringan</v>
      </c>
      <c r="E79" t="str">
        <v>ex : MU-382</v>
      </c>
      <c r="F79" t="str">
        <v>kg</v>
      </c>
      <c r="G79">
        <v>1400</v>
      </c>
    </row>
    <row r="80">
      <c r="A80">
        <f>+A79+1</f>
        <v>7</v>
      </c>
      <c r="B80" t="str">
        <v>Plesteran mortar instan</v>
      </c>
      <c r="E80" t="str">
        <v>ex : MU-302</v>
      </c>
      <c r="F80" t="str">
        <v>kg</v>
      </c>
      <c r="G80">
        <v>800</v>
      </c>
      <c r="I80" t="str">
        <v>disc max</v>
      </c>
      <c r="J80">
        <v>0.15</v>
      </c>
      <c r="K80">
        <v>0.03</v>
      </c>
      <c r="L80">
        <v>0.025</v>
      </c>
      <c r="M80" t="str">
        <v>=</v>
      </c>
      <c r="N80">
        <f>(1-J80)*(1-K80)*(1-L80)</f>
        <v>0.8038875</v>
      </c>
    </row>
    <row r="81">
      <c r="A81">
        <f>+A80+1</f>
        <v>8</v>
      </c>
      <c r="B81" t="str">
        <v>Acian mortar instan</v>
      </c>
      <c r="E81" t="str">
        <v>ex : MU-202 / setara</v>
      </c>
      <c r="F81" t="str">
        <v>kg</v>
      </c>
      <c r="G81">
        <v>1600</v>
      </c>
      <c r="I81" t="str">
        <v>disc pakai</v>
      </c>
      <c r="J81">
        <v>0.15</v>
      </c>
      <c r="M81" t="str">
        <v>=</v>
      </c>
      <c r="N81">
        <f>(1-J81)*(1-K81)*(1-L81)</f>
        <v>0.85</v>
      </c>
    </row>
    <row r="82">
      <c r="J82" t="str">
        <v>hrg dasar</v>
      </c>
    </row>
    <row r="83">
      <c r="B83" t="str">
        <v>Pipa PVC 8"</v>
      </c>
      <c r="E83" t="str">
        <v>Rucika - Wavin</v>
      </c>
      <c r="F83" t="str">
        <v>btg</v>
      </c>
      <c r="G83">
        <f>J83*$N$81</f>
        <v>1883515</v>
      </c>
      <c r="H83" t="str">
        <v>spec JIS</v>
      </c>
      <c r="J83">
        <v>2215900</v>
      </c>
    </row>
    <row r="84">
      <c r="B84" t="str">
        <v>Pipa PVC 6"</v>
      </c>
      <c r="E84" t="str">
        <v>Rucika - Wavin</v>
      </c>
      <c r="F84" t="str">
        <v>btg</v>
      </c>
      <c r="G84">
        <f>J84*$N$81</f>
        <v>1245335</v>
      </c>
      <c r="H84" t="str">
        <v>spec JIS</v>
      </c>
      <c r="J84">
        <v>1465100</v>
      </c>
    </row>
    <row r="85">
      <c r="B85" t="str">
        <v>Pipa PVC 5"</v>
      </c>
      <c r="E85" t="str">
        <v>Rucika - Wavin</v>
      </c>
      <c r="F85" t="str">
        <v>btg</v>
      </c>
      <c r="G85">
        <f>J85*$N$81</f>
        <v>829600</v>
      </c>
      <c r="H85" t="str">
        <v>spec JIS</v>
      </c>
      <c r="J85">
        <v>976000</v>
      </c>
    </row>
    <row r="86">
      <c r="B86" t="str">
        <v>Pipa PVC 4"</v>
      </c>
      <c r="E86" t="str">
        <v>Rucika - Wavin</v>
      </c>
      <c r="F86" t="str">
        <v>btg</v>
      </c>
      <c r="G86">
        <f>J86*$N$81</f>
        <v>662745</v>
      </c>
      <c r="H86" t="str">
        <v>spec JIS</v>
      </c>
      <c r="J86">
        <v>779700</v>
      </c>
    </row>
    <row r="87">
      <c r="B87" t="str">
        <v>Pipa PVC 3"</v>
      </c>
      <c r="E87" t="str">
        <v>Rucika - Wavin</v>
      </c>
      <c r="F87" t="str">
        <v>btg</v>
      </c>
      <c r="G87">
        <f>J87*$N$81</f>
        <v>428910</v>
      </c>
      <c r="H87" t="str">
        <v>spec JIS</v>
      </c>
      <c r="J87">
        <v>504600</v>
      </c>
    </row>
    <row r="88">
      <c r="B88" t="str">
        <v>Pipa PVC 2,5"</v>
      </c>
      <c r="E88" t="str">
        <v>Rucika - Wavin</v>
      </c>
      <c r="F88" t="str">
        <v>btg</v>
      </c>
      <c r="G88">
        <f>J88*$N$81</f>
        <v>269280</v>
      </c>
      <c r="H88" t="str">
        <v>spec JIS</v>
      </c>
      <c r="J88">
        <v>316800</v>
      </c>
    </row>
    <row r="89">
      <c r="B89" t="str">
        <v>Pipa PVC 2"</v>
      </c>
      <c r="E89" t="str">
        <v>Rucika - Wavin</v>
      </c>
      <c r="F89" t="str">
        <v>btg</v>
      </c>
      <c r="G89">
        <f>J89*$N$81</f>
        <v>209355</v>
      </c>
      <c r="H89" t="str">
        <v>spec JIS</v>
      </c>
      <c r="J89">
        <v>246300</v>
      </c>
    </row>
    <row r="90">
      <c r="B90" t="str">
        <v>Pipa PVC 1,5"</v>
      </c>
      <c r="E90" t="str">
        <v>Rucika - Wavin</v>
      </c>
      <c r="F90" t="str">
        <v>btg</v>
      </c>
      <c r="G90">
        <f>J90*$N$81</f>
        <v>147475</v>
      </c>
      <c r="H90" t="str">
        <v>spec JIS</v>
      </c>
      <c r="J90">
        <v>173500</v>
      </c>
    </row>
    <row r="92">
      <c r="B92" t="str">
        <v>Roof drain 4"</v>
      </c>
      <c r="E92" t="str">
        <v>San-Ei</v>
      </c>
      <c r="F92" t="str">
        <v>pcs</v>
      </c>
      <c r="G92">
        <v>250000</v>
      </c>
      <c r="J92">
        <v>221250</v>
      </c>
    </row>
    <row r="93">
      <c r="B93" t="str">
        <v>Roof drain 3"</v>
      </c>
      <c r="E93" t="str">
        <v>San-Ei</v>
      </c>
      <c r="F93" t="str">
        <v>pcs</v>
      </c>
      <c r="G93">
        <v>225000</v>
      </c>
      <c r="J93">
        <v>206250</v>
      </c>
    </row>
    <row r="94">
      <c r="B94" t="str">
        <v>Roof drain 2"</v>
      </c>
      <c r="E94" t="str">
        <v>San-Ei</v>
      </c>
      <c r="F94" t="str">
        <v>pcs</v>
      </c>
      <c r="G94">
        <v>200000</v>
      </c>
      <c r="J94">
        <v>191250</v>
      </c>
    </row>
    <row r="96">
      <c r="B96" t="str">
        <v>Bioseptictank 0,5 m3</v>
      </c>
      <c r="E96" t="str">
        <v>Pancawira Perkasa</v>
      </c>
      <c r="F96" t="str">
        <v>unit</v>
      </c>
      <c r="G96">
        <f>1925000*1.11</f>
        <v>2136750</v>
      </c>
    </row>
    <row r="97">
      <c r="B97" t="str">
        <v>Bioseptictank 1 m3</v>
      </c>
      <c r="E97" t="str">
        <v>Pancawira Perkasa</v>
      </c>
      <c r="F97" t="str">
        <v>unit</v>
      </c>
      <c r="G97">
        <f>2805000*1.11</f>
        <v>3113550.0000000005</v>
      </c>
    </row>
    <row r="98">
      <c r="B98" t="str">
        <v>Bioseptictank 1,5 m3</v>
      </c>
      <c r="E98" t="str">
        <v>Pancawira Perkasa</v>
      </c>
      <c r="F98" t="str">
        <v>unit</v>
      </c>
      <c r="G98">
        <f>4510000*1.11</f>
        <v>5006100</v>
      </c>
    </row>
    <row r="99">
      <c r="B99" t="str">
        <v>Bioseptictank 2 m3</v>
      </c>
      <c r="E99" t="str">
        <v>Pancawira Perkasa</v>
      </c>
      <c r="F99" t="str">
        <v>unit</v>
      </c>
      <c r="G99">
        <f>6270000*1.11</f>
        <v>6959700.000000001</v>
      </c>
    </row>
  </sheetData>
  <mergeCells count="50">
    <mergeCell ref="F5:F6"/>
    <mergeCell ref="B8:D8"/>
    <mergeCell ref="B10:D10"/>
    <mergeCell ref="B22:D22"/>
    <mergeCell ref="B23:D23"/>
    <mergeCell ref="B24:D24"/>
    <mergeCell ref="B25:D25"/>
    <mergeCell ref="A5:A6"/>
    <mergeCell ref="B5:D6"/>
    <mergeCell ref="B17:D17"/>
    <mergeCell ref="B13:D13"/>
    <mergeCell ref="B36:D36"/>
    <mergeCell ref="B37:D37"/>
    <mergeCell ref="B38:D38"/>
    <mergeCell ref="B39:D39"/>
    <mergeCell ref="E5:E6"/>
    <mergeCell ref="B18:D18"/>
    <mergeCell ref="B19:D19"/>
    <mergeCell ref="B35:D35"/>
    <mergeCell ref="B26:D26"/>
    <mergeCell ref="B27:D27"/>
    <mergeCell ref="B11:D11"/>
    <mergeCell ref="B28:D28"/>
    <mergeCell ref="B29:D29"/>
    <mergeCell ref="B12:D12"/>
    <mergeCell ref="B20:D20"/>
    <mergeCell ref="B14:D14"/>
    <mergeCell ref="B52:D52"/>
    <mergeCell ref="B104:D104"/>
    <mergeCell ref="B76:D76"/>
    <mergeCell ref="B9:D9"/>
    <mergeCell ref="B103:D103"/>
    <mergeCell ref="B72:D72"/>
    <mergeCell ref="B73:D73"/>
    <mergeCell ref="B74:D74"/>
    <mergeCell ref="B75:D75"/>
    <mergeCell ref="B77:D77"/>
    <mergeCell ref="B30:D30"/>
    <mergeCell ref="B31:D31"/>
    <mergeCell ref="B32:D32"/>
    <mergeCell ref="B33:D33"/>
    <mergeCell ref="B34:D34"/>
    <mergeCell ref="B55:D55"/>
    <mergeCell ref="B79:D79"/>
    <mergeCell ref="B80:D80"/>
    <mergeCell ref="B78:D78"/>
    <mergeCell ref="B53:D53"/>
    <mergeCell ref="B81:D81"/>
    <mergeCell ref="B56:D56"/>
    <mergeCell ref="B54:D54"/>
  </mergeCells>
  <pageMargins left="0.7" right="0.7" top="0.75" bottom="0.75" header="0.3" footer="0.3"/>
  <ignoredErrors>
    <ignoredError numberStoredAsText="1" sqref="A1:P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97"/>
  <sheetViews>
    <sheetView workbookViewId="0" rightToLeft="0"/>
  </sheetViews>
  <sheetData>
    <row r="1">
      <c r="D1" t="str">
        <v>KAIT TULANGAN UTAMA</v>
      </c>
      <c r="E1" t="str">
        <v>=</v>
      </c>
      <c r="F1">
        <v>12</v>
      </c>
      <c r="G1" t="str">
        <v>D</v>
      </c>
    </row>
    <row r="2">
      <c r="D2" t="str">
        <v>BALOK BORDES 200/400</v>
      </c>
      <c r="E2" t="str">
        <v>DIAMETER</v>
      </c>
      <c r="F2" t="str">
        <v>PANJANG (m)</v>
      </c>
      <c r="G2" t="str">
        <v>PENJANGKARAN</v>
      </c>
      <c r="H2" t="str">
        <v>TOTAL</v>
      </c>
      <c r="I2" t="str">
        <v>BERAT</v>
      </c>
      <c r="J2" t="str">
        <v>JUMLAH</v>
      </c>
      <c r="K2" t="str">
        <v>BERAT</v>
      </c>
    </row>
    <row r="3">
      <c r="D3" t="str">
        <v>TUL ATAS</v>
      </c>
      <c r="E3">
        <v>13</v>
      </c>
      <c r="F3">
        <f>7540/2/1000</f>
        <v>3.77</v>
      </c>
      <c r="G3">
        <f>2*$F$1*E3/1000</f>
        <v>0.312</v>
      </c>
      <c r="H3">
        <f>F3+G3</f>
        <v>4.082</v>
      </c>
      <c r="I3">
        <f>0.006165*E3^2*F3</f>
        <v>3.92790645</v>
      </c>
      <c r="J3">
        <v>3</v>
      </c>
      <c r="K3">
        <f>J3*I3*G3</f>
        <v>3.6765204372</v>
      </c>
    </row>
    <row r="4">
      <c r="D4" t="str">
        <v>TUL PEMINGGANG</v>
      </c>
      <c r="E4">
        <v>0</v>
      </c>
      <c r="F4">
        <v>0</v>
      </c>
      <c r="G4">
        <f>2*$F$1*E4/1000</f>
        <v>0</v>
      </c>
      <c r="H4">
        <f>F4+G4</f>
        <v>0</v>
      </c>
      <c r="I4">
        <f>0.006165*E4^2</f>
        <v>0</v>
      </c>
      <c r="J4">
        <v>0</v>
      </c>
      <c r="K4">
        <f>J4*I4*G4</f>
        <v>0</v>
      </c>
    </row>
    <row r="5">
      <c r="D5" t="str">
        <v>TUL BAWAH</v>
      </c>
      <c r="E5">
        <v>13</v>
      </c>
      <c r="F5">
        <f>7540/2/1000</f>
        <v>3.77</v>
      </c>
      <c r="G5">
        <f>2*$F$1*E5/1000</f>
        <v>0.312</v>
      </c>
      <c r="H5">
        <f>F5+G5</f>
        <v>4.082</v>
      </c>
      <c r="I5">
        <f>0.006165*E5^2*F5</f>
        <v>3.92790645</v>
      </c>
      <c r="J5">
        <v>3</v>
      </c>
      <c r="K5">
        <f>J5*I5*G5</f>
        <v>3.6765204372</v>
      </c>
    </row>
    <row r="6">
      <c r="D6" t="str">
        <v>SENGKANG</v>
      </c>
      <c r="E6">
        <v>10</v>
      </c>
      <c r="F6">
        <f>(2*(400+200)-40*4)/1000</f>
        <v>1.04</v>
      </c>
      <c r="G6">
        <f>MAX(6*E6,75)/1000</f>
        <v>0.075</v>
      </c>
      <c r="H6">
        <f>F6+G6</f>
        <v>1.115</v>
      </c>
      <c r="I6">
        <f>0.006165*E6^2</f>
        <v>0.6165</v>
      </c>
      <c r="J6">
        <f>ROUNDUP(2100/150,0)</f>
        <v>14</v>
      </c>
      <c r="K6">
        <f>J6*I6*G6</f>
        <v>0.647325</v>
      </c>
    </row>
    <row r="7">
      <c r="J7" t="str">
        <v>BERAT TOTAL</v>
      </c>
      <c r="K7">
        <f>SUM(K3:K6)</f>
        <v>8.0003658744</v>
      </c>
    </row>
    <row r="10">
      <c r="A10" t="str">
        <v>Tangga carport</v>
      </c>
      <c r="B10" t="str">
        <v>LUAS (m2)</v>
      </c>
      <c r="C10" t="str">
        <v>LEBAR (m)</v>
      </c>
      <c r="D10" t="str">
        <v>VOL.BETON (m3)</v>
      </c>
      <c r="E10" t="str">
        <v>BERAT BESI (KG)</v>
      </c>
      <c r="F10" t="str">
        <v>Bekisting m2</v>
      </c>
      <c r="G10" t="str">
        <v>ARAH Y</v>
      </c>
      <c r="L10" t="str">
        <v>ARAH X</v>
      </c>
    </row>
    <row r="11">
      <c r="G11" t="str">
        <v>PANJANG</v>
      </c>
      <c r="H11" t="str">
        <v>TULANGAN</v>
      </c>
      <c r="I11" t="str">
        <v>JUMLAH</v>
      </c>
      <c r="J11" t="str">
        <v>BERAT/PCS</v>
      </c>
      <c r="K11" t="str">
        <v>BERAT TOTAL</v>
      </c>
      <c r="L11" t="str">
        <v>PANJANG</v>
      </c>
      <c r="M11" t="str">
        <v>PENJANGKARAN</v>
      </c>
      <c r="N11" t="str">
        <v>TOTAL</v>
      </c>
      <c r="O11" t="str">
        <v>TULANGAN</v>
      </c>
      <c r="P11" t="str">
        <v>JUMLAH</v>
      </c>
      <c r="Q11" t="str">
        <v>BERAT/PCS</v>
      </c>
      <c r="R11" t="str">
        <v>BERAT TOTAL</v>
      </c>
    </row>
    <row r="12">
      <c r="A12" t="str">
        <v>TANGGA</v>
      </c>
      <c r="B12">
        <f>41.2407688232/5^2</f>
        <v>1.649630752928</v>
      </c>
      <c r="C12">
        <v>2.1</v>
      </c>
      <c r="D12">
        <f>B12*C12</f>
        <v>3.4642245811488004</v>
      </c>
      <c r="E12">
        <f>(SUM(K12:K13)+SUM(R12:R13))</f>
        <v>323.84167956</v>
      </c>
      <c r="F12">
        <f>P13*(145+350)/5/1000*C12+2*B12+38.043/5*C12</f>
        <v>23.435321505856002</v>
      </c>
      <c r="G12">
        <f>(6.669+52.895+45.379+15.36)/5</f>
        <v>24.0606</v>
      </c>
      <c r="H12">
        <v>10</v>
      </c>
      <c r="I12">
        <f>ROUNDUP(2100/150,0)</f>
        <v>14</v>
      </c>
      <c r="J12">
        <f>0.006165*H12^2</f>
        <v>0.6165</v>
      </c>
      <c r="K12">
        <f>J12*I12*G12</f>
        <v>207.6670386</v>
      </c>
      <c r="L12">
        <f>(2100-2*40)/1000/5</f>
        <v>0.404</v>
      </c>
      <c r="M12">
        <f>2*$F$1*O12/1000</f>
        <v>0.24</v>
      </c>
      <c r="N12">
        <f>L12+M12</f>
        <v>0.644</v>
      </c>
      <c r="O12">
        <v>10</v>
      </c>
      <c r="P12">
        <v>100</v>
      </c>
      <c r="Q12">
        <f>0.006165*O12^2</f>
        <v>0.6165</v>
      </c>
      <c r="R12">
        <f>N12*Q12*P12</f>
        <v>39.702600000000004</v>
      </c>
    </row>
    <row r="13">
      <c r="G13">
        <f>4.134*P13/5</f>
        <v>16.536</v>
      </c>
      <c r="H13">
        <v>8</v>
      </c>
      <c r="I13">
        <f>ROUNDUP(2100/200,0)</f>
        <v>11</v>
      </c>
      <c r="J13">
        <f>0.006165*H13^2</f>
        <v>0.39456</v>
      </c>
      <c r="K13">
        <f>J13*I13*G13</f>
        <v>71.76888576</v>
      </c>
      <c r="L13">
        <f>(2100-2*40)/1000/5</f>
        <v>0.404</v>
      </c>
      <c r="M13">
        <f>2*$F$1*O13/1000</f>
        <v>0.192</v>
      </c>
      <c r="N13">
        <f>L13+M13</f>
        <v>0.5960000000000001</v>
      </c>
      <c r="O13">
        <v>8</v>
      </c>
      <c r="P13">
        <v>20</v>
      </c>
      <c r="Q13">
        <f>0.006165*O13^2</f>
        <v>0.39456</v>
      </c>
      <c r="R13">
        <f>N13*Q13*P13</f>
        <v>4.703155200000001</v>
      </c>
    </row>
    <row r="14">
      <c r="A14" t="str">
        <v>BORDES</v>
      </c>
      <c r="B14">
        <f>30.386567/2^2</f>
        <v>7.59664175</v>
      </c>
      <c r="C14">
        <v>0.15</v>
      </c>
      <c r="D14">
        <f>B14*C14</f>
        <v>1.1394962625</v>
      </c>
      <c r="E14">
        <f>(SUM(K14:K14)+SUM(R14:R14))</f>
        <v>41.57676000000001</v>
      </c>
      <c r="F14">
        <f>6.909*C14+B14</f>
        <v>8.63299175</v>
      </c>
      <c r="G14">
        <f>(2.4*3/4)/2</f>
        <v>0.8999999999999999</v>
      </c>
      <c r="H14">
        <v>10</v>
      </c>
      <c r="I14">
        <f>ROUNDUP(2400/150,0)</f>
        <v>16</v>
      </c>
      <c r="J14">
        <f>0.006165*H14^2</f>
        <v>0.6165</v>
      </c>
      <c r="K14">
        <f>J14*I14*G14</f>
        <v>8.8776</v>
      </c>
      <c r="L14">
        <f>(4.8*3/4)/2</f>
        <v>1.7999999999999998</v>
      </c>
      <c r="M14">
        <f>2*$F$1*O14/1000</f>
        <v>0.24</v>
      </c>
      <c r="N14">
        <f>L14+M14</f>
        <v>2.04</v>
      </c>
      <c r="O14">
        <v>10</v>
      </c>
      <c r="P14">
        <v>26</v>
      </c>
      <c r="Q14">
        <f>0.006165*O14^2</f>
        <v>0.6165</v>
      </c>
      <c r="R14">
        <f>N14*Q14*P14</f>
        <v>32.699160000000006</v>
      </c>
    </row>
    <row r="15">
      <c r="A15" t="str">
        <v>BALOK BORDES 200/400</v>
      </c>
      <c r="B15">
        <f>400*200/1000000</f>
        <v>0.08</v>
      </c>
      <c r="C15">
        <f>7540/2/1000</f>
        <v>3.77</v>
      </c>
      <c r="D15">
        <f>B15*C15</f>
        <v>0.30160000000000003</v>
      </c>
      <c r="E15">
        <f>K7</f>
        <v>8.0003658744</v>
      </c>
      <c r="F15">
        <f>0.4*0.2*2+(0.4+0.2)*7.537+0.25*6.909</f>
        <v>6.4094500000000005</v>
      </c>
    </row>
    <row r="17">
      <c r="C17" t="str">
        <v>total</v>
      </c>
      <c r="D17">
        <f>SUM(D12:D15)</f>
        <v>4.9053208436488</v>
      </c>
      <c r="E17">
        <f>SUM(E12:E15)</f>
        <v>373.41880543440004</v>
      </c>
      <c r="F17">
        <f>SUM(F12:F16)</f>
        <v>38.477763255856004</v>
      </c>
    </row>
    <row r="20">
      <c r="D20" t="str">
        <v>BALOK BORDES 200/450</v>
      </c>
      <c r="E20" t="str">
        <v>DIAMETER</v>
      </c>
      <c r="G20" t="str">
        <v>PANJANG (m)</v>
      </c>
      <c r="H20" t="str">
        <v>PENJANGKARAN</v>
      </c>
      <c r="I20" t="str">
        <v>TOTAL</v>
      </c>
      <c r="J20" t="str">
        <v>BERAT</v>
      </c>
      <c r="K20" t="str">
        <v>JUMLAH</v>
      </c>
      <c r="L20" t="str">
        <v>BERAT</v>
      </c>
    </row>
    <row r="21">
      <c r="D21" t="str">
        <v>TUL ATAS</v>
      </c>
      <c r="E21">
        <v>13</v>
      </c>
      <c r="G21">
        <f>1650/1000</f>
        <v>1.65</v>
      </c>
      <c r="H21">
        <f>2*$F$1*E21/1000</f>
        <v>0.312</v>
      </c>
      <c r="I21">
        <f>G21+H21</f>
        <v>1.962</v>
      </c>
      <c r="J21">
        <f>0.006165*E21^2*G21</f>
        <v>1.7191102499999997</v>
      </c>
      <c r="K21">
        <v>5</v>
      </c>
      <c r="L21">
        <f>K21*J21*H21</f>
        <v>2.6818119899999995</v>
      </c>
    </row>
    <row r="22">
      <c r="D22" t="str">
        <v>TUL PEMINGGANG</v>
      </c>
      <c r="E22">
        <v>8</v>
      </c>
      <c r="G22">
        <f>1650/1000</f>
        <v>1.65</v>
      </c>
      <c r="H22">
        <f>2*$F$1*E22/1000</f>
        <v>0.192</v>
      </c>
      <c r="I22">
        <f>G22+H22</f>
        <v>1.8419999999999999</v>
      </c>
      <c r="J22">
        <f>0.006165*E22^2*G22</f>
        <v>0.651024</v>
      </c>
      <c r="K22">
        <v>2</v>
      </c>
      <c r="L22">
        <f>K22*J22*H22</f>
        <v>0.24999321600000002</v>
      </c>
    </row>
    <row r="23">
      <c r="D23" t="str">
        <v>TUL BAWAH</v>
      </c>
      <c r="E23">
        <v>13</v>
      </c>
      <c r="G23">
        <f>1650/1000</f>
        <v>1.65</v>
      </c>
      <c r="H23">
        <f>2*$F$1*E23/1000</f>
        <v>0.312</v>
      </c>
      <c r="I23">
        <f>G23+H23</f>
        <v>1.962</v>
      </c>
      <c r="J23">
        <f>0.006165*E23^2*G23</f>
        <v>1.7191102499999997</v>
      </c>
      <c r="K23">
        <v>4</v>
      </c>
      <c r="L23">
        <f>K23*J23*H23</f>
        <v>2.145449592</v>
      </c>
    </row>
    <row r="24">
      <c r="D24" t="str">
        <v>SENGKANG</v>
      </c>
      <c r="E24">
        <v>10</v>
      </c>
      <c r="G24">
        <f>(2*(450+200)-40*4)/1000</f>
        <v>1.14</v>
      </c>
      <c r="H24">
        <f>MAX(6*E24,75)/1000</f>
        <v>0.075</v>
      </c>
      <c r="I24">
        <f>G24+H24</f>
        <v>1.2149999999999999</v>
      </c>
      <c r="J24">
        <f>0.006165*E24^2*G24</f>
        <v>0.70281</v>
      </c>
      <c r="K24">
        <f>ROUNDUP(1650/100,0)</f>
        <v>17</v>
      </c>
      <c r="L24">
        <f>K24*J24*H24</f>
        <v>0.89608275</v>
      </c>
    </row>
    <row r="25">
      <c r="K25" t="str">
        <v>BERAT TOTAL</v>
      </c>
      <c r="L25">
        <f>SUM(L21:L24)</f>
        <v>5.973337547999999</v>
      </c>
    </row>
    <row r="27">
      <c r="A27" t="str">
        <v>Tangga utama</v>
      </c>
      <c r="B27" t="str">
        <v>LUAS</v>
      </c>
      <c r="C27" t="str">
        <v>LEBAR</v>
      </c>
      <c r="D27" t="str">
        <v>VOL.BETON</v>
      </c>
      <c r="E27" t="str">
        <v>BERAT BESI (KG)</v>
      </c>
      <c r="F27" t="str">
        <v>Bekisting</v>
      </c>
      <c r="G27" t="str">
        <v>ARAH Y</v>
      </c>
      <c r="L27" t="str">
        <v>ARAH X</v>
      </c>
    </row>
    <row r="28">
      <c r="G28" t="str">
        <v>PANJANG</v>
      </c>
      <c r="H28" t="str">
        <v>TULANGAN</v>
      </c>
      <c r="I28" t="str">
        <v>JUMLAH</v>
      </c>
      <c r="J28" t="str">
        <v>BERAT/PCS</v>
      </c>
      <c r="K28" t="str">
        <v>BERAT TOTAL</v>
      </c>
      <c r="L28" t="str">
        <v>PANJANG</v>
      </c>
      <c r="M28" t="str">
        <v>PENJANGKARAN</v>
      </c>
      <c r="N28" t="str">
        <v>TOTAL</v>
      </c>
      <c r="O28" t="str">
        <v>TULANGAN</v>
      </c>
      <c r="P28" t="str">
        <v>JUMLAH</v>
      </c>
      <c r="Q28" t="str">
        <v>BERAT/PCS</v>
      </c>
      <c r="R28" t="str">
        <v>BERAT TOTAL</v>
      </c>
    </row>
    <row r="29">
      <c r="A29" t="str">
        <v>Pot 3a</v>
      </c>
      <c r="B29">
        <f>26.855736/5^2</f>
        <v>1.07422944</v>
      </c>
      <c r="C29">
        <v>1.65</v>
      </c>
      <c r="D29">
        <f>B29*C29</f>
        <v>1.7724785760000001</v>
      </c>
      <c r="E29">
        <f>(SUM(K29:K30)+SUM(R29:R30))</f>
        <v>299.212322076</v>
      </c>
      <c r="G29">
        <f>(33.214+8.717+32.044+7.629)/5</f>
        <v>16.3208</v>
      </c>
      <c r="H29">
        <v>13</v>
      </c>
      <c r="I29">
        <f>ROUNDUP(1650/150,0)</f>
        <v>11</v>
      </c>
      <c r="J29">
        <f>0.006165*H29^2</f>
        <v>1.041885</v>
      </c>
      <c r="K29">
        <f>J29*I29*G29</f>
        <v>187.048363788</v>
      </c>
      <c r="L29">
        <f>(1650-2*40)/1000</f>
        <v>1.57</v>
      </c>
      <c r="M29">
        <f>2*$F$1*O29/1000</f>
        <v>0.24</v>
      </c>
      <c r="N29">
        <f>L29+M29</f>
        <v>1.81</v>
      </c>
      <c r="O29">
        <v>10</v>
      </c>
      <c r="P29">
        <v>58</v>
      </c>
      <c r="Q29">
        <f>0.006165*O29^2</f>
        <v>0.6165</v>
      </c>
      <c r="R29">
        <f>N29*Q29*P29</f>
        <v>64.72017000000001</v>
      </c>
    </row>
    <row r="30">
      <c r="G30">
        <f>4.588*P30/5</f>
        <v>11.011199999999999</v>
      </c>
      <c r="H30">
        <v>8</v>
      </c>
      <c r="I30">
        <f>ROUNDUP(1650/200,0)</f>
        <v>9</v>
      </c>
      <c r="J30">
        <f>0.006165*H30^2</f>
        <v>0.39456</v>
      </c>
      <c r="K30">
        <f>J30*I30*G30</f>
        <v>39.101211648</v>
      </c>
      <c r="L30">
        <f>(1650-2*40)/1000</f>
        <v>1.57</v>
      </c>
      <c r="M30">
        <f>2*$F$1*O30/1000</f>
        <v>0.192</v>
      </c>
      <c r="N30">
        <f>L30+M30</f>
        <v>1.762</v>
      </c>
      <c r="O30">
        <v>8</v>
      </c>
      <c r="P30">
        <v>12</v>
      </c>
      <c r="Q30">
        <f>0.006165*O30^2</f>
        <v>0.39456</v>
      </c>
      <c r="R30">
        <f>N30*Q30*P30</f>
        <v>8.34257664</v>
      </c>
    </row>
    <row r="31">
      <c r="A31" t="str">
        <v>Pot 3b</v>
      </c>
      <c r="B31">
        <f>26.185062/5^2</f>
        <v>1.04740248</v>
      </c>
      <c r="C31">
        <v>1.65</v>
      </c>
      <c r="D31">
        <f>B31*C31</f>
        <v>1.7282140919999998</v>
      </c>
      <c r="E31">
        <f>(SUM(K31:K32)+SUM(R31:R32))+$L$25</f>
        <v>246.31212285900003</v>
      </c>
      <c r="G31">
        <f>(13.899+15.714+23.257+14.643+11.98)/5</f>
        <v>15.898600000000002</v>
      </c>
      <c r="H31">
        <v>13</v>
      </c>
      <c r="I31">
        <f>ROUNDUP(1650/150,0)</f>
        <v>11</v>
      </c>
      <c r="J31">
        <f>0.006165*H31^2</f>
        <v>1.041885</v>
      </c>
      <c r="K31">
        <f>J31*I31*G31</f>
        <v>182.20964147100003</v>
      </c>
      <c r="L31">
        <f>(1650-2*40)/1000</f>
        <v>1.57</v>
      </c>
      <c r="M31">
        <f>2*$F$1*O31/1000</f>
        <v>0.24</v>
      </c>
      <c r="N31">
        <f>L31+M31</f>
        <v>1.81</v>
      </c>
      <c r="O31">
        <v>10</v>
      </c>
      <c r="P31">
        <v>36</v>
      </c>
      <c r="Q31">
        <f>0.006165*O31^2</f>
        <v>0.6165</v>
      </c>
      <c r="R31">
        <f>N31*Q31*P31</f>
        <v>40.17114</v>
      </c>
    </row>
    <row r="32">
      <c r="G32">
        <f>4.588*P32/5</f>
        <v>4.588</v>
      </c>
      <c r="H32">
        <v>8</v>
      </c>
      <c r="I32">
        <f>ROUNDUP(1500/200,0)</f>
        <v>8</v>
      </c>
      <c r="J32">
        <f>0.006165*H32^2</f>
        <v>0.39456</v>
      </c>
      <c r="K32">
        <f>J32*I32*G32</f>
        <v>14.48193024</v>
      </c>
      <c r="L32">
        <f>(1650-2*40)/1000</f>
        <v>1.57</v>
      </c>
      <c r="M32">
        <f>2*$F$1*O32/1000</f>
        <v>0.192</v>
      </c>
      <c r="N32">
        <f>L32+M32</f>
        <v>1.762</v>
      </c>
      <c r="O32">
        <v>8</v>
      </c>
      <c r="P32">
        <v>5</v>
      </c>
      <c r="Q32">
        <f>0.006165*O32^2</f>
        <v>0.39456</v>
      </c>
      <c r="R32">
        <f>N32*Q32*P32</f>
        <v>3.4760736000000003</v>
      </c>
    </row>
    <row r="33">
      <c r="A33" t="str">
        <v>Pot 3c</v>
      </c>
      <c r="B33">
        <f>26.101329/5^2</f>
        <v>1.04405316</v>
      </c>
      <c r="C33">
        <v>1.65</v>
      </c>
      <c r="D33">
        <f>B33*C33</f>
        <v>1.7226877139999999</v>
      </c>
      <c r="E33">
        <f>(SUM(K33:K34)+SUM(R33:R34))</f>
        <v>311.401603485</v>
      </c>
      <c r="G33">
        <f>(11.149+13.692+30.997+26.351+8.682)/5</f>
        <v>18.1742</v>
      </c>
      <c r="H33">
        <v>13</v>
      </c>
      <c r="I33">
        <f>ROUNDUP(1650/150,0)</f>
        <v>11</v>
      </c>
      <c r="J33">
        <f>0.006165*H33^2</f>
        <v>1.041885</v>
      </c>
      <c r="K33">
        <f>J33*I33*G33</f>
        <v>208.28969003699999</v>
      </c>
      <c r="L33">
        <f>(1650-2*40)/1000</f>
        <v>1.57</v>
      </c>
      <c r="M33">
        <f>2*$F$1*O33/1000</f>
        <v>0.24</v>
      </c>
      <c r="N33">
        <f>L33+M33</f>
        <v>1.81</v>
      </c>
      <c r="O33">
        <v>10</v>
      </c>
      <c r="P33">
        <v>57</v>
      </c>
      <c r="Q33">
        <f>0.006165*O33^2</f>
        <v>0.6165</v>
      </c>
      <c r="R33">
        <f>N33*Q33*P33</f>
        <v>63.604305000000004</v>
      </c>
    </row>
    <row r="34">
      <c r="G34">
        <f>4.588*P34/5</f>
        <v>10.0936</v>
      </c>
      <c r="H34">
        <v>8</v>
      </c>
      <c r="I34">
        <f>ROUNDUP(1500/200,0)</f>
        <v>8</v>
      </c>
      <c r="J34">
        <f>0.006165*H34^2</f>
        <v>0.39456</v>
      </c>
      <c r="K34">
        <f>J34*I34*G34</f>
        <v>31.860246528</v>
      </c>
      <c r="L34">
        <f>(1650-2*40)/1000</f>
        <v>1.57</v>
      </c>
      <c r="M34">
        <f>2*$F$1*O34/1000</f>
        <v>0.192</v>
      </c>
      <c r="N34">
        <f>L34+M34</f>
        <v>1.762</v>
      </c>
      <c r="O34">
        <v>8</v>
      </c>
      <c r="P34">
        <v>11</v>
      </c>
      <c r="Q34">
        <f>0.006165*O34^2</f>
        <v>0.39456</v>
      </c>
      <c r="R34">
        <f>N34*Q34*P34</f>
        <v>7.647361920000001</v>
      </c>
    </row>
    <row r="35">
      <c r="B35" t="str">
        <v>total</v>
      </c>
      <c r="C35" t="str">
        <v>Utama</v>
      </c>
      <c r="D35">
        <f>SUM(D29:D34)</f>
        <v>5.223380382</v>
      </c>
      <c r="E35">
        <f>SUM(E29:E34)</f>
        <v>856.92604842</v>
      </c>
    </row>
    <row r="38">
      <c r="D38" t="str">
        <v>BALOK BORDES 200/450</v>
      </c>
      <c r="E38" t="str">
        <v>DIAMETER</v>
      </c>
      <c r="G38" t="str">
        <v>PANJANG (m)</v>
      </c>
      <c r="H38" t="str">
        <v>PENJANGKARAN</v>
      </c>
      <c r="I38" t="str">
        <v>TOTAL</v>
      </c>
      <c r="J38" t="str">
        <v>BERAT</v>
      </c>
      <c r="K38" t="str">
        <v>JUMLAH</v>
      </c>
      <c r="L38" t="str">
        <v>BERAT</v>
      </c>
    </row>
    <row r="39">
      <c r="D39" t="str">
        <v>TUL ATAS</v>
      </c>
      <c r="E39">
        <v>13</v>
      </c>
      <c r="G39">
        <f>950/1000</f>
        <v>0.95</v>
      </c>
      <c r="H39">
        <f>2*$F$1*E39/1000</f>
        <v>0.312</v>
      </c>
      <c r="I39">
        <f>G39+H39</f>
        <v>1.262</v>
      </c>
      <c r="J39">
        <f>0.006165*E39^2*G39</f>
        <v>0.9897907499999999</v>
      </c>
      <c r="K39">
        <v>3</v>
      </c>
      <c r="L39">
        <f>K39*J39*H39</f>
        <v>0.9264441419999999</v>
      </c>
    </row>
    <row r="40">
      <c r="D40" t="str">
        <v>TUL PEMINGGANG</v>
      </c>
      <c r="E40">
        <v>8</v>
      </c>
      <c r="G40">
        <f>950/1000</f>
        <v>0.95</v>
      </c>
      <c r="H40">
        <f>2*$F$1*E40/1000</f>
        <v>0.192</v>
      </c>
      <c r="I40">
        <f>G40+H40</f>
        <v>1.142</v>
      </c>
      <c r="J40">
        <f>0.006165*E40^2*G40</f>
        <v>0.374832</v>
      </c>
      <c r="K40">
        <v>2</v>
      </c>
      <c r="L40">
        <f>K40*J40*H40</f>
        <v>0.143935488</v>
      </c>
    </row>
    <row r="41">
      <c r="D41" t="str">
        <v>TUL BAWAH</v>
      </c>
      <c r="E41">
        <v>13</v>
      </c>
      <c r="G41">
        <f>950/1000</f>
        <v>0.95</v>
      </c>
      <c r="H41">
        <f>2*$F$1*E41/1000</f>
        <v>0.312</v>
      </c>
      <c r="I41">
        <f>G41+H41</f>
        <v>1.262</v>
      </c>
      <c r="J41">
        <f>0.006165*E41^2*G41</f>
        <v>0.9897907499999999</v>
      </c>
      <c r="K41">
        <v>3</v>
      </c>
      <c r="L41">
        <f>K41*J41*H41</f>
        <v>0.9264441419999999</v>
      </c>
    </row>
    <row r="42">
      <c r="D42" t="str">
        <v>SENGKANG</v>
      </c>
      <c r="E42">
        <v>10</v>
      </c>
      <c r="G42">
        <f>(2*(450+200)-40*4)/1000</f>
        <v>1.14</v>
      </c>
      <c r="H42">
        <f>MAX(6*E42,75)/1000</f>
        <v>0.075</v>
      </c>
      <c r="I42">
        <f>G42+H42</f>
        <v>1.2149999999999999</v>
      </c>
      <c r="J42">
        <f>0.006165*E42^2*G42</f>
        <v>0.70281</v>
      </c>
      <c r="K42">
        <f>ROUNDUP(950/100,0)</f>
        <v>10</v>
      </c>
      <c r="L42">
        <f>K42*J42*H42</f>
        <v>0.5271075</v>
      </c>
    </row>
    <row r="43">
      <c r="K43" t="str">
        <v>BERAT TOTAL</v>
      </c>
      <c r="L43">
        <f>SUM(L39:L42)</f>
        <v>2.523931272</v>
      </c>
    </row>
    <row r="45">
      <c r="D45" t="str">
        <v>BALOK BORDES 200/700</v>
      </c>
      <c r="E45" t="str">
        <v>DIAMETER</v>
      </c>
      <c r="G45" t="str">
        <v>PANJANG (m)</v>
      </c>
      <c r="H45" t="str">
        <v>PENJANGKARAN</v>
      </c>
      <c r="I45" t="str">
        <v>TOTAL</v>
      </c>
      <c r="J45" t="str">
        <v>BERAT</v>
      </c>
      <c r="K45" t="str">
        <v>JUMLAH</v>
      </c>
      <c r="L45" t="str">
        <v>BERAT</v>
      </c>
    </row>
    <row r="46">
      <c r="D46" t="str">
        <v>TUL ATAS</v>
      </c>
      <c r="E46">
        <v>16</v>
      </c>
      <c r="G46">
        <f>950/1000</f>
        <v>0.95</v>
      </c>
      <c r="H46">
        <f>2*$F$1*E46/1000</f>
        <v>0.384</v>
      </c>
      <c r="I46">
        <f>G46+H46</f>
        <v>1.334</v>
      </c>
      <c r="J46">
        <f>0.006165*E46^2*G46</f>
        <v>1.499328</v>
      </c>
      <c r="K46">
        <v>3</v>
      </c>
      <c r="L46">
        <f>K46*J46*H46</f>
        <v>1.727225856</v>
      </c>
    </row>
    <row r="47">
      <c r="D47" t="str">
        <v>TUL PEMINGGANG</v>
      </c>
      <c r="E47">
        <v>10</v>
      </c>
      <c r="G47">
        <f>950/1000</f>
        <v>0.95</v>
      </c>
      <c r="H47">
        <f>2*$F$1*E47/1000</f>
        <v>0.24</v>
      </c>
      <c r="I47">
        <f>G47+H47</f>
        <v>1.19</v>
      </c>
      <c r="J47">
        <f>0.006165*E47^2*G47</f>
        <v>0.5856750000000001</v>
      </c>
      <c r="K47">
        <v>2</v>
      </c>
      <c r="L47">
        <f>K47*J47*H47</f>
        <v>0.28112400000000004</v>
      </c>
    </row>
    <row r="48">
      <c r="D48" t="str">
        <v>TUL BAWAH</v>
      </c>
      <c r="E48">
        <v>16</v>
      </c>
      <c r="G48">
        <f>950/1000</f>
        <v>0.95</v>
      </c>
      <c r="H48">
        <f>2*$F$1*E48/1000</f>
        <v>0.384</v>
      </c>
      <c r="I48">
        <f>G48+H48</f>
        <v>1.334</v>
      </c>
      <c r="J48">
        <f>0.006165*E48^2*G48</f>
        <v>1.499328</v>
      </c>
      <c r="K48">
        <v>3</v>
      </c>
      <c r="L48">
        <f>K48*J48*H48</f>
        <v>1.727225856</v>
      </c>
    </row>
    <row r="49">
      <c r="D49" t="str">
        <v>SENGKANG</v>
      </c>
      <c r="E49">
        <v>10</v>
      </c>
      <c r="G49">
        <f>(2*(700+200)-40*4)/1000</f>
        <v>1.64</v>
      </c>
      <c r="H49">
        <f>MAX(6*E49,75)/1000</f>
        <v>0.075</v>
      </c>
      <c r="I49">
        <f>G49+H49</f>
        <v>1.7149999999999999</v>
      </c>
      <c r="J49">
        <f>0.006165*E49^2*G49</f>
        <v>1.01106</v>
      </c>
      <c r="K49">
        <f>ROUNDUP(950/100,0)</f>
        <v>10</v>
      </c>
      <c r="L49">
        <f>K49*J49*H49</f>
        <v>0.758295</v>
      </c>
    </row>
    <row r="50">
      <c r="K50" t="str">
        <v>BERAT TOTAL</v>
      </c>
      <c r="L50">
        <f>SUM(L46:L49)</f>
        <v>4.4938707120000005</v>
      </c>
    </row>
    <row r="52">
      <c r="A52" t="str">
        <v>Tangga Maid</v>
      </c>
      <c r="B52" t="str">
        <v>LUAS</v>
      </c>
      <c r="C52" t="str">
        <v>LEBAR</v>
      </c>
      <c r="D52" t="str">
        <v>VOL.BETON</v>
      </c>
      <c r="E52" t="str">
        <v>BERAT BESI (KG)</v>
      </c>
      <c r="F52" t="str">
        <v>Bekisting</v>
      </c>
      <c r="G52" t="str">
        <v>ARAH Y</v>
      </c>
      <c r="L52" t="str">
        <v>ARAH X</v>
      </c>
    </row>
    <row r="53">
      <c r="G53" t="str">
        <v>PANJANG</v>
      </c>
      <c r="H53" t="str">
        <v>TULANGAN</v>
      </c>
      <c r="I53" t="str">
        <v>JUMLAH</v>
      </c>
      <c r="J53" t="str">
        <v>BERAT/PCS</v>
      </c>
      <c r="K53" t="str">
        <v>BERAT TOTAL</v>
      </c>
      <c r="L53" t="str">
        <v>PANJANG</v>
      </c>
      <c r="M53" t="str">
        <v>PENJANGKARAN</v>
      </c>
      <c r="N53" t="str">
        <v>TOTAL</v>
      </c>
      <c r="O53" t="str">
        <v>TULANGAN</v>
      </c>
      <c r="P53" t="str">
        <v>JUMLAH</v>
      </c>
      <c r="Q53" t="str">
        <v>BERAT/PCS</v>
      </c>
      <c r="R53" t="str">
        <v>BERAT TOTAL</v>
      </c>
    </row>
    <row r="54">
      <c r="A54" t="str">
        <v>Pot 4a</v>
      </c>
      <c r="B54">
        <f>20.69586/5^2</f>
        <v>0.8278344</v>
      </c>
      <c r="C54">
        <v>0.95</v>
      </c>
      <c r="D54">
        <f>B54*C54</f>
        <v>0.78644268</v>
      </c>
      <c r="E54">
        <f>(SUM(K54:K55)+SUM(R54:R55))</f>
        <v>119.030114835</v>
      </c>
      <c r="G54">
        <f>(23.011+26.845+4.418+7.677)/5</f>
        <v>12.390199999999998</v>
      </c>
      <c r="H54">
        <v>13</v>
      </c>
      <c r="I54">
        <f>ROUNDUP(950/200,0)</f>
        <v>5</v>
      </c>
      <c r="J54">
        <f>0.006165*H54^2</f>
        <v>1.041885</v>
      </c>
      <c r="K54">
        <f>J54*I54*G54</f>
        <v>64.54581763499999</v>
      </c>
      <c r="L54">
        <f>(950-2*40)/1000</f>
        <v>0.87</v>
      </c>
      <c r="M54">
        <f>2*$F$1*O54/1000</f>
        <v>0.24</v>
      </c>
      <c r="N54">
        <f>L54+M54</f>
        <v>1.1099999999999999</v>
      </c>
      <c r="O54">
        <v>10</v>
      </c>
      <c r="P54">
        <v>50</v>
      </c>
      <c r="Q54">
        <f>0.006165*O54^2</f>
        <v>0.6165</v>
      </c>
      <c r="R54">
        <f>N54*Q54*P54</f>
        <v>34.21575</v>
      </c>
    </row>
    <row r="55">
      <c r="G55">
        <f>3.608*P55/5</f>
        <v>7.937600000000001</v>
      </c>
      <c r="H55">
        <v>8</v>
      </c>
      <c r="I55">
        <f>ROUNDUP(950/200,0)</f>
        <v>5</v>
      </c>
      <c r="J55">
        <f>0.006165*H55^2</f>
        <v>0.39456</v>
      </c>
      <c r="K55">
        <f>J55*I55*G55</f>
        <v>15.659297280000002</v>
      </c>
      <c r="L55">
        <f>(950-2*40)/1000</f>
        <v>0.87</v>
      </c>
      <c r="M55">
        <f>2*$F$1*O55/1000</f>
        <v>0.192</v>
      </c>
      <c r="N55">
        <f>L55+M55</f>
        <v>1.062</v>
      </c>
      <c r="O55">
        <v>8</v>
      </c>
      <c r="P55">
        <v>11</v>
      </c>
      <c r="Q55">
        <f>0.006165*O55^2</f>
        <v>0.39456</v>
      </c>
      <c r="R55">
        <f>N55*Q55*P55</f>
        <v>4.609249920000001</v>
      </c>
    </row>
    <row r="56">
      <c r="A56" t="str">
        <v>Pot 4b</v>
      </c>
      <c r="B56">
        <f>20.154729/5^2</f>
        <v>0.80618916</v>
      </c>
      <c r="C56">
        <v>0.95</v>
      </c>
      <c r="D56">
        <f>B56*C56</f>
        <v>0.7658797019999999</v>
      </c>
      <c r="E56">
        <f>(SUM(K56:K57)+SUM(R56:R57))+$L$25</f>
        <v>128.651363028</v>
      </c>
      <c r="G56">
        <f>(9.9+26.402+25.188+8.358)/5</f>
        <v>13.9696</v>
      </c>
      <c r="H56">
        <v>13</v>
      </c>
      <c r="I56">
        <f>ROUNDUP(950/200,0)</f>
        <v>5</v>
      </c>
      <c r="J56">
        <f>0.006165*H56^2</f>
        <v>1.041885</v>
      </c>
      <c r="K56">
        <f>J56*I56*G56</f>
        <v>72.77358348</v>
      </c>
      <c r="L56">
        <f>(950-2*40)/1000</f>
        <v>0.87</v>
      </c>
      <c r="M56">
        <f>2*$F$1*O56/1000</f>
        <v>0.24</v>
      </c>
      <c r="N56">
        <f>L56+M56</f>
        <v>1.1099999999999999</v>
      </c>
      <c r="O56">
        <v>10</v>
      </c>
      <c r="P56">
        <v>46</v>
      </c>
      <c r="Q56">
        <f>0.006165*O56^2</f>
        <v>0.6165</v>
      </c>
      <c r="R56">
        <f>N56*Q56*P56</f>
        <v>31.47849</v>
      </c>
    </row>
    <row r="57">
      <c r="G57">
        <f>3.608*P57/5</f>
        <v>7.215999999999999</v>
      </c>
      <c r="H57">
        <v>8</v>
      </c>
      <c r="I57">
        <f>ROUNDUP(950/200,0)</f>
        <v>5</v>
      </c>
      <c r="J57">
        <f>0.006165*H57^2</f>
        <v>0.39456</v>
      </c>
      <c r="K57">
        <f>J57*I57*G57</f>
        <v>14.2357248</v>
      </c>
      <c r="L57">
        <f>(950-2*40)/1000</f>
        <v>0.87</v>
      </c>
      <c r="M57">
        <f>2*$F$1*O57/1000</f>
        <v>0.192</v>
      </c>
      <c r="N57">
        <f>L57+M57</f>
        <v>1.062</v>
      </c>
      <c r="O57">
        <v>8</v>
      </c>
      <c r="P57">
        <v>10</v>
      </c>
      <c r="Q57">
        <f>0.006165*O57^2</f>
        <v>0.39456</v>
      </c>
      <c r="R57">
        <f>N57*Q57*P57</f>
        <v>4.190227200000001</v>
      </c>
    </row>
    <row r="58">
      <c r="A58" t="str">
        <v>Balok bordes 450/200</v>
      </c>
      <c r="B58">
        <f>450*200/1000000</f>
        <v>0.09</v>
      </c>
      <c r="C58">
        <v>1.9</v>
      </c>
      <c r="D58">
        <f>B58*C58</f>
        <v>0.17099999999999999</v>
      </c>
      <c r="E58">
        <f>$L$43</f>
        <v>2.523931272</v>
      </c>
    </row>
    <row r="60">
      <c r="A60" t="str">
        <v>Pot 4c (lt1)</v>
      </c>
      <c r="B60">
        <f>25.613851/5^2</f>
        <v>1.02455404</v>
      </c>
      <c r="C60">
        <v>0.95</v>
      </c>
      <c r="D60">
        <f>B60*C60</f>
        <v>0.9733263379999999</v>
      </c>
      <c r="E60">
        <f>(SUM(K60:K61)+SUM(R60:R61))+$L$25</f>
        <v>138.43829436299998</v>
      </c>
      <c r="G60">
        <f>(6.024+30.902+28.657+7.708)/5</f>
        <v>14.658199999999999</v>
      </c>
      <c r="H60">
        <v>13</v>
      </c>
      <c r="I60">
        <f>ROUNDUP(950/200,0)</f>
        <v>5</v>
      </c>
      <c r="J60">
        <f>0.006165*H60^2</f>
        <v>1.041885</v>
      </c>
      <c r="K60">
        <f>J60*I60*G60</f>
        <v>76.36079353499998</v>
      </c>
      <c r="L60">
        <f>(950-2*40)/1000</f>
        <v>0.87</v>
      </c>
      <c r="M60">
        <f>2*$F$1*O60/1000</f>
        <v>0.24</v>
      </c>
      <c r="N60">
        <f>L60+M60</f>
        <v>1.1099999999999999</v>
      </c>
      <c r="O60">
        <v>10</v>
      </c>
      <c r="P60">
        <v>46</v>
      </c>
      <c r="Q60">
        <f>0.006165*O60^2</f>
        <v>0.6165</v>
      </c>
      <c r="R60">
        <f>N60*Q60*P60</f>
        <v>31.47849</v>
      </c>
    </row>
    <row r="61">
      <c r="G61">
        <f>3.739*P61/5</f>
        <v>9.7214</v>
      </c>
      <c r="H61">
        <v>8</v>
      </c>
      <c r="I61">
        <f>ROUNDUP(950/200,0)</f>
        <v>5</v>
      </c>
      <c r="J61">
        <f>0.006165*H61^2</f>
        <v>0.39456</v>
      </c>
      <c r="K61">
        <f>J61*I61*G61</f>
        <v>19.17837792</v>
      </c>
      <c r="L61">
        <f>(950-2*40)/1000</f>
        <v>0.87</v>
      </c>
      <c r="M61">
        <f>2*$F$1*O61/1000</f>
        <v>0.192</v>
      </c>
      <c r="N61">
        <f>L61+M61</f>
        <v>1.062</v>
      </c>
      <c r="O61">
        <v>8</v>
      </c>
      <c r="P61">
        <v>13</v>
      </c>
      <c r="Q61">
        <f>0.006165*O61^2</f>
        <v>0.39456</v>
      </c>
      <c r="R61">
        <f>N61*Q61*P61</f>
        <v>5.447295360000001</v>
      </c>
    </row>
    <row r="62">
      <c r="A62" t="str">
        <v>Balok bordes 450/200</v>
      </c>
      <c r="B62">
        <f>450*200/1000000</f>
        <v>0.09</v>
      </c>
      <c r="C62">
        <v>0.95</v>
      </c>
      <c r="D62">
        <f>B62*C62</f>
        <v>0.08549999999999999</v>
      </c>
      <c r="E62">
        <f>$L$43</f>
        <v>2.523931272</v>
      </c>
    </row>
    <row r="64">
      <c r="A64" t="str">
        <v>Pot 4d (lt1)</v>
      </c>
      <c r="B64">
        <f>30.733079/5^2</f>
        <v>1.22932316</v>
      </c>
      <c r="C64">
        <v>0.95</v>
      </c>
      <c r="D64">
        <f>B64*C64</f>
        <v>1.167857002</v>
      </c>
      <c r="E64">
        <f>(SUM(K64:K65)+SUM(R64:R65))+$L$25</f>
        <v>167.47758361799998</v>
      </c>
      <c r="G64">
        <f>(10.7+12.982+31.753+26.465+8.754)/5</f>
        <v>18.1308</v>
      </c>
      <c r="H64">
        <v>13</v>
      </c>
      <c r="I64">
        <f>ROUNDUP(950/200,0)</f>
        <v>5</v>
      </c>
      <c r="J64">
        <f>0.006165*H64^2</f>
        <v>1.041885</v>
      </c>
      <c r="K64">
        <f>J64*I64*G64</f>
        <v>94.45104278999999</v>
      </c>
      <c r="L64">
        <f>(950-2*40)/1000</f>
        <v>0.87</v>
      </c>
      <c r="M64">
        <f>2*$F$1*O64/1000</f>
        <v>0.24</v>
      </c>
      <c r="N64">
        <f>L64+M64</f>
        <v>1.1099999999999999</v>
      </c>
      <c r="O64">
        <v>10</v>
      </c>
      <c r="P64">
        <v>62</v>
      </c>
      <c r="Q64">
        <f>0.006165*O64^2</f>
        <v>0.6165</v>
      </c>
      <c r="R64">
        <f>N64*Q64*P64</f>
        <v>42.42753</v>
      </c>
    </row>
    <row r="65">
      <c r="G65">
        <f>3.739*P65/5</f>
        <v>9.7214</v>
      </c>
      <c r="H65">
        <v>8</v>
      </c>
      <c r="I65">
        <f>ROUNDUP(950/200,0)</f>
        <v>5</v>
      </c>
      <c r="J65">
        <f>0.006165*H65^2</f>
        <v>0.39456</v>
      </c>
      <c r="K65">
        <f>J65*I65*G65</f>
        <v>19.17837792</v>
      </c>
      <c r="L65">
        <f>(950-2*40)/1000</f>
        <v>0.87</v>
      </c>
      <c r="M65">
        <f>2*$F$1*O65/1000</f>
        <v>0.192</v>
      </c>
      <c r="N65">
        <f>L65+M65</f>
        <v>1.062</v>
      </c>
      <c r="O65">
        <v>8</v>
      </c>
      <c r="P65">
        <v>13</v>
      </c>
      <c r="Q65">
        <f>0.006165*O65^2</f>
        <v>0.39456</v>
      </c>
      <c r="R65">
        <f>N65*Q65*P65</f>
        <v>5.447295360000001</v>
      </c>
    </row>
    <row r="66">
      <c r="A66" t="str">
        <v>Balok bordes 700/200</v>
      </c>
      <c r="B66">
        <f>700*200/1000000</f>
        <v>0.14</v>
      </c>
      <c r="C66">
        <v>0.95</v>
      </c>
      <c r="D66">
        <f>B66*C66</f>
        <v>0.133</v>
      </c>
      <c r="E66">
        <f>$L$50</f>
        <v>4.4938707120000005</v>
      </c>
    </row>
    <row r="68">
      <c r="A68" t="str">
        <v>Pot 4e (lt1)</v>
      </c>
      <c r="B68">
        <f>1.268789/5^2</f>
        <v>0.05075156</v>
      </c>
      <c r="C68">
        <v>0.95</v>
      </c>
      <c r="D68">
        <f>B68*C68</f>
        <v>0.048213981999999996</v>
      </c>
      <c r="E68">
        <f>(SUM(K68:K69)+SUM(R68:R69))+$L$25</f>
        <v>51.852743522999994</v>
      </c>
      <c r="G68">
        <f>(9.783+9.408+6.909+6.115)/5</f>
        <v>6.443</v>
      </c>
      <c r="H68">
        <v>13</v>
      </c>
      <c r="I68">
        <f>ROUNDUP(950/200,0)</f>
        <v>5</v>
      </c>
      <c r="J68">
        <f>0.006165*H68^2</f>
        <v>1.041885</v>
      </c>
      <c r="K68">
        <f>J68*I68*G68</f>
        <v>33.564325274999995</v>
      </c>
      <c r="L68">
        <f>(950-2*40)/1000</f>
        <v>0.87</v>
      </c>
      <c r="M68">
        <f>2*$F$1*O68/1000</f>
        <v>0.312</v>
      </c>
      <c r="N68">
        <f>L68+M68</f>
        <v>1.182</v>
      </c>
      <c r="O68">
        <v>13</v>
      </c>
      <c r="P68">
        <v>10</v>
      </c>
      <c r="Q68">
        <f>0.006165*O68^2</f>
        <v>1.041885</v>
      </c>
      <c r="R68">
        <f>N68*Q68*P68</f>
        <v>12.3150807</v>
      </c>
    </row>
    <row r="70">
      <c r="A70" t="str">
        <v>Pot 4c (lt2)</v>
      </c>
      <c r="B70">
        <f>25.613851/5^2</f>
        <v>1.02455404</v>
      </c>
      <c r="C70">
        <v>0.95</v>
      </c>
      <c r="D70">
        <f>B70*C70</f>
        <v>0.9733263379999999</v>
      </c>
      <c r="E70">
        <f>(SUM(K70:K71)+SUM(R70:R71))+$L$25</f>
        <v>138.43829436299998</v>
      </c>
      <c r="G70">
        <f>(6.024+30.902+28.657+7.708)/5</f>
        <v>14.658199999999999</v>
      </c>
      <c r="H70">
        <v>13</v>
      </c>
      <c r="I70">
        <f>ROUNDUP(950/200,0)</f>
        <v>5</v>
      </c>
      <c r="J70">
        <f>0.006165*H70^2</f>
        <v>1.041885</v>
      </c>
      <c r="K70">
        <f>J70*I70*G70</f>
        <v>76.36079353499998</v>
      </c>
      <c r="L70">
        <f>(950-2*40)/1000</f>
        <v>0.87</v>
      </c>
      <c r="M70">
        <f>2*$F$1*O70/1000</f>
        <v>0.24</v>
      </c>
      <c r="N70">
        <f>L70+M70</f>
        <v>1.1099999999999999</v>
      </c>
      <c r="O70">
        <v>10</v>
      </c>
      <c r="P70">
        <v>46</v>
      </c>
      <c r="Q70">
        <f>0.006165*O70^2</f>
        <v>0.6165</v>
      </c>
      <c r="R70">
        <f>N70*Q70*P70</f>
        <v>31.47849</v>
      </c>
    </row>
    <row r="71">
      <c r="G71">
        <f>3.739*P71/5</f>
        <v>9.7214</v>
      </c>
      <c r="H71">
        <v>8</v>
      </c>
      <c r="I71">
        <f>ROUNDUP(950/200,0)</f>
        <v>5</v>
      </c>
      <c r="J71">
        <f>0.006165*H71^2</f>
        <v>0.39456</v>
      </c>
      <c r="K71">
        <f>J71*I71*G71</f>
        <v>19.17837792</v>
      </c>
      <c r="L71">
        <f>(950-2*40)/1000</f>
        <v>0.87</v>
      </c>
      <c r="M71">
        <f>2*$F$1*O71/1000</f>
        <v>0.192</v>
      </c>
      <c r="N71">
        <f>L71+M71</f>
        <v>1.062</v>
      </c>
      <c r="O71">
        <v>8</v>
      </c>
      <c r="P71">
        <v>13</v>
      </c>
      <c r="Q71">
        <f>0.006165*O71^2</f>
        <v>0.39456</v>
      </c>
      <c r="R71">
        <f>N71*Q71*P71</f>
        <v>5.447295360000001</v>
      </c>
    </row>
    <row r="72">
      <c r="A72" t="str">
        <v>Pot 4d (lt1)</v>
      </c>
      <c r="B72">
        <f>30.733079/5^2</f>
        <v>1.22932316</v>
      </c>
      <c r="C72">
        <v>0.95</v>
      </c>
      <c r="D72">
        <f>B72*C72</f>
        <v>1.167857002</v>
      </c>
      <c r="E72">
        <f>(SUM(K72:K73)+SUM(R72:R73))+$L$25</f>
        <v>167.47758361799998</v>
      </c>
      <c r="G72">
        <f>(10.7+12.982+31.753+26.465+8.754)/5</f>
        <v>18.1308</v>
      </c>
      <c r="H72">
        <v>13</v>
      </c>
      <c r="I72">
        <f>ROUNDUP(950/200,0)</f>
        <v>5</v>
      </c>
      <c r="J72">
        <f>0.006165*H72^2</f>
        <v>1.041885</v>
      </c>
      <c r="K72">
        <f>J72*I72*G72</f>
        <v>94.45104278999999</v>
      </c>
      <c r="L72">
        <f>(950-2*40)/1000</f>
        <v>0.87</v>
      </c>
      <c r="M72">
        <f>2*$F$1*O72/1000</f>
        <v>0.24</v>
      </c>
      <c r="N72">
        <f>L72+M72</f>
        <v>1.1099999999999999</v>
      </c>
      <c r="O72">
        <v>10</v>
      </c>
      <c r="P72">
        <v>62</v>
      </c>
      <c r="Q72">
        <f>0.006165*O72^2</f>
        <v>0.6165</v>
      </c>
      <c r="R72">
        <f>N72*Q72*P72</f>
        <v>42.42753</v>
      </c>
    </row>
    <row r="73">
      <c r="G73">
        <f>3.739*P73/5</f>
        <v>9.7214</v>
      </c>
      <c r="H73">
        <v>8</v>
      </c>
      <c r="I73">
        <f>ROUNDUP(950/200,0)</f>
        <v>5</v>
      </c>
      <c r="J73">
        <f>0.006165*H73^2</f>
        <v>0.39456</v>
      </c>
      <c r="K73">
        <f>J73*I73*G73</f>
        <v>19.17837792</v>
      </c>
      <c r="L73">
        <f>(950-2*40)/1000</f>
        <v>0.87</v>
      </c>
      <c r="M73">
        <f>2*$F$1*O73/1000</f>
        <v>0.192</v>
      </c>
      <c r="N73">
        <f>L73+M73</f>
        <v>1.062</v>
      </c>
      <c r="O73">
        <v>8</v>
      </c>
      <c r="P73">
        <v>13</v>
      </c>
      <c r="Q73">
        <f>0.006165*O73^2</f>
        <v>0.39456</v>
      </c>
      <c r="R73">
        <f>N73*Q73*P73</f>
        <v>5.447295360000001</v>
      </c>
    </row>
    <row r="74">
      <c r="A74" t="str">
        <v>Balok bordes 450/200</v>
      </c>
      <c r="B74">
        <f>450*200/1000000</f>
        <v>0.09</v>
      </c>
      <c r="C74">
        <v>1.9</v>
      </c>
      <c r="D74">
        <f>B74*C74</f>
        <v>0.17099999999999999</v>
      </c>
      <c r="E74">
        <f>$L$43</f>
        <v>2.523931272</v>
      </c>
    </row>
    <row r="76">
      <c r="B76" t="str">
        <v>total</v>
      </c>
      <c r="C76" t="str">
        <v>Basement</v>
      </c>
      <c r="D76">
        <f>SUM(D54:D59)</f>
        <v>1.7233223819999999</v>
      </c>
      <c r="E76">
        <f>SUM(E54:E59)</f>
        <v>250.205409135</v>
      </c>
    </row>
    <row r="77">
      <c r="C77" t="str">
        <v>LT 1</v>
      </c>
      <c r="D77">
        <f>SUM(D60:D69)</f>
        <v>2.407897322</v>
      </c>
      <c r="E77">
        <f>SUM(E60:E69)</f>
        <v>364.78642348799997</v>
      </c>
    </row>
    <row r="78">
      <c r="C78" t="str">
        <v>LT 2</v>
      </c>
      <c r="D78">
        <f>SUM(D70:D75)</f>
        <v>2.31218334</v>
      </c>
      <c r="E78">
        <f>SUM(E70:E75)</f>
        <v>308.439809253</v>
      </c>
    </row>
    <row r="80">
      <c r="A80" t="str">
        <v>Tangga mezzanine</v>
      </c>
      <c r="B80" t="str">
        <v>LUAS</v>
      </c>
      <c r="C80" t="str">
        <v>LEBAR</v>
      </c>
      <c r="D80" t="str">
        <v>VOL.BETON</v>
      </c>
      <c r="E80" t="str">
        <v>BERAT BESI (KG)</v>
      </c>
      <c r="F80" t="str">
        <v>Bekisting</v>
      </c>
      <c r="G80" t="str">
        <v>ARAH Y</v>
      </c>
      <c r="L80" t="str">
        <v>ARAH X</v>
      </c>
    </row>
    <row r="81">
      <c r="G81" t="str">
        <v>PANJANG</v>
      </c>
      <c r="H81" t="str">
        <v>TULANGAN</v>
      </c>
      <c r="I81" t="str">
        <v>JUMLAH</v>
      </c>
      <c r="J81" t="str">
        <v>BERAT/PCS</v>
      </c>
      <c r="K81" t="str">
        <v>BERAT TOTAL</v>
      </c>
      <c r="L81" t="str">
        <v>PANJANG</v>
      </c>
      <c r="M81" t="str">
        <v>PENJANGKARAN</v>
      </c>
      <c r="N81" t="str">
        <v>TOTAL</v>
      </c>
      <c r="O81" t="str">
        <v>TULANGAN</v>
      </c>
      <c r="P81" t="str">
        <v>JUMLAH</v>
      </c>
      <c r="Q81" t="str">
        <v>BERAT/PCS</v>
      </c>
      <c r="R81" t="str">
        <v>BERAT TOTAL</v>
      </c>
    </row>
    <row r="82">
      <c r="A82" t="str">
        <v>Pot 2a</v>
      </c>
      <c r="B82">
        <f>19.323093/5^2</f>
        <v>0.77292372</v>
      </c>
      <c r="C82">
        <v>0.85</v>
      </c>
      <c r="D82">
        <f>B82*C82</f>
        <v>0.656985162</v>
      </c>
      <c r="E82">
        <f>(SUM(K82:K83)+SUM(R82:R83))</f>
        <v>92.50538112000001</v>
      </c>
      <c r="G82">
        <f>(4.754+25.126+24.484+6.318)/5</f>
        <v>12.1364</v>
      </c>
      <c r="H82">
        <v>10</v>
      </c>
      <c r="I82">
        <f>ROUNDUP(850/150,0)</f>
        <v>6</v>
      </c>
      <c r="J82">
        <f>0.006165*H82^2</f>
        <v>0.6165</v>
      </c>
      <c r="K82">
        <f>J82*I82*G82</f>
        <v>44.8925436</v>
      </c>
      <c r="L82">
        <f>(850-2*40)/1000</f>
        <v>0.77</v>
      </c>
      <c r="M82">
        <f>2*$F$1*O82/1000</f>
        <v>0.24</v>
      </c>
      <c r="N82">
        <f>L82+M82</f>
        <v>1.01</v>
      </c>
      <c r="O82">
        <v>10</v>
      </c>
      <c r="P82">
        <v>42</v>
      </c>
      <c r="Q82">
        <f>0.006165*O82^2</f>
        <v>0.6165</v>
      </c>
      <c r="R82">
        <f>N82*Q82*P82</f>
        <v>26.15193</v>
      </c>
    </row>
    <row r="83">
      <c r="G83">
        <f>3.222*P83/5</f>
        <v>8.3772</v>
      </c>
      <c r="H83">
        <v>8</v>
      </c>
      <c r="I83">
        <f>ROUNDUP(850/200,0)</f>
        <v>5</v>
      </c>
      <c r="J83">
        <f>0.006165*H83^2</f>
        <v>0.39456</v>
      </c>
      <c r="K83">
        <f>J83*I83*G83</f>
        <v>16.52654016</v>
      </c>
      <c r="L83">
        <f>(850-2*40)/1000</f>
        <v>0.77</v>
      </c>
      <c r="M83">
        <f>2*$F$1*O83/1000</f>
        <v>0.192</v>
      </c>
      <c r="N83">
        <f>L83+M83</f>
        <v>0.962</v>
      </c>
      <c r="O83">
        <v>8</v>
      </c>
      <c r="P83">
        <v>13</v>
      </c>
      <c r="Q83">
        <f>0.006165*O83^2</f>
        <v>0.39456</v>
      </c>
      <c r="R83">
        <f>N83*Q83*P83</f>
        <v>4.93436736</v>
      </c>
    </row>
    <row r="84">
      <c r="B84" t="str">
        <v>total</v>
      </c>
      <c r="C84" t="str">
        <v>mezzanine</v>
      </c>
      <c r="D84">
        <f>SUM(D82:D83)</f>
        <v>0.656985162</v>
      </c>
      <c r="E84">
        <f>SUM(E82:E83)</f>
        <v>92.50538112000001</v>
      </c>
    </row>
    <row r="87">
      <c r="D87" t="str">
        <v>luas m2</v>
      </c>
      <c r="E87" t="str">
        <v>panjang m</v>
      </c>
      <c r="G87" t="str">
        <v>volume m3</v>
      </c>
    </row>
    <row r="88">
      <c r="C88" t="str">
        <v>Atap aspal</v>
      </c>
      <c r="D88">
        <v>0.088525</v>
      </c>
      <c r="E88">
        <v>60.58</v>
      </c>
      <c r="G88">
        <f>D88*E88</f>
        <v>5.3628445000000005</v>
      </c>
    </row>
    <row r="90">
      <c r="D90" t="str">
        <v>pl</v>
      </c>
    </row>
    <row r="97">
      <c r="D97">
        <f>SQRT((PI()*(4/4)*3.1)^2+(4)^2)*(360-108)/360</f>
        <v>7.369869752193026</v>
      </c>
    </row>
  </sheetData>
  <mergeCells count="28">
    <mergeCell ref="G10:K10"/>
    <mergeCell ref="L10:R10"/>
    <mergeCell ref="B10:B11"/>
    <mergeCell ref="C10:C11"/>
    <mergeCell ref="D10:D11"/>
    <mergeCell ref="E10:E11"/>
    <mergeCell ref="F10:F11"/>
    <mergeCell ref="L27:R27"/>
    <mergeCell ref="B27:B28"/>
    <mergeCell ref="C27:C28"/>
    <mergeCell ref="D27:D28"/>
    <mergeCell ref="E27:E28"/>
    <mergeCell ref="G27:K27"/>
    <mergeCell ref="F27:F28"/>
    <mergeCell ref="G52:K52"/>
    <mergeCell ref="L52:R52"/>
    <mergeCell ref="B52:B53"/>
    <mergeCell ref="C52:C53"/>
    <mergeCell ref="D52:D53"/>
    <mergeCell ref="E52:E53"/>
    <mergeCell ref="F52:F53"/>
    <mergeCell ref="G80:K80"/>
    <mergeCell ref="L80:R80"/>
    <mergeCell ref="B80:B81"/>
    <mergeCell ref="C80:C81"/>
    <mergeCell ref="D80:D81"/>
    <mergeCell ref="E80:E81"/>
    <mergeCell ref="F80:F81"/>
  </mergeCells>
  <pageMargins left="0.7" right="0.7" top="0.75" bottom="0.75" header="0.3" footer="0.3"/>
  <ignoredErrors>
    <ignoredError numberStoredAsText="1" sqref="A1:R9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0"/>
  <sheetViews>
    <sheetView workbookViewId="0" rightToLeft="0"/>
  </sheetViews>
  <sheetData>
    <row r="1">
      <c r="A1" t="str">
        <v>Estimasi Biaya Pembangunan Fisik Rumah Tinggal</v>
      </c>
    </row>
    <row r="2">
      <c r="A2" t="str">
        <v>Lokasi</v>
      </c>
      <c r="B2" t="str">
        <f>'REKAP RAB'!B2</f>
        <v>: Citraland Emerald Mansion</v>
      </c>
    </row>
    <row r="3">
      <c r="A3" t="str">
        <v>Pemilik</v>
      </c>
      <c r="B3" t="str">
        <f>'REKAP RAB'!B3</f>
        <v>: Ms. Ernawati</v>
      </c>
    </row>
    <row r="4">
      <c r="A4" t="str">
        <v>Tanggal</v>
      </c>
      <c r="B4" t="str">
        <f>'REKAP RAB'!B4</f>
        <v>: Januari 2026</v>
      </c>
    </row>
    <row r="7">
      <c r="B7" t="str">
        <v>REKAPITULASI TOTAL:</v>
      </c>
    </row>
    <row r="8">
      <c r="E8" t="str">
        <v>PENAWARAN</v>
      </c>
      <c r="H8" t="str">
        <v>NETTO</v>
      </c>
    </row>
    <row r="9">
      <c r="A9" t="str">
        <v>A</v>
      </c>
      <c r="B9" t="str">
        <f>'REKAP RAB'!B9</f>
        <v>Pekerjaan Fisik Bangunan Utama</v>
      </c>
      <c r="E9">
        <f>'REKAP RAB'!F9</f>
        <v>4591999273.485989</v>
      </c>
      <c r="H9">
        <f>'REKAP RAB'!O39</f>
        <v>3987483642.073326</v>
      </c>
    </row>
    <row r="10">
      <c r="A10" t="str">
        <v>B</v>
      </c>
      <c r="B10" t="str">
        <f>'REKAP RAB'!B10</f>
        <v>Pekerjaan Persiapan, Cut &amp; Fill, dan Anti Rayap</v>
      </c>
      <c r="E10">
        <f>'REKAP RAB'!F10</f>
        <v>466813894.0465311</v>
      </c>
      <c r="H10">
        <f>'REKAP RAB'!O67</f>
        <v>432090091.709751</v>
      </c>
    </row>
    <row r="11">
      <c r="F11" t="str">
        <v>+</v>
      </c>
      <c r="I11" t="str">
        <v>+</v>
      </c>
    </row>
    <row r="12">
      <c r="C12" t="str">
        <v>GRAND TOTAL</v>
      </c>
      <c r="E12">
        <f>E9+E10</f>
        <v>5058813167.532519</v>
      </c>
      <c r="H12">
        <f>H9+H10</f>
        <v>4419573733.783077</v>
      </c>
    </row>
    <row r="14">
      <c r="A14" t="str">
        <v>Luas :</v>
      </c>
      <c r="B14" t="str">
        <f>'REKAP RAB'!J13</f>
        <v xml:space="preserve">           - Lantai 1</v>
      </c>
      <c r="C14">
        <f>'REKAP RAB'!K13</f>
        <v>288.0937839</v>
      </c>
    </row>
    <row r="15">
      <c r="B15" t="str">
        <f>'REKAP RAB'!J14</f>
        <v xml:space="preserve">           - Lantai 2</v>
      </c>
      <c r="C15">
        <f>'REKAP RAB'!K14</f>
        <v>185.7297585</v>
      </c>
    </row>
    <row r="16">
      <c r="B16" t="str">
        <f>'REKAP RAB'!J15</f>
        <v xml:space="preserve">           - Lantai 3</v>
      </c>
      <c r="C16">
        <f>'REKAP RAB'!K15</f>
        <v>192.46180949999996</v>
      </c>
    </row>
    <row r="17">
      <c r="B17" t="str">
        <f>'REKAP RAB'!J16</f>
        <v xml:space="preserve">           - Lantai Atap</v>
      </c>
      <c r="C17">
        <f>'REKAP RAB'!K16</f>
        <v>132.48144789999998</v>
      </c>
    </row>
    <row r="19">
      <c r="B19" t="str">
        <v>Total Luas Bangunan</v>
      </c>
      <c r="C19">
        <f>SUM(C14:C18)</f>
        <v>798.7667998</v>
      </c>
      <c r="D19" t="str">
        <v>m2</v>
      </c>
    </row>
    <row r="21">
      <c r="B21" t="str">
        <v>Harga Bangunan Fisik</v>
      </c>
      <c r="C21">
        <f>SUM(E9:E9)/C19</f>
        <v>5748860.962468347</v>
      </c>
      <c r="D21" t="str">
        <v>/m2</v>
      </c>
      <c r="E21" t="str">
        <v>(TOTAL A)</v>
      </c>
    </row>
    <row r="22">
      <c r="B22" t="str">
        <v>Harga Bangunan Fisik NETTO</v>
      </c>
      <c r="C22">
        <f>SUM(H9:H9)/C19</f>
        <v>4992049.798604219</v>
      </c>
      <c r="D22" t="str">
        <v>/m2</v>
      </c>
      <c r="E22" t="str">
        <v>(TOTAL A)</v>
      </c>
    </row>
    <row r="24">
      <c r="B24" t="str">
        <v>Simpanan profit FISIK</v>
      </c>
      <c r="C24">
        <f>C21/C22-1</f>
        <v>0.15160328810736878</v>
      </c>
      <c r="E24" t="str">
        <v>(belum termasuk potongan PPh)</v>
      </c>
    </row>
    <row r="28">
      <c r="B28" t="str">
        <v>Komposisi RAB (netto):</v>
      </c>
    </row>
    <row r="30">
      <c r="B30" t="str">
        <v>Material</v>
      </c>
    </row>
    <row r="31">
      <c r="B31" t="str">
        <v>Upah</v>
      </c>
      <c r="E31" t="str">
        <v>(borongan mandor)</v>
      </c>
    </row>
    <row r="32">
      <c r="B32" t="str">
        <v>Peralatan</v>
      </c>
      <c r="E32" t="str">
        <v>(scaffolding, concrete pump, dsb)</v>
      </c>
    </row>
    <row r="33">
      <c r="B33" t="str">
        <v>Subkon</v>
      </c>
      <c r="E33" t="str">
        <v>(cut &amp; fill, pancang, baja, septic tank)</v>
      </c>
    </row>
    <row r="34">
      <c r="B34" t="str">
        <v>Preliminary</v>
      </c>
    </row>
    <row r="36">
      <c r="B36" t="str">
        <v>TOTAL NETTO</v>
      </c>
    </row>
  </sheetData>
  <pageMargins left="0.3937007874015748" right="0.3937007874015748" top="0.3937007874015748" bottom="0.3937007874015748" header="0" footer="0"/>
  <ignoredErrors>
    <ignoredError numberStoredAsText="1" sqref="A1:I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73"/>
  <sheetViews>
    <sheetView workbookViewId="0" rightToLeft="0"/>
  </sheetViews>
  <sheetData>
    <row r="1">
      <c r="A1" t="str">
        <v>Estimasi Biaya Pembangunan Fisik Rumah Tinggal</v>
      </c>
    </row>
    <row r="2">
      <c r="A2" t="str">
        <v>Lokasi</v>
      </c>
      <c r="B2" t="str">
        <v>: Citraland Emerald Mansion</v>
      </c>
      <c r="N2" t="str">
        <v>Pek. Tanah</v>
      </c>
      <c r="O2">
        <v>1.1</v>
      </c>
      <c r="R2" t="str">
        <v>Benangan</v>
      </c>
      <c r="S2" t="str">
        <v>A</v>
      </c>
    </row>
    <row r="3">
      <c r="A3" t="str">
        <v>Pemilik</v>
      </c>
      <c r="B3" t="str">
        <v>: Ms. Ernawati</v>
      </c>
      <c r="J3" t="str">
        <v>FAKTOR KALI VOLUME (BETON, TANAH, DAN DINDING)</v>
      </c>
      <c r="K3">
        <v>1</v>
      </c>
      <c r="N3" t="str">
        <v>Pek. Tiang Pancang</v>
      </c>
      <c r="O3">
        <v>1.08</v>
      </c>
      <c r="R3" t="str">
        <v>Screed</v>
      </c>
      <c r="S3" t="str">
        <v>A</v>
      </c>
    </row>
    <row r="4">
      <c r="A4" t="str">
        <v>Tanggal</v>
      </c>
      <c r="B4" t="str">
        <v>: Januari 2026</v>
      </c>
      <c r="J4" t="str">
        <v>(spare untuk nego. Yang dikalikan faktor ini: balok, kolom, pas. Dinding, gali, urug)</v>
      </c>
      <c r="N4" t="str">
        <v>Pek. Pondasi Strauss</v>
      </c>
      <c r="O4" t="str">
        <v>a</v>
      </c>
    </row>
    <row r="5">
      <c r="N5" t="str">
        <v>Pek. Beton Borongan</v>
      </c>
      <c r="O5">
        <v>1.15</v>
      </c>
    </row>
    <row r="6">
      <c r="N6" t="str">
        <v>Pek. Baja &amp; Atap</v>
      </c>
      <c r="O6">
        <v>1.15</v>
      </c>
    </row>
    <row r="7">
      <c r="B7" t="str">
        <v>REKAPITULASI TOTAL:</v>
      </c>
      <c r="N7" t="str">
        <v>Pek. Pasangan Dinding</v>
      </c>
      <c r="O7">
        <v>1.15</v>
      </c>
    </row>
    <row r="8">
      <c r="J8" t="str">
        <v>Catatan :</v>
      </c>
      <c r="N8" t="str">
        <v>Pek. Saluran</v>
      </c>
      <c r="O8">
        <v>1.13</v>
      </c>
    </row>
    <row r="9">
      <c r="A9" t="str">
        <v>A</v>
      </c>
      <c r="B9" t="str">
        <v>Pekerjaan Fisik Bangunan Utama</v>
      </c>
      <c r="F9">
        <f>'REKAP RAB'!F39</f>
        <v>4591999273.485989</v>
      </c>
    </row>
    <row r="10">
      <c r="A10" t="str">
        <v>B</v>
      </c>
      <c r="B10" t="str">
        <v>Pekerjaan Persiapan, Cut &amp; Fill, dan Anti Rayap</v>
      </c>
      <c r="F10">
        <f>F67</f>
        <v>466813894.0465311</v>
      </c>
      <c r="G10" t="str">
        <v>+</v>
      </c>
    </row>
    <row r="12">
      <c r="E12" t="str">
        <v>GRAND TOTAL</v>
      </c>
      <c r="F12">
        <f>F9+F10</f>
        <v>5058813167.532519</v>
      </c>
      <c r="J12" t="str">
        <v xml:space="preserve">Luas : </v>
      </c>
    </row>
    <row r="13">
      <c r="J13" t="str">
        <v xml:space="preserve">           - Lantai 1</v>
      </c>
      <c r="K13">
        <f>'REKAP Plat'!F18</f>
        <v>288.0937839</v>
      </c>
    </row>
    <row r="14">
      <c r="J14" t="str">
        <v xml:space="preserve">           - Lantai 2</v>
      </c>
      <c r="K14">
        <f>'REKAP Plat'!F36</f>
        <v>185.7297585</v>
      </c>
    </row>
    <row r="15">
      <c r="J15" t="str">
        <v xml:space="preserve">           - Lantai 3</v>
      </c>
      <c r="K15">
        <f>'REKAP Plat'!F44</f>
        <v>192.46180949999996</v>
      </c>
    </row>
    <row r="16">
      <c r="J16" t="str">
        <v xml:space="preserve">           - Lantai Atap</v>
      </c>
      <c r="K16">
        <f>'REKAP Plat'!F51+(188.091565-27.826308)*0.7</f>
        <v>132.48144789999998</v>
      </c>
    </row>
    <row r="18">
      <c r="L18" t="str">
        <v>m2</v>
      </c>
    </row>
    <row r="19">
      <c r="K19">
        <f>SUM(K13:K18)</f>
        <v>798.7667998</v>
      </c>
      <c r="L19" t="str">
        <v>m2</v>
      </c>
      <c r="O19">
        <f>SUM(O39,O67)</f>
        <v>4419573733.783077</v>
      </c>
    </row>
    <row r="21">
      <c r="I21">
        <v>2</v>
      </c>
      <c r="J21" t="str">
        <v>Harga Bangunan Fisik</v>
      </c>
      <c r="K21">
        <f>F9/K19</f>
        <v>5748860.962468347</v>
      </c>
      <c r="L21" t="str">
        <v>/m2</v>
      </c>
      <c r="O21">
        <f>O39/K19</f>
        <v>4992049.798604219</v>
      </c>
      <c r="P21" t="str">
        <v>/m2</v>
      </c>
      <c r="Q21">
        <f>K21/O21-1</f>
        <v>0.15160328810736878</v>
      </c>
    </row>
    <row r="22">
      <c r="J22" t="str">
        <v>Harga Bangunan Fisik Total (incl. pancang, cut &amp; fill, anti rayap)</v>
      </c>
      <c r="K22">
        <f>SUM(F9:F9)/K19</f>
        <v>5748860.962468347</v>
      </c>
      <c r="L22" t="str">
        <v>/m2</v>
      </c>
      <c r="O22">
        <f>SUM(O39,O67)/K19</f>
        <v>5532996.2823813865</v>
      </c>
      <c r="P22" t="str">
        <v>/m2</v>
      </c>
      <c r="Q22">
        <f>K22/O22-1</f>
        <v>0.0390140656292024</v>
      </c>
    </row>
    <row r="24">
      <c r="O24">
        <f>O23*1.1265*K19</f>
        <v>0</v>
      </c>
    </row>
    <row r="25">
      <c r="K25" t="str">
        <v>Nilai Kontrak (incl. overhead)</v>
      </c>
      <c r="L25" t="str">
        <v>Perubahan (+ / -)</v>
      </c>
    </row>
    <row r="26">
      <c r="B26" t="str">
        <v>REKAPITULASI (A):</v>
      </c>
    </row>
    <row r="27">
      <c r="B27" t="str">
        <v>Pekerjaan Fisik Bangunan Utama</v>
      </c>
      <c r="J27" t="str">
        <v>draft R0 dari Julius</v>
      </c>
      <c r="K27">
        <f>F12</f>
        <v>5058813167.532519</v>
      </c>
    </row>
    <row r="28">
      <c r="L28">
        <f>K28-K27</f>
        <v>-5058813167.532519</v>
      </c>
    </row>
    <row r="29">
      <c r="A29" t="str">
        <v>I</v>
      </c>
      <c r="B29" t="str">
        <v>Pekerjaan Persiapan</v>
      </c>
      <c r="F29">
        <f>'RAB (A)'!F20</f>
        <v>132545000</v>
      </c>
      <c r="L29">
        <f>K29-K28</f>
        <v>0</v>
      </c>
      <c r="O29">
        <f>'RAB (A)'!O20</f>
        <v>132545000</v>
      </c>
    </row>
    <row r="30">
      <c r="A30" t="str">
        <v>II</v>
      </c>
      <c r="B30" t="str">
        <v>Pekerjaan Tanah</v>
      </c>
      <c r="F30">
        <f>'RAB (A)'!F29</f>
        <v>152205730.60840914</v>
      </c>
      <c r="L30">
        <f>K30-K29</f>
        <v>0</v>
      </c>
      <c r="O30">
        <f>'RAB (A)'!O29</f>
        <v>136614990.5545699</v>
      </c>
    </row>
    <row r="31">
      <c r="A31" t="str">
        <v>III</v>
      </c>
      <c r="B31" t="str">
        <v>Pekerjaan Fisik Lantai 1</v>
      </c>
      <c r="F31">
        <f>'RAB (A)'!F139</f>
        <v>1146859627.3426077</v>
      </c>
      <c r="L31">
        <f>K31-K30</f>
        <v>0</v>
      </c>
      <c r="O31">
        <f>'RAB (A)'!O139</f>
        <v>968153601.7174847</v>
      </c>
    </row>
    <row r="32">
      <c r="A32" t="str">
        <v>IV</v>
      </c>
      <c r="B32" t="str">
        <v>Pekerjaan Fisik Lantai 2</v>
      </c>
      <c r="F32">
        <f>'RAB (A)'!F172</f>
        <v>608094065.5779852</v>
      </c>
      <c r="L32">
        <f>K32-K31</f>
        <v>0</v>
      </c>
      <c r="O32">
        <f>'RAB (A)'!O172</f>
        <v>551689031.2499872</v>
      </c>
    </row>
    <row r="33">
      <c r="A33" t="str">
        <v>V</v>
      </c>
      <c r="B33" t="str">
        <v>Pekerjaan Fisik Lantai 3</v>
      </c>
      <c r="F33">
        <f>'RAB (A)'!F201</f>
        <v>535027915.86452377</v>
      </c>
      <c r="L33">
        <f>K33-K32</f>
        <v>0</v>
      </c>
      <c r="O33">
        <f>'RAB (A)'!O201</f>
        <v>440164694.681803</v>
      </c>
    </row>
    <row r="34">
      <c r="A34" t="str">
        <v>VI</v>
      </c>
      <c r="B34" t="str">
        <v>Pekerjaan Fisik Lantai Atap</v>
      </c>
      <c r="F34">
        <f>'RAB (A)'!F219</f>
        <v>185760731.31062302</v>
      </c>
      <c r="L34">
        <f>K34-K33</f>
        <v>0</v>
      </c>
      <c r="O34">
        <f>'RAB (A)'!O219</f>
        <v>161531070.7048896</v>
      </c>
    </row>
    <row r="35">
      <c r="A35" t="str">
        <v>VII</v>
      </c>
      <c r="B35" t="str">
        <v>Pekerjaan Baja dan Penutup Atap</v>
      </c>
      <c r="F35">
        <f>'RAB (A)'!F237</f>
        <v>503341711.9225</v>
      </c>
      <c r="L35">
        <f>K35-K34</f>
        <v>0</v>
      </c>
      <c r="O35">
        <f>'RAB (A)'!O237</f>
        <v>437861005.15</v>
      </c>
    </row>
    <row r="36">
      <c r="A36" t="str">
        <v>VIII</v>
      </c>
      <c r="B36" t="str">
        <v>Pekerjaan Pasangan Dinding Bata Merah</v>
      </c>
      <c r="F36">
        <f>'RAB (A)'!F266</f>
        <v>1068355209.6639794</v>
      </c>
      <c r="L36">
        <f>K36-K35</f>
        <v>0</v>
      </c>
      <c r="O36">
        <f>'RAB (A)'!O266</f>
        <v>929004530.1425911</v>
      </c>
    </row>
    <row r="37">
      <c r="A37" t="str">
        <v>IX</v>
      </c>
      <c r="B37" t="str">
        <v>Pekerjaan Instalasi Air Kotor &amp; Air Hujan</v>
      </c>
      <c r="F37">
        <f>'RAB (A)'!F280</f>
        <v>259809281.19536</v>
      </c>
      <c r="G37" t="str">
        <v>+</v>
      </c>
      <c r="L37">
        <f>K37-K36</f>
        <v>0</v>
      </c>
      <c r="O37">
        <f>'RAB (A)'!O280</f>
        <v>229919717.87199998</v>
      </c>
      <c r="P37" t="str">
        <v>+</v>
      </c>
    </row>
    <row r="38">
      <c r="L38">
        <f>K38-K37</f>
        <v>0</v>
      </c>
    </row>
    <row r="39">
      <c r="E39" t="str">
        <v>TOTAL (A):</v>
      </c>
      <c r="F39">
        <f>SUM(F29:F37)</f>
        <v>4591999273.485989</v>
      </c>
      <c r="L39">
        <f>K39-K38</f>
        <v>0</v>
      </c>
      <c r="O39">
        <f>SUM(O29:O37)</f>
        <v>3987483642.073326</v>
      </c>
    </row>
    <row r="40">
      <c r="B40" t="str">
        <v>KETERANGAN :</v>
      </c>
      <c r="L40" t="e">
        <f>K40-#REF!</f>
        <v>#REF!</v>
      </c>
    </row>
    <row r="41">
      <c r="A41">
        <v>1</v>
      </c>
      <c r="B41" t="str">
        <v>Pekerjaan di atas hanya pekerjaan fisik bangunan saja sesuai dengan perincian yang tertulis.</v>
      </c>
    </row>
    <row r="42">
      <c r="A42">
        <v>2</v>
      </c>
      <c r="B42" t="str">
        <v>Belum termasuk pekerjaan:</v>
      </c>
    </row>
    <row r="43">
      <c r="B43" t="str">
        <v xml:space="preserve"> - Lisplank dan badugan</v>
      </c>
    </row>
    <row r="44">
      <c r="B44" t="str">
        <v xml:space="preserve"> - Penebalan dinding untuk keperluan finishing</v>
      </c>
    </row>
    <row r="45">
      <c r="B45" t="str">
        <v xml:space="preserve"> - Kaca kanopi dan aksesorisnya</v>
      </c>
    </row>
    <row r="46">
      <c r="A46">
        <v>3</v>
      </c>
      <c r="B46" t="str">
        <v>Perincian pekerjaan di atas belum termasuk biaya :</v>
      </c>
    </row>
    <row r="47">
      <c r="A47" t="str">
        <v xml:space="preserve"> </v>
      </c>
      <c r="B47" t="str">
        <v xml:space="preserve"> - Perizinan seperti IMB, penyambungan PLN, PDAM</v>
      </c>
    </row>
    <row r="48">
      <c r="A48" t="str">
        <v xml:space="preserve"> </v>
      </c>
      <c r="B48" t="str">
        <v xml:space="preserve"> - PPN &amp; pajak-pajak lainnya</v>
      </c>
    </row>
    <row r="49">
      <c r="A49" t="str">
        <v xml:space="preserve"> </v>
      </c>
      <c r="B49" t="str">
        <v xml:space="preserve"> - Pekerjaan instalasi air bersih.</v>
      </c>
    </row>
    <row r="50">
      <c r="A50">
        <v>4</v>
      </c>
      <c r="B50" t="str">
        <v>Belum termasuk pekerjaan Pekerjaan Finishing, Mekanikal, Elektrikal, dan Elektronik, antara lain :</v>
      </c>
    </row>
    <row r="51">
      <c r="B51" t="str">
        <v xml:space="preserve"> - Instalasi kabel telepon, TV &amp; CCTV serta penangkal petir</v>
      </c>
    </row>
    <row r="52">
      <c r="B52" t="str">
        <v xml:space="preserve"> - Pekerjaan instalasi pemipaan air bersih</v>
      </c>
    </row>
    <row r="53">
      <c r="B53" t="str">
        <v xml:space="preserve"> - Pekerjaan pemasangan batu alam &amp; keramik</v>
      </c>
    </row>
    <row r="54">
      <c r="B54" t="str">
        <v xml:space="preserve"> - Pekerjaan waterproofing dan pengecatan</v>
      </c>
    </row>
    <row r="55">
      <c r="B55" t="str">
        <v xml:space="preserve"> - Pekerjaan plafond dan kelengkapannya (rangka dan lis / shadow line, drop ceiling, dan cove lampu)</v>
      </c>
    </row>
    <row r="56">
      <c r="B56" t="str">
        <v xml:space="preserve"> - Pekerjaan taman (tanah subur dan pohon + rumputnya)</v>
      </c>
    </row>
    <row r="57">
      <c r="B57" t="str">
        <v xml:space="preserve"> - Benangan / profile</v>
      </c>
    </row>
    <row r="58">
      <c r="B58" t="str">
        <v xml:space="preserve"> - Tandon atas</v>
      </c>
    </row>
    <row r="59">
      <c r="A59">
        <v>5</v>
      </c>
      <c r="B59" t="str">
        <v>Mutu beton struktur menggunakan K-350</v>
      </c>
    </row>
    <row r="60">
      <c r="B60" t="str">
        <v>REKAPITULASI (B):</v>
      </c>
    </row>
    <row r="61">
      <c r="B61" t="str">
        <v>Pekerjaan Persiapan, Cut &amp; Fill, dan Anti Rayap</v>
      </c>
    </row>
    <row r="63">
      <c r="A63" t="str">
        <v>I</v>
      </c>
      <c r="B63" t="str">
        <v>Pekerjaan Cut &amp; Fill</v>
      </c>
      <c r="F63">
        <f>'RAB (B)'!F15</f>
        <v>128612725</v>
      </c>
      <c r="O63">
        <f>'RAB (B)'!O15</f>
        <v>117829750</v>
      </c>
    </row>
    <row r="64">
      <c r="A64" t="str">
        <v>II</v>
      </c>
      <c r="B64" t="str">
        <v>Pekerjaan Pondasi</v>
      </c>
      <c r="F64">
        <f>'RAB (B)'!F26</f>
        <v>317672529.0465311</v>
      </c>
      <c r="O64">
        <f>'RAB (B)'!O26</f>
        <v>295252341.709751</v>
      </c>
    </row>
    <row r="65">
      <c r="A65" t="str">
        <v>III</v>
      </c>
      <c r="B65" t="str">
        <v>Pekerjaan Anti Rayap</v>
      </c>
      <c r="F65">
        <f>'RAB (B)'!F33</f>
        <v>20528640.000000004</v>
      </c>
      <c r="G65" t="str">
        <v>+</v>
      </c>
      <c r="O65">
        <f>'RAB (B)'!O33</f>
        <v>19008000</v>
      </c>
      <c r="P65" t="str">
        <v>+</v>
      </c>
    </row>
    <row r="67">
      <c r="E67" t="str">
        <v>TOTAL (B):</v>
      </c>
      <c r="F67">
        <f>SUM(F63:F65)</f>
        <v>466813894.0465311</v>
      </c>
      <c r="O67">
        <f>SUM(O63:O65)</f>
        <v>432090091.709751</v>
      </c>
    </row>
    <row r="68">
      <c r="B68" t="str">
        <v>KETERANGAN :</v>
      </c>
    </row>
    <row r="69">
      <c r="A69">
        <v>1</v>
      </c>
      <c r="B69" t="str">
        <v>Asumsi harga cut and fill dengan syarat tanah dibuang ke luar (bukan dipindah ke lahan milik owner)</v>
      </c>
    </row>
    <row r="71">
      <c r="B71" t="str">
        <v xml:space="preserve"> </v>
      </c>
    </row>
  </sheetData>
  <mergeCells count="1">
    <mergeCell ref="B59:F59"/>
  </mergeCells>
  <pageMargins left="0.3937007874015748" right="0.3937007874015748" top="0.3937007874015748" bottom="0.3937007874015748" header="0" footer="0"/>
  <ignoredErrors>
    <ignoredError numberStoredAsText="1" sqref="A1:S7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36"/>
  <sheetViews>
    <sheetView workbookViewId="0" rightToLeft="0"/>
  </sheetViews>
  <sheetData>
    <row r="1">
      <c r="A1" t="str">
        <v>Estimasi Biaya Pembangunan Fisik Rumah Tinggal</v>
      </c>
    </row>
    <row r="2">
      <c r="A2" t="str">
        <v>Pekerjaan</v>
      </c>
      <c r="B2" t="str">
        <v>: Pekerjaan Persiapan, Cut &amp; Fill, dan Pondasi</v>
      </c>
    </row>
    <row r="3">
      <c r="A3" t="str">
        <v>Lokasi</v>
      </c>
      <c r="B3" t="str">
        <f>'REKAP RAB'!B2</f>
        <v>: Citraland Emerald Mansion</v>
      </c>
    </row>
    <row r="4">
      <c r="A4" t="str">
        <v>Pemilik</v>
      </c>
      <c r="B4" t="str">
        <f>'REKAP RAB'!B3</f>
        <v>: Ms. Ernawati</v>
      </c>
    </row>
    <row r="5">
      <c r="A5" t="str">
        <v xml:space="preserve">Tanggal </v>
      </c>
      <c r="B5" t="str">
        <f>'REKAP RAB'!B4</f>
        <v>: Januari 2026</v>
      </c>
    </row>
    <row r="6">
      <c r="R6" t="str">
        <v>Beton</v>
      </c>
      <c r="V6" t="str">
        <v>Bekisting</v>
      </c>
      <c r="Z6" t="str">
        <v>Besi</v>
      </c>
      <c r="AC6" t="str">
        <v>Wire Mesh</v>
      </c>
    </row>
    <row r="7">
      <c r="A7" t="str">
        <v>NO</v>
      </c>
      <c r="B7" t="str">
        <v>URAIAN PEKERJAAN</v>
      </c>
      <c r="C7" t="str">
        <v>SAT</v>
      </c>
      <c r="D7" t="str">
        <v>VOLUME</v>
      </c>
      <c r="E7" t="str">
        <v>HARGA SATUAN</v>
      </c>
      <c r="F7" t="str">
        <v>TOTAL HARGA</v>
      </c>
      <c r="H7" t="str">
        <v>VOLUME</v>
      </c>
      <c r="I7" t="str">
        <v>Material</v>
      </c>
      <c r="J7" t="str">
        <v>Upah</v>
      </c>
      <c r="K7" t="str">
        <v>Peralatan</v>
      </c>
      <c r="L7" t="str">
        <v>Subkon</v>
      </c>
      <c r="M7" t="str">
        <v>Prelim</v>
      </c>
      <c r="N7" t="str">
        <v>TOTAL HARGA SATUAN</v>
      </c>
      <c r="O7" t="str">
        <v>TOTAL HARGA</v>
      </c>
      <c r="R7" t="str">
        <v>Material</v>
      </c>
      <c r="S7" t="str">
        <v>Upah</v>
      </c>
      <c r="T7" t="str">
        <v>Peralatan</v>
      </c>
      <c r="V7" t="str">
        <v>Rasio</v>
      </c>
      <c r="W7" t="str">
        <v>Material</v>
      </c>
      <c r="X7" t="str">
        <v>Peralatan</v>
      </c>
      <c r="Z7" t="str">
        <v>Rasio</v>
      </c>
      <c r="AA7" t="str">
        <v>Material</v>
      </c>
      <c r="AC7" t="str">
        <v>Rasio</v>
      </c>
      <c r="AD7" t="str">
        <v>Material</v>
      </c>
      <c r="AF7" t="str">
        <v>Harga Jadi MATERIAL / m3</v>
      </c>
      <c r="AG7" t="str">
        <v>Harga Jadi UPAH / m3</v>
      </c>
      <c r="AH7" t="str">
        <v>Harga Jadi PERALATAN / m3</v>
      </c>
      <c r="AJ7" t="str">
        <v>Total Bekisting</v>
      </c>
      <c r="AL7" t="str">
        <v>Total Besi</v>
      </c>
    </row>
    <row r="9">
      <c r="A9" t="str">
        <v>I</v>
      </c>
      <c r="B9" t="str">
        <v>PEKERJAAN CUT &amp; FILL</v>
      </c>
    </row>
    <row r="11">
      <c r="A11">
        <v>1</v>
      </c>
      <c r="B11" t="str">
        <v>Cut and fill untuk persiapan pemancangan</v>
      </c>
      <c r="C11" t="str">
        <v>ls</v>
      </c>
      <c r="D11">
        <f>H11</f>
        <v>1</v>
      </c>
      <c r="E11">
        <f>N11*'REKAP RAB'!$O$2</f>
        <v>39537575</v>
      </c>
      <c r="F11">
        <f>D11*E11</f>
        <v>39537575</v>
      </c>
      <c r="H11">
        <v>1</v>
      </c>
      <c r="L11">
        <f>((22+1.5)*(20+3)*0.95)*70000</f>
        <v>35943250</v>
      </c>
      <c r="N11">
        <f>SUM(I11:M11)</f>
        <v>35943250</v>
      </c>
      <c r="O11">
        <f>H11*N11</f>
        <v>35943250</v>
      </c>
      <c r="P11" t="str">
        <v>existing + 40cm dari jalan</v>
      </c>
    </row>
    <row r="12">
      <c r="A12">
        <v>2</v>
      </c>
      <c r="B12" t="str">
        <v>Urugan sirtu rata untuk pekerjaan pondasi</v>
      </c>
      <c r="C12" t="str">
        <v>ls</v>
      </c>
      <c r="D12">
        <f>H12</f>
        <v>1</v>
      </c>
      <c r="E12">
        <f>N12*'REKAP RAB'!$O$2</f>
        <v>79075150</v>
      </c>
      <c r="F12">
        <f>D12*E12</f>
        <v>79075150</v>
      </c>
      <c r="H12">
        <v>1</v>
      </c>
      <c r="L12">
        <f>((22+1.5)*(20+3)*0.7)*190000</f>
        <v>71886500</v>
      </c>
      <c r="N12">
        <f>SUM(I12:M12)</f>
        <v>71886500</v>
      </c>
      <c r="O12">
        <f>H12*N12</f>
        <v>71886500</v>
      </c>
      <c r="P12" t="str">
        <v>asumsi fill 70 cm (finish +15 cm dari jalan)</v>
      </c>
      <c r="AF12">
        <f>R12+V12*W12+Z12*AA12</f>
        <v>0</v>
      </c>
      <c r="AG12">
        <f>S12</f>
        <v>0</v>
      </c>
      <c r="AH12">
        <f>T12+V12*X12</f>
        <v>0</v>
      </c>
    </row>
    <row r="13">
      <c r="A13">
        <v>3</v>
      </c>
      <c r="B13" t="str">
        <v>Mobilisasi / demobilisasi alat+izin masuk</v>
      </c>
      <c r="C13" t="str">
        <v>ls</v>
      </c>
      <c r="D13">
        <v>1</v>
      </c>
      <c r="E13">
        <f>N13</f>
        <v>10000000</v>
      </c>
      <c r="F13">
        <f>D13*E13</f>
        <v>10000000</v>
      </c>
      <c r="H13">
        <v>1</v>
      </c>
      <c r="L13">
        <v>10000000</v>
      </c>
      <c r="N13">
        <f>SUM(I13:M13)</f>
        <v>10000000</v>
      </c>
      <c r="O13">
        <f>H13*N13</f>
        <v>10000000</v>
      </c>
      <c r="P13" t="str">
        <v>jadi tebal cut 95 Cm, fill 70 cm</v>
      </c>
    </row>
    <row r="15">
      <c r="A15" t="str">
        <v>Subtotal Pekerjaan Cut &amp; Fill</v>
      </c>
      <c r="F15">
        <f>SUM(F8:F14)</f>
        <v>128612725</v>
      </c>
      <c r="O15">
        <f>SUM(O8:O14)</f>
        <v>117829750</v>
      </c>
    </row>
    <row r="17">
      <c r="A17" t="str">
        <v>II</v>
      </c>
      <c r="B17" t="str">
        <v>PEKERJAAN PONDASI</v>
      </c>
    </row>
    <row r="19">
      <c r="A19">
        <v>1</v>
      </c>
      <c r="B19" t="str">
        <v>Mobilisasi / demobilisasi alat+izin masuk</v>
      </c>
      <c r="C19" t="str">
        <v>ls</v>
      </c>
      <c r="D19">
        <f>H19</f>
        <v>1</v>
      </c>
      <c r="E19">
        <f>N19</f>
        <v>15000000</v>
      </c>
      <c r="F19">
        <f>D19*E19</f>
        <v>15000000</v>
      </c>
      <c r="H19">
        <v>1</v>
      </c>
      <c r="L19">
        <f>15000000</f>
        <v>15000000</v>
      </c>
      <c r="N19">
        <f>SUM(I19:M19)</f>
        <v>15000000</v>
      </c>
      <c r="O19">
        <f>H19*N19</f>
        <v>15000000</v>
      </c>
      <c r="P19" t="str">
        <v>(pancang + borepile + kolam borepile)</v>
      </c>
    </row>
    <row r="20">
      <c r="A20">
        <v>2</v>
      </c>
      <c r="B20" t="str">
        <v>Mini Pile 20 x 20 cm (asumsi panjang tiang 12 meter)</v>
      </c>
      <c r="C20" t="str">
        <v>titik</v>
      </c>
      <c r="D20">
        <f>H20</f>
        <v>74</v>
      </c>
      <c r="E20">
        <f>N20*'REKAP RAB'!$O$3</f>
        <v>2181816</v>
      </c>
      <c r="F20">
        <f>D20*E20</f>
        <v>161454384</v>
      </c>
      <c r="H20">
        <f>'REKAP-PC'!E22</f>
        <v>74</v>
      </c>
      <c r="L20">
        <f>((97500+27500)+5000)*1.11*14</f>
        <v>2020200</v>
      </c>
      <c r="N20">
        <f>SUM(I20:M20)</f>
        <v>2020200</v>
      </c>
      <c r="O20">
        <f>H20*N20</f>
        <v>149494800</v>
      </c>
      <c r="P20" t="str">
        <v>14M</v>
      </c>
      <c r="T20">
        <v>0</v>
      </c>
    </row>
    <row r="21">
      <c r="A21">
        <v>3</v>
      </c>
      <c r="B21" t="str">
        <v>Kepras mini pile</v>
      </c>
      <c r="C21" t="str">
        <v>titik</v>
      </c>
      <c r="D21">
        <f>H21</f>
        <v>74</v>
      </c>
      <c r="E21">
        <f>N21*'REKAP RAB'!$O$3</f>
        <v>108000</v>
      </c>
      <c r="F21">
        <f>D21*E21</f>
        <v>7992000</v>
      </c>
      <c r="G21">
        <f>74*13</f>
        <v>962</v>
      </c>
      <c r="H21">
        <f>H20</f>
        <v>74</v>
      </c>
      <c r="J21">
        <v>100000</v>
      </c>
      <c r="N21">
        <f>SUM(I21:M21)</f>
        <v>100000</v>
      </c>
      <c r="O21">
        <f>H21*N21</f>
        <v>7400000</v>
      </c>
    </row>
    <row r="22">
      <c r="A22">
        <v>4</v>
      </c>
      <c r="B22" t="str">
        <v>Bored Pile dia 30cm (panjang tiang 12 meter)</v>
      </c>
      <c r="C22" t="str">
        <v>titik</v>
      </c>
      <c r="D22">
        <f>H22</f>
        <v>21</v>
      </c>
      <c r="E22">
        <f>N22*'REKAP RAB'!$O$3</f>
        <v>5264102.145072908</v>
      </c>
      <c r="F22">
        <f>D22*E22</f>
        <v>110546145.04653107</v>
      </c>
      <c r="H22">
        <f>'REKAP-PC'!F22</f>
        <v>21</v>
      </c>
      <c r="I22">
        <f>Analisa!F282</f>
        <v>2424168.652845285</v>
      </c>
      <c r="J22">
        <f>Analisa!G282</f>
        <v>2450000</v>
      </c>
      <c r="N22">
        <f>SUM(I22:M22)</f>
        <v>4874168.652845285</v>
      </c>
      <c r="O22">
        <f>H22*N22</f>
        <v>102357541.70975098</v>
      </c>
      <c r="P22" t="str">
        <v>14M</v>
      </c>
    </row>
    <row r="23">
      <c r="A23">
        <v>5</v>
      </c>
      <c r="B23" t="str">
        <v>Bobok bored pile</v>
      </c>
      <c r="C23" t="str">
        <v>titik</v>
      </c>
      <c r="D23">
        <f>H23</f>
        <v>21</v>
      </c>
      <c r="E23">
        <f>N23*'REKAP RAB'!$O$3</f>
        <v>108000</v>
      </c>
      <c r="F23">
        <f>D23*E23</f>
        <v>2268000</v>
      </c>
      <c r="H23">
        <f>H22</f>
        <v>21</v>
      </c>
      <c r="J23">
        <v>100000</v>
      </c>
      <c r="N23">
        <f>SUM(I23:M23)</f>
        <v>100000</v>
      </c>
      <c r="O23">
        <f>H23*N23</f>
        <v>2100000</v>
      </c>
    </row>
    <row r="24">
      <c r="A24">
        <v>6</v>
      </c>
      <c r="B24" t="str">
        <v>Buang lumpur bekas galian bored pile</v>
      </c>
      <c r="C24" t="str">
        <v>ls</v>
      </c>
      <c r="D24">
        <f>H24</f>
        <v>1</v>
      </c>
      <c r="E24">
        <f>N24*'REKAP RAB'!$O$3</f>
        <v>20412000</v>
      </c>
      <c r="F24">
        <f>D24*E24</f>
        <v>20412000</v>
      </c>
      <c r="H24">
        <v>1</v>
      </c>
      <c r="J24">
        <f>H23*1.5*600000</f>
        <v>18900000</v>
      </c>
      <c r="N24">
        <f>SUM(I24:M24)</f>
        <v>18900000</v>
      </c>
      <c r="O24">
        <f>H24*N24</f>
        <v>18900000</v>
      </c>
    </row>
    <row r="26">
      <c r="A26" t="str">
        <v>Subtotal Pekerjaan Cut &amp; Fill</v>
      </c>
      <c r="F26">
        <f>SUM(F16:F25)</f>
        <v>317672529.0465311</v>
      </c>
      <c r="O26">
        <f>SUM(O16:O25)</f>
        <v>295252341.709751</v>
      </c>
    </row>
    <row r="28">
      <c r="A28" t="str">
        <v>III</v>
      </c>
      <c r="B28" t="str">
        <v>PEKERJAAN ANTI RAYAP</v>
      </c>
    </row>
    <row r="30">
      <c r="A30">
        <v>1</v>
      </c>
      <c r="B30" t="str">
        <v>Anti rayap sistem injeksi tanah</v>
      </c>
      <c r="C30" t="str">
        <v>m2</v>
      </c>
      <c r="D30">
        <f>H30</f>
        <v>440</v>
      </c>
      <c r="E30">
        <f>N30*'REKAP RAB'!$O$3</f>
        <v>29160.000000000004</v>
      </c>
      <c r="F30">
        <f>D30*E30</f>
        <v>12830400.000000002</v>
      </c>
      <c r="H30">
        <f>22*20</f>
        <v>440</v>
      </c>
      <c r="L30">
        <v>27000</v>
      </c>
      <c r="N30">
        <f>SUM(I30:M30)</f>
        <v>27000</v>
      </c>
      <c r="O30">
        <f>H30*N30</f>
        <v>11880000</v>
      </c>
    </row>
    <row r="31">
      <c r="A31">
        <v>2</v>
      </c>
      <c r="B31" t="str">
        <v>Sistem pipa</v>
      </c>
      <c r="C31" t="str">
        <v>m2</v>
      </c>
      <c r="D31">
        <f>H31</f>
        <v>264</v>
      </c>
      <c r="E31">
        <f>N31*'REKAP RAB'!$O$3</f>
        <v>29160.000000000004</v>
      </c>
      <c r="F31">
        <f>D31*E31</f>
        <v>7698240.000000001</v>
      </c>
      <c r="H31">
        <f>H30*0.6</f>
        <v>264</v>
      </c>
      <c r="L31">
        <v>27000</v>
      </c>
      <c r="N31">
        <f>SUM(I31:M31)</f>
        <v>27000</v>
      </c>
      <c r="O31">
        <f>H31*N31</f>
        <v>7128000</v>
      </c>
    </row>
    <row r="33">
      <c r="A33" t="str">
        <v>Subtotal Pekerjaan Anti Rayap</v>
      </c>
      <c r="F33">
        <f>SUM(F27:F32)</f>
        <v>20528640.000000004</v>
      </c>
      <c r="O33">
        <f>SUM(O27:O32)</f>
        <v>19008000</v>
      </c>
    </row>
    <row r="34">
      <c r="R34" t="e">
        <f>SUMPRODUCT(#REF!,#REF!)</f>
        <v>#REF!</v>
      </c>
      <c r="X34" t="e">
        <f>SUMPRODUCT(#REF!,#REF!,#REF!)</f>
        <v>#REF!</v>
      </c>
    </row>
    <row r="35">
      <c r="F35">
        <f>SUM(F8:F34)/2</f>
        <v>466813894.0465311</v>
      </c>
      <c r="H35" t="str">
        <v>TOTAL</v>
      </c>
      <c r="I35">
        <f>SUMPRODUCT(H8:H33,I8:I33)</f>
        <v>50907541.70975098</v>
      </c>
      <c r="J35">
        <f>SUMPRODUCT(H8:H33,J8:J33)</f>
        <v>79850000</v>
      </c>
      <c r="K35">
        <f>SUMPRODUCT(H8:H33,K8:K33)</f>
        <v>0</v>
      </c>
      <c r="L35">
        <f>SUMPRODUCT(H8:H33,L8:L33)</f>
        <v>301332550</v>
      </c>
      <c r="M35">
        <f>SUMPRODUCT(H8:H33,M8:M33)</f>
        <v>0</v>
      </c>
      <c r="O35">
        <f>SUM(O8:O34)/2</f>
        <v>432090091.709751</v>
      </c>
      <c r="R35" t="str">
        <v>jatah concrete pump</v>
      </c>
      <c r="X35" t="str">
        <v>jatah scaffolding</v>
      </c>
    </row>
    <row r="36">
      <c r="H36" t="str">
        <v>TOTAL / m2</v>
      </c>
      <c r="I36">
        <f>I35/'REKAP RAB'!$K$13</f>
        <v>176704.75572434237</v>
      </c>
      <c r="J36">
        <f>J35/'REKAP RAB'!$K$13</f>
        <v>277166.68828827166</v>
      </c>
      <c r="K36">
        <f>K35/'REKAP RAB'!$K$13</f>
        <v>0</v>
      </c>
      <c r="L36">
        <f>L35/'REKAP RAB'!$K$13</f>
        <v>1045952.9737878527</v>
      </c>
      <c r="M36">
        <f>M35/'REKAP RAB'!$K$13</f>
        <v>0</v>
      </c>
      <c r="O36">
        <f>O35/'REKAP RAB'!$K$19</f>
        <v>540946.483777168</v>
      </c>
    </row>
  </sheetData>
  <mergeCells count="3">
    <mergeCell ref="A15:E15"/>
    <mergeCell ref="A33:E33"/>
    <mergeCell ref="A26:E26"/>
  </mergeCells>
  <pageMargins left="0.3937007874015748" right="0.3937007874015748" top="0.3937007874015748" bottom="0.3937007874015748" header="0" footer="0"/>
  <ignoredErrors>
    <ignoredError numberStoredAsText="1" sqref="A1:AO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W80"/>
  <sheetViews>
    <sheetView workbookViewId="0" rightToLeft="0"/>
  </sheetViews>
  <sheetData>
    <row r="1">
      <c r="A1" t="str">
        <v>Lantai</v>
      </c>
      <c r="B1" t="str">
        <v>Luas Bangunan</v>
      </c>
      <c r="C1" t="str">
        <v>Elemen Struktur</v>
      </c>
      <c r="D1" t="str">
        <v>Beton</v>
      </c>
      <c r="E1" t="str">
        <v>Bekisting</v>
      </c>
      <c r="H1" t="str">
        <v>Besi</v>
      </c>
      <c r="U1" t="str">
        <v>Rasio per Lantai</v>
      </c>
    </row>
    <row r="2" xml:space="preserve">
      <c r="E2" t="str">
        <v>Kayu</v>
      </c>
      <c r="F2" t="str">
        <v>Lantai Kerja</v>
      </c>
      <c r="G2" t="str">
        <v>Bata / Batako</v>
      </c>
      <c r="H2">
        <v>6</v>
      </c>
      <c r="I2">
        <v>8</v>
      </c>
      <c r="J2">
        <v>10</v>
      </c>
      <c r="K2">
        <v>13</v>
      </c>
      <c r="L2">
        <v>16</v>
      </c>
      <c r="M2">
        <v>19</v>
      </c>
      <c r="N2">
        <v>22</v>
      </c>
      <c r="O2">
        <v>25</v>
      </c>
      <c r="P2">
        <v>29</v>
      </c>
      <c r="Q2">
        <v>32</v>
      </c>
      <c r="S2" t="str">
        <v>TOTAL BESI</v>
      </c>
      <c r="U2" t="str" xml:space="preserve">
        <v xml:space="preserve">Beton_x000d_
(m3/m2)</v>
      </c>
      <c r="V2" t="str" xml:space="preserve">
        <v xml:space="preserve">Bekisting_x000d_
(m2/m3)</v>
      </c>
      <c r="W2" t="str" xml:space="preserve">
        <v xml:space="preserve">Besi_x000d_
(kg/m3)</v>
      </c>
    </row>
    <row r="5">
      <c r="A5" t="str">
        <v>Lantai Basement</v>
      </c>
      <c r="B5">
        <f>'REKAP Plat'!F18</f>
        <v>288.0937839</v>
      </c>
      <c r="C5" t="str">
        <v>Pile cap</v>
      </c>
      <c r="D5">
        <f>'REKAP-PC'!B22</f>
        <v>24.540555649999998</v>
      </c>
      <c r="F5">
        <f>'REKAP-PC'!I22</f>
        <v>6.549108374999999</v>
      </c>
      <c r="G5">
        <f>'REKAP-PC'!C22</f>
        <v>91.04659053224317</v>
      </c>
      <c r="H5">
        <f>'REKAP-PC'!J22</f>
        <v>0</v>
      </c>
      <c r="I5">
        <f>'REKAP-PC'!K22</f>
        <v>0</v>
      </c>
      <c r="J5">
        <f>'REKAP-PC'!L22</f>
        <v>0</v>
      </c>
      <c r="K5">
        <f>'REKAP-PC'!M22</f>
        <v>1434.964830298724</v>
      </c>
      <c r="L5">
        <f>'REKAP-PC'!N22</f>
        <v>1823.2822771200001</v>
      </c>
      <c r="M5">
        <f>'REKAP-PC'!O22</f>
        <v>273.15917140499994</v>
      </c>
      <c r="N5">
        <f>'REKAP-PC'!P22</f>
        <v>0</v>
      </c>
      <c r="O5">
        <f>'REKAP-PC'!Q22</f>
        <v>0</v>
      </c>
      <c r="P5">
        <v>0</v>
      </c>
      <c r="Q5">
        <v>0</v>
      </c>
      <c r="S5">
        <f>SUM(H5:Q5)</f>
        <v>3531.4062788237243</v>
      </c>
      <c r="V5">
        <f>SUM(E5:G5)/D5</f>
        <v>3.976914797658348</v>
      </c>
      <c r="W5">
        <f>S5/D5</f>
        <v>143.90082804925098</v>
      </c>
    </row>
    <row r="6">
      <c r="C6" t="str">
        <v>Kolom Lantai Basement</v>
      </c>
      <c r="D6">
        <f>'Hasil-Kolom'!F165</f>
        <v>28.902460725157113</v>
      </c>
      <c r="E6">
        <f>'Hasil-Kolom'!G165</f>
        <v>388.6190429006285</v>
      </c>
      <c r="I6">
        <f>'Hasil-Kolom'!H165</f>
        <v>0</v>
      </c>
      <c r="J6">
        <f>'Hasil-Kolom'!I165+'Hasil-Kolom'!L165</f>
        <v>2736.2721112113586</v>
      </c>
      <c r="K6">
        <f>'Hasil-Kolom'!J165+'Hasil-Kolom'!M165</f>
        <v>0</v>
      </c>
      <c r="L6">
        <f>'Hasil-Kolom'!K165+'Hasil-Kolom'!N165</f>
        <v>4392.6838272</v>
      </c>
      <c r="M6">
        <f>'Hasil-Kolom'!O165</f>
        <v>0</v>
      </c>
      <c r="N6">
        <f>'Hasil-Kolom'!P165</f>
        <v>0</v>
      </c>
      <c r="O6">
        <f>'Hasil-Kolom'!Q165</f>
        <v>0</v>
      </c>
      <c r="P6">
        <f>'Hasil-Kolom'!R165</f>
        <v>0</v>
      </c>
      <c r="S6">
        <f>SUM(H6:Q6)</f>
        <v>7128.955938411359</v>
      </c>
      <c r="V6">
        <f>SUM(E6:G6)/D6</f>
        <v>13.445880840255548</v>
      </c>
      <c r="W6">
        <f>S6/D6</f>
        <v>246.65567427641946</v>
      </c>
    </row>
    <row r="7">
      <c r="C7" t="str">
        <v>Balok Lantai Basement</v>
      </c>
      <c r="D7">
        <f>'REKAP Balok'!G281</f>
        <v>32.3541</v>
      </c>
      <c r="E7">
        <f>'REKAP Balok'!H281</f>
        <v>300.41099999999994</v>
      </c>
      <c r="F7">
        <f>'REKAP Balok'!J281</f>
        <v>9.113900000000001</v>
      </c>
      <c r="H7">
        <f>'REKAP Balok'!L281</f>
        <v>0</v>
      </c>
      <c r="I7">
        <f>'REKAP Balok'!M281</f>
        <v>1110.1340160000002</v>
      </c>
      <c r="J7">
        <f>'REKAP Balok'!N281</f>
        <v>495.60508980000003</v>
      </c>
      <c r="K7">
        <f>'REKAP Balok'!O281</f>
        <v>1121.820292593</v>
      </c>
      <c r="L7">
        <f>'REKAP Balok'!P281</f>
        <v>3096.1041131520005</v>
      </c>
      <c r="M7">
        <f>'REKAP Balok'!Q281</f>
        <v>0</v>
      </c>
      <c r="N7">
        <f>'REKAP Balok'!R281</f>
        <v>0</v>
      </c>
      <c r="O7">
        <f>'REKAP Balok'!S281</f>
        <v>0</v>
      </c>
      <c r="P7">
        <f>'REKAP Balok'!T281</f>
        <v>0</v>
      </c>
      <c r="Q7">
        <v>0</v>
      </c>
      <c r="S7">
        <f>SUM(H7:Q7)</f>
        <v>5823.663511545001</v>
      </c>
      <c r="V7">
        <f>SUM(E7:G7)/D7</f>
        <v>9.566790607681869</v>
      </c>
      <c r="W7">
        <f>S7/D7</f>
        <v>179.9976977120365</v>
      </c>
    </row>
    <row r="8">
      <c r="C8" t="str">
        <v>Retaining wall</v>
      </c>
      <c r="D8">
        <f>SUM('Retaining Wall'!C162)</f>
        <v>8.573343750000001</v>
      </c>
      <c r="E8">
        <f>SUM('Retaining Wall'!D162)</f>
        <v>114.31125</v>
      </c>
      <c r="I8">
        <f>SUM('Retaining Wall'!E162)</f>
        <v>0</v>
      </c>
      <c r="J8">
        <f>SUM('Retaining Wall'!F162)</f>
        <v>1424.2567950000002</v>
      </c>
      <c r="K8">
        <f>SUM('Retaining Wall'!G162)</f>
        <v>0</v>
      </c>
      <c r="L8">
        <f>SUM('Retaining Wall'!H162)</f>
        <v>0</v>
      </c>
      <c r="M8">
        <f>SUM('Retaining Wall'!I162)</f>
        <v>0</v>
      </c>
      <c r="S8">
        <f>SUM(H8:Q8)</f>
        <v>1424.2567950000002</v>
      </c>
      <c r="V8">
        <f>SUM(E8:G8)/D8</f>
        <v>13.333333333333332</v>
      </c>
      <c r="W8">
        <f>S8/D8</f>
        <v>166.12617393301184</v>
      </c>
    </row>
    <row r="9">
      <c r="C9" t="str">
        <v>Plat Lantai Bangunan</v>
      </c>
      <c r="D9">
        <f>'REKAP Plat'!G18</f>
        <v>51.904365410000004</v>
      </c>
      <c r="E9">
        <f>'REKAP Plat'!I18</f>
        <v>42.014415</v>
      </c>
      <c r="F9">
        <f>'REKAP Plat'!H18</f>
        <v>16.891977169999997</v>
      </c>
      <c r="H9">
        <v>0</v>
      </c>
      <c r="I9">
        <f>'REKAP Plat'!N18</f>
        <v>0</v>
      </c>
      <c r="J9">
        <f>'REKAP Plat'!O18</f>
        <v>5672.730824969628</v>
      </c>
      <c r="K9">
        <f>'REKAP Plat'!P18</f>
        <v>0</v>
      </c>
      <c r="L9">
        <f>'REKAP Plat'!Q18</f>
        <v>0</v>
      </c>
      <c r="M9">
        <f>'REKAP Plat'!R18</f>
        <v>0</v>
      </c>
      <c r="N9">
        <v>0</v>
      </c>
      <c r="O9">
        <v>0</v>
      </c>
      <c r="P9">
        <v>0</v>
      </c>
      <c r="Q9">
        <v>0</v>
      </c>
      <c r="S9">
        <f>SUM(H9:Q9)</f>
        <v>5672.730824969628</v>
      </c>
      <c r="V9">
        <f>SUM(E9:G9)/D9</f>
        <v>1.1349024634958926</v>
      </c>
      <c r="W9">
        <f>S9/D9</f>
        <v>109.29197920367422</v>
      </c>
    </row>
    <row r="10">
      <c r="U10">
        <f>SUM(D5:D9)/SUM(B5)</f>
        <v>0.5077333622232213</v>
      </c>
      <c r="V10">
        <f>SUM(E5:E9)/SUM(D5:D9)</f>
        <v>5.779228960334307</v>
      </c>
      <c r="W10">
        <f>SUM(H5:Q9)/SUM(D5:D9)</f>
        <v>161.210333100565</v>
      </c>
    </row>
    <row r="12">
      <c r="A12" t="str">
        <v>Lantai 1</v>
      </c>
      <c r="B12">
        <f>'REKAP Plat'!F51</f>
        <v>20.295768000000002</v>
      </c>
      <c r="C12" t="str">
        <v>Balok Lantai 1</v>
      </c>
      <c r="D12">
        <f>'REKAP Balok'!G332</f>
        <v>14.51964125</v>
      </c>
      <c r="E12">
        <f>'REKAP Balok'!H332</f>
        <v>179.86435</v>
      </c>
      <c r="H12">
        <f>'REKAP Balok'!L332</f>
        <v>0</v>
      </c>
      <c r="I12">
        <f>'REKAP Balok'!M332</f>
        <v>140.5107072</v>
      </c>
      <c r="J12">
        <f>'REKAP Balok'!N332</f>
        <v>768.954285</v>
      </c>
      <c r="K12">
        <f>'REKAP Balok'!O332</f>
        <v>1143.1415314214998</v>
      </c>
      <c r="L12">
        <f>'REKAP Balok'!P332</f>
        <v>139.31440128000003</v>
      </c>
      <c r="M12">
        <f>'REKAP Balok'!Q332</f>
        <v>0</v>
      </c>
      <c r="N12">
        <f>'REKAP Balok'!R332</f>
        <v>0</v>
      </c>
      <c r="O12">
        <f>'REKAP Balok'!S332</f>
        <v>0</v>
      </c>
      <c r="P12">
        <f>'REKAP Balok'!T332</f>
        <v>0</v>
      </c>
      <c r="Q12">
        <v>0</v>
      </c>
      <c r="S12">
        <f>SUM(H12:Q12)</f>
        <v>2191.9209249015</v>
      </c>
      <c r="V12">
        <f>SUM(E12:G12)/D12</f>
        <v>12.387657993960422</v>
      </c>
      <c r="W12">
        <f>S12/D12</f>
        <v>150.96247125950856</v>
      </c>
    </row>
    <row r="13">
      <c r="C13" t="str">
        <v>Plat Lantai</v>
      </c>
      <c r="D13">
        <f>'REKAP Plat'!G51</f>
        <v>6.088730400000001</v>
      </c>
      <c r="E13">
        <f>'REKAP Plat'!I51</f>
        <v>45.939786</v>
      </c>
      <c r="F13">
        <f>'REKAP Plat'!H51</f>
        <v>0</v>
      </c>
      <c r="H13">
        <v>0</v>
      </c>
      <c r="I13">
        <f>'REKAP Plat'!N51</f>
        <v>0</v>
      </c>
      <c r="J13">
        <f>'REKAP Plat'!O51</f>
        <v>668.21461830912</v>
      </c>
      <c r="K13">
        <f>'REKAP Plat'!P51</f>
        <v>0</v>
      </c>
      <c r="L13">
        <f>'REKAP Plat'!Q51</f>
        <v>0</v>
      </c>
      <c r="M13">
        <f>'REKAP Plat'!R51</f>
        <v>0</v>
      </c>
      <c r="N13">
        <v>0</v>
      </c>
      <c r="O13">
        <v>0</v>
      </c>
      <c r="P13">
        <v>0</v>
      </c>
      <c r="Q13">
        <v>0</v>
      </c>
      <c r="S13">
        <f>SUM(H13:Q13)</f>
        <v>668.21461830912</v>
      </c>
      <c r="V13">
        <f>SUM(E13:G13)/D13</f>
        <v>7.545051756602655</v>
      </c>
      <c r="W13">
        <f>S13/D13</f>
        <v>109.74613333333332</v>
      </c>
    </row>
    <row r="14">
      <c r="C14" t="str">
        <v>Retaining wall</v>
      </c>
      <c r="D14">
        <f>SUM('Retaining Wall'!C170)</f>
        <v>4.8345</v>
      </c>
      <c r="E14">
        <f>SUM('Retaining Wall'!D170)</f>
        <v>64.46</v>
      </c>
      <c r="I14">
        <f>SUM('Retaining Wall'!E170)</f>
        <v>0</v>
      </c>
      <c r="J14">
        <f>SUM('Retaining Wall'!F170)</f>
        <v>638.8173000000002</v>
      </c>
      <c r="K14">
        <f>SUM('Retaining Wall'!G170)</f>
        <v>0</v>
      </c>
      <c r="L14">
        <f>SUM('Retaining Wall'!H170)</f>
        <v>0</v>
      </c>
      <c r="M14">
        <f>SUM('Retaining Wall'!I170)</f>
        <v>0</v>
      </c>
      <c r="S14">
        <f>SUM(H14:Q14)</f>
        <v>638.8173000000002</v>
      </c>
      <c r="V14">
        <f>SUM(E14:G14)/D14</f>
        <v>13.333333333333332</v>
      </c>
      <c r="W14">
        <f>S14/D14</f>
        <v>132.13720136518774</v>
      </c>
    </row>
    <row r="15">
      <c r="C15" t="str">
        <v>Kolom</v>
      </c>
      <c r="D15" t="e">
        <f>'Hasil-Kolom'!#REF!</f>
        <v>#REF!</v>
      </c>
      <c r="E15" t="e">
        <f>'Hasil-Kolom'!#REF!</f>
        <v>#REF!</v>
      </c>
      <c r="I15" t="e">
        <f>'Hasil-Kolom'!#REF!</f>
        <v>#REF!</v>
      </c>
      <c r="J15" t="e">
        <f>'Hasil-Kolom'!#REF!+'Hasil-Kolom'!#REF!</f>
        <v>#REF!</v>
      </c>
      <c r="K15" t="e">
        <f>'Hasil-Kolom'!#REF!+'Hasil-Kolom'!#REF!</f>
        <v>#REF!</v>
      </c>
      <c r="L15" t="e">
        <f>'Hasil-Kolom'!#REF!+'Hasil-Kolom'!#REF!</f>
        <v>#REF!</v>
      </c>
      <c r="M15" t="e">
        <f>'Hasil-Kolom'!#REF!</f>
        <v>#REF!</v>
      </c>
      <c r="N15" t="e">
        <f>'Hasil-Kolom'!#REF!</f>
        <v>#REF!</v>
      </c>
      <c r="O15" t="e">
        <f>'Hasil-Kolom'!#REF!</f>
        <v>#REF!</v>
      </c>
      <c r="P15" t="e">
        <f>'Hasil-Kolom'!#REF!</f>
        <v>#REF!</v>
      </c>
      <c r="S15" t="e">
        <f>SUM(H15:Q15)</f>
        <v>#REF!</v>
      </c>
      <c r="V15" t="e">
        <f>SUM(E15:G15)/D15</f>
        <v>#REF!</v>
      </c>
      <c r="W15" t="e">
        <f>S15/D15</f>
        <v>#REF!</v>
      </c>
    </row>
    <row r="16">
      <c r="U16" t="e">
        <f>SUM(D12:D15)/B12</f>
        <v>#REF!</v>
      </c>
      <c r="V16" t="e">
        <f>SUM(E8:E15)/SUM(D8:D15)</f>
        <v>#REF!</v>
      </c>
      <c r="W16" t="e">
        <f>SUM(H8:Q15)/SUM(D8:D15)</f>
        <v>#REF!</v>
      </c>
    </row>
    <row r="18">
      <c r="A18" t="str">
        <v>Lantai 2</v>
      </c>
      <c r="B18" t="e">
        <f>'REKAP Plat'!#REF!</f>
        <v>#REF!</v>
      </c>
      <c r="C18" t="str">
        <v>Balok Lantai 2</v>
      </c>
      <c r="D18" t="e">
        <f>'REKAP Balok'!#REF!</f>
        <v>#REF!</v>
      </c>
      <c r="E18" t="e">
        <f>'REKAP Balok'!#REF!</f>
        <v>#REF!</v>
      </c>
      <c r="H18" t="e">
        <f>'REKAP Balok'!#REF!</f>
        <v>#REF!</v>
      </c>
      <c r="I18" t="e">
        <f>'REKAP Balok'!#REF!</f>
        <v>#REF!</v>
      </c>
      <c r="J18" t="e">
        <f>'REKAP Balok'!#REF!</f>
        <v>#REF!</v>
      </c>
      <c r="K18" t="e">
        <f>'REKAP Balok'!#REF!</f>
        <v>#REF!</v>
      </c>
      <c r="L18" t="e">
        <f>'REKAP Balok'!#REF!</f>
        <v>#REF!</v>
      </c>
      <c r="M18" t="e">
        <f>'REKAP Balok'!#REF!</f>
        <v>#REF!</v>
      </c>
      <c r="N18" t="e">
        <f>'REKAP Balok'!#REF!</f>
        <v>#REF!</v>
      </c>
      <c r="O18" t="e">
        <f>'REKAP Balok'!#REF!</f>
        <v>#REF!</v>
      </c>
      <c r="P18" t="e">
        <f>'REKAP Balok'!#REF!</f>
        <v>#REF!</v>
      </c>
      <c r="Q18">
        <v>0</v>
      </c>
      <c r="S18" t="e">
        <f>SUM(H18:Q18)</f>
        <v>#REF!</v>
      </c>
      <c r="V18" t="e">
        <f>SUM(E18:G18)/D18</f>
        <v>#REF!</v>
      </c>
      <c r="W18" t="e">
        <f>S18/D18</f>
        <v>#REF!</v>
      </c>
    </row>
    <row r="19">
      <c r="C19" t="str">
        <v>Plat Lantai</v>
      </c>
      <c r="D19" t="e">
        <f>'REKAP Plat'!#REF!</f>
        <v>#REF!</v>
      </c>
      <c r="E19" t="e">
        <f>'REKAP Plat'!#REF!</f>
        <v>#REF!</v>
      </c>
      <c r="H19">
        <v>0</v>
      </c>
      <c r="I19" t="e">
        <f>'REKAP Plat'!#REF!</f>
        <v>#REF!</v>
      </c>
      <c r="J19" t="e">
        <f>'REKAP Plat'!#REF!</f>
        <v>#REF!</v>
      </c>
      <c r="K19" t="e">
        <f>'REKAP Plat'!#REF!</f>
        <v>#REF!</v>
      </c>
      <c r="L19" t="e">
        <f>'REKAP Plat'!#REF!</f>
        <v>#REF!</v>
      </c>
      <c r="M19" t="e">
        <f>'REKAP Plat'!#REF!</f>
        <v>#REF!</v>
      </c>
      <c r="N19">
        <v>0</v>
      </c>
      <c r="O19">
        <v>0</v>
      </c>
      <c r="P19">
        <v>0</v>
      </c>
      <c r="Q19">
        <v>0</v>
      </c>
      <c r="S19" t="e">
        <f>SUM(H19:Q19)</f>
        <v>#REF!</v>
      </c>
      <c r="V19" t="e">
        <f>SUM(E19:G19)/D19</f>
        <v>#REF!</v>
      </c>
      <c r="W19" t="e">
        <f>S19/D19</f>
        <v>#REF!</v>
      </c>
    </row>
    <row r="20">
      <c r="C20" t="str">
        <v>Kolom</v>
      </c>
      <c r="D20" t="e">
        <f>'Hasil-Kolom'!#REF!</f>
        <v>#REF!</v>
      </c>
      <c r="E20" t="e">
        <f>'Hasil-Kolom'!#REF!</f>
        <v>#REF!</v>
      </c>
      <c r="I20" t="e">
        <f>'Hasil-Kolom'!#REF!</f>
        <v>#REF!</v>
      </c>
      <c r="J20" t="e">
        <f>'Hasil-Kolom'!#REF!+'Hasil-Kolom'!#REF!</f>
        <v>#REF!</v>
      </c>
      <c r="K20" t="e">
        <f>'Hasil-Kolom'!#REF!+'Hasil-Kolom'!#REF!</f>
        <v>#REF!</v>
      </c>
      <c r="L20" t="e">
        <f>'Hasil-Kolom'!#REF!+'Hasil-Kolom'!#REF!</f>
        <v>#REF!</v>
      </c>
      <c r="M20" t="e">
        <f>'Hasil-Kolom'!#REF!</f>
        <v>#REF!</v>
      </c>
      <c r="N20" t="e">
        <f>'Hasil-Kolom'!#REF!</f>
        <v>#REF!</v>
      </c>
      <c r="O20" t="e">
        <f>'Hasil-Kolom'!#REF!</f>
        <v>#REF!</v>
      </c>
      <c r="P20" t="e">
        <f>'Hasil-Kolom'!#REF!</f>
        <v>#REF!</v>
      </c>
      <c r="S20" t="e">
        <f>SUM(H20:Q20)</f>
        <v>#REF!</v>
      </c>
      <c r="V20" t="e">
        <f>SUM(E20:G20)/D20</f>
        <v>#REF!</v>
      </c>
      <c r="W20" t="e">
        <f>S20/D20</f>
        <v>#REF!</v>
      </c>
    </row>
    <row r="21">
      <c r="U21" t="e">
        <f>SUM(D18:D20)/B18</f>
        <v>#REF!</v>
      </c>
      <c r="V21" t="e">
        <f>SUM(E18:E20)/SUM(D18:D20)</f>
        <v>#REF!</v>
      </c>
      <c r="W21" t="e">
        <f>SUM(H18:Q20)/SUM(D18:D20)</f>
        <v>#REF!</v>
      </c>
    </row>
    <row r="23">
      <c r="A23" t="str">
        <v>Lantai 3</v>
      </c>
      <c r="B23" t="e">
        <f>'REKAP Plat'!#REF!</f>
        <v>#REF!</v>
      </c>
      <c r="C23" t="str">
        <v>Balok Lantai 3</v>
      </c>
      <c r="D23" t="e">
        <f>'REKAP Balok'!#REF!</f>
        <v>#REF!</v>
      </c>
      <c r="E23" t="e">
        <f>'REKAP Balok'!#REF!</f>
        <v>#REF!</v>
      </c>
      <c r="H23" t="e">
        <f>'REKAP Balok'!#REF!</f>
        <v>#REF!</v>
      </c>
      <c r="I23" t="e">
        <f>'REKAP Balok'!#REF!</f>
        <v>#REF!</v>
      </c>
      <c r="J23" t="e">
        <f>'REKAP Balok'!#REF!</f>
        <v>#REF!</v>
      </c>
      <c r="K23" t="e">
        <f>'REKAP Balok'!#REF!</f>
        <v>#REF!</v>
      </c>
      <c r="L23" t="e">
        <f>'REKAP Balok'!#REF!</f>
        <v>#REF!</v>
      </c>
      <c r="M23" t="e">
        <f>'REKAP Balok'!#REF!</f>
        <v>#REF!</v>
      </c>
      <c r="N23" t="e">
        <f>'REKAP Balok'!#REF!</f>
        <v>#REF!</v>
      </c>
      <c r="O23" t="e">
        <f>'REKAP Balok'!#REF!</f>
        <v>#REF!</v>
      </c>
      <c r="P23" t="e">
        <f>'REKAP Balok'!#REF!</f>
        <v>#REF!</v>
      </c>
      <c r="Q23">
        <v>0</v>
      </c>
      <c r="S23" t="e">
        <f>SUM(H23:Q23)</f>
        <v>#REF!</v>
      </c>
      <c r="V23" t="e">
        <f>SUM(E23:G23)/D23</f>
        <v>#REF!</v>
      </c>
      <c r="W23" t="e">
        <f>S23/D23</f>
        <v>#REF!</v>
      </c>
    </row>
    <row r="24">
      <c r="C24" t="str">
        <v>Plat Lantai</v>
      </c>
      <c r="D24" t="e">
        <f>'REKAP Plat'!#REF!</f>
        <v>#REF!</v>
      </c>
      <c r="E24" t="e">
        <f>'REKAP Plat'!#REF!</f>
        <v>#REF!</v>
      </c>
      <c r="H24">
        <v>0</v>
      </c>
      <c r="I24" t="e">
        <f>'REKAP Plat'!#REF!</f>
        <v>#REF!</v>
      </c>
      <c r="J24" t="e">
        <f>'REKAP Plat'!#REF!</f>
        <v>#REF!</v>
      </c>
      <c r="K24" t="e">
        <f>'REKAP Plat'!#REF!</f>
        <v>#REF!</v>
      </c>
      <c r="L24" t="e">
        <f>'REKAP Plat'!#REF!</f>
        <v>#REF!</v>
      </c>
      <c r="M24" t="e">
        <f>'REKAP Plat'!#REF!</f>
        <v>#REF!</v>
      </c>
      <c r="N24">
        <v>0</v>
      </c>
      <c r="O24">
        <v>0</v>
      </c>
      <c r="P24">
        <v>0</v>
      </c>
      <c r="Q24">
        <v>0</v>
      </c>
      <c r="S24" t="e">
        <f>SUM(H24:Q24)</f>
        <v>#REF!</v>
      </c>
      <c r="V24" t="e">
        <f>SUM(E24:G24)/D24</f>
        <v>#REF!</v>
      </c>
      <c r="W24" t="e">
        <f>S24/D24</f>
        <v>#REF!</v>
      </c>
    </row>
    <row r="25">
      <c r="C25" t="str">
        <v>Retaining wall</v>
      </c>
      <c r="D25" t="e">
        <f>SUM('Retaining Wall'!#REF!)</f>
        <v>#REF!</v>
      </c>
      <c r="E25" t="e">
        <f>SUM('Retaining Wall'!#REF!)</f>
        <v>#REF!</v>
      </c>
      <c r="I25" t="e">
        <f>SUM('Retaining Wall'!#REF!)</f>
        <v>#REF!</v>
      </c>
      <c r="J25" t="e">
        <f>SUM('Retaining Wall'!#REF!)</f>
        <v>#REF!</v>
      </c>
      <c r="K25" t="e">
        <f>SUM('Retaining Wall'!#REF!)</f>
        <v>#REF!</v>
      </c>
      <c r="L25" t="e">
        <f>SUM('Retaining Wall'!#REF!)</f>
        <v>#REF!</v>
      </c>
      <c r="M25">
        <f>SUM('Retaining Wall'!I188)</f>
        <v>0</v>
      </c>
      <c r="S25" t="e">
        <f>SUM(H25:Q25)</f>
        <v>#REF!</v>
      </c>
      <c r="V25" t="e">
        <f>SUM(E25:G25)/D25</f>
        <v>#REF!</v>
      </c>
      <c r="W25" t="e">
        <f>S25/D25</f>
        <v>#REF!</v>
      </c>
    </row>
    <row r="26">
      <c r="C26" t="str">
        <v>Kolom</v>
      </c>
      <c r="D26" t="e">
        <f>'Hasil-Kolom'!#REF!</f>
        <v>#REF!</v>
      </c>
      <c r="E26" t="e">
        <f>'Hasil-Kolom'!#REF!</f>
        <v>#REF!</v>
      </c>
      <c r="H26">
        <v>0</v>
      </c>
      <c r="I26" t="e">
        <f>'Hasil-Kolom'!#REF!</f>
        <v>#REF!</v>
      </c>
      <c r="J26" t="e">
        <f>'Hasil-Kolom'!#REF!+'Hasil-Kolom'!#REF!</f>
        <v>#REF!</v>
      </c>
      <c r="K26" t="e">
        <f>'Hasil-Kolom'!#REF!+'Hasil-Kolom'!#REF!</f>
        <v>#REF!</v>
      </c>
      <c r="L26" t="e">
        <f>'Hasil-Kolom'!#REF!+'Hasil-Kolom'!#REF!</f>
        <v>#REF!</v>
      </c>
      <c r="M26" t="e">
        <f>'Hasil-Kolom'!#REF!</f>
        <v>#REF!</v>
      </c>
      <c r="N26" t="e">
        <f>'Hasil-Kolom'!#REF!</f>
        <v>#REF!</v>
      </c>
      <c r="O26" t="e">
        <f>'Hasil-Kolom'!#REF!</f>
        <v>#REF!</v>
      </c>
      <c r="P26" t="e">
        <f>'Hasil-Kolom'!#REF!</f>
        <v>#REF!</v>
      </c>
      <c r="Q26">
        <v>0</v>
      </c>
      <c r="S26" t="e">
        <f>SUM(H26:Q26)</f>
        <v>#REF!</v>
      </c>
      <c r="V26" t="e">
        <f>SUM(E26:G26)/D26</f>
        <v>#REF!</v>
      </c>
      <c r="W26" t="e">
        <f>S26/D26</f>
        <v>#REF!</v>
      </c>
    </row>
    <row r="27">
      <c r="U27" t="e">
        <f>SUM(D23:D26)/B23</f>
        <v>#REF!</v>
      </c>
      <c r="V27" t="e">
        <f>SUM(E23:E26)/SUM(D23:D26)</f>
        <v>#REF!</v>
      </c>
      <c r="W27" t="e">
        <f>SUM(H23:Q26)/SUM(D23:D26)</f>
        <v>#REF!</v>
      </c>
    </row>
    <row r="29">
      <c r="A29" t="str">
        <v>Lantai Atap</v>
      </c>
      <c r="B29" t="e">
        <f>'REKAP Plat'!#REF!</f>
        <v>#REF!</v>
      </c>
      <c r="C29" t="str">
        <v>Balok Lantai Atap</v>
      </c>
      <c r="D29" t="e">
        <f>'REKAP Balok'!#REF!</f>
        <v>#REF!</v>
      </c>
      <c r="E29" t="e">
        <f>'REKAP Balok'!#REF!</f>
        <v>#REF!</v>
      </c>
      <c r="H29" t="e">
        <f>'REKAP Balok'!#REF!</f>
        <v>#REF!</v>
      </c>
      <c r="I29" t="e">
        <f>'REKAP Balok'!#REF!</f>
        <v>#REF!</v>
      </c>
      <c r="J29" t="e">
        <f>'REKAP Balok'!#REF!</f>
        <v>#REF!</v>
      </c>
      <c r="K29" t="e">
        <f>'REKAP Balok'!#REF!</f>
        <v>#REF!</v>
      </c>
      <c r="L29" t="e">
        <f>'REKAP Balok'!#REF!</f>
        <v>#REF!</v>
      </c>
      <c r="M29" t="e">
        <f>'REKAP Balok'!#REF!</f>
        <v>#REF!</v>
      </c>
      <c r="N29" t="e">
        <f>'REKAP Balok'!#REF!</f>
        <v>#REF!</v>
      </c>
      <c r="O29" t="e">
        <f>'REKAP Balok'!#REF!</f>
        <v>#REF!</v>
      </c>
      <c r="P29" t="e">
        <f>'REKAP Balok'!#REF!</f>
        <v>#REF!</v>
      </c>
      <c r="Q29">
        <v>0</v>
      </c>
      <c r="S29" t="e">
        <f>SUM(H29:Q29)</f>
        <v>#REF!</v>
      </c>
      <c r="V29" t="e">
        <f>SUM(E29:G29)/D29</f>
        <v>#REF!</v>
      </c>
      <c r="W29" t="e">
        <f>S29/D29</f>
        <v>#REF!</v>
      </c>
    </row>
    <row r="30">
      <c r="C30" t="str">
        <v>Plat Lantai</v>
      </c>
      <c r="D30" t="e">
        <f>'REKAP Plat'!#REF!</f>
        <v>#REF!</v>
      </c>
      <c r="E30" t="e">
        <f>'REKAP Plat'!#REF!</f>
        <v>#REF!</v>
      </c>
      <c r="H30">
        <v>0</v>
      </c>
      <c r="I30" t="e">
        <f>'REKAP Plat'!#REF!</f>
        <v>#REF!</v>
      </c>
      <c r="J30" t="e">
        <f>'REKAP Plat'!#REF!</f>
        <v>#REF!</v>
      </c>
      <c r="K30" t="e">
        <f>'REKAP Plat'!#REF!</f>
        <v>#REF!</v>
      </c>
      <c r="L30" t="e">
        <f>'REKAP Plat'!#REF!</f>
        <v>#REF!</v>
      </c>
      <c r="M30" t="e">
        <f>'REKAP Plat'!#REF!</f>
        <v>#REF!</v>
      </c>
      <c r="N30">
        <v>0</v>
      </c>
      <c r="O30">
        <v>0</v>
      </c>
      <c r="P30">
        <v>0</v>
      </c>
      <c r="Q30">
        <v>0</v>
      </c>
      <c r="S30" t="e">
        <f>SUM(H30:Q30)</f>
        <v>#REF!</v>
      </c>
      <c r="V30" t="e">
        <f>SUM(E30:G30)/D30</f>
        <v>#REF!</v>
      </c>
      <c r="W30" t="e">
        <f>S30/D30</f>
        <v>#REF!</v>
      </c>
    </row>
    <row r="31">
      <c r="U31" t="e">
        <f>SUM(D29:D30)/B29</f>
        <v>#REF!</v>
      </c>
      <c r="V31" t="e">
        <f>SUM(E29:E30)/SUM(D29:D30)</f>
        <v>#REF!</v>
      </c>
      <c r="W31" t="e">
        <f>SUM(H29:Q30)/SUM(D29:D30)</f>
        <v>#REF!</v>
      </c>
    </row>
    <row r="33">
      <c r="A33" t="str">
        <v>TOTAL</v>
      </c>
      <c r="B33" t="e">
        <f>SUM(B4:B32)</f>
        <v>#REF!</v>
      </c>
      <c r="D33" t="e">
        <f>SUM(D4:D32)</f>
        <v>#REF!</v>
      </c>
      <c r="E33" t="e">
        <f>SUM(E4:E32)</f>
        <v>#REF!</v>
      </c>
      <c r="F33">
        <f>SUM(F4:F32)</f>
        <v>32.554985544999994</v>
      </c>
      <c r="G33">
        <f>SUM(G4:G32)</f>
        <v>91.04659053224317</v>
      </c>
      <c r="H33" t="e">
        <f>SUM(H4:H32)</f>
        <v>#REF!</v>
      </c>
      <c r="I33" t="e">
        <f>SUM(I4:I32)</f>
        <v>#REF!</v>
      </c>
      <c r="J33" t="e">
        <f>SUM(J4:J32)</f>
        <v>#REF!</v>
      </c>
      <c r="K33" t="e">
        <f>SUM(K4:K32)</f>
        <v>#REF!</v>
      </c>
      <c r="L33" t="e">
        <f>SUM(L4:L32)</f>
        <v>#REF!</v>
      </c>
      <c r="M33" t="e">
        <f>SUM(M4:M32)</f>
        <v>#REF!</v>
      </c>
      <c r="N33" t="e">
        <f>SUM(N4:N32)</f>
        <v>#REF!</v>
      </c>
      <c r="O33" t="e">
        <f>SUM(O4:O32)</f>
        <v>#REF!</v>
      </c>
      <c r="P33" t="e">
        <f>SUM(P4:P32)</f>
        <v>#REF!</v>
      </c>
      <c r="Q33">
        <f>SUM(Q4:Q32)</f>
        <v>0</v>
      </c>
      <c r="S33" t="e">
        <f>SUM(S4:S32)</f>
        <v>#REF!</v>
      </c>
    </row>
    <row r="34">
      <c r="R34" t="str">
        <v>CEK</v>
      </c>
      <c r="S34" t="e">
        <f>S33-SUM(H33:Q33)</f>
        <v>#REF!</v>
      </c>
    </row>
    <row r="37">
      <c r="A37" t="str">
        <v>RASIO TOTAL</v>
      </c>
    </row>
    <row r="38">
      <c r="B38" t="str">
        <v>Beton</v>
      </c>
      <c r="C38" t="e">
        <f>D33/B33</f>
        <v>#REF!</v>
      </c>
      <c r="D38" t="str">
        <v>m3/m2 luas bangunan</v>
      </c>
    </row>
    <row r="39">
      <c r="B39" t="str">
        <v>Bekisting</v>
      </c>
      <c r="C39" t="e">
        <f>SUM(E33:G33)/D33</f>
        <v>#REF!</v>
      </c>
      <c r="D39" t="str">
        <v>m2/m3 beton</v>
      </c>
    </row>
    <row r="40">
      <c r="B40" t="str">
        <v>Besi</v>
      </c>
      <c r="C40" t="e">
        <f>S33/D33</f>
        <v>#REF!</v>
      </c>
      <c r="D40" t="str">
        <v>kg/m3 beton</v>
      </c>
    </row>
    <row r="42">
      <c r="B42" t="str">
        <v>waste besi</v>
      </c>
      <c r="C42">
        <v>0.05</v>
      </c>
    </row>
    <row r="44">
      <c r="A44" t="str">
        <v>Lantai</v>
      </c>
      <c r="B44" t="str">
        <v>Luas Bangunan</v>
      </c>
      <c r="C44" t="str">
        <v>Elemen Struktur</v>
      </c>
      <c r="D44" t="str">
        <v>Beton</v>
      </c>
      <c r="E44" t="str">
        <v>Bekisting</v>
      </c>
      <c r="H44" t="str">
        <v>Besi (LONJOR)</v>
      </c>
    </row>
    <row r="45">
      <c r="E45" t="str">
        <v>Kayu</v>
      </c>
      <c r="F45" t="str">
        <v>Lantai Kerja</v>
      </c>
      <c r="G45" t="str">
        <v>Bata / Batako</v>
      </c>
      <c r="H45">
        <v>6</v>
      </c>
      <c r="I45">
        <v>8</v>
      </c>
      <c r="J45">
        <v>10</v>
      </c>
      <c r="K45">
        <v>13</v>
      </c>
      <c r="L45">
        <v>16</v>
      </c>
      <c r="M45">
        <v>19</v>
      </c>
      <c r="N45">
        <v>22</v>
      </c>
      <c r="O45">
        <v>25</v>
      </c>
      <c r="P45">
        <v>29</v>
      </c>
      <c r="Q45">
        <v>32</v>
      </c>
      <c r="S45" t="str">
        <v>TOTAL BESI (KG)</v>
      </c>
    </row>
    <row r="46">
      <c r="H46">
        <v>2.66</v>
      </c>
      <c r="I46">
        <v>4.74</v>
      </c>
      <c r="J46">
        <v>7.4</v>
      </c>
      <c r="K46">
        <v>12.5</v>
      </c>
      <c r="L46">
        <v>19</v>
      </c>
      <c r="M46">
        <v>26.8</v>
      </c>
      <c r="N46">
        <v>35.76</v>
      </c>
      <c r="O46">
        <v>46.25</v>
      </c>
      <c r="P46">
        <v>62.22</v>
      </c>
      <c r="Q46">
        <v>75.756</v>
      </c>
    </row>
    <row r="49">
      <c r="A49" t="str">
        <f>A5</f>
        <v>Lantai Basement</v>
      </c>
      <c r="B49">
        <f>B5</f>
        <v>288.0937839</v>
      </c>
      <c r="C49" t="str">
        <v>Pile cap</v>
      </c>
      <c r="D49">
        <f>D5</f>
        <v>24.540555649999998</v>
      </c>
      <c r="E49">
        <f>E5</f>
        <v>0</v>
      </c>
      <c r="F49">
        <f>F5</f>
        <v>6.549108374999999</v>
      </c>
      <c r="G49">
        <f>G5</f>
        <v>91.04659053224317</v>
      </c>
      <c r="H49">
        <f>ROUNDUP(H5*(1+$C$42)/H$46,0)</f>
        <v>0</v>
      </c>
      <c r="I49">
        <f>ROUNDUP(I5*(1+$C$42)/I$46,0)</f>
        <v>0</v>
      </c>
      <c r="J49">
        <f>ROUNDUP(J5*(1+$C$42)/J$46,0)</f>
        <v>0</v>
      </c>
      <c r="K49">
        <f>ROUNDUP(K5*(1+$C$42)/K$46,0)</f>
        <v>121</v>
      </c>
      <c r="L49">
        <f>ROUNDUP(L5*(1+$C$42)/L$46,0)</f>
        <v>101</v>
      </c>
      <c r="M49">
        <f>ROUNDUP(M5*(1+$C$42)/M$46,0)</f>
        <v>11</v>
      </c>
      <c r="N49">
        <f>ROUNDUP(N5*(1+$C$42)/N$46,0)</f>
        <v>0</v>
      </c>
      <c r="O49">
        <f>ROUNDUP(O5*(1+$C$42)/O$46,0)</f>
        <v>0</v>
      </c>
      <c r="P49">
        <f>ROUNDUP(P5*(1+$C$42)/P$46,0)</f>
        <v>0</v>
      </c>
      <c r="Q49">
        <f>ROUNDUP(Q5*(1+$C$42)/Q$46,0)</f>
        <v>0</v>
      </c>
      <c r="S49">
        <f>SUMPRODUCT(H49:Q49,$H$46:$Q$46)</f>
        <v>3726.3</v>
      </c>
    </row>
    <row r="50">
      <c r="C50" t="str">
        <v>Kolom Lantai Basement</v>
      </c>
      <c r="D50">
        <f>D6</f>
        <v>28.902460725157113</v>
      </c>
      <c r="E50">
        <f>E6</f>
        <v>388.6190429006285</v>
      </c>
      <c r="F50">
        <f>F6</f>
        <v>0</v>
      </c>
      <c r="G50">
        <f>G6</f>
        <v>0</v>
      </c>
      <c r="H50">
        <f>ROUNDUP(H6*(1+$C$42)/H$46,0)</f>
        <v>0</v>
      </c>
      <c r="I50">
        <f>ROUNDUP(I6*(1+$C$42)/I$46,0)</f>
        <v>0</v>
      </c>
      <c r="J50">
        <f>ROUNDUP(J6*(1+$C$42)/J$46,0)</f>
        <v>389</v>
      </c>
      <c r="K50">
        <f>ROUNDUP(K6*(1+$C$42)/K$46,0)</f>
        <v>0</v>
      </c>
      <c r="L50">
        <f>ROUNDUP(L6*(1+$C$42)/L$46,0)</f>
        <v>243</v>
      </c>
      <c r="M50">
        <f>ROUNDUP(M6*(1+$C$42)/M$46,0)</f>
        <v>0</v>
      </c>
      <c r="N50">
        <f>ROUNDUP(N6*(1+$C$42)/N$46,0)</f>
        <v>0</v>
      </c>
      <c r="O50">
        <f>ROUNDUP(O6*(1+$C$42)/O$46,0)</f>
        <v>0</v>
      </c>
      <c r="P50">
        <f>ROUNDUP(P6*(1+$C$42)/P$46,0)</f>
        <v>0</v>
      </c>
      <c r="Q50">
        <f>ROUNDUP(Q6*(1+$C$42)/Q$46,0)</f>
        <v>0</v>
      </c>
      <c r="S50">
        <f>SUMPRODUCT(H50:Q50,$H$46:$Q$46)</f>
        <v>7495.6</v>
      </c>
    </row>
    <row r="51">
      <c r="C51" t="str">
        <v>Balok Lantai Basement</v>
      </c>
      <c r="D51">
        <f>D7</f>
        <v>32.3541</v>
      </c>
      <c r="E51">
        <f>E7</f>
        <v>300.41099999999994</v>
      </c>
      <c r="F51">
        <f>F7</f>
        <v>9.113900000000001</v>
      </c>
      <c r="G51">
        <f>G7</f>
        <v>0</v>
      </c>
      <c r="H51">
        <f>ROUNDUP(H7*(1+$C$42)/H$46,0)</f>
        <v>0</v>
      </c>
      <c r="I51">
        <f>ROUNDUP(I7*(1+$C$42)/I$46,0)</f>
        <v>246</v>
      </c>
      <c r="J51">
        <f>ROUNDUP(J7*(1+$C$42)/J$46,0)</f>
        <v>71</v>
      </c>
      <c r="K51">
        <f>ROUNDUP(K7*(1+$C$42)/K$46,0)</f>
        <v>95</v>
      </c>
      <c r="L51">
        <f>ROUNDUP(L7*(1+$C$42)/L$46,0)</f>
        <v>172</v>
      </c>
      <c r="M51">
        <f>ROUNDUP(M7*(1+$C$42)/M$46,0)</f>
        <v>0</v>
      </c>
      <c r="N51">
        <f>ROUNDUP(N7*(1+$C$42)/N$46,0)</f>
        <v>0</v>
      </c>
      <c r="O51">
        <f>ROUNDUP(O7*(1+$C$42)/O$46,0)</f>
        <v>0</v>
      </c>
      <c r="P51">
        <f>ROUNDUP(P7*(1+$C$42)/P$46,0)</f>
        <v>0</v>
      </c>
      <c r="Q51">
        <f>ROUNDUP(Q7*(1+$C$42)/Q$46,0)</f>
        <v>0</v>
      </c>
      <c r="S51">
        <f>SUMPRODUCT(H51:Q51,$H$46:$Q$46)</f>
        <v>6146.9400000000005</v>
      </c>
    </row>
    <row r="52">
      <c r="C52" t="str">
        <v>Retaining wall</v>
      </c>
      <c r="D52">
        <f>D8</f>
        <v>8.573343750000001</v>
      </c>
      <c r="E52">
        <f>E8</f>
        <v>114.31125</v>
      </c>
      <c r="F52">
        <f>F8</f>
        <v>0</v>
      </c>
      <c r="G52">
        <f>G8</f>
        <v>0</v>
      </c>
      <c r="H52">
        <f>ROUNDUP(H8*(1+$C$42)/H$46,0)</f>
        <v>0</v>
      </c>
      <c r="I52">
        <f>ROUNDUP(I8*(1+$C$42)/I$46,0)</f>
        <v>0</v>
      </c>
      <c r="J52">
        <f>ROUNDUP(J8*(1+$C$42)/J$46,0)</f>
        <v>203</v>
      </c>
      <c r="K52">
        <f>ROUNDUP(K8*(1+$C$42)/K$46,0)</f>
        <v>0</v>
      </c>
      <c r="L52">
        <f>ROUNDUP(L8*(1+$C$42)/L$46,0)</f>
        <v>0</v>
      </c>
      <c r="M52">
        <f>ROUNDUP(M8*(1+$C$42)/M$46,0)</f>
        <v>0</v>
      </c>
      <c r="N52">
        <f>ROUNDUP(N8*(1+$C$42)/N$46,0)</f>
        <v>0</v>
      </c>
      <c r="O52">
        <f>ROUNDUP(O8*(1+$C$42)/O$46,0)</f>
        <v>0</v>
      </c>
      <c r="P52">
        <f>ROUNDUP(P8*(1+$C$42)/P$46,0)</f>
        <v>0</v>
      </c>
      <c r="Q52">
        <f>ROUNDUP(Q8*(1+$C$42)/Q$46,0)</f>
        <v>0</v>
      </c>
      <c r="S52">
        <f>SUMPRODUCT(H52:Q52,$H$46:$Q$46)</f>
        <v>1502.2</v>
      </c>
    </row>
    <row r="53">
      <c r="C53" t="str">
        <v>Plat Lantai Bangunan</v>
      </c>
      <c r="D53">
        <f>D9</f>
        <v>51.904365410000004</v>
      </c>
      <c r="E53">
        <f>E9</f>
        <v>42.014415</v>
      </c>
      <c r="F53">
        <f>F9</f>
        <v>16.891977169999997</v>
      </c>
      <c r="G53">
        <f>G9</f>
        <v>0</v>
      </c>
      <c r="H53">
        <f>ROUNDUP(H9*(1+$C$42)/H$46,0)</f>
        <v>0</v>
      </c>
      <c r="I53">
        <f>ROUNDUP(I9*(1+$C$42)/I$46,0)</f>
        <v>0</v>
      </c>
      <c r="J53">
        <f>ROUNDUP(J9*(1+$C$42)/J$46,0)</f>
        <v>805</v>
      </c>
      <c r="K53">
        <f>ROUNDUP(K9*(1+$C$42)/K$46,0)</f>
        <v>0</v>
      </c>
      <c r="L53">
        <f>ROUNDUP(L9*(1+$C$42)/L$46,0)</f>
        <v>0</v>
      </c>
      <c r="M53">
        <f>ROUNDUP(M9*(1+$C$42)/M$46,0)</f>
        <v>0</v>
      </c>
      <c r="N53">
        <f>ROUNDUP(N9*(1+$C$42)/N$46,0)</f>
        <v>0</v>
      </c>
      <c r="O53">
        <f>ROUNDUP(O9*(1+$C$42)/O$46,0)</f>
        <v>0</v>
      </c>
      <c r="P53">
        <f>ROUNDUP(P9*(1+$C$42)/P$46,0)</f>
        <v>0</v>
      </c>
      <c r="Q53">
        <f>ROUNDUP(Q9*(1+$C$42)/Q$46,0)</f>
        <v>0</v>
      </c>
      <c r="S53">
        <f>SUMPRODUCT(H53:Q53,$H$46:$Q$46)</f>
        <v>5957</v>
      </c>
    </row>
    <row r="56">
      <c r="A56" t="str">
        <f>A12</f>
        <v>Lantai 1</v>
      </c>
      <c r="B56">
        <f>B12</f>
        <v>20.295768000000002</v>
      </c>
      <c r="C56" t="str">
        <v>Balok Lantai 1</v>
      </c>
      <c r="D56">
        <f>D12</f>
        <v>14.51964125</v>
      </c>
      <c r="E56">
        <f>E12</f>
        <v>179.86435</v>
      </c>
      <c r="F56">
        <f>F12</f>
        <v>0</v>
      </c>
      <c r="G56">
        <f>G12</f>
        <v>0</v>
      </c>
      <c r="H56">
        <f>ROUNDUP(H12*(1+$C$42)/H$46,0)</f>
        <v>0</v>
      </c>
      <c r="I56">
        <f>ROUNDUP(I12*(1+$C$42)/I$46,0)</f>
        <v>32</v>
      </c>
      <c r="J56">
        <f>ROUNDUP(J12*(1+$C$42)/J$46,0)</f>
        <v>110</v>
      </c>
      <c r="K56">
        <f>ROUNDUP(K12*(1+$C$42)/K$46,0)</f>
        <v>97</v>
      </c>
      <c r="L56">
        <f>ROUNDUP(L12*(1+$C$42)/L$46,0)</f>
        <v>8</v>
      </c>
      <c r="M56">
        <f>ROUNDUP(M12*(1+$C$42)/M$46,0)</f>
        <v>0</v>
      </c>
      <c r="N56">
        <f>ROUNDUP(N12*(1+$C$42)/N$46,0)</f>
        <v>0</v>
      </c>
      <c r="O56">
        <f>ROUNDUP(O12*(1+$C$42)/O$46,0)</f>
        <v>0</v>
      </c>
      <c r="P56">
        <f>ROUNDUP(P12*(1+$C$42)/P$46,0)</f>
        <v>0</v>
      </c>
      <c r="Q56">
        <f>ROUNDUP(Q12*(1+$C$42)/Q$46,0)</f>
        <v>0</v>
      </c>
      <c r="S56">
        <f>SUMPRODUCT(H56:Q56,$H$46:$Q$46)</f>
        <v>2330.1800000000003</v>
      </c>
    </row>
    <row r="57">
      <c r="C57" t="str">
        <v>Plat Lantai</v>
      </c>
      <c r="D57">
        <f>D13</f>
        <v>6.088730400000001</v>
      </c>
      <c r="E57">
        <f>E13</f>
        <v>45.939786</v>
      </c>
      <c r="F57">
        <f>F13</f>
        <v>0</v>
      </c>
      <c r="G57">
        <f>G13</f>
        <v>0</v>
      </c>
      <c r="H57">
        <f>ROUNDUP(H13*(1+$C$42)/H$46,0)</f>
        <v>0</v>
      </c>
      <c r="I57">
        <f>ROUNDUP(I13*(1+$C$42)/I$46,0)</f>
        <v>0</v>
      </c>
      <c r="J57">
        <f>ROUNDUP(J13*(1+$C$42)/J$46,0)</f>
        <v>95</v>
      </c>
      <c r="K57">
        <f>ROUNDUP(K13*(1+$C$42)/K$46,0)</f>
        <v>0</v>
      </c>
      <c r="L57">
        <f>ROUNDUP(L13*(1+$C$42)/L$46,0)</f>
        <v>0</v>
      </c>
      <c r="M57">
        <f>ROUNDUP(M13*(1+$C$42)/M$46,0)</f>
        <v>0</v>
      </c>
      <c r="N57">
        <f>ROUNDUP(N13*(1+$C$42)/N$46,0)</f>
        <v>0</v>
      </c>
      <c r="O57">
        <f>ROUNDUP(O13*(1+$C$42)/O$46,0)</f>
        <v>0</v>
      </c>
      <c r="P57">
        <f>ROUNDUP(P13*(1+$C$42)/P$46,0)</f>
        <v>0</v>
      </c>
      <c r="Q57">
        <f>ROUNDUP(Q13*(1+$C$42)/Q$46,0)</f>
        <v>0</v>
      </c>
      <c r="S57">
        <f>SUMPRODUCT(H57:Q57,$H$46:$Q$46)</f>
        <v>703</v>
      </c>
    </row>
    <row r="58">
      <c r="C58" t="str">
        <v>Retaining wall</v>
      </c>
      <c r="D58">
        <f>D14</f>
        <v>4.8345</v>
      </c>
      <c r="E58">
        <f>E14</f>
        <v>64.46</v>
      </c>
      <c r="F58">
        <f>F14</f>
        <v>0</v>
      </c>
      <c r="G58">
        <f>G14</f>
        <v>0</v>
      </c>
      <c r="H58">
        <f>ROUNDUP(H14*(1+$C$42)/H$46,0)</f>
        <v>0</v>
      </c>
      <c r="I58">
        <f>ROUNDUP(I14*(1+$C$42)/I$46,0)</f>
        <v>0</v>
      </c>
      <c r="J58">
        <f>ROUNDUP(J14*(1+$C$42)/J$46,0)</f>
        <v>91</v>
      </c>
      <c r="K58">
        <f>ROUNDUP(K14*(1+$C$42)/K$46,0)</f>
        <v>0</v>
      </c>
      <c r="L58">
        <f>ROUNDUP(L14*(1+$C$42)/L$46,0)</f>
        <v>0</v>
      </c>
      <c r="M58">
        <f>ROUNDUP(M14*(1+$C$42)/M$46,0)</f>
        <v>0</v>
      </c>
      <c r="N58">
        <f>ROUNDUP(N14*(1+$C$42)/N$46,0)</f>
        <v>0</v>
      </c>
      <c r="O58">
        <f>ROUNDUP(O14*(1+$C$42)/O$46,0)</f>
        <v>0</v>
      </c>
      <c r="P58">
        <f>ROUNDUP(P14*(1+$C$42)/P$46,0)</f>
        <v>0</v>
      </c>
      <c r="Q58">
        <f>ROUNDUP(Q14*(1+$C$42)/Q$46,0)</f>
        <v>0</v>
      </c>
      <c r="S58">
        <f>SUMPRODUCT(H58:Q58,$H$46:$Q$46)</f>
        <v>673.4</v>
      </c>
    </row>
    <row r="59">
      <c r="C59" t="str">
        <v>Kolom</v>
      </c>
      <c r="D59" t="e">
        <f>D15</f>
        <v>#REF!</v>
      </c>
      <c r="E59" t="e">
        <f>E15</f>
        <v>#REF!</v>
      </c>
      <c r="F59">
        <f>F15</f>
        <v>0</v>
      </c>
      <c r="G59">
        <f>G15</f>
        <v>0</v>
      </c>
      <c r="H59">
        <f>ROUNDUP(H15*(1+$C$42)/H$46,0)</f>
        <v>0</v>
      </c>
      <c r="I59" t="e">
        <f>ROUNDUP(I15*(1+$C$42)/I$46,0)</f>
        <v>#REF!</v>
      </c>
      <c r="J59" t="e">
        <f>ROUNDUP(J15*(1+$C$42)/J$46,0)</f>
        <v>#REF!</v>
      </c>
      <c r="K59" t="e">
        <f>ROUNDUP(K15*(1+$C$42)/K$46,0)</f>
        <v>#REF!</v>
      </c>
      <c r="L59" t="e">
        <f>ROUNDUP(L15*(1+$C$42)/L$46,0)</f>
        <v>#REF!</v>
      </c>
      <c r="M59" t="e">
        <f>ROUNDUP(M15*(1+$C$42)/M$46,0)</f>
        <v>#REF!</v>
      </c>
      <c r="N59" t="e">
        <f>ROUNDUP(N15*(1+$C$42)/N$46,0)</f>
        <v>#REF!</v>
      </c>
      <c r="O59" t="e">
        <f>ROUNDUP(O15*(1+$C$42)/O$46,0)</f>
        <v>#REF!</v>
      </c>
      <c r="P59" t="e">
        <f>ROUNDUP(P15*(1+$C$42)/P$46,0)</f>
        <v>#REF!</v>
      </c>
      <c r="Q59">
        <f>ROUNDUP(Q15*(1+$C$42)/Q$46,0)</f>
        <v>0</v>
      </c>
      <c r="S59" t="e">
        <f>SUMPRODUCT(H59:Q59,$H$46:$Q$46)</f>
        <v>#REF!</v>
      </c>
    </row>
    <row r="62">
      <c r="A62" t="str">
        <f>A18</f>
        <v>Lantai 2</v>
      </c>
      <c r="B62" t="e">
        <f>B18</f>
        <v>#REF!</v>
      </c>
      <c r="C62" t="str">
        <v>Balok Lantai 2</v>
      </c>
      <c r="D62" t="e">
        <f>D18</f>
        <v>#REF!</v>
      </c>
      <c r="E62" t="e">
        <f>E18</f>
        <v>#REF!</v>
      </c>
      <c r="F62">
        <f>F18</f>
        <v>0</v>
      </c>
      <c r="G62">
        <f>G18</f>
        <v>0</v>
      </c>
      <c r="H62" t="e">
        <f>ROUNDUP(H18*(1+$C$42)/H$46,0)</f>
        <v>#REF!</v>
      </c>
      <c r="I62" t="e">
        <f>ROUNDUP(I18*(1+$C$42)/I$46,0)</f>
        <v>#REF!</v>
      </c>
      <c r="J62" t="e">
        <f>ROUNDUP(J18*(1+$C$42)/J$46,0)</f>
        <v>#REF!</v>
      </c>
      <c r="K62" t="e">
        <f>ROUNDUP(K18*(1+$C$42)/K$46,0)</f>
        <v>#REF!</v>
      </c>
      <c r="L62" t="e">
        <f>ROUNDUP(L18*(1+$C$42)/L$46,0)</f>
        <v>#REF!</v>
      </c>
      <c r="M62" t="e">
        <f>ROUNDUP(M18*(1+$C$42)/M$46,0)</f>
        <v>#REF!</v>
      </c>
      <c r="N62" t="e">
        <f>ROUNDUP(N18*(1+$C$42)/N$46,0)</f>
        <v>#REF!</v>
      </c>
      <c r="O62" t="e">
        <f>ROUNDUP(O18*(1+$C$42)/O$46,0)</f>
        <v>#REF!</v>
      </c>
      <c r="P62" t="e">
        <f>ROUNDUP(P18*(1+$C$42)/P$46,0)</f>
        <v>#REF!</v>
      </c>
      <c r="Q62">
        <f>ROUNDUP(Q18*(1+$C$42)/Q$46,0)</f>
        <v>0</v>
      </c>
      <c r="S62" t="e">
        <f>SUMPRODUCT(H62:Q62,$H$46:$Q$46)</f>
        <v>#REF!</v>
      </c>
    </row>
    <row r="63">
      <c r="C63" t="str">
        <v>Plat Lantai</v>
      </c>
      <c r="D63" t="e">
        <f>D19</f>
        <v>#REF!</v>
      </c>
      <c r="E63" t="e">
        <f>E19</f>
        <v>#REF!</v>
      </c>
      <c r="F63">
        <f>F19</f>
        <v>0</v>
      </c>
      <c r="G63">
        <f>G19</f>
        <v>0</v>
      </c>
      <c r="H63">
        <f>ROUNDUP(H19*(1+$C$42)/H$46,0)</f>
        <v>0</v>
      </c>
      <c r="I63" t="e">
        <f>ROUNDUP(I19*(1+$C$42)/I$46,0)</f>
        <v>#REF!</v>
      </c>
      <c r="J63" t="e">
        <f>ROUNDUP(J19*(1+$C$42)/J$46,0)</f>
        <v>#REF!</v>
      </c>
      <c r="K63" t="e">
        <f>ROUNDUP(K19*(1+$C$42)/K$46,0)</f>
        <v>#REF!</v>
      </c>
      <c r="L63" t="e">
        <f>ROUNDUP(L19*(1+$C$42)/L$46,0)</f>
        <v>#REF!</v>
      </c>
      <c r="M63" t="e">
        <f>ROUNDUP(M19*(1+$C$42)/M$46,0)</f>
        <v>#REF!</v>
      </c>
      <c r="N63">
        <f>ROUNDUP(N19*(1+$C$42)/N$46,0)</f>
        <v>0</v>
      </c>
      <c r="O63">
        <f>ROUNDUP(O19*(1+$C$42)/O$46,0)</f>
        <v>0</v>
      </c>
      <c r="P63">
        <f>ROUNDUP(P19*(1+$C$42)/P$46,0)</f>
        <v>0</v>
      </c>
      <c r="Q63">
        <f>ROUNDUP(Q19*(1+$C$42)/Q$46,0)</f>
        <v>0</v>
      </c>
      <c r="S63" t="e">
        <f>SUMPRODUCT(H63:Q63,$H$46:$Q$46)</f>
        <v>#REF!</v>
      </c>
    </row>
    <row r="64">
      <c r="C64" t="str">
        <v>Kolom</v>
      </c>
      <c r="D64" t="e">
        <f>D20</f>
        <v>#REF!</v>
      </c>
      <c r="E64" t="e">
        <f>E20</f>
        <v>#REF!</v>
      </c>
      <c r="F64">
        <f>F20</f>
        <v>0</v>
      </c>
      <c r="G64">
        <f>G20</f>
        <v>0</v>
      </c>
      <c r="H64">
        <f>ROUNDUP(H20*(1+$C$42)/H$46,0)</f>
        <v>0</v>
      </c>
      <c r="I64" t="e">
        <f>ROUNDUP(I20*(1+$C$42)/I$46,0)</f>
        <v>#REF!</v>
      </c>
      <c r="J64" t="e">
        <f>ROUNDUP(J20*(1+$C$42)/J$46,0)</f>
        <v>#REF!</v>
      </c>
      <c r="K64" t="e">
        <f>ROUNDUP(K20*(1+$C$42)/K$46,0)</f>
        <v>#REF!</v>
      </c>
      <c r="L64" t="e">
        <f>ROUNDUP(L20*(1+$C$42)/L$46,0)</f>
        <v>#REF!</v>
      </c>
      <c r="M64" t="e">
        <f>ROUNDUP(M20*(1+$C$42)/M$46,0)</f>
        <v>#REF!</v>
      </c>
      <c r="N64" t="e">
        <f>ROUNDUP(N20*(1+$C$42)/N$46,0)</f>
        <v>#REF!</v>
      </c>
      <c r="O64" t="e">
        <f>ROUNDUP(O20*(1+$C$42)/O$46,0)</f>
        <v>#REF!</v>
      </c>
      <c r="P64" t="e">
        <f>ROUNDUP(P20*(1+$C$42)/P$46,0)</f>
        <v>#REF!</v>
      </c>
      <c r="Q64">
        <f>ROUNDUP(Q20*(1+$C$42)/Q$46,0)</f>
        <v>0</v>
      </c>
      <c r="S64" t="e">
        <f>SUMPRODUCT(H64:Q64,$H$46:$Q$46)</f>
        <v>#REF!</v>
      </c>
    </row>
    <row r="67">
      <c r="A67" t="str">
        <f>A23</f>
        <v>Lantai 3</v>
      </c>
      <c r="B67" t="e">
        <f>B23</f>
        <v>#REF!</v>
      </c>
      <c r="C67" t="str">
        <v>Balok Lantai 3</v>
      </c>
      <c r="D67" t="e">
        <f>D23</f>
        <v>#REF!</v>
      </c>
      <c r="E67" t="e">
        <f>E23</f>
        <v>#REF!</v>
      </c>
      <c r="F67">
        <f>F23</f>
        <v>0</v>
      </c>
      <c r="G67">
        <f>G23</f>
        <v>0</v>
      </c>
      <c r="H67" t="e">
        <f>ROUNDUP(H23*(1+$C$42)/H$46,0)</f>
        <v>#REF!</v>
      </c>
      <c r="I67" t="e">
        <f>ROUNDUP(I23*(1+$C$42)/I$46,0)</f>
        <v>#REF!</v>
      </c>
      <c r="J67" t="e">
        <f>ROUNDUP(J23*(1+$C$42)/J$46,0)</f>
        <v>#REF!</v>
      </c>
      <c r="K67" t="e">
        <f>ROUNDUP(K23*(1+$C$42)/K$46,0)</f>
        <v>#REF!</v>
      </c>
      <c r="L67" t="e">
        <f>ROUNDUP(L23*(1+$C$42)/L$46,0)</f>
        <v>#REF!</v>
      </c>
      <c r="M67" t="e">
        <f>ROUNDUP(M23*(1+$C$42)/M$46,0)</f>
        <v>#REF!</v>
      </c>
      <c r="N67" t="e">
        <f>ROUNDUP(N23*(1+$C$42)/N$46,0)</f>
        <v>#REF!</v>
      </c>
      <c r="O67" t="e">
        <f>ROUNDUP(O23*(1+$C$42)/O$46,0)</f>
        <v>#REF!</v>
      </c>
      <c r="P67" t="e">
        <f>ROUNDUP(P23*(1+$C$42)/P$46,0)</f>
        <v>#REF!</v>
      </c>
      <c r="Q67">
        <f>ROUNDUP(Q23*(1+$C$42)/Q$46,0)</f>
        <v>0</v>
      </c>
      <c r="S67" t="e">
        <f>SUMPRODUCT(H67:Q67,$H$46:$Q$46)</f>
        <v>#REF!</v>
      </c>
    </row>
    <row r="68">
      <c r="C68" t="str">
        <v>Plat Lantai</v>
      </c>
      <c r="D68" t="e">
        <f>D24</f>
        <v>#REF!</v>
      </c>
      <c r="E68" t="e">
        <f>E24</f>
        <v>#REF!</v>
      </c>
      <c r="F68">
        <f>F24</f>
        <v>0</v>
      </c>
      <c r="G68">
        <f>G24</f>
        <v>0</v>
      </c>
      <c r="H68">
        <f>ROUNDUP(H24*(1+$C$42)/H$46,0)</f>
        <v>0</v>
      </c>
      <c r="I68" t="e">
        <f>ROUNDUP(I24*(1+$C$42)/I$46,0)</f>
        <v>#REF!</v>
      </c>
      <c r="J68" t="e">
        <f>ROUNDUP(J24*(1+$C$42)/J$46,0)</f>
        <v>#REF!</v>
      </c>
      <c r="K68" t="e">
        <f>ROUNDUP(K24*(1+$C$42)/K$46,0)</f>
        <v>#REF!</v>
      </c>
      <c r="L68" t="e">
        <f>ROUNDUP(L24*(1+$C$42)/L$46,0)</f>
        <v>#REF!</v>
      </c>
      <c r="M68" t="e">
        <f>ROUNDUP(M24*(1+$C$42)/M$46,0)</f>
        <v>#REF!</v>
      </c>
      <c r="N68">
        <f>ROUNDUP(N24*(1+$C$42)/N$46,0)</f>
        <v>0</v>
      </c>
      <c r="O68">
        <f>ROUNDUP(O24*(1+$C$42)/O$46,0)</f>
        <v>0</v>
      </c>
      <c r="P68">
        <f>ROUNDUP(P24*(1+$C$42)/P$46,0)</f>
        <v>0</v>
      </c>
      <c r="Q68">
        <f>ROUNDUP(Q24*(1+$C$42)/Q$46,0)</f>
        <v>0</v>
      </c>
      <c r="S68" t="e">
        <f>SUMPRODUCT(H68:Q68,$H$46:$Q$46)</f>
        <v>#REF!</v>
      </c>
    </row>
    <row r="69">
      <c r="C69" t="str">
        <v>Retaining wall</v>
      </c>
      <c r="D69" t="e">
        <f>D25</f>
        <v>#REF!</v>
      </c>
      <c r="E69" t="e">
        <f>E25</f>
        <v>#REF!</v>
      </c>
      <c r="F69">
        <f>F25</f>
        <v>0</v>
      </c>
      <c r="G69">
        <f>G25</f>
        <v>0</v>
      </c>
      <c r="H69">
        <f>ROUNDUP(H25*(1+$C$42)/H$46,0)</f>
        <v>0</v>
      </c>
      <c r="I69" t="e">
        <f>ROUNDUP(I25*(1+$C$42)/I$46,0)</f>
        <v>#REF!</v>
      </c>
      <c r="J69" t="e">
        <f>ROUNDUP(J25*(1+$C$42)/J$46,0)</f>
        <v>#REF!</v>
      </c>
      <c r="K69" t="e">
        <f>ROUNDUP(K25*(1+$C$42)/K$46,0)</f>
        <v>#REF!</v>
      </c>
      <c r="L69" t="e">
        <f>ROUNDUP(L25*(1+$C$42)/L$46,0)</f>
        <v>#REF!</v>
      </c>
      <c r="M69">
        <f>ROUNDUP(M25*(1+$C$42)/M$46,0)</f>
        <v>0</v>
      </c>
      <c r="N69">
        <f>ROUNDUP(N25*(1+$C$42)/N$46,0)</f>
        <v>0</v>
      </c>
      <c r="O69">
        <f>ROUNDUP(O25*(1+$C$42)/O$46,0)</f>
        <v>0</v>
      </c>
      <c r="P69">
        <f>ROUNDUP(P25*(1+$C$42)/P$46,0)</f>
        <v>0</v>
      </c>
      <c r="Q69">
        <f>ROUNDUP(Q25*(1+$C$42)/Q$46,0)</f>
        <v>0</v>
      </c>
      <c r="S69" t="e">
        <f>SUMPRODUCT(H69:Q69,$H$46:$Q$46)</f>
        <v>#REF!</v>
      </c>
    </row>
    <row r="70">
      <c r="C70" t="str">
        <v>Kolom</v>
      </c>
      <c r="D70" t="e">
        <f>D26</f>
        <v>#REF!</v>
      </c>
      <c r="E70" t="e">
        <f>E26</f>
        <v>#REF!</v>
      </c>
      <c r="F70">
        <f>F26</f>
        <v>0</v>
      </c>
      <c r="G70">
        <f>G26</f>
        <v>0</v>
      </c>
      <c r="H70">
        <f>ROUNDUP(H26*(1+$C$42)/H$46,0)</f>
        <v>0</v>
      </c>
      <c r="I70" t="e">
        <f>ROUNDUP(I26*(1+$C$42)/I$46,0)</f>
        <v>#REF!</v>
      </c>
      <c r="J70" t="e">
        <f>ROUNDUP(J26*(1+$C$42)/J$46,0)</f>
        <v>#REF!</v>
      </c>
      <c r="K70" t="e">
        <f>ROUNDUP(K26*(1+$C$42)/K$46,0)</f>
        <v>#REF!</v>
      </c>
      <c r="L70" t="e">
        <f>ROUNDUP(L26*(1+$C$42)/L$46,0)</f>
        <v>#REF!</v>
      </c>
      <c r="M70" t="e">
        <f>ROUNDUP(M26*(1+$C$42)/M$46,0)</f>
        <v>#REF!</v>
      </c>
      <c r="N70" t="e">
        <f>ROUNDUP(N26*(1+$C$42)/N$46,0)</f>
        <v>#REF!</v>
      </c>
      <c r="O70" t="e">
        <f>ROUNDUP(O26*(1+$C$42)/O$46,0)</f>
        <v>#REF!</v>
      </c>
      <c r="P70" t="e">
        <f>ROUNDUP(P26*(1+$C$42)/P$46,0)</f>
        <v>#REF!</v>
      </c>
      <c r="Q70">
        <f>ROUNDUP(Q26*(1+$C$42)/Q$46,0)</f>
        <v>0</v>
      </c>
      <c r="S70" t="e">
        <f>SUMPRODUCT(H70:Q70,$H$46:$Q$46)</f>
        <v>#REF!</v>
      </c>
    </row>
    <row r="73">
      <c r="A73" t="str">
        <f>A29</f>
        <v>Lantai Atap</v>
      </c>
      <c r="B73" t="e">
        <f>B29</f>
        <v>#REF!</v>
      </c>
      <c r="C73" t="str">
        <v>Balok Lantai Atap</v>
      </c>
      <c r="D73" t="e">
        <f>D29</f>
        <v>#REF!</v>
      </c>
      <c r="E73" t="e">
        <f>E29</f>
        <v>#REF!</v>
      </c>
      <c r="F73">
        <f>F29</f>
        <v>0</v>
      </c>
      <c r="G73">
        <f>G29</f>
        <v>0</v>
      </c>
      <c r="H73" t="e">
        <f>ROUNDUP(H29*(1+$C$42)/H$46,0)</f>
        <v>#REF!</v>
      </c>
      <c r="I73" t="e">
        <f>ROUNDUP(I29*(1+$C$42)/I$46,0)</f>
        <v>#REF!</v>
      </c>
      <c r="J73" t="e">
        <f>ROUNDUP(J29*(1+$C$42)/J$46,0)</f>
        <v>#REF!</v>
      </c>
      <c r="K73" t="e">
        <f>ROUNDUP(K29*(1+$C$42)/K$46,0)</f>
        <v>#REF!</v>
      </c>
      <c r="L73" t="e">
        <f>ROUNDUP(L29*(1+$C$42)/L$46,0)</f>
        <v>#REF!</v>
      </c>
      <c r="M73" t="e">
        <f>ROUNDUP(M29*(1+$C$42)/M$46,0)</f>
        <v>#REF!</v>
      </c>
      <c r="N73" t="e">
        <f>ROUNDUP(N29*(1+$C$42)/N$46,0)</f>
        <v>#REF!</v>
      </c>
      <c r="O73" t="e">
        <f>ROUNDUP(O29*(1+$C$42)/O$46,0)</f>
        <v>#REF!</v>
      </c>
      <c r="P73" t="e">
        <f>ROUNDUP(P29*(1+$C$42)/P$46,0)</f>
        <v>#REF!</v>
      </c>
      <c r="Q73">
        <f>ROUNDUP(Q29*(1+$C$42)/Q$46,0)</f>
        <v>0</v>
      </c>
      <c r="S73" t="e">
        <f>SUMPRODUCT(H73:Q73,$H$46:$Q$46)</f>
        <v>#REF!</v>
      </c>
    </row>
    <row r="74">
      <c r="C74" t="str">
        <v>Plat Lantai</v>
      </c>
      <c r="D74" t="e">
        <f>D30</f>
        <v>#REF!</v>
      </c>
      <c r="E74" t="e">
        <f>E30</f>
        <v>#REF!</v>
      </c>
      <c r="F74">
        <f>F30</f>
        <v>0</v>
      </c>
      <c r="G74">
        <f>G30</f>
        <v>0</v>
      </c>
      <c r="H74">
        <f>ROUNDUP(H30*(1+$C$42)/H$46,0)</f>
        <v>0</v>
      </c>
      <c r="I74" t="e">
        <f>ROUNDUP(I30*(1+$C$42)/I$46,0)</f>
        <v>#REF!</v>
      </c>
      <c r="J74" t="e">
        <f>ROUNDUP(J30*(1+$C$42)/J$46,0)</f>
        <v>#REF!</v>
      </c>
      <c r="K74" t="e">
        <f>ROUNDUP(K30*(1+$C$42)/K$46,0)</f>
        <v>#REF!</v>
      </c>
      <c r="L74" t="e">
        <f>ROUNDUP(L30*(1+$C$42)/L$46,0)</f>
        <v>#REF!</v>
      </c>
      <c r="M74" t="e">
        <f>ROUNDUP(M30*(1+$C$42)/M$46,0)</f>
        <v>#REF!</v>
      </c>
      <c r="N74">
        <f>ROUNDUP(N30*(1+$C$42)/N$46,0)</f>
        <v>0</v>
      </c>
      <c r="O74">
        <f>ROUNDUP(O30*(1+$C$42)/O$46,0)</f>
        <v>0</v>
      </c>
      <c r="P74">
        <f>ROUNDUP(P30*(1+$C$42)/P$46,0)</f>
        <v>0</v>
      </c>
      <c r="Q74">
        <f>ROUNDUP(Q30*(1+$C$42)/Q$46,0)</f>
        <v>0</v>
      </c>
      <c r="S74" t="e">
        <f>SUMPRODUCT(H74:Q74,$H$46:$Q$46)</f>
        <v>#REF!</v>
      </c>
    </row>
    <row r="77">
      <c r="A77" t="str">
        <v>TOTAL</v>
      </c>
      <c r="B77" t="e">
        <f>SUM(B48:B76)</f>
        <v>#REF!</v>
      </c>
      <c r="D77" t="e">
        <f>SUM(D48:D76)</f>
        <v>#REF!</v>
      </c>
      <c r="E77" t="e">
        <f>SUM(E48:E76)</f>
        <v>#REF!</v>
      </c>
      <c r="F77">
        <f>SUM(F48:F76)</f>
        <v>32.554985544999994</v>
      </c>
      <c r="G77">
        <f>SUM(G48:G76)</f>
        <v>91.04659053224317</v>
      </c>
      <c r="H77" t="e">
        <f>SUM(H48:H76)</f>
        <v>#REF!</v>
      </c>
      <c r="I77" t="e">
        <f>SUM(I48:I76)</f>
        <v>#REF!</v>
      </c>
      <c r="J77" t="e">
        <f>SUM(J48:J76)</f>
        <v>#REF!</v>
      </c>
      <c r="K77" t="e">
        <f>SUM(K48:K76)</f>
        <v>#REF!</v>
      </c>
      <c r="L77" t="e">
        <f>SUM(L48:L76)</f>
        <v>#REF!</v>
      </c>
      <c r="M77" t="e">
        <f>SUM(M48:M76)</f>
        <v>#REF!</v>
      </c>
      <c r="N77" t="e">
        <f>SUM(N48:N76)</f>
        <v>#REF!</v>
      </c>
      <c r="O77" t="e">
        <f>SUM(O48:O76)</f>
        <v>#REF!</v>
      </c>
      <c r="P77" t="e">
        <f>SUM(P48:P76)</f>
        <v>#REF!</v>
      </c>
      <c r="Q77">
        <f>SUM(Q48:Q76)</f>
        <v>0</v>
      </c>
      <c r="S77" t="e">
        <f>SUM(S48:S76)</f>
        <v>#REF!</v>
      </c>
    </row>
    <row r="78">
      <c r="R78" t="str">
        <v>waste (kg)</v>
      </c>
      <c r="S78" t="e">
        <f>S77-S33</f>
        <v>#REF!</v>
      </c>
    </row>
    <row r="79">
      <c r="S79" t="e">
        <f>S78/S77</f>
        <v>#REF!</v>
      </c>
    </row>
    <row r="80">
      <c r="M80" t="str">
        <v xml:space="preserve"> </v>
      </c>
    </row>
  </sheetData>
  <mergeCells count="37">
    <mergeCell ref="A29:A30"/>
    <mergeCell ref="B29:B30"/>
    <mergeCell ref="S45:S46"/>
    <mergeCell ref="A49:A53"/>
    <mergeCell ref="B49:B53"/>
    <mergeCell ref="H44:Q44"/>
    <mergeCell ref="A56:A59"/>
    <mergeCell ref="B56:B59"/>
    <mergeCell ref="E45:E46"/>
    <mergeCell ref="B44:B46"/>
    <mergeCell ref="C44:C46"/>
    <mergeCell ref="D44:D46"/>
    <mergeCell ref="E44:G44"/>
    <mergeCell ref="F45:F46"/>
    <mergeCell ref="G45:G46"/>
    <mergeCell ref="A44:A46"/>
    <mergeCell ref="U1:W1"/>
    <mergeCell ref="H1:Q1"/>
    <mergeCell ref="D1:D2"/>
    <mergeCell ref="E1:G1"/>
    <mergeCell ref="A23:A26"/>
    <mergeCell ref="B23:B26"/>
    <mergeCell ref="A5:A9"/>
    <mergeCell ref="A1:A2"/>
    <mergeCell ref="B1:B2"/>
    <mergeCell ref="C1:C2"/>
    <mergeCell ref="B5:B9"/>
    <mergeCell ref="A12:A15"/>
    <mergeCell ref="B12:B15"/>
    <mergeCell ref="A18:A20"/>
    <mergeCell ref="B18:B20"/>
    <mergeCell ref="A73:A74"/>
    <mergeCell ref="B73:B74"/>
    <mergeCell ref="A67:A70"/>
    <mergeCell ref="B67:B70"/>
    <mergeCell ref="A62:A64"/>
    <mergeCell ref="B62:B64"/>
  </mergeCells>
  <pageMargins left="0.7" right="0.7" top="0.75" bottom="0.75" header="0.3" footer="0.3"/>
  <ignoredErrors>
    <ignoredError numberStoredAsText="1" sqref="A1:W8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3:AB180"/>
  <sheetViews>
    <sheetView workbookViewId="0" rightToLeft="0"/>
  </sheetViews>
  <sheetData>
    <row r="3">
      <c r="A3" t="str">
        <v>No.</v>
      </c>
      <c r="B3" t="str">
        <v>Tipe RW</v>
      </c>
      <c r="C3" t="str">
        <v>Panjang</v>
      </c>
      <c r="D3" t="str">
        <v>Tinggi</v>
      </c>
      <c r="E3" t="str">
        <v>Tebal</v>
      </c>
      <c r="F3" t="str">
        <v>Tul. Vertikal (2 sisi)</v>
      </c>
      <c r="I3" t="str">
        <v>Extra Tul. Vertikal (1,5 m) (1 sisi)</v>
      </c>
      <c r="L3" t="str">
        <v>Tul. Kait</v>
      </c>
      <c r="P3" t="str">
        <v>Tul. Horizontal (2 sisi)</v>
      </c>
      <c r="S3" t="str">
        <v>Vol. Beton</v>
      </c>
      <c r="T3" t="str">
        <v>Vol. Bekisting</v>
      </c>
      <c r="U3" t="str">
        <v>Vol. Tul. Vertikal</v>
      </c>
      <c r="V3" t="str">
        <v>Vol. Tul. Kait</v>
      </c>
      <c r="W3" t="str">
        <v>Vol. Tul. Horizontal</v>
      </c>
      <c r="Y3" t="str">
        <v>rasio bekisting</v>
      </c>
      <c r="Z3" t="str">
        <v>rasio besi</v>
      </c>
      <c r="AB3" t="str">
        <v>Plesteran</v>
      </c>
    </row>
    <row r="4">
      <c r="F4" t="str">
        <v>D</v>
      </c>
      <c r="G4" t="str">
        <v>Jarak</v>
      </c>
      <c r="H4" t="str">
        <v>Panjang Tul.</v>
      </c>
      <c r="I4" t="str">
        <v>D</v>
      </c>
      <c r="J4" t="str">
        <v>Jarak</v>
      </c>
      <c r="K4" t="str">
        <v>Panjang Tul.</v>
      </c>
      <c r="L4" t="str">
        <v>Jumlah</v>
      </c>
      <c r="M4" t="str">
        <v>D</v>
      </c>
      <c r="N4" t="str">
        <v>Jarak</v>
      </c>
      <c r="O4" t="str">
        <v>Panjang Tul.</v>
      </c>
      <c r="P4" t="str">
        <v>D</v>
      </c>
      <c r="Q4" t="str">
        <v>Jarak</v>
      </c>
      <c r="R4" t="str">
        <v>Panjang Tul.</v>
      </c>
    </row>
    <row r="5">
      <c r="C5" t="str">
        <v>mm</v>
      </c>
      <c r="D5" t="str">
        <v>mm</v>
      </c>
      <c r="E5" t="str">
        <v>mm</v>
      </c>
      <c r="F5" t="str">
        <v>mm</v>
      </c>
      <c r="G5" t="str">
        <v>mm</v>
      </c>
      <c r="H5" t="str">
        <v>mm</v>
      </c>
      <c r="I5" t="str">
        <v>mm</v>
      </c>
      <c r="J5" t="str">
        <v>mm</v>
      </c>
      <c r="K5" t="str">
        <v>mm</v>
      </c>
      <c r="M5" t="str">
        <v>mm</v>
      </c>
      <c r="N5" t="str">
        <v>mm</v>
      </c>
      <c r="O5" t="str">
        <v>mm</v>
      </c>
      <c r="P5" t="str">
        <v>mm</v>
      </c>
      <c r="Q5" t="str">
        <v>mm</v>
      </c>
      <c r="R5" t="str">
        <v>mm</v>
      </c>
      <c r="S5" t="str">
        <v>m3</v>
      </c>
      <c r="T5" t="str">
        <v>m2</v>
      </c>
      <c r="U5" t="str">
        <v>kg</v>
      </c>
      <c r="V5" t="str">
        <v>kg</v>
      </c>
      <c r="W5" t="str">
        <v>kg</v>
      </c>
    </row>
    <row r="7">
      <c r="A7" t="str">
        <v>Lantai 1</v>
      </c>
    </row>
    <row r="8">
      <c r="A8">
        <v>17</v>
      </c>
      <c r="B8" t="str">
        <v>RW150</v>
      </c>
      <c r="C8">
        <v>4250</v>
      </c>
      <c r="D8">
        <v>5500</v>
      </c>
      <c r="E8">
        <v>150</v>
      </c>
      <c r="F8">
        <v>10</v>
      </c>
      <c r="G8">
        <v>200</v>
      </c>
      <c r="H8">
        <f>(D8+(2*40)*F8)*2</f>
        <v>12600</v>
      </c>
      <c r="J8">
        <v>100</v>
      </c>
      <c r="N8">
        <v>100</v>
      </c>
      <c r="P8">
        <v>10</v>
      </c>
      <c r="Q8">
        <v>200</v>
      </c>
      <c r="R8">
        <f>(C8+(6*40+11*50)*P8)*2</f>
        <v>24300</v>
      </c>
      <c r="S8">
        <f>C8*D8*E8/1000000000</f>
        <v>3.50625</v>
      </c>
      <c r="T8">
        <f>2*C8*D8/1000000</f>
        <v>46.75</v>
      </c>
      <c r="U8">
        <f>0.006165*(F8^2*H8*(ROUND(C8/G8,0)+1)+I8^2*K8*(ROUND(C8/J8,0)+1))/1000</f>
        <v>170.89380000000003</v>
      </c>
      <c r="V8">
        <f>0.006165*M8^2*O8*(ROUND(C8/N8,0)+1)/1000*L8</f>
        <v>0</v>
      </c>
      <c r="W8">
        <f>0.006165*P8^2*R8*(ROUND(D8/Q8,0)+1)/1000</f>
        <v>434.44755000000004</v>
      </c>
      <c r="Y8">
        <f>T8/S8</f>
        <v>13.333333333333332</v>
      </c>
      <c r="Z8">
        <f>SUM(U8:W8)/S8</f>
        <v>172.64637433155082</v>
      </c>
      <c r="AB8">
        <f>T8</f>
        <v>46.75</v>
      </c>
    </row>
    <row r="9">
      <c r="A9">
        <v>19</v>
      </c>
      <c r="B9" t="str">
        <v>Pagar Alas</v>
      </c>
      <c r="C9">
        <v>20000</v>
      </c>
      <c r="D9">
        <v>1000</v>
      </c>
      <c r="E9">
        <v>170</v>
      </c>
      <c r="F9">
        <v>10</v>
      </c>
      <c r="G9">
        <v>200</v>
      </c>
      <c r="H9">
        <f>(D9+(2*40)*F9)*2</f>
        <v>3600</v>
      </c>
      <c r="J9">
        <v>100</v>
      </c>
      <c r="N9">
        <v>100</v>
      </c>
      <c r="P9">
        <v>10</v>
      </c>
      <c r="Q9">
        <v>200</v>
      </c>
      <c r="R9">
        <f>(C9+(2*40+2*50)*P9)*2</f>
        <v>43600</v>
      </c>
      <c r="S9">
        <f>C9*D9*E9/1000000000</f>
        <v>3.4</v>
      </c>
      <c r="T9">
        <f>C9*D9/1000000</f>
        <v>20</v>
      </c>
      <c r="U9">
        <f>0.006165*(F9^2*H9*(ROUND(C9/G9,0)+1)+I9^2*K9*(ROUND(C9/J9,0)+1))/1000</f>
        <v>224.15940000000003</v>
      </c>
      <c r="V9">
        <f>0.006165*M9^2*O9*(ROUND(C9/N9,0)+1)/1000*L9</f>
        <v>0</v>
      </c>
      <c r="W9">
        <f>0.006165*P9^2*R9*(ROUND(D9/Q9,0)+1)/1000</f>
        <v>161.27640000000002</v>
      </c>
      <c r="Y9">
        <f>T9/S9</f>
        <v>5.882352941176471</v>
      </c>
      <c r="Z9">
        <f>SUM(U9:W9)/S9</f>
        <v>113.36347058823532</v>
      </c>
      <c r="AB9">
        <f>T9</f>
        <v>20</v>
      </c>
    </row>
    <row r="10">
      <c r="A10">
        <f>A9+1</f>
        <v>20</v>
      </c>
      <c r="B10" t="str">
        <v>Pagar Alas</v>
      </c>
      <c r="C10">
        <v>21795</v>
      </c>
      <c r="D10">
        <v>1000</v>
      </c>
      <c r="E10">
        <v>170</v>
      </c>
      <c r="F10">
        <v>10</v>
      </c>
      <c r="G10">
        <v>200</v>
      </c>
      <c r="H10">
        <f>(D10+(2*40)*F10)*2</f>
        <v>3600</v>
      </c>
      <c r="J10">
        <v>100</v>
      </c>
      <c r="N10">
        <v>100</v>
      </c>
      <c r="P10">
        <v>10</v>
      </c>
      <c r="Q10">
        <v>200</v>
      </c>
      <c r="R10">
        <f>(C10+(2*40+2*50)*P10)*2</f>
        <v>47190</v>
      </c>
      <c r="S10">
        <f>C10*D10*E10/1000000000</f>
        <v>3.70515</v>
      </c>
      <c r="T10">
        <f>2*C10*D10/1000000</f>
        <v>43.59</v>
      </c>
      <c r="U10">
        <f>0.006165*(F10^2*H10*(ROUND(C10/G10,0)+1)+I10^2*K10*(ROUND(C10/J10,0)+1))/1000</f>
        <v>244.134</v>
      </c>
      <c r="V10">
        <f>0.006165*M10^2*O10*(ROUND(C10/N10,0)+1)/1000*L10</f>
        <v>0</v>
      </c>
      <c r="W10">
        <f>0.006165*P10^2*R10*(ROUND(D10/Q10,0)+1)/1000</f>
        <v>174.55581</v>
      </c>
      <c r="Y10">
        <f>T10/S10</f>
        <v>11.764705882352942</v>
      </c>
      <c r="Z10">
        <f>SUM(U10:W10)/S10</f>
        <v>113.00212137160437</v>
      </c>
      <c r="AB10">
        <f>T10</f>
        <v>43.59</v>
      </c>
    </row>
    <row r="11">
      <c r="A11">
        <f>A10+1</f>
        <v>21</v>
      </c>
      <c r="B11" t="str">
        <v>Pagar Alas</v>
      </c>
      <c r="C11">
        <v>34285</v>
      </c>
      <c r="D11">
        <v>1000</v>
      </c>
      <c r="E11">
        <v>170</v>
      </c>
      <c r="F11">
        <v>10</v>
      </c>
      <c r="G11">
        <v>200</v>
      </c>
      <c r="H11">
        <f>(D11+(2*40)*F11)*2</f>
        <v>3600</v>
      </c>
      <c r="J11">
        <v>100</v>
      </c>
      <c r="N11">
        <v>100</v>
      </c>
      <c r="P11">
        <v>10</v>
      </c>
      <c r="Q11">
        <v>200</v>
      </c>
      <c r="R11">
        <f>(C11+(8*40+2*50)*P11)*2</f>
        <v>76970</v>
      </c>
      <c r="S11">
        <f>C11*D11*E11/1000000000</f>
        <v>5.82845</v>
      </c>
      <c r="T11">
        <f>2*C11*D11/1000000</f>
        <v>68.57</v>
      </c>
      <c r="U11">
        <f>0.006165*(F11^2*H11*(ROUND(C11/G11,0)+1)+I11^2*K11*(ROUND(C11/J11,0)+1))/1000</f>
        <v>381.7368000000001</v>
      </c>
      <c r="V11">
        <f>0.006165*M11^2*O11*(ROUND(C11/N11,0)+1)/1000*L11</f>
        <v>0</v>
      </c>
      <c r="W11">
        <f>0.006165*P11^2*R11*(ROUND(D11/Q11,0)+1)/1000</f>
        <v>284.71203</v>
      </c>
      <c r="Y11">
        <f>T11/S11</f>
        <v>11.76470588235294</v>
      </c>
      <c r="Z11">
        <f>SUM(U11:W11)/S11</f>
        <v>114.34409319802006</v>
      </c>
      <c r="AB11">
        <f>T11/2</f>
        <v>34.285</v>
      </c>
    </row>
    <row r="12">
      <c r="A12">
        <v>19</v>
      </c>
      <c r="B12" t="str">
        <v>Pagar Alas</v>
      </c>
      <c r="C12">
        <v>20000</v>
      </c>
      <c r="D12">
        <v>4500</v>
      </c>
      <c r="E12">
        <v>100</v>
      </c>
      <c r="F12">
        <v>10</v>
      </c>
      <c r="G12">
        <v>300</v>
      </c>
      <c r="H12">
        <f>(D12+(2*40)*F12)</f>
        <v>5300</v>
      </c>
      <c r="J12">
        <v>100</v>
      </c>
      <c r="N12">
        <v>100</v>
      </c>
      <c r="P12">
        <v>10</v>
      </c>
      <c r="Q12">
        <v>300</v>
      </c>
      <c r="R12">
        <f>(C12+(2*40+1*50)*P12)</f>
        <v>21300</v>
      </c>
      <c r="S12">
        <f>C12*D12*E12/1000000000</f>
        <v>9</v>
      </c>
      <c r="T12">
        <f>C12*D12/1000000</f>
        <v>90</v>
      </c>
      <c r="U12">
        <f>0.006165*(F12^2*H12*(ROUND(C12/G12,0)+1)+I12^2*K12*(ROUND(C12/J12,0)+1))/1000</f>
        <v>222.1866</v>
      </c>
      <c r="V12">
        <f>0.006165*M12^2*O12*(ROUND(C12/N12,0)+1)/1000*L12</f>
        <v>0</v>
      </c>
      <c r="W12">
        <f>0.006165*P12^2*R12*(ROUND(D12/Q12,0)+1)/1000</f>
        <v>210.10320000000002</v>
      </c>
      <c r="Y12">
        <f>T12/S12</f>
        <v>10</v>
      </c>
      <c r="Z12">
        <f>SUM(U12:W12)/S12</f>
        <v>48.0322</v>
      </c>
      <c r="AB12">
        <f>T12</f>
        <v>90</v>
      </c>
    </row>
    <row r="13">
      <c r="A13">
        <f>A12+1</f>
        <v>20</v>
      </c>
      <c r="B13" t="str">
        <v>Pagar Alas</v>
      </c>
      <c r="C13">
        <v>21795</v>
      </c>
      <c r="D13">
        <v>4500</v>
      </c>
      <c r="E13">
        <v>100</v>
      </c>
      <c r="F13">
        <v>10</v>
      </c>
      <c r="G13">
        <v>300</v>
      </c>
      <c r="H13">
        <f>(D13+(2*40)*F13)</f>
        <v>5300</v>
      </c>
      <c r="J13">
        <v>100</v>
      </c>
      <c r="N13">
        <v>100</v>
      </c>
      <c r="P13">
        <v>10</v>
      </c>
      <c r="Q13">
        <v>300</v>
      </c>
      <c r="R13">
        <f>(C13+(2*40+1*50)*P13)</f>
        <v>23095</v>
      </c>
      <c r="S13">
        <f>C13*D13*E13/1000000000</f>
        <v>9.80775</v>
      </c>
      <c r="T13">
        <f>2*C13*D13/1000000</f>
        <v>196.155</v>
      </c>
      <c r="U13">
        <f>0.006165*(F13^2*H13*(ROUND(C13/G13,0)+1)+I13^2*K13*(ROUND(C13/J13,0)+1))/1000</f>
        <v>241.7913</v>
      </c>
      <c r="V13">
        <f>0.006165*M13^2*O13*(ROUND(C13/N13,0)+1)/1000*L13</f>
        <v>0</v>
      </c>
      <c r="W13">
        <f>0.006165*P13^2*R13*(ROUND(D13/Q13,0)+1)/1000</f>
        <v>227.80908000000002</v>
      </c>
      <c r="Y13">
        <f>T13/S13</f>
        <v>20</v>
      </c>
      <c r="Z13">
        <f>SUM(U13:W13)/S13</f>
        <v>47.88054140857995</v>
      </c>
      <c r="AB13">
        <f>T13</f>
        <v>196.155</v>
      </c>
    </row>
    <row r="14">
      <c r="B14" t="str">
        <v>Pagar Alas</v>
      </c>
    </row>
    <row r="15">
      <c r="A15">
        <f>A11+1</f>
        <v>22</v>
      </c>
      <c r="B15" t="str">
        <v>RW150</v>
      </c>
      <c r="C15">
        <v>20090</v>
      </c>
      <c r="D15">
        <v>1000</v>
      </c>
      <c r="E15">
        <v>150</v>
      </c>
      <c r="F15">
        <v>10</v>
      </c>
      <c r="G15">
        <v>200</v>
      </c>
      <c r="H15">
        <f>(D15+(2*40)*F15)*2</f>
        <v>3600</v>
      </c>
      <c r="J15">
        <v>100</v>
      </c>
      <c r="N15">
        <v>100</v>
      </c>
      <c r="P15">
        <v>10</v>
      </c>
      <c r="Q15">
        <v>200</v>
      </c>
      <c r="R15">
        <f>(C15+(8*40+3*50)*P15)*2</f>
        <v>49580</v>
      </c>
      <c r="S15">
        <f>C15*D15*E15/1000000000</f>
        <v>3.0135</v>
      </c>
      <c r="T15">
        <f>2*C15*D15/1000000</f>
        <v>40.18</v>
      </c>
      <c r="U15">
        <f>0.006165*(F15^2*H15*(ROUND(C15/G15,0)+1)+I15^2*K15*(ROUND(C15/J15,0)+1))/1000</f>
        <v>224.15940000000003</v>
      </c>
      <c r="V15">
        <f>0.006165*M15^2*O15*(ROUND(C15/N15,0)+1)/1000*L15</f>
        <v>0</v>
      </c>
      <c r="W15">
        <f>0.006165*P15^2*R15*(ROUND(D15/Q15,0)+1)/1000</f>
        <v>183.39642</v>
      </c>
      <c r="Y15">
        <f>T15/S15</f>
        <v>13.333333333333332</v>
      </c>
      <c r="Z15">
        <f>SUM(U15:W15)/S15</f>
        <v>135.2433449477352</v>
      </c>
      <c r="AB15">
        <f>T15/2</f>
        <v>20.09</v>
      </c>
    </row>
    <row r="16">
      <c r="A16">
        <f>A15+1</f>
        <v>23</v>
      </c>
      <c r="B16" t="str">
        <v>RW150</v>
      </c>
      <c r="C16">
        <v>17775</v>
      </c>
      <c r="D16">
        <v>400</v>
      </c>
      <c r="E16">
        <v>150</v>
      </c>
      <c r="F16">
        <v>10</v>
      </c>
      <c r="G16">
        <v>200</v>
      </c>
      <c r="H16">
        <f>(D16+(2*40)*F16)*2</f>
        <v>2400</v>
      </c>
      <c r="J16">
        <v>100</v>
      </c>
      <c r="N16">
        <v>100</v>
      </c>
      <c r="P16">
        <v>10</v>
      </c>
      <c r="Q16">
        <v>200</v>
      </c>
      <c r="R16">
        <f>(C16+(4*40+0*50)*P16)*2</f>
        <v>38750</v>
      </c>
      <c r="S16">
        <f>C16*D16*E16/1000000000</f>
        <v>1.0665</v>
      </c>
      <c r="T16">
        <f>2*C16*D16/1000000</f>
        <v>14.22</v>
      </c>
      <c r="U16">
        <f>0.006165*(F16^2*H16*(ROUND(C16/G16,0)+1)+I16^2*K16*(ROUND(C16/J16,0)+1))/1000</f>
        <v>133.164</v>
      </c>
      <c r="V16">
        <f>0.006165*M16^2*O16*(ROUND(C16/N16,0)+1)/1000*L16</f>
        <v>0</v>
      </c>
      <c r="W16">
        <f>0.006165*P16^2*R16*(ROUND(D16/Q16,0)+1)/1000</f>
        <v>71.66812500000002</v>
      </c>
      <c r="Y16">
        <f>T16/S16</f>
        <v>13.333333333333334</v>
      </c>
      <c r="Z16">
        <f>SUM(U16:W16)/S16</f>
        <v>192.06012658227849</v>
      </c>
      <c r="AB16">
        <f>T16/2</f>
        <v>7.11</v>
      </c>
    </row>
    <row r="17">
      <c r="A17">
        <f>A16+1</f>
        <v>24</v>
      </c>
      <c r="B17" t="str">
        <v>Kolam Renang</v>
      </c>
      <c r="C17">
        <v>22050</v>
      </c>
      <c r="D17">
        <v>1700</v>
      </c>
      <c r="E17">
        <v>200</v>
      </c>
      <c r="F17">
        <v>13</v>
      </c>
      <c r="G17">
        <v>150</v>
      </c>
      <c r="H17">
        <f>(D17+(2*40)*F17)*2</f>
        <v>5480</v>
      </c>
      <c r="J17">
        <v>100</v>
      </c>
      <c r="N17">
        <v>100</v>
      </c>
      <c r="P17">
        <v>10</v>
      </c>
      <c r="Q17">
        <v>150</v>
      </c>
      <c r="R17">
        <f>(C17+(4*40+0*50)*P17)*2</f>
        <v>47300</v>
      </c>
      <c r="S17">
        <f>C17*D17*E17/1000000000</f>
        <v>7.497</v>
      </c>
      <c r="T17">
        <f>2*C17*D17/1000000</f>
        <v>74.97</v>
      </c>
      <c r="U17">
        <f>0.006165*(F17^2*H17*(ROUND(C17/G17,0)+1)+I17^2*K17*(ROUND(C17/J17,0)+1))/1000</f>
        <v>845.0104104000001</v>
      </c>
      <c r="V17">
        <f>0.006165*M17^2*O17*(ROUND(C17/N17,0)+1)/1000*L17</f>
        <v>0</v>
      </c>
      <c r="W17">
        <f>0.006165*P17^2*R17*(ROUND(D17/Q17,0)+1)/1000</f>
        <v>349.9254</v>
      </c>
      <c r="Y17">
        <f>T17/S17</f>
        <v>10</v>
      </c>
      <c r="Z17">
        <f>SUM(U17:W17)/S17</f>
        <v>159.38853013205284</v>
      </c>
      <c r="AB17">
        <f>T17/2</f>
        <v>37.485</v>
      </c>
    </row>
    <row r="18">
      <c r="A18">
        <f>A17+1</f>
        <v>25</v>
      </c>
      <c r="B18" t="str">
        <v>RW150</v>
      </c>
      <c r="C18">
        <v>600</v>
      </c>
      <c r="D18">
        <v>400</v>
      </c>
      <c r="E18">
        <v>150</v>
      </c>
      <c r="F18">
        <v>10</v>
      </c>
      <c r="G18">
        <v>200</v>
      </c>
      <c r="H18">
        <f>(D18+(2*40)*F18)*2</f>
        <v>2400</v>
      </c>
      <c r="J18">
        <v>100</v>
      </c>
      <c r="N18">
        <v>100</v>
      </c>
      <c r="P18">
        <v>10</v>
      </c>
      <c r="Q18">
        <v>200</v>
      </c>
      <c r="R18">
        <f>(C18+(4*40+1*50)*P18)*2</f>
        <v>5400</v>
      </c>
      <c r="S18">
        <f>C18*D18*E18/1000000000</f>
        <v>0.036</v>
      </c>
      <c r="T18">
        <f>2*C18*D18/1000000</f>
        <v>0.48</v>
      </c>
      <c r="U18">
        <f>0.006165*(F18^2*H18*(ROUND(C18/G18,0)+1)+I18^2*K18*(ROUND(C18/J18,0)+1))/1000</f>
        <v>5.9184</v>
      </c>
      <c r="V18">
        <f>0.006165*M18^2*O18*(ROUND(C18/N18,0)+1)/1000*L18</f>
        <v>0</v>
      </c>
      <c r="W18">
        <f>0.006165*P18^2*R18*(ROUND(D18/Q18,0)+1)/1000</f>
        <v>9.987300000000001</v>
      </c>
      <c r="Y18">
        <f>T18/S18</f>
        <v>13.333333333333334</v>
      </c>
      <c r="Z18">
        <f>SUM(U18:W18)/S18</f>
        <v>441.82500000000005</v>
      </c>
      <c r="AB18">
        <f>T18/2</f>
        <v>0.24</v>
      </c>
    </row>
    <row r="19">
      <c r="A19">
        <f>A18+1</f>
        <v>26</v>
      </c>
      <c r="B19" t="str">
        <v>Tanggulan KM</v>
      </c>
      <c r="C19">
        <v>8950</v>
      </c>
      <c r="D19">
        <v>200</v>
      </c>
      <c r="E19">
        <v>150</v>
      </c>
      <c r="F19">
        <v>10</v>
      </c>
      <c r="G19">
        <v>200</v>
      </c>
      <c r="H19">
        <f>(D19+(2*40)*F19)*2</f>
        <v>2000</v>
      </c>
      <c r="J19">
        <v>100</v>
      </c>
      <c r="N19">
        <v>100</v>
      </c>
      <c r="P19">
        <v>10</v>
      </c>
      <c r="Q19">
        <v>200</v>
      </c>
      <c r="R19">
        <f>(C19+(4*40+1*50)*P19)*2</f>
        <v>22100</v>
      </c>
      <c r="S19">
        <f>C19*D19*E19/1000000000</f>
        <v>0.2685</v>
      </c>
      <c r="T19">
        <f>2*C19*D19/1000000</f>
        <v>3.58</v>
      </c>
      <c r="U19">
        <f>0.006165*(F19^2*H19*(ROUND(C19/G19,0)+1)+I19^2*K19*(ROUND(C19/J19,0)+1))/1000</f>
        <v>56.718</v>
      </c>
      <c r="V19">
        <f>0.006165*M19^2*O19*(ROUND(C19/N19,0)+1)/1000*L19</f>
        <v>0</v>
      </c>
      <c r="W19">
        <f>0.006165*P19^2*R19*(ROUND(D19/Q19,0)+1)/1000</f>
        <v>27.2493</v>
      </c>
      <c r="Y19">
        <f>T19/S19</f>
        <v>13.333333333333332</v>
      </c>
      <c r="Z19">
        <f>SUM(U19:W19)/S19</f>
        <v>312.727374301676</v>
      </c>
      <c r="AB19">
        <f>T19/2</f>
        <v>1.79</v>
      </c>
    </row>
    <row r="20">
      <c r="A20">
        <f>A19+1</f>
        <v>27</v>
      </c>
      <c r="B20" t="str">
        <v>RW150</v>
      </c>
      <c r="C20">
        <v>5775</v>
      </c>
      <c r="D20">
        <v>750</v>
      </c>
      <c r="E20">
        <v>150</v>
      </c>
      <c r="F20">
        <v>10</v>
      </c>
      <c r="G20">
        <v>200</v>
      </c>
      <c r="H20">
        <f>(D20+(2*40)*F20)*2</f>
        <v>3100</v>
      </c>
      <c r="J20">
        <v>100</v>
      </c>
      <c r="N20">
        <v>100</v>
      </c>
      <c r="P20">
        <v>10</v>
      </c>
      <c r="Q20">
        <v>200</v>
      </c>
      <c r="R20">
        <f>(C20+(4*40+1*50)*P20)*2</f>
        <v>15750</v>
      </c>
      <c r="S20">
        <f>C20*D20*E20/1000000000</f>
        <v>0.6496875</v>
      </c>
      <c r="T20">
        <f>2*C20*D20/1000000</f>
        <v>8.6625</v>
      </c>
      <c r="U20">
        <f>0.006165*(F20^2*H20*(ROUND(C20/G20,0)+1)+I20^2*K20*(ROUND(C20/J20,0)+1))/1000</f>
        <v>57.3345</v>
      </c>
      <c r="V20">
        <f>0.006165*M20^2*O20*(ROUND(C20/N20,0)+1)/1000*L20</f>
        <v>0</v>
      </c>
      <c r="W20">
        <f>0.006165*P20^2*R20*(ROUND(D20/Q20,0)+1)/1000</f>
        <v>48.549375</v>
      </c>
      <c r="Y20">
        <f>T20/S20</f>
        <v>13.333333333333334</v>
      </c>
      <c r="Z20">
        <f>SUM(U20:W20)/S20</f>
        <v>162.97662337662337</v>
      </c>
      <c r="AB20">
        <f>T20/2</f>
        <v>4.33125</v>
      </c>
    </row>
    <row r="21">
      <c r="A21">
        <f>A20+1</f>
        <v>28</v>
      </c>
      <c r="B21" t="str">
        <v>RW150</v>
      </c>
      <c r="C21">
        <v>3325</v>
      </c>
      <c r="D21">
        <v>500</v>
      </c>
      <c r="E21">
        <v>150</v>
      </c>
      <c r="F21">
        <v>10</v>
      </c>
      <c r="G21">
        <v>200</v>
      </c>
      <c r="H21">
        <f>(D21+(2*40)*F21)*2</f>
        <v>2600</v>
      </c>
      <c r="J21">
        <v>100</v>
      </c>
      <c r="N21">
        <v>100</v>
      </c>
      <c r="P21">
        <v>10</v>
      </c>
      <c r="Q21">
        <v>200</v>
      </c>
      <c r="R21">
        <f>(C21+(4*40+1*50)*P21)*2</f>
        <v>10850</v>
      </c>
      <c r="S21">
        <f>C21*D21*E21/1000000000</f>
        <v>0.249375</v>
      </c>
      <c r="T21">
        <f>2*C21*D21/1000000</f>
        <v>3.325</v>
      </c>
      <c r="U21">
        <f>0.006165*(F21^2*H21*(ROUND(C21/G21,0)+1)+I21^2*K21*(ROUND(C21/J21,0)+1))/1000</f>
        <v>28.8522</v>
      </c>
      <c r="V21">
        <f>0.006165*M21^2*O21*(ROUND(C21/N21,0)+1)/1000*L21</f>
        <v>0</v>
      </c>
      <c r="W21">
        <f>0.006165*P21^2*R21*(ROUND(D21/Q21,0)+1)/1000</f>
        <v>26.756100000000004</v>
      </c>
      <c r="Y21">
        <f>T21/S21</f>
        <v>13.333333333333334</v>
      </c>
      <c r="Z21">
        <f>SUM(U21:W21)/S21</f>
        <v>222.9906766917293</v>
      </c>
      <c r="AB21">
        <f>T21/2</f>
        <v>1.6625</v>
      </c>
    </row>
    <row r="22">
      <c r="A22">
        <f>A21+1</f>
        <v>29</v>
      </c>
      <c r="B22" t="str">
        <v>RW150</v>
      </c>
      <c r="C22">
        <v>2775</v>
      </c>
      <c r="D22">
        <v>125</v>
      </c>
      <c r="E22">
        <v>150</v>
      </c>
      <c r="F22">
        <v>10</v>
      </c>
      <c r="G22">
        <v>200</v>
      </c>
      <c r="H22">
        <f>(D22+(2*40)*F22)*2</f>
        <v>1850</v>
      </c>
      <c r="J22">
        <v>100</v>
      </c>
      <c r="N22">
        <v>100</v>
      </c>
      <c r="P22">
        <v>10</v>
      </c>
      <c r="Q22">
        <v>200</v>
      </c>
      <c r="R22">
        <f>(C22+(4*40+1*50)*P22)*2</f>
        <v>9750</v>
      </c>
      <c r="S22">
        <f>C22*D22*E22/1000000000</f>
        <v>0.05203125</v>
      </c>
      <c r="T22">
        <f>2*C22*D22/1000000</f>
        <v>0.69375</v>
      </c>
      <c r="U22">
        <f>0.006165*(F22^2*H22*(ROUND(C22/G22,0)+1)+I22^2*K22*(ROUND(C22/J22,0)+1))/1000</f>
        <v>17.107875</v>
      </c>
      <c r="V22">
        <f>0.006165*M22^2*O22*(ROUND(C22/N22,0)+1)/1000*L22</f>
        <v>0</v>
      </c>
      <c r="W22">
        <f>0.006165*P22^2*R22*(ROUND(D22/Q22,0)+1)/1000</f>
        <v>12.021750000000003</v>
      </c>
      <c r="Y22">
        <f>T22/S22</f>
        <v>13.333333333333332</v>
      </c>
      <c r="Z22">
        <f>SUM(U22:W22)/S22</f>
        <v>559.8486486486487</v>
      </c>
      <c r="AB22">
        <f>T22/2</f>
        <v>0.346875</v>
      </c>
    </row>
    <row r="23">
      <c r="A23">
        <f>A22+1</f>
        <v>30</v>
      </c>
      <c r="B23" t="str">
        <v>Lift</v>
      </c>
      <c r="C23">
        <f>8800-4000</f>
        <v>4800</v>
      </c>
      <c r="D23">
        <v>6000</v>
      </c>
      <c r="E23">
        <v>170</v>
      </c>
      <c r="F23">
        <v>10</v>
      </c>
      <c r="G23">
        <v>100</v>
      </c>
      <c r="H23">
        <f>(D23+(2*40)*F23)*2</f>
        <v>13600</v>
      </c>
      <c r="J23">
        <v>100</v>
      </c>
      <c r="L23">
        <v>6</v>
      </c>
      <c r="M23">
        <v>10</v>
      </c>
      <c r="N23">
        <v>100</v>
      </c>
      <c r="O23">
        <v>300</v>
      </c>
      <c r="P23">
        <v>13</v>
      </c>
      <c r="Q23">
        <v>100</v>
      </c>
      <c r="R23">
        <f>(C23+(4*40+0*50)*P23)*2</f>
        <v>13760</v>
      </c>
      <c r="S23">
        <f>C23*D23*E23/1000000000</f>
        <v>4.896</v>
      </c>
      <c r="T23">
        <f>2*C23*D23/1000000</f>
        <v>57.6</v>
      </c>
      <c r="U23">
        <f>0.006165*(F23^2*H23*(ROUND(C23/G23,0)+1)+I23^2*K23*(ROUND(C23/J23,0)+1))/1000</f>
        <v>410.83560000000006</v>
      </c>
      <c r="V23">
        <f>0.006165*M23^2*O23*(ROUND(C23/N23,0)+1)/1000*L23</f>
        <v>54.37530000000001</v>
      </c>
      <c r="W23">
        <f>0.006165*P23^2*R23*(ROUND(D23/Q23,0)+1)/1000</f>
        <v>874.5165935999999</v>
      </c>
      <c r="Y23">
        <f>T23/S23</f>
        <v>11.764705882352942</v>
      </c>
      <c r="Z23">
        <f>SUM(U23:W23)/S23</f>
        <v>273.6371514705882</v>
      </c>
      <c r="AB23">
        <f>T23/2</f>
        <v>28.8</v>
      </c>
    </row>
    <row r="24">
      <c r="A24" t="str">
        <v>Lantai 2</v>
      </c>
    </row>
    <row r="25">
      <c r="A25">
        <v>23</v>
      </c>
      <c r="B25" t="str">
        <v>Pagar Alas Lt2</v>
      </c>
      <c r="C25">
        <v>9000</v>
      </c>
      <c r="D25">
        <v>4500</v>
      </c>
      <c r="E25">
        <v>100</v>
      </c>
      <c r="F25">
        <v>10</v>
      </c>
      <c r="G25">
        <v>300</v>
      </c>
      <c r="H25">
        <f>(D25+(2*40)*F25)</f>
        <v>5300</v>
      </c>
      <c r="J25">
        <v>100</v>
      </c>
      <c r="N25">
        <v>100</v>
      </c>
      <c r="P25">
        <v>10</v>
      </c>
      <c r="Q25">
        <v>300</v>
      </c>
      <c r="R25">
        <f>(C25+(2*40+50)*P25)</f>
        <v>10300</v>
      </c>
      <c r="S25">
        <f>C25*D25*E25/1000000000</f>
        <v>4.05</v>
      </c>
      <c r="T25">
        <f>C25*D25/1000000</f>
        <v>40.5</v>
      </c>
      <c r="U25">
        <f>0.006165*(F25^2*H25*(ROUND(C25/G25,0)+1)+I25^2*K25*(ROUND(C25/J25,0)+1))/1000</f>
        <v>101.29095000000001</v>
      </c>
      <c r="V25">
        <f>0.006165*M25^2*O25*(ROUND(C25/N25,0)+1)/1000*L25</f>
        <v>0</v>
      </c>
      <c r="W25">
        <f>0.006165*P25^2*R25*(ROUND(D25/Q25,0)+1)/1000</f>
        <v>101.59920000000001</v>
      </c>
      <c r="Y25">
        <f>T25/S25</f>
        <v>10</v>
      </c>
      <c r="Z25">
        <f>SUM(U25:W25)/S25</f>
        <v>50.096333333333334</v>
      </c>
      <c r="AB25">
        <f>T25/2</f>
        <v>20.25</v>
      </c>
    </row>
    <row r="26">
      <c r="A26">
        <f>A25+1</f>
        <v>24</v>
      </c>
      <c r="B26" t="str">
        <v>Pagar Alas Lt2</v>
      </c>
      <c r="C26">
        <v>15000</v>
      </c>
      <c r="D26">
        <v>4500</v>
      </c>
      <c r="E26">
        <v>100</v>
      </c>
      <c r="F26">
        <v>10</v>
      </c>
      <c r="G26">
        <v>300</v>
      </c>
      <c r="H26">
        <f>(D26+(2*40)*F26)</f>
        <v>5300</v>
      </c>
      <c r="J26">
        <v>100</v>
      </c>
      <c r="N26">
        <v>100</v>
      </c>
      <c r="P26">
        <v>10</v>
      </c>
      <c r="Q26">
        <v>300</v>
      </c>
      <c r="R26">
        <f>(C26+(2*40+1*50)*P26)</f>
        <v>16300</v>
      </c>
      <c r="S26">
        <f>C26*D26*E26/1000000000</f>
        <v>6.75</v>
      </c>
      <c r="T26">
        <f>C26*D26/1000000</f>
        <v>67.5</v>
      </c>
      <c r="U26">
        <f>0.006165*(F26^2*H26*(ROUND(C26/G26,0)+1)+I26^2*K26*(ROUND(C26/J26,0)+1))/1000</f>
        <v>166.63995</v>
      </c>
      <c r="V26">
        <f>0.006165*M26^2*O26*(ROUND(C26/N26,0)+1)/1000*L26</f>
        <v>0</v>
      </c>
      <c r="W26">
        <f>0.006165*P26^2*R26*(ROUND(D26/Q26,0)+1)/1000</f>
        <v>160.78320000000002</v>
      </c>
      <c r="Y26">
        <f>T26/S26</f>
        <v>10</v>
      </c>
      <c r="Z26">
        <f>SUM(U26:W26)/S26</f>
        <v>48.507133333333336</v>
      </c>
      <c r="AB26">
        <f>T26/2</f>
        <v>33.75</v>
      </c>
    </row>
    <row r="27">
      <c r="A27">
        <f>A26+1</f>
        <v>25</v>
      </c>
      <c r="B27" t="str">
        <v>Pagar Alas Lt2</v>
      </c>
      <c r="C27">
        <v>11300</v>
      </c>
      <c r="D27">
        <v>200</v>
      </c>
      <c r="E27">
        <v>150</v>
      </c>
      <c r="F27">
        <v>10</v>
      </c>
      <c r="G27">
        <v>200</v>
      </c>
      <c r="H27">
        <f>(D27+(2*40)*F27)*2</f>
        <v>2000</v>
      </c>
      <c r="J27">
        <v>100</v>
      </c>
      <c r="N27">
        <v>100</v>
      </c>
      <c r="P27">
        <v>10</v>
      </c>
      <c r="Q27">
        <v>200</v>
      </c>
      <c r="R27">
        <f>(C27+(2*40+0*50)*P27)*2</f>
        <v>24200</v>
      </c>
      <c r="S27">
        <f>C27*D27*E27/1000000000</f>
        <v>0.339</v>
      </c>
      <c r="T27">
        <f>2*C27*D27/1000000</f>
        <v>4.52</v>
      </c>
      <c r="U27">
        <f>0.006165*(F27^2*H27*(ROUND(C27/G27,0)+1)+I27^2*K27*(ROUND(C27/J27,0)+1))/1000</f>
        <v>71.514</v>
      </c>
      <c r="V27">
        <f>0.006165*M27^2*O27*(ROUND(C27/N27,0)+1)/1000*L27</f>
        <v>0</v>
      </c>
      <c r="W27">
        <f>0.006165*P27^2*R27*(ROUND(D27/Q27,0)+1)/1000</f>
        <v>29.838600000000003</v>
      </c>
      <c r="Y27">
        <f>T27/S27</f>
        <v>13.33333333333333</v>
      </c>
      <c r="Z27">
        <f>SUM(U27:W27)/S27</f>
        <v>298.975221238938</v>
      </c>
      <c r="AB27">
        <f>T27/2</f>
        <v>2.26</v>
      </c>
    </row>
    <row r="28">
      <c r="A28">
        <f>A27+1</f>
        <v>26</v>
      </c>
      <c r="B28" t="str">
        <v>Tanggulan Lt2</v>
      </c>
      <c r="C28">
        <v>8600</v>
      </c>
      <c r="D28">
        <v>200</v>
      </c>
      <c r="E28">
        <v>150</v>
      </c>
      <c r="F28">
        <v>10</v>
      </c>
      <c r="G28">
        <v>200</v>
      </c>
      <c r="H28">
        <f>(D28+(2*40)*F28)*2</f>
        <v>2000</v>
      </c>
      <c r="J28">
        <v>100</v>
      </c>
      <c r="N28">
        <v>100</v>
      </c>
      <c r="P28">
        <v>10</v>
      </c>
      <c r="Q28">
        <v>200</v>
      </c>
      <c r="R28">
        <f>(C28+(2*40+0*50)*P28)*2</f>
        <v>18800</v>
      </c>
      <c r="S28">
        <f>C28*D28*E28/1000000000</f>
        <v>0.258</v>
      </c>
      <c r="T28">
        <f>2*C28*D28/1000000</f>
        <v>3.44</v>
      </c>
      <c r="U28">
        <f>0.006165*(F28^2*H28*(ROUND(C28/G28,0)+1)+I28^2*K28*(ROUND(C28/J28,0)+1))/1000</f>
        <v>54.252</v>
      </c>
      <c r="V28">
        <f>0.006165*M28^2*O28*(ROUND(C28/N28,0)+1)/1000*L28</f>
        <v>0</v>
      </c>
      <c r="W28">
        <f>0.006165*P28^2*R28*(ROUND(D28/Q28,0)+1)/1000</f>
        <v>23.180400000000002</v>
      </c>
      <c r="Y28">
        <f>T28/S28</f>
        <v>13.333333333333332</v>
      </c>
      <c r="Z28">
        <f>SUM(U28:W28)/S28</f>
        <v>300.12558139534883</v>
      </c>
      <c r="AB28">
        <f>T28/2</f>
        <v>1.72</v>
      </c>
    </row>
    <row r="29">
      <c r="A29">
        <f>A28+1</f>
        <v>27</v>
      </c>
      <c r="B29" t="str">
        <v>Tanggulan Lt2</v>
      </c>
      <c r="C29">
        <v>9450</v>
      </c>
      <c r="D29">
        <v>200</v>
      </c>
      <c r="E29">
        <v>150</v>
      </c>
      <c r="F29">
        <v>10</v>
      </c>
      <c r="G29">
        <v>200</v>
      </c>
      <c r="H29">
        <f>(D29+(2*40)*F29)*2</f>
        <v>2000</v>
      </c>
      <c r="J29">
        <v>100</v>
      </c>
      <c r="N29">
        <v>100</v>
      </c>
      <c r="P29">
        <v>10</v>
      </c>
      <c r="Q29">
        <v>200</v>
      </c>
      <c r="R29">
        <f>(C29+(2*40+0*50)*P29)*2</f>
        <v>20500</v>
      </c>
      <c r="S29">
        <f>C29*D29*E29/1000000000</f>
        <v>0.2835</v>
      </c>
      <c r="T29">
        <f>2*C29*D29/1000000</f>
        <v>3.78</v>
      </c>
      <c r="U29">
        <f>0.006165*(F29^2*H29*(ROUND(C29/G29,0)+1)+I29^2*K29*(ROUND(C29/J29,0)+1))/1000</f>
        <v>59.184</v>
      </c>
      <c r="V29">
        <f>0.006165*M29^2*O29*(ROUND(C29/N29,0)+1)/1000*L29</f>
        <v>0</v>
      </c>
      <c r="W29">
        <f>0.006165*P29^2*R29*(ROUND(D29/Q29,0)+1)/1000</f>
        <v>25.276500000000002</v>
      </c>
      <c r="Y29">
        <f>T29/S29</f>
        <v>13.333333333333334</v>
      </c>
      <c r="Z29">
        <f>SUM(U29:W29)/S29</f>
        <v>297.92063492063494</v>
      </c>
      <c r="AB29">
        <f>T29/2</f>
        <v>1.89</v>
      </c>
    </row>
    <row r="30">
      <c r="A30">
        <f>A29+1</f>
        <v>28</v>
      </c>
      <c r="B30" t="str">
        <v>Tanggulan Lt2</v>
      </c>
      <c r="C30">
        <v>12600</v>
      </c>
      <c r="D30">
        <v>200</v>
      </c>
      <c r="E30">
        <v>150</v>
      </c>
      <c r="F30">
        <v>10</v>
      </c>
      <c r="G30">
        <v>200</v>
      </c>
      <c r="H30">
        <f>(D30+(2*40)*F30)*2</f>
        <v>2000</v>
      </c>
      <c r="J30">
        <v>100</v>
      </c>
      <c r="N30">
        <v>100</v>
      </c>
      <c r="P30">
        <v>10</v>
      </c>
      <c r="Q30">
        <v>200</v>
      </c>
      <c r="R30">
        <f>(C30+(2*40+0*50)*P30)*2</f>
        <v>26800</v>
      </c>
      <c r="S30">
        <f>C30*D30*E30/1000000000</f>
        <v>0.378</v>
      </c>
      <c r="T30">
        <f>2*C30*D30/1000000</f>
        <v>5.04</v>
      </c>
      <c r="U30">
        <f>0.006165*(F30^2*H30*(ROUND(C30/G30,0)+1)+I30^2*K30*(ROUND(C30/J30,0)+1))/1000</f>
        <v>78.912</v>
      </c>
      <c r="V30">
        <f>0.006165*M30^2*O30*(ROUND(C30/N30,0)+1)/1000*L30</f>
        <v>0</v>
      </c>
      <c r="W30">
        <f>0.006165*P30^2*R30*(ROUND(D30/Q30,0)+1)/1000</f>
        <v>33.0444</v>
      </c>
      <c r="Y30">
        <f>T30/S30</f>
        <v>13.333333333333334</v>
      </c>
      <c r="Z30">
        <f>SUM(U30:W30)/S30</f>
        <v>296.18095238095236</v>
      </c>
      <c r="AB30">
        <f>T30/2</f>
        <v>2.52</v>
      </c>
    </row>
    <row r="31">
      <c r="A31">
        <f>A30+1</f>
        <v>29</v>
      </c>
      <c r="B31" t="str">
        <v>Tanggulan Lt2</v>
      </c>
      <c r="C31">
        <v>800</v>
      </c>
      <c r="D31">
        <v>200</v>
      </c>
      <c r="E31">
        <v>150</v>
      </c>
      <c r="F31">
        <v>10</v>
      </c>
      <c r="G31">
        <v>200</v>
      </c>
      <c r="H31">
        <f>(D31+(2*40)*F31)*2</f>
        <v>2000</v>
      </c>
      <c r="J31">
        <v>100</v>
      </c>
      <c r="N31">
        <v>100</v>
      </c>
      <c r="P31">
        <v>10</v>
      </c>
      <c r="Q31">
        <v>200</v>
      </c>
      <c r="R31">
        <f>(C31+(2*40+1*50)*P31)*2</f>
        <v>4200</v>
      </c>
      <c r="S31">
        <f>C31*D31*E31/1000000000</f>
        <v>0.024</v>
      </c>
      <c r="T31">
        <f>2*C31*D31/1000000</f>
        <v>0.32</v>
      </c>
      <c r="U31">
        <f>0.006165*(F31^2*H31*(ROUND(C31/G31,0)+1)+I31^2*K31*(ROUND(C31/J31,0)+1))/1000</f>
        <v>6.165</v>
      </c>
      <c r="V31">
        <f>0.006165*M31^2*O31*(ROUND(C31/N31,0)+1)/1000*L31</f>
        <v>0</v>
      </c>
      <c r="W31">
        <f>0.006165*P31^2*R31*(ROUND(D31/Q31,0)+1)/1000</f>
        <v>5.1786</v>
      </c>
      <c r="Y31">
        <f>T31/S31</f>
        <v>13.333333333333334</v>
      </c>
      <c r="Z31">
        <f>SUM(U31:W31)/S31</f>
        <v>472.65</v>
      </c>
      <c r="AB31">
        <f>T31/2</f>
        <v>0.16</v>
      </c>
    </row>
    <row r="32">
      <c r="A32">
        <f>A31+1</f>
        <v>30</v>
      </c>
      <c r="B32" t="str">
        <v>Tanggulan Lt2</v>
      </c>
      <c r="C32">
        <v>1080</v>
      </c>
      <c r="D32">
        <v>200</v>
      </c>
      <c r="E32">
        <v>150</v>
      </c>
      <c r="F32">
        <v>10</v>
      </c>
      <c r="G32">
        <v>200</v>
      </c>
      <c r="H32">
        <f>(D32+(2*40)*F32)*2</f>
        <v>2000</v>
      </c>
      <c r="J32">
        <v>100</v>
      </c>
      <c r="N32">
        <v>100</v>
      </c>
      <c r="P32">
        <v>10</v>
      </c>
      <c r="Q32">
        <v>200</v>
      </c>
      <c r="R32">
        <f>(C32+(2*40+0*50)*P32)*2</f>
        <v>3760</v>
      </c>
      <c r="S32">
        <f>C32*D32*E32/1000000000</f>
        <v>0.0324</v>
      </c>
      <c r="T32">
        <f>2*C32*D32/1000000</f>
        <v>0.432</v>
      </c>
      <c r="U32">
        <f>0.006165*(F32^2*H32*(ROUND(C32/G32,0)+1)+I32^2*K32*(ROUND(C32/J32,0)+1))/1000</f>
        <v>7.398</v>
      </c>
      <c r="V32">
        <f>0.006165*M32^2*O32*(ROUND(C32/N32,0)+1)/1000*L32</f>
        <v>0</v>
      </c>
      <c r="W32">
        <f>0.006165*P32^2*R32*(ROUND(D32/Q32,0)+1)/1000</f>
        <v>4.63608</v>
      </c>
      <c r="Y32">
        <f>T32/S32</f>
        <v>13.333333333333334</v>
      </c>
      <c r="Z32">
        <f>SUM(U32:W32)/S32</f>
        <v>371.4222222222222</v>
      </c>
      <c r="AB32">
        <f>T32/2</f>
        <v>0.216</v>
      </c>
    </row>
    <row r="33">
      <c r="A33">
        <f>A32+1</f>
        <v>31</v>
      </c>
      <c r="B33" t="str">
        <v>Tanggulan Lt2</v>
      </c>
      <c r="C33">
        <v>4950</v>
      </c>
      <c r="D33">
        <v>200</v>
      </c>
      <c r="E33">
        <v>150</v>
      </c>
      <c r="F33">
        <v>10</v>
      </c>
      <c r="G33">
        <v>200</v>
      </c>
      <c r="H33">
        <f>(D33+(2*40)*F33)*2</f>
        <v>2000</v>
      </c>
      <c r="J33">
        <v>100</v>
      </c>
      <c r="N33">
        <v>100</v>
      </c>
      <c r="P33">
        <v>10</v>
      </c>
      <c r="Q33">
        <v>200</v>
      </c>
      <c r="R33">
        <f>(C33+(2*40+0*50)*P33)*2</f>
        <v>11500</v>
      </c>
      <c r="S33">
        <f>C33*D33*E33/1000000000</f>
        <v>0.1485</v>
      </c>
      <c r="T33">
        <f>2*C33*D33/1000000</f>
        <v>1.98</v>
      </c>
      <c r="U33">
        <f>0.006165*(F33^2*H33*(ROUND(C33/G33,0)+1)+I33^2*K33*(ROUND(C33/J33,0)+1))/1000</f>
        <v>32.058</v>
      </c>
      <c r="V33">
        <f>0.006165*M33^2*O33*(ROUND(C33/N33,0)+1)/1000*L33</f>
        <v>0</v>
      </c>
      <c r="W33">
        <f>0.006165*P33^2*R33*(ROUND(D33/Q33,0)+1)/1000</f>
        <v>14.179500000000003</v>
      </c>
      <c r="Y33">
        <f>T33/S33</f>
        <v>13.333333333333334</v>
      </c>
      <c r="Z33">
        <f>SUM(U33:W33)/S33</f>
        <v>311.36363636363643</v>
      </c>
      <c r="AB33">
        <f>T33/2</f>
        <v>0.99</v>
      </c>
    </row>
    <row r="34">
      <c r="A34">
        <f>A33+1</f>
        <v>32</v>
      </c>
      <c r="B34" t="str">
        <v>Tanggulan Lt2</v>
      </c>
      <c r="C34">
        <v>5645</v>
      </c>
      <c r="D34">
        <v>200</v>
      </c>
      <c r="E34">
        <v>150</v>
      </c>
      <c r="F34">
        <v>10</v>
      </c>
      <c r="G34">
        <v>200</v>
      </c>
      <c r="H34">
        <f>(D34+(2*40)*F34)*2</f>
        <v>2000</v>
      </c>
      <c r="J34">
        <v>100</v>
      </c>
      <c r="N34">
        <v>100</v>
      </c>
      <c r="P34">
        <v>10</v>
      </c>
      <c r="Q34">
        <v>200</v>
      </c>
      <c r="R34">
        <f>(C34+(2*40+0*50)*P34)*2</f>
        <v>12890</v>
      </c>
      <c r="S34">
        <f>C34*D34*E34/1000000000</f>
        <v>0.16935</v>
      </c>
      <c r="T34">
        <f>2*C34*D34/1000000</f>
        <v>2.258</v>
      </c>
      <c r="U34">
        <f>0.006165*(F34^2*H34*(ROUND(C34/G34,0)+1)+I34^2*K34*(ROUND(C34/J34,0)+1))/1000</f>
        <v>35.757</v>
      </c>
      <c r="V34">
        <f>0.006165*M34^2*O34*(ROUND(C34/N34,0)+1)/1000*L34</f>
        <v>0</v>
      </c>
      <c r="W34">
        <f>0.006165*P34^2*R34*(ROUND(D34/Q34,0)+1)/1000</f>
        <v>15.89337</v>
      </c>
      <c r="Y34">
        <f>T34/S34</f>
        <v>13.333333333333334</v>
      </c>
      <c r="Z34">
        <f>SUM(U34:W34)/S34</f>
        <v>304.99185119574844</v>
      </c>
      <c r="AB34">
        <f>T34/2</f>
        <v>1.129</v>
      </c>
    </row>
    <row r="35">
      <c r="A35">
        <f>A34+1</f>
        <v>33</v>
      </c>
      <c r="B35" t="str">
        <v>Tanggulan Lt2</v>
      </c>
      <c r="C35">
        <v>4950</v>
      </c>
      <c r="D35">
        <v>200</v>
      </c>
      <c r="E35">
        <v>150</v>
      </c>
      <c r="F35">
        <v>10</v>
      </c>
      <c r="G35">
        <v>200</v>
      </c>
      <c r="H35">
        <f>(D35+(2*40)*F35)*2</f>
        <v>2000</v>
      </c>
      <c r="J35">
        <v>100</v>
      </c>
      <c r="N35">
        <v>100</v>
      </c>
      <c r="P35">
        <v>10</v>
      </c>
      <c r="Q35">
        <v>200</v>
      </c>
      <c r="R35">
        <f>(C35+(2*40+0*50)*P35)*2</f>
        <v>11500</v>
      </c>
      <c r="S35">
        <f>C35*D35*E35/1000000000</f>
        <v>0.1485</v>
      </c>
      <c r="T35">
        <f>2*C35*D35/1000000</f>
        <v>1.98</v>
      </c>
      <c r="U35">
        <f>0.006165*(F35^2*H35*(ROUND(C35/G35,0)+1)+I35^2*K35*(ROUND(C35/J35,0)+1))/1000</f>
        <v>32.058</v>
      </c>
      <c r="V35">
        <f>0.006165*M35^2*O35*(ROUND(C35/N35,0)+1)/1000*L35</f>
        <v>0</v>
      </c>
      <c r="W35">
        <f>0.006165*P35^2*R35*(ROUND(D35/Q35,0)+1)/1000</f>
        <v>14.179500000000003</v>
      </c>
      <c r="Y35">
        <f>T35/S35</f>
        <v>13.333333333333334</v>
      </c>
      <c r="Z35">
        <f>SUM(U35:W35)/S35</f>
        <v>311.36363636363643</v>
      </c>
      <c r="AB35">
        <f>T35/2</f>
        <v>0.99</v>
      </c>
    </row>
    <row r="36">
      <c r="A36">
        <f>A35+1</f>
        <v>34</v>
      </c>
      <c r="B36" t="str">
        <v>Tanggulan Lt2</v>
      </c>
      <c r="C36">
        <v>10025</v>
      </c>
      <c r="D36">
        <v>200</v>
      </c>
      <c r="E36">
        <v>150</v>
      </c>
      <c r="F36">
        <v>10</v>
      </c>
      <c r="G36">
        <v>200</v>
      </c>
      <c r="H36">
        <f>(D36+(2*40)*F36)*2</f>
        <v>2000</v>
      </c>
      <c r="J36">
        <v>100</v>
      </c>
      <c r="N36">
        <v>100</v>
      </c>
      <c r="P36">
        <v>10</v>
      </c>
      <c r="Q36">
        <v>200</v>
      </c>
      <c r="R36">
        <f>(C36+(2*40+0*50)*P36)*2</f>
        <v>21650</v>
      </c>
      <c r="S36">
        <f>C36*D36*E36/1000000000</f>
        <v>0.30075</v>
      </c>
      <c r="T36">
        <f>2*C36*D36/1000000</f>
        <v>4.01</v>
      </c>
      <c r="U36">
        <f>0.006165*(F36^2*H36*(ROUND(C36/G36,0)+1)+I36^2*K36*(ROUND(C36/J36,0)+1))/1000</f>
        <v>62.883</v>
      </c>
      <c r="V36">
        <f>0.006165*M36^2*O36*(ROUND(C36/N36,0)+1)/1000*L36</f>
        <v>0</v>
      </c>
      <c r="W36">
        <f>0.006165*P36^2*R36*(ROUND(D36/Q36,0)+1)/1000</f>
        <v>26.69445</v>
      </c>
      <c r="Y36">
        <f>T36/S36</f>
        <v>13.333333333333332</v>
      </c>
      <c r="Z36">
        <f>SUM(U36:W36)/S36</f>
        <v>297.8468827930174</v>
      </c>
      <c r="AB36">
        <f>T36/2</f>
        <v>2.005</v>
      </c>
    </row>
    <row r="37">
      <c r="A37">
        <f>A36+1</f>
        <v>35</v>
      </c>
      <c r="B37" t="str">
        <v>Lift lt2</v>
      </c>
      <c r="C37">
        <f>8800-4000</f>
        <v>4800</v>
      </c>
      <c r="D37">
        <v>4500</v>
      </c>
      <c r="E37">
        <v>170</v>
      </c>
      <c r="F37">
        <v>10</v>
      </c>
      <c r="G37">
        <v>100</v>
      </c>
      <c r="H37">
        <f>(D37+(2*40)*F37)*2</f>
        <v>10600</v>
      </c>
      <c r="J37">
        <v>100</v>
      </c>
      <c r="L37">
        <v>6</v>
      </c>
      <c r="M37">
        <v>10</v>
      </c>
      <c r="N37">
        <v>100</v>
      </c>
      <c r="O37">
        <v>300</v>
      </c>
      <c r="P37">
        <v>13</v>
      </c>
      <c r="Q37">
        <v>100</v>
      </c>
      <c r="R37">
        <f>(C37+(4*40+0*50)*P37)*2</f>
        <v>13760</v>
      </c>
      <c r="S37">
        <f>C37*D37*E37/1000000000</f>
        <v>3.672</v>
      </c>
      <c r="T37">
        <f>2*C37*D37/1000000</f>
        <v>43.2</v>
      </c>
      <c r="U37">
        <f>0.006165*(F37^2*H37*(ROUND(C37/G37,0)+1)+I37^2*K37*(ROUND(C37/J37,0)+1))/1000</f>
        <v>320.2101</v>
      </c>
      <c r="V37">
        <f>0.006165*M37^2*O37*(ROUND(C37/N37,0)+1)/1000*L37</f>
        <v>54.37530000000001</v>
      </c>
      <c r="W37">
        <f>0.006165*P37^2*R37*(ROUND(D37/Q37,0)+1)/1000</f>
        <v>659.4715296</v>
      </c>
      <c r="Y37">
        <f>T37/S37</f>
        <v>11.764705882352942</v>
      </c>
      <c r="Z37">
        <f>SUM(U37:W37)/S37</f>
        <v>281.60591764705885</v>
      </c>
      <c r="AB37">
        <f>T37/2</f>
        <v>21.6</v>
      </c>
    </row>
    <row r="38">
      <c r="A38" t="str">
        <v>Lantai 3</v>
      </c>
    </row>
    <row r="39">
      <c r="A39">
        <v>28</v>
      </c>
      <c r="B39" t="str">
        <v>Pagar Alas Lt3</v>
      </c>
      <c r="C39">
        <v>6725</v>
      </c>
      <c r="D39">
        <v>3500</v>
      </c>
      <c r="E39">
        <v>100</v>
      </c>
      <c r="F39">
        <v>10</v>
      </c>
      <c r="G39">
        <v>300</v>
      </c>
      <c r="H39">
        <f>(D39+(2*40)*F39)</f>
        <v>4300</v>
      </c>
      <c r="J39">
        <v>100</v>
      </c>
      <c r="N39">
        <v>100</v>
      </c>
      <c r="P39">
        <v>10</v>
      </c>
      <c r="Q39">
        <v>300</v>
      </c>
      <c r="R39">
        <f>(C39+(2*40+0*50)*P39)</f>
        <v>7525</v>
      </c>
      <c r="S39">
        <f>C39*D39*E39/1000000000</f>
        <v>2.35375</v>
      </c>
      <c r="T39">
        <f>2*C39*D39/1000000</f>
        <v>47.075</v>
      </c>
      <c r="U39">
        <f>0.006165*(F39^2*H39*(ROUND(C39/G39,0)+1)+I39^2*K39*(ROUND(C39/J39,0)+1))/1000</f>
        <v>60.97185</v>
      </c>
      <c r="V39">
        <f>0.006165*M39^2*O39*(ROUND(C39/N39,0)+1)/1000*L39</f>
        <v>0</v>
      </c>
      <c r="W39">
        <f>0.006165*P39^2*R39*(ROUND(D39/Q39,0)+1)/1000</f>
        <v>60.309112500000005</v>
      </c>
      <c r="Y39">
        <f>T39/S39</f>
        <v>20.000000000000004</v>
      </c>
      <c r="Z39">
        <f>SUM(U39:W39)/S39</f>
        <v>51.52669676048859</v>
      </c>
      <c r="AB39">
        <f>T39/2</f>
        <v>23.5375</v>
      </c>
    </row>
    <row r="40">
      <c r="A40" t="str">
        <v>16-17</v>
      </c>
      <c r="B40" t="str">
        <v>Opening Lengkung</v>
      </c>
      <c r="C40">
        <v>1100</v>
      </c>
      <c r="D40">
        <v>5860</v>
      </c>
      <c r="E40">
        <v>150</v>
      </c>
      <c r="F40">
        <v>10</v>
      </c>
      <c r="G40">
        <v>200</v>
      </c>
      <c r="H40">
        <f>(D40+(2*40)*F40)*2</f>
        <v>13320</v>
      </c>
      <c r="J40">
        <v>100</v>
      </c>
      <c r="N40">
        <v>100</v>
      </c>
      <c r="P40">
        <v>10</v>
      </c>
      <c r="Q40">
        <v>200</v>
      </c>
      <c r="R40">
        <f>(C40+(2*40+0*50)*P40)*2</f>
        <v>3800</v>
      </c>
      <c r="S40">
        <f>C40*D40*E40/1000000000</f>
        <v>0.9669</v>
      </c>
      <c r="T40">
        <f>2*C40*D40/1000000</f>
        <v>12.892</v>
      </c>
      <c r="U40">
        <f>0.006165*(F40^2*H40*(ROUND(C40/G40,0)+1)+I40^2*K40*(ROUND(C40/J40,0)+1))/1000</f>
        <v>57.48246</v>
      </c>
      <c r="V40">
        <f>0.006165*M40^2*O40*(ROUND(C40/N40,0)+1)/1000*L40</f>
        <v>0</v>
      </c>
      <c r="W40">
        <f>0.006165*P40^2*R40*(ROUND(D40/Q40,0)+1)/1000</f>
        <v>70.28100000000002</v>
      </c>
      <c r="Y40">
        <f>T40/S40</f>
        <v>13.333333333333332</v>
      </c>
      <c r="Z40">
        <f>SUM(U40:W40)/S40</f>
        <v>132.13720136518774</v>
      </c>
      <c r="AB40">
        <f>T40/2</f>
        <v>6.446</v>
      </c>
    </row>
    <row r="41">
      <c r="A41" t="str">
        <v>18-19</v>
      </c>
      <c r="B41" t="str">
        <v>Opening Lengkung</v>
      </c>
      <c r="C41">
        <v>1100</v>
      </c>
      <c r="D41">
        <v>5860</v>
      </c>
      <c r="E41">
        <v>150</v>
      </c>
      <c r="F41">
        <v>10</v>
      </c>
      <c r="G41">
        <v>200</v>
      </c>
      <c r="H41">
        <f>(D41+(2*40)*F41)*2</f>
        <v>13320</v>
      </c>
      <c r="J41">
        <v>100</v>
      </c>
      <c r="N41">
        <v>100</v>
      </c>
      <c r="P41">
        <v>10</v>
      </c>
      <c r="Q41">
        <v>200</v>
      </c>
      <c r="R41">
        <f>(C41+(2*40+0*50)*P41)*2</f>
        <v>3800</v>
      </c>
      <c r="S41">
        <f>C41*D41*E41/1000000000</f>
        <v>0.9669</v>
      </c>
      <c r="T41">
        <f>2*C41*D41/1000000</f>
        <v>12.892</v>
      </c>
      <c r="U41">
        <f>0.006165*(F41^2*H41*(ROUND(C41/G41,0)+1)+I41^2*K41*(ROUND(C41/J41,0)+1))/1000</f>
        <v>57.48246</v>
      </c>
      <c r="V41">
        <f>0.006165*M41^2*O41*(ROUND(C41/N41,0)+1)/1000*L41</f>
        <v>0</v>
      </c>
      <c r="W41">
        <f>0.006165*P41^2*R41*(ROUND(D41/Q41,0)+1)/1000</f>
        <v>70.28100000000002</v>
      </c>
      <c r="Y41">
        <f>T41/S41</f>
        <v>13.333333333333332</v>
      </c>
      <c r="Z41">
        <f>SUM(U41:W41)/S41</f>
        <v>132.13720136518774</v>
      </c>
      <c r="AB41">
        <f>T41/2</f>
        <v>6.446</v>
      </c>
    </row>
    <row r="42">
      <c r="A42" t="str">
        <v>20-21</v>
      </c>
      <c r="B42" t="str">
        <v>Opening Lengkung</v>
      </c>
      <c r="C42">
        <v>1100</v>
      </c>
      <c r="D42">
        <v>5860</v>
      </c>
      <c r="E42">
        <v>150</v>
      </c>
      <c r="F42">
        <v>10</v>
      </c>
      <c r="G42">
        <v>200</v>
      </c>
      <c r="H42">
        <f>(D42+(2*40)*F42)*2</f>
        <v>13320</v>
      </c>
      <c r="J42">
        <v>100</v>
      </c>
      <c r="N42">
        <v>100</v>
      </c>
      <c r="P42">
        <v>10</v>
      </c>
      <c r="Q42">
        <v>200</v>
      </c>
      <c r="R42">
        <f>(C42+(2*40+0*50)*P42)*2</f>
        <v>3800</v>
      </c>
      <c r="S42">
        <f>C42*D42*E42/1000000000</f>
        <v>0.9669</v>
      </c>
      <c r="T42">
        <f>2*C42*D42/1000000</f>
        <v>12.892</v>
      </c>
      <c r="U42">
        <f>0.006165*(F42^2*H42*(ROUND(C42/G42,0)+1)+I42^2*K42*(ROUND(C42/J42,0)+1))/1000</f>
        <v>57.48246</v>
      </c>
      <c r="V42">
        <f>0.006165*M42^2*O42*(ROUND(C42/N42,0)+1)/1000*L42</f>
        <v>0</v>
      </c>
      <c r="W42">
        <f>0.006165*P42^2*R42*(ROUND(D42/Q42,0)+1)/1000</f>
        <v>70.28100000000002</v>
      </c>
      <c r="Y42">
        <f>T42/S42</f>
        <v>13.333333333333332</v>
      </c>
      <c r="Z42">
        <f>SUM(U42:W42)/S42</f>
        <v>132.13720136518774</v>
      </c>
      <c r="AB42">
        <f>T42/2</f>
        <v>6.446</v>
      </c>
    </row>
    <row r="43">
      <c r="A43" t="str">
        <v>22-23</v>
      </c>
      <c r="B43" t="str">
        <v>Opening Lengkung</v>
      </c>
      <c r="C43">
        <v>1100</v>
      </c>
      <c r="D43">
        <v>5860</v>
      </c>
      <c r="E43">
        <v>150</v>
      </c>
      <c r="F43">
        <v>10</v>
      </c>
      <c r="G43">
        <v>200</v>
      </c>
      <c r="H43">
        <f>(D43+(2*40)*F43)*2</f>
        <v>13320</v>
      </c>
      <c r="J43">
        <v>100</v>
      </c>
      <c r="N43">
        <v>100</v>
      </c>
      <c r="P43">
        <v>10</v>
      </c>
      <c r="Q43">
        <v>200</v>
      </c>
      <c r="R43">
        <f>(C43+(2*40+0*50)*P43)*2</f>
        <v>3800</v>
      </c>
      <c r="S43">
        <f>C43*D43*E43/1000000000</f>
        <v>0.9669</v>
      </c>
      <c r="T43">
        <f>2*C43*D43/1000000</f>
        <v>12.892</v>
      </c>
      <c r="U43">
        <f>0.006165*(F43^2*H43*(ROUND(C43/G43,0)+1)+I43^2*K43*(ROUND(C43/J43,0)+1))/1000</f>
        <v>57.48246</v>
      </c>
      <c r="V43">
        <f>0.006165*M43^2*O43*(ROUND(C43/N43,0)+1)/1000*L43</f>
        <v>0</v>
      </c>
      <c r="W43">
        <f>0.006165*P43^2*R43*(ROUND(D43/Q43,0)+1)/1000</f>
        <v>70.28100000000002</v>
      </c>
      <c r="Y43">
        <f>T43/S43</f>
        <v>13.333333333333332</v>
      </c>
      <c r="Z43">
        <f>SUM(U43:W43)/S43</f>
        <v>132.13720136518774</v>
      </c>
      <c r="AB43">
        <f>T43/2</f>
        <v>6.446</v>
      </c>
    </row>
    <row r="44">
      <c r="A44" t="str">
        <v>24-25</v>
      </c>
      <c r="B44" t="str">
        <v>Opening Lengkung</v>
      </c>
      <c r="C44">
        <v>1100</v>
      </c>
      <c r="D44">
        <v>5860</v>
      </c>
      <c r="E44">
        <v>150</v>
      </c>
      <c r="F44">
        <v>10</v>
      </c>
      <c r="G44">
        <v>200</v>
      </c>
      <c r="H44">
        <f>(D44+(2*40)*F44)*2</f>
        <v>13320</v>
      </c>
      <c r="J44">
        <v>100</v>
      </c>
      <c r="N44">
        <v>100</v>
      </c>
      <c r="P44">
        <v>10</v>
      </c>
      <c r="Q44">
        <v>200</v>
      </c>
      <c r="R44">
        <f>(C44+(2*40+0*50)*P44)*2</f>
        <v>3800</v>
      </c>
      <c r="S44">
        <f>C44*D44*E44/1000000000</f>
        <v>0.9669</v>
      </c>
      <c r="T44">
        <f>2*C44*D44/1000000</f>
        <v>12.892</v>
      </c>
      <c r="U44">
        <f>0.006165*(F44^2*H44*(ROUND(C44/G44,0)+1)+I44^2*K44*(ROUND(C44/J44,0)+1))/1000</f>
        <v>57.48246</v>
      </c>
      <c r="V44">
        <f>0.006165*M44^2*O44*(ROUND(C44/N44,0)+1)/1000*L44</f>
        <v>0</v>
      </c>
      <c r="W44">
        <f>0.006165*P44^2*R44*(ROUND(D44/Q44,0)+1)/1000</f>
        <v>70.28100000000002</v>
      </c>
      <c r="Y44">
        <f>T44/S44</f>
        <v>13.333333333333332</v>
      </c>
      <c r="Z44">
        <f>SUM(U44:W44)/S44</f>
        <v>132.13720136518774</v>
      </c>
      <c r="AB44">
        <f>T44/2</f>
        <v>6.446</v>
      </c>
    </row>
    <row r="45">
      <c r="A45">
        <v>29</v>
      </c>
      <c r="B45" t="str">
        <v>Tanggulan Lt3</v>
      </c>
      <c r="C45">
        <v>1775</v>
      </c>
      <c r="D45">
        <v>200</v>
      </c>
      <c r="E45">
        <v>150</v>
      </c>
      <c r="F45">
        <v>10</v>
      </c>
      <c r="G45">
        <v>200</v>
      </c>
      <c r="H45">
        <f>(D45+(2*40)*F45)*2</f>
        <v>2000</v>
      </c>
      <c r="J45">
        <v>100</v>
      </c>
      <c r="N45">
        <v>100</v>
      </c>
      <c r="P45">
        <v>10</v>
      </c>
      <c r="Q45">
        <v>200</v>
      </c>
      <c r="R45">
        <f>(C45+(2*40+0*50)*P45)*2</f>
        <v>5150</v>
      </c>
      <c r="S45">
        <f>C45*D45*E45/1000000000</f>
        <v>0.05325</v>
      </c>
      <c r="T45">
        <f>2*C45*D45/1000000</f>
        <v>0.71</v>
      </c>
      <c r="U45">
        <f>0.006165*(F45^2*H45*(ROUND(C45/G45,0)+1)+I45^2*K45*(ROUND(C45/J45,0)+1))/1000</f>
        <v>12.33</v>
      </c>
      <c r="V45">
        <f>0.006165*M45^2*O45*(ROUND(C45/N45,0)+1)/1000*L45</f>
        <v>0</v>
      </c>
      <c r="W45">
        <f>0.006165*P45^2*R45*(ROUND(D45/Q45,0)+1)/1000</f>
        <v>6.349950000000001</v>
      </c>
      <c r="Y45">
        <f>T45/S45</f>
        <v>13.333333333333332</v>
      </c>
      <c r="Z45">
        <f>SUM(U45:W45)/S45</f>
        <v>350.7971830985916</v>
      </c>
      <c r="AB45">
        <f>T45/2</f>
        <v>0.355</v>
      </c>
    </row>
    <row r="46">
      <c r="A46">
        <f>A45+1</f>
        <v>30</v>
      </c>
      <c r="B46" t="str">
        <v>Tanggulan Lt3</v>
      </c>
      <c r="C46">
        <v>2375</v>
      </c>
      <c r="D46">
        <v>200</v>
      </c>
      <c r="E46">
        <v>150</v>
      </c>
      <c r="F46">
        <v>10</v>
      </c>
      <c r="G46">
        <v>200</v>
      </c>
      <c r="H46">
        <f>(D46+(2*40)*F46)*2</f>
        <v>2000</v>
      </c>
      <c r="J46">
        <v>100</v>
      </c>
      <c r="N46">
        <v>100</v>
      </c>
      <c r="P46">
        <v>10</v>
      </c>
      <c r="Q46">
        <v>200</v>
      </c>
      <c r="R46">
        <f>(C46+(2*40+0*50)*P46)*2</f>
        <v>6350</v>
      </c>
      <c r="S46">
        <f>C46*D46*E46/1000000000</f>
        <v>0.07125</v>
      </c>
      <c r="T46">
        <f>2*C46*D46/1000000</f>
        <v>0.95</v>
      </c>
      <c r="U46">
        <f>0.006165*(F46^2*H46*(ROUND(C46/G46,0)+1)+I46^2*K46*(ROUND(C46/J46,0)+1))/1000</f>
        <v>16.029</v>
      </c>
      <c r="V46">
        <f>0.006165*M46^2*O46*(ROUND(C46/N46,0)+1)/1000*L46</f>
        <v>0</v>
      </c>
      <c r="W46">
        <f>0.006165*P46^2*R46*(ROUND(D46/Q46,0)+1)/1000</f>
        <v>7.82955</v>
      </c>
      <c r="Y46">
        <f>T46/S46</f>
        <v>13.333333333333334</v>
      </c>
      <c r="Z46">
        <f>SUM(U46:W46)/S46</f>
        <v>334.8568421052632</v>
      </c>
      <c r="AB46">
        <f>T46/2</f>
        <v>0.475</v>
      </c>
    </row>
    <row r="47">
      <c r="A47">
        <f>A46+1</f>
        <v>31</v>
      </c>
      <c r="B47" t="str">
        <v>Tanggulan Lt3</v>
      </c>
      <c r="C47">
        <v>1325</v>
      </c>
      <c r="D47">
        <v>200</v>
      </c>
      <c r="E47">
        <v>150</v>
      </c>
      <c r="F47">
        <v>10</v>
      </c>
      <c r="G47">
        <v>200</v>
      </c>
      <c r="H47">
        <f>(D47+(2*40)*F47)*2</f>
        <v>2000</v>
      </c>
      <c r="J47">
        <v>100</v>
      </c>
      <c r="N47">
        <v>100</v>
      </c>
      <c r="P47">
        <v>10</v>
      </c>
      <c r="Q47">
        <v>200</v>
      </c>
      <c r="R47">
        <f>(C47+(2*40+0*50)*P47)*2</f>
        <v>4250</v>
      </c>
      <c r="S47">
        <f>C47*D47*E47/1000000000</f>
        <v>0.03975</v>
      </c>
      <c r="T47">
        <f>2*C47*D47/1000000</f>
        <v>0.53</v>
      </c>
      <c r="U47">
        <f>0.006165*(F47^2*H47*(ROUND(C47/G47,0)+1)+I47^2*K47*(ROUND(C47/J47,0)+1))/1000</f>
        <v>9.864</v>
      </c>
      <c r="V47">
        <f>0.006165*M47^2*O47*(ROUND(C47/N47,0)+1)/1000*L47</f>
        <v>0</v>
      </c>
      <c r="W47">
        <f>0.006165*P47^2*R47*(ROUND(D47/Q47,0)+1)/1000</f>
        <v>5.24025</v>
      </c>
      <c r="Y47">
        <f>T47/S47</f>
        <v>13.333333333333334</v>
      </c>
      <c r="Z47">
        <f>SUM(U47:W47)/S47</f>
        <v>379.9811320754717</v>
      </c>
      <c r="AB47">
        <f>T47/2</f>
        <v>0.265</v>
      </c>
    </row>
    <row r="48">
      <c r="A48">
        <f>A47+1</f>
        <v>32</v>
      </c>
      <c r="B48" t="str">
        <v>Tanggulan Lt3</v>
      </c>
      <c r="C48">
        <v>3775</v>
      </c>
      <c r="D48">
        <v>200</v>
      </c>
      <c r="E48">
        <v>150</v>
      </c>
      <c r="F48">
        <v>10</v>
      </c>
      <c r="G48">
        <v>200</v>
      </c>
      <c r="H48">
        <f>(D48+(2*40)*F48)*2</f>
        <v>2000</v>
      </c>
      <c r="J48">
        <v>100</v>
      </c>
      <c r="N48">
        <v>100</v>
      </c>
      <c r="P48">
        <v>10</v>
      </c>
      <c r="Q48">
        <v>200</v>
      </c>
      <c r="R48">
        <f>(C48+(2*40+0*50)*P48)*2</f>
        <v>9150</v>
      </c>
      <c r="S48">
        <f>C48*D48*E48/1000000000</f>
        <v>0.11325</v>
      </c>
      <c r="T48">
        <f>2*C48*D48/1000000</f>
        <v>1.51</v>
      </c>
      <c r="U48">
        <f>0.006165*(F48^2*H48*(ROUND(C48/G48,0)+1)+I48^2*K48*(ROUND(C48/J48,0)+1))/1000</f>
        <v>24.66</v>
      </c>
      <c r="V48">
        <f>0.006165*M48^2*O48*(ROUND(C48/N48,0)+1)/1000*L48</f>
        <v>0</v>
      </c>
      <c r="W48">
        <f>0.006165*P48^2*R48*(ROUND(D48/Q48,0)+1)/1000</f>
        <v>11.28195</v>
      </c>
      <c r="Y48">
        <f>T48/S48</f>
        <v>13.333333333333332</v>
      </c>
      <c r="Z48">
        <f>SUM(U48:W48)/S48</f>
        <v>317.3682119205298</v>
      </c>
      <c r="AB48">
        <f>T48/2</f>
        <v>0.755</v>
      </c>
    </row>
    <row r="49">
      <c r="A49">
        <f>A48+1</f>
        <v>33</v>
      </c>
      <c r="B49" t="str">
        <v>Lift lt3</v>
      </c>
      <c r="C49">
        <f>8800-4000</f>
        <v>4800</v>
      </c>
      <c r="D49">
        <v>4500</v>
      </c>
      <c r="E49">
        <v>170</v>
      </c>
      <c r="F49">
        <v>10</v>
      </c>
      <c r="G49">
        <v>100</v>
      </c>
      <c r="H49">
        <f>(D49+(2*40)*F49)*2</f>
        <v>10600</v>
      </c>
      <c r="J49">
        <v>100</v>
      </c>
      <c r="L49">
        <v>6</v>
      </c>
      <c r="M49">
        <v>10</v>
      </c>
      <c r="N49">
        <v>100</v>
      </c>
      <c r="O49">
        <v>300</v>
      </c>
      <c r="P49">
        <v>13</v>
      </c>
      <c r="Q49">
        <v>100</v>
      </c>
      <c r="R49">
        <f>(C49+(4*40+0*50)*P49)*2</f>
        <v>13760</v>
      </c>
      <c r="S49">
        <f>C49*D49*E49/1000000000</f>
        <v>3.672</v>
      </c>
      <c r="T49">
        <f>2*C49*D49/1000000</f>
        <v>43.2</v>
      </c>
      <c r="U49">
        <f>0.006165*(F49^2*H49*(ROUND(C49/G49,0)+1)+I49^2*K49*(ROUND(C49/J49,0)+1))/1000</f>
        <v>320.2101</v>
      </c>
      <c r="V49">
        <f>0.006165*M49^2*O49*(ROUND(C49/N49,0)+1)/1000*L49</f>
        <v>54.37530000000001</v>
      </c>
      <c r="W49">
        <f>0.006165*P49^2*R49*(ROUND(D49/Q49,0)+1)/1000</f>
        <v>659.4715296</v>
      </c>
      <c r="Y49">
        <f>T49/S49</f>
        <v>11.764705882352942</v>
      </c>
      <c r="Z49">
        <f>SUM(U49:W49)/S49</f>
        <v>281.60591764705885</v>
      </c>
      <c r="AB49">
        <f>T49/2</f>
        <v>21.6</v>
      </c>
    </row>
    <row r="50">
      <c r="A50" t="str">
        <v>Lantai Atap</v>
      </c>
    </row>
    <row r="51">
      <c r="A51">
        <v>1</v>
      </c>
      <c r="B51" t="str">
        <v>Tanggulan Lt Atap</v>
      </c>
      <c r="C51">
        <v>19925</v>
      </c>
      <c r="D51">
        <v>200</v>
      </c>
      <c r="E51">
        <v>150</v>
      </c>
      <c r="F51">
        <v>10</v>
      </c>
      <c r="G51">
        <v>200</v>
      </c>
      <c r="H51">
        <f>(D51+(2*40)*F51)*2</f>
        <v>2000</v>
      </c>
      <c r="J51">
        <v>100</v>
      </c>
      <c r="N51">
        <v>100</v>
      </c>
      <c r="P51">
        <v>10</v>
      </c>
      <c r="Q51">
        <v>200</v>
      </c>
      <c r="R51">
        <f>(C51+(2*40+0*50)*P51)*2</f>
        <v>41450</v>
      </c>
      <c r="S51">
        <f>C51*D51*E51/1000000000</f>
        <v>0.59775</v>
      </c>
      <c r="T51">
        <f>2*C51*D51/1000000</f>
        <v>7.97</v>
      </c>
      <c r="U51">
        <f>0.006165*(F51^2*H51*(ROUND(C51/G51,0)+1)+I51^2*K51*(ROUND(C51/J51,0)+1))/1000</f>
        <v>124.533</v>
      </c>
      <c r="V51">
        <f>0.006165*M51^2*O51*(ROUND(C51/N51,0)+1)/1000*L51</f>
        <v>0</v>
      </c>
      <c r="W51">
        <f>0.006165*P51^2*R51*(ROUND(D51/Q51,0)+1)/1000</f>
        <v>51.107850000000006</v>
      </c>
      <c r="Y51">
        <f>T51/S51</f>
        <v>13.333333333333332</v>
      </c>
      <c r="Z51">
        <f>SUM(U51:W51)/S51</f>
        <v>293.8366373902133</v>
      </c>
      <c r="AB51">
        <f>T51/2</f>
        <v>3.985</v>
      </c>
    </row>
    <row r="52">
      <c r="A52">
        <f>A51+1</f>
        <v>2</v>
      </c>
      <c r="B52" t="str">
        <v>Tanggulan Lt Atap</v>
      </c>
      <c r="C52">
        <v>21280</v>
      </c>
      <c r="D52">
        <v>200</v>
      </c>
      <c r="E52">
        <v>150</v>
      </c>
      <c r="F52">
        <v>10</v>
      </c>
      <c r="G52">
        <v>200</v>
      </c>
      <c r="H52">
        <f>(D52+(2*40)*F52)*2</f>
        <v>2000</v>
      </c>
      <c r="J52">
        <v>100</v>
      </c>
      <c r="N52">
        <v>100</v>
      </c>
      <c r="P52">
        <v>10</v>
      </c>
      <c r="Q52">
        <v>200</v>
      </c>
      <c r="R52">
        <f>(C52+(2*40+0*50)*P52)*2</f>
        <v>44160</v>
      </c>
      <c r="S52">
        <f>C52*D52*E52/1000000000</f>
        <v>0.6384</v>
      </c>
      <c r="T52">
        <f>2*C52*D52/1000000</f>
        <v>8.512</v>
      </c>
      <c r="U52">
        <f>0.006165*(F52^2*H52*(ROUND(C52/G52,0)+1)+I52^2*K52*(ROUND(C52/J52,0)+1))/1000</f>
        <v>131.931</v>
      </c>
      <c r="V52">
        <f>0.006165*M52^2*O52*(ROUND(C52/N52,0)+1)/1000*L52</f>
        <v>0</v>
      </c>
      <c r="W52">
        <f>0.006165*P52^2*R52*(ROUND(D52/Q52,0)+1)/1000</f>
        <v>54.44928000000001</v>
      </c>
      <c r="Y52">
        <f>T52/S52</f>
        <v>13.333333333333334</v>
      </c>
      <c r="Z52">
        <f>SUM(U52:W52)/S52</f>
        <v>291.949060150376</v>
      </c>
      <c r="AB52">
        <f>T52/2</f>
        <v>4.256</v>
      </c>
    </row>
    <row r="53">
      <c r="A53" t="str">
        <v>Penebalan Sloof</v>
      </c>
    </row>
    <row r="54">
      <c r="A54">
        <v>1</v>
      </c>
      <c r="B54" t="str">
        <v>Penebalan Sloof</v>
      </c>
      <c r="C54">
        <v>1310</v>
      </c>
      <c r="D54">
        <v>400</v>
      </c>
      <c r="E54">
        <v>300</v>
      </c>
      <c r="F54">
        <v>10</v>
      </c>
      <c r="G54">
        <v>200</v>
      </c>
      <c r="H54">
        <f>(D54+(2*40)*F54)*2</f>
        <v>2400</v>
      </c>
      <c r="J54">
        <v>100</v>
      </c>
      <c r="L54">
        <f>ROUND(D54/100-2,0)</f>
        <v>2</v>
      </c>
      <c r="M54">
        <v>10</v>
      </c>
      <c r="N54">
        <v>100</v>
      </c>
      <c r="O54">
        <f>E54</f>
        <v>300</v>
      </c>
      <c r="P54">
        <v>10</v>
      </c>
      <c r="Q54">
        <v>100</v>
      </c>
      <c r="R54">
        <f>(C54+(2*40+0*50)*P54)*2</f>
        <v>4220</v>
      </c>
      <c r="S54">
        <f>C54*D54*E54/1000000000</f>
        <v>0.1572</v>
      </c>
      <c r="T54">
        <f>2*C54*D54/1000000</f>
        <v>1.048</v>
      </c>
      <c r="U54">
        <f>0.006165*(F54^2*H54*(ROUND(C54/G54,0)+1)+I54^2*K54*(ROUND(C54/J54,0)+1))/1000</f>
        <v>11.8368</v>
      </c>
      <c r="V54">
        <f>0.006165*M54^2*O54*(ROUND(C54/N54,0)+1)/1000*L54</f>
        <v>5.1786</v>
      </c>
      <c r="W54">
        <f>0.006165*P54^2*R54*(ROUND(D54/Q54,0)+1)/1000</f>
        <v>13.008150000000002</v>
      </c>
      <c r="Y54">
        <f>T54/S54</f>
        <v>6.666666666666667</v>
      </c>
      <c r="Z54">
        <f>SUM(U54:W54)/S54</f>
        <v>190.9895038167939</v>
      </c>
      <c r="AB54">
        <f>T54/2</f>
        <v>0.524</v>
      </c>
    </row>
    <row r="55">
      <c r="A55">
        <f>A54+1</f>
        <v>2</v>
      </c>
      <c r="B55" t="str">
        <v>Penebalan Sloof</v>
      </c>
      <c r="C55">
        <v>650</v>
      </c>
      <c r="D55">
        <v>500</v>
      </c>
      <c r="E55">
        <v>200</v>
      </c>
      <c r="F55">
        <v>10</v>
      </c>
      <c r="G55">
        <v>200</v>
      </c>
      <c r="H55">
        <f>(D55+(2*40)*F55)*2</f>
        <v>2600</v>
      </c>
      <c r="J55">
        <v>100</v>
      </c>
      <c r="L55">
        <f>ROUND(D55/100-2,0)</f>
        <v>3</v>
      </c>
      <c r="M55">
        <v>10</v>
      </c>
      <c r="N55">
        <v>100</v>
      </c>
      <c r="O55">
        <f>E55</f>
        <v>200</v>
      </c>
      <c r="P55">
        <v>10</v>
      </c>
      <c r="Q55">
        <v>100</v>
      </c>
      <c r="R55">
        <f>(C55+(2*40+0*50)*P55)*2</f>
        <v>2900</v>
      </c>
      <c r="S55">
        <f>C55*D55*E55/1000000000</f>
        <v>0.065</v>
      </c>
      <c r="T55">
        <f>2*C55*D55/1000000</f>
        <v>0.65</v>
      </c>
      <c r="U55">
        <f>0.006165*(F55^2*H55*(ROUND(C55/G55,0)+1)+I55^2*K55*(ROUND(C55/J55,0)+1))/1000</f>
        <v>6.4116</v>
      </c>
      <c r="V55">
        <f>0.006165*M55^2*O55*(ROUND(C55/N55,0)+1)/1000*L55</f>
        <v>2.9592</v>
      </c>
      <c r="W55">
        <f>0.006165*P55^2*R55*(ROUND(D55/Q55,0)+1)/1000</f>
        <v>10.7271</v>
      </c>
      <c r="Y55">
        <f>T55/S55</f>
        <v>10</v>
      </c>
      <c r="Z55">
        <f>SUM(U55:W55)/S55</f>
        <v>309.1984615384615</v>
      </c>
      <c r="AB55">
        <f>T55/2</f>
        <v>0.325</v>
      </c>
    </row>
    <row r="56">
      <c r="A56">
        <f>A55+1</f>
        <v>3</v>
      </c>
      <c r="B56" t="str">
        <v>Penebalan Sloof</v>
      </c>
    </row>
    <row r="57">
      <c r="A57">
        <f>A56+1</f>
        <v>4</v>
      </c>
      <c r="B57" t="str">
        <v>Penebalan Sloof</v>
      </c>
    </row>
    <row r="58">
      <c r="A58">
        <f>A57+1</f>
        <v>5</v>
      </c>
      <c r="B58" t="str">
        <v>Penebalan Sloof</v>
      </c>
    </row>
    <row r="59">
      <c r="A59">
        <f>A58+1</f>
        <v>6</v>
      </c>
      <c r="B59" t="str">
        <v>Penebalan Sloof</v>
      </c>
    </row>
    <row r="60">
      <c r="A60">
        <f>A59+1</f>
        <v>7</v>
      </c>
      <c r="B60" t="str">
        <v>Penebalan Sloof</v>
      </c>
    </row>
    <row r="61">
      <c r="A61">
        <f>A60+1</f>
        <v>8</v>
      </c>
      <c r="B61" t="str">
        <v>Penebalan Sloof</v>
      </c>
    </row>
    <row r="62">
      <c r="A62">
        <f>A61+1</f>
        <v>9</v>
      </c>
      <c r="B62" t="str">
        <v>Penebalan Sloof</v>
      </c>
      <c r="C62">
        <v>225</v>
      </c>
      <c r="D62">
        <v>1200</v>
      </c>
      <c r="E62">
        <v>200</v>
      </c>
      <c r="F62">
        <v>10</v>
      </c>
      <c r="G62">
        <v>200</v>
      </c>
      <c r="H62">
        <f>(D62+(2*40)*F62)*2</f>
        <v>4000</v>
      </c>
      <c r="J62">
        <v>100</v>
      </c>
      <c r="L62">
        <f>ROUND(D62/100-2,0)</f>
        <v>10</v>
      </c>
      <c r="M62">
        <v>10</v>
      </c>
      <c r="N62">
        <v>100</v>
      </c>
      <c r="O62">
        <f>E62</f>
        <v>200</v>
      </c>
      <c r="P62">
        <v>10</v>
      </c>
      <c r="Q62">
        <v>100</v>
      </c>
      <c r="R62">
        <f>(C62+(2*40+0*50)*P62)*2</f>
        <v>2050</v>
      </c>
      <c r="S62">
        <f>C62*D62*E62/1000000000</f>
        <v>0.054</v>
      </c>
      <c r="T62">
        <f>2*C62*D62/1000000</f>
        <v>0.54</v>
      </c>
      <c r="U62">
        <f>0.006165*(F62^2*H62*(ROUND(C62/G62,0)+1)+I62^2*K62*(ROUND(C62/J62,0)+1))/1000</f>
        <v>4.932</v>
      </c>
      <c r="V62">
        <f>0.006165*M62^2*O62*(ROUND(C62/N62,0)+1)/1000*L62</f>
        <v>3.699</v>
      </c>
      <c r="W62">
        <f>0.006165*P62^2*R62*(ROUND(D62/Q62,0)+1)/1000</f>
        <v>16.429725</v>
      </c>
      <c r="Y62">
        <f>T62/S62</f>
        <v>10</v>
      </c>
      <c r="Z62">
        <f>SUM(U62:W62)/S62</f>
        <v>464.08750000000003</v>
      </c>
      <c r="AB62">
        <f>T62/2</f>
        <v>0.27</v>
      </c>
    </row>
    <row r="63">
      <c r="A63">
        <f>A62+1</f>
        <v>10</v>
      </c>
      <c r="B63" t="str">
        <v>Penebalan Sloof</v>
      </c>
      <c r="AB63">
        <f>T63/2</f>
        <v>0</v>
      </c>
    </row>
    <row r="64">
      <c r="A64">
        <f>A63+1</f>
        <v>11</v>
      </c>
      <c r="B64" t="str">
        <v>Penebalan Sloof</v>
      </c>
      <c r="C64">
        <v>225</v>
      </c>
      <c r="D64">
        <v>1200</v>
      </c>
      <c r="E64">
        <v>200</v>
      </c>
      <c r="F64">
        <v>10</v>
      </c>
      <c r="G64">
        <v>200</v>
      </c>
      <c r="H64">
        <f>(D64+(2*40)*F64)*2</f>
        <v>4000</v>
      </c>
      <c r="J64">
        <v>100</v>
      </c>
      <c r="L64">
        <f>ROUND(D64/100-2,0)</f>
        <v>10</v>
      </c>
      <c r="M64">
        <v>10</v>
      </c>
      <c r="N64">
        <v>100</v>
      </c>
      <c r="O64">
        <f>E64</f>
        <v>200</v>
      </c>
      <c r="P64">
        <v>10</v>
      </c>
      <c r="Q64">
        <v>100</v>
      </c>
      <c r="R64">
        <f>(C64+(2*40+0*50)*P64)*2</f>
        <v>2050</v>
      </c>
      <c r="S64">
        <f>C64*D64*E64/1000000000</f>
        <v>0.054</v>
      </c>
      <c r="T64">
        <f>2*C64*D64/1000000</f>
        <v>0.54</v>
      </c>
      <c r="U64">
        <f>0.006165*(F64^2*H64*(ROUND(C64/G64,0)+1)+I64^2*K64*(ROUND(C64/J64,0)+1))/1000</f>
        <v>4.932</v>
      </c>
      <c r="V64">
        <f>0.006165*M64^2*O64*(ROUND(C64/N64,0)+1)/1000*L64</f>
        <v>3.699</v>
      </c>
      <c r="W64">
        <f>0.006165*P64^2*R64*(ROUND(D64/Q64,0)+1)/1000</f>
        <v>16.429725</v>
      </c>
      <c r="Y64">
        <f>T64/S64</f>
        <v>10</v>
      </c>
      <c r="Z64">
        <f>SUM(U64:W64)/S64</f>
        <v>464.08750000000003</v>
      </c>
      <c r="AB64">
        <f>T64/2</f>
        <v>0.27</v>
      </c>
    </row>
    <row r="65">
      <c r="A65">
        <f>A64+1</f>
        <v>12</v>
      </c>
      <c r="B65" t="str">
        <v>Penebalan Sloof</v>
      </c>
    </row>
    <row r="66">
      <c r="A66">
        <f>A65+1</f>
        <v>13</v>
      </c>
      <c r="B66" t="str">
        <v>Penebalan Sloof</v>
      </c>
    </row>
    <row r="67">
      <c r="A67">
        <f>A66+1</f>
        <v>14</v>
      </c>
      <c r="B67" t="str">
        <v>Penebalan Sloof</v>
      </c>
    </row>
    <row r="68">
      <c r="A68">
        <f>A67+1</f>
        <v>15</v>
      </c>
      <c r="B68" t="str">
        <v>Penebalan Sloof</v>
      </c>
      <c r="C68">
        <v>450</v>
      </c>
      <c r="D68">
        <v>600</v>
      </c>
      <c r="E68">
        <v>200</v>
      </c>
      <c r="F68">
        <v>10</v>
      </c>
      <c r="G68">
        <v>200</v>
      </c>
      <c r="H68">
        <f>(D68+(2*40)*F68)*2</f>
        <v>2800</v>
      </c>
      <c r="J68">
        <v>100</v>
      </c>
      <c r="L68">
        <f>ROUND(D68/100-2,0)</f>
        <v>4</v>
      </c>
      <c r="M68">
        <v>10</v>
      </c>
      <c r="N68">
        <v>100</v>
      </c>
      <c r="O68">
        <f>E68</f>
        <v>200</v>
      </c>
      <c r="P68">
        <v>10</v>
      </c>
      <c r="Q68">
        <v>100</v>
      </c>
      <c r="R68">
        <f>(C68+(2*40+0*50)*P68)*2</f>
        <v>2500</v>
      </c>
      <c r="S68">
        <f>C68*D68*E68/1000000000</f>
        <v>0.054</v>
      </c>
      <c r="T68">
        <f>2*C68*D68/1000000</f>
        <v>0.54</v>
      </c>
      <c r="U68">
        <f>0.006165*(F68^2*H68*(ROUND(C68/G68,0)+1)+I68^2*K68*(ROUND(C68/J68,0)+1))/1000</f>
        <v>5.1786</v>
      </c>
      <c r="V68">
        <f>0.006165*M68^2*O68*(ROUND(C68/N68,0)+1)/1000*L68</f>
        <v>2.9592</v>
      </c>
      <c r="W68">
        <f>0.006165*P68^2*R68*(ROUND(D68/Q68,0)+1)/1000</f>
        <v>10.788750000000002</v>
      </c>
      <c r="Y68">
        <f>T68/S68</f>
        <v>10</v>
      </c>
      <c r="Z68">
        <f>SUM(U68:W68)/S68</f>
        <v>350.49166666666673</v>
      </c>
      <c r="AB68">
        <f>T68/2</f>
        <v>0.27</v>
      </c>
    </row>
    <row r="69">
      <c r="A69">
        <f>A68+1</f>
        <v>16</v>
      </c>
      <c r="B69" t="str">
        <v>Penebalan Sloof</v>
      </c>
      <c r="C69">
        <v>650</v>
      </c>
      <c r="D69">
        <v>400</v>
      </c>
      <c r="E69">
        <v>200</v>
      </c>
      <c r="F69">
        <v>10</v>
      </c>
      <c r="G69">
        <v>200</v>
      </c>
      <c r="H69">
        <f>(D69+(2*40)*F69)*2</f>
        <v>2400</v>
      </c>
      <c r="J69">
        <v>100</v>
      </c>
      <c r="L69">
        <f>ROUND(D69/100-2,0)</f>
        <v>2</v>
      </c>
      <c r="M69">
        <v>10</v>
      </c>
      <c r="N69">
        <v>100</v>
      </c>
      <c r="O69">
        <f>E69</f>
        <v>200</v>
      </c>
      <c r="P69">
        <v>10</v>
      </c>
      <c r="Q69">
        <v>100</v>
      </c>
      <c r="R69">
        <f>(C69+(2*40+0*50)*P69)*2</f>
        <v>2900</v>
      </c>
      <c r="S69">
        <f>C69*D69*E69/1000000000</f>
        <v>0.052</v>
      </c>
      <c r="T69">
        <f>2*C69*D69/1000000</f>
        <v>0.52</v>
      </c>
      <c r="U69">
        <f>0.006165*(F69^2*H69*(ROUND(C69/G69,0)+1)+I69^2*K69*(ROUND(C69/J69,0)+1))/1000</f>
        <v>5.9184</v>
      </c>
      <c r="V69">
        <f>0.006165*M69^2*O69*(ROUND(C69/N69,0)+1)/1000*L69</f>
        <v>1.9728</v>
      </c>
      <c r="W69">
        <f>0.006165*P69^2*R69*(ROUND(D69/Q69,0)+1)/1000</f>
        <v>8.93925</v>
      </c>
      <c r="Y69">
        <f>T69/S69</f>
        <v>10</v>
      </c>
      <c r="Z69">
        <f>SUM(U69:W69)/S69</f>
        <v>323.6625</v>
      </c>
      <c r="AB69">
        <f>T69/2</f>
        <v>0.26</v>
      </c>
    </row>
    <row r="70">
      <c r="A70">
        <f>A69+1</f>
        <v>17</v>
      </c>
      <c r="B70" t="str">
        <v>Penebalan Sloof</v>
      </c>
      <c r="C70">
        <v>580</v>
      </c>
      <c r="D70">
        <v>400</v>
      </c>
      <c r="E70">
        <v>300</v>
      </c>
      <c r="F70">
        <v>10</v>
      </c>
      <c r="G70">
        <v>200</v>
      </c>
      <c r="H70">
        <f>(D70+(2*40)*F70)*2</f>
        <v>2400</v>
      </c>
      <c r="J70">
        <v>100</v>
      </c>
      <c r="L70">
        <f>ROUND(D70/100-2,0)</f>
        <v>2</v>
      </c>
      <c r="M70">
        <v>10</v>
      </c>
      <c r="N70">
        <v>100</v>
      </c>
      <c r="O70">
        <f>E70</f>
        <v>300</v>
      </c>
      <c r="P70">
        <v>10</v>
      </c>
      <c r="Q70">
        <v>100</v>
      </c>
      <c r="R70">
        <f>(C70+(2*40+0*50)*P70)*2</f>
        <v>2760</v>
      </c>
      <c r="S70">
        <f>C70*D70*E70/1000000000</f>
        <v>0.0696</v>
      </c>
      <c r="T70">
        <f>2*C70*D70/1000000</f>
        <v>0.464</v>
      </c>
      <c r="U70">
        <f>0.006165*(F70^2*H70*(ROUND(C70/G70,0)+1)+I70^2*K70*(ROUND(C70/J70,0)+1))/1000</f>
        <v>5.9184</v>
      </c>
      <c r="V70">
        <f>0.006165*M70^2*O70*(ROUND(C70/N70,0)+1)/1000*L70</f>
        <v>2.5893</v>
      </c>
      <c r="W70">
        <f>0.006165*P70^2*R70*(ROUND(D70/Q70,0)+1)/1000</f>
        <v>8.507700000000002</v>
      </c>
      <c r="Y70">
        <f>T70/S70</f>
        <v>6.666666666666668</v>
      </c>
      <c r="Z70">
        <f>SUM(U70:W70)/S70</f>
        <v>244.4741379310345</v>
      </c>
      <c r="AB70">
        <f>T70/2</f>
        <v>0.232</v>
      </c>
    </row>
    <row r="71">
      <c r="A71">
        <f>A70+1</f>
        <v>18</v>
      </c>
      <c r="B71" t="str">
        <v>Penebalan Sloof</v>
      </c>
      <c r="C71">
        <v>675</v>
      </c>
      <c r="D71">
        <v>400</v>
      </c>
      <c r="E71">
        <v>300</v>
      </c>
      <c r="F71">
        <v>10</v>
      </c>
      <c r="G71">
        <v>200</v>
      </c>
      <c r="H71">
        <f>(D71+(2*40)*F71)*2</f>
        <v>2400</v>
      </c>
      <c r="J71">
        <v>100</v>
      </c>
      <c r="L71">
        <f>ROUND(D71/100-2,0)</f>
        <v>2</v>
      </c>
      <c r="M71">
        <v>10</v>
      </c>
      <c r="N71">
        <v>100</v>
      </c>
      <c r="O71">
        <f>E71</f>
        <v>300</v>
      </c>
      <c r="P71">
        <v>10</v>
      </c>
      <c r="Q71">
        <v>100</v>
      </c>
      <c r="R71">
        <f>(C71+(2*40+0*50)*P71)*2</f>
        <v>2950</v>
      </c>
      <c r="S71">
        <f>C71*D71*E71/1000000000</f>
        <v>0.081</v>
      </c>
      <c r="T71">
        <f>2*C71*D71/1000000</f>
        <v>0.54</v>
      </c>
      <c r="U71">
        <f>0.006165*(F71^2*H71*(ROUND(C71/G71,0)+1)+I71^2*K71*(ROUND(C71/J71,0)+1))/1000</f>
        <v>5.9184</v>
      </c>
      <c r="V71">
        <f>0.006165*M71^2*O71*(ROUND(C71/N71,0)+1)/1000*L71</f>
        <v>2.9592</v>
      </c>
      <c r="W71">
        <f>0.006165*P71^2*R71*(ROUND(D71/Q71,0)+1)/1000</f>
        <v>9.093375</v>
      </c>
      <c r="Y71">
        <f>T71/S71</f>
        <v>6.666666666666667</v>
      </c>
      <c r="Z71">
        <f>SUM(U71:W71)/S71</f>
        <v>221.8638888888889</v>
      </c>
      <c r="AB71">
        <f>T71/2</f>
        <v>0.27</v>
      </c>
    </row>
    <row r="72">
      <c r="A72">
        <f>A71+1</f>
        <v>19</v>
      </c>
      <c r="B72" t="str">
        <v>Penebalan Sloof</v>
      </c>
      <c r="F72">
        <v>10</v>
      </c>
      <c r="G72">
        <v>200</v>
      </c>
      <c r="H72">
        <f>(D72+(2*40)*F72)*2</f>
        <v>1600</v>
      </c>
      <c r="J72">
        <v>100</v>
      </c>
      <c r="L72">
        <f>ROUND(D72/100-2,0)</f>
        <v>-2</v>
      </c>
      <c r="M72">
        <v>10</v>
      </c>
      <c r="N72">
        <v>100</v>
      </c>
      <c r="O72">
        <f>E72</f>
        <v>0</v>
      </c>
      <c r="P72">
        <v>10</v>
      </c>
      <c r="Q72">
        <v>100</v>
      </c>
      <c r="R72">
        <f>(C72+(2*40+0*50)*P72)*2</f>
        <v>1600</v>
      </c>
      <c r="S72">
        <f>C72*D72*E72/1000000000</f>
        <v>0</v>
      </c>
      <c r="T72">
        <f>2*C72*D72/1000000</f>
        <v>0</v>
      </c>
      <c r="U72">
        <f>0.006165*(F72^2*H72*(ROUND(C72/G72,0)+1)+I72^2*K72*(ROUND(C72/J72,0)+1))/1000</f>
        <v>0.9864</v>
      </c>
      <c r="V72">
        <f>0.006165*M72^2*O72*(ROUND(C72/N72,0)+1)/1000*L72</f>
        <v>0</v>
      </c>
      <c r="W72">
        <f>0.006165*P72^2*R72*(ROUND(D72/Q72,0)+1)/1000</f>
        <v>0.9864</v>
      </c>
    </row>
    <row r="73">
      <c r="A73">
        <f>A72+1</f>
        <v>20</v>
      </c>
      <c r="B73" t="str">
        <v>Penebalan Sloof</v>
      </c>
      <c r="C73">
        <v>515</v>
      </c>
      <c r="D73">
        <v>400</v>
      </c>
      <c r="E73">
        <v>300</v>
      </c>
      <c r="F73">
        <v>10</v>
      </c>
      <c r="G73">
        <v>200</v>
      </c>
      <c r="H73">
        <f>(D73+(2*40)*F73)*2</f>
        <v>2400</v>
      </c>
      <c r="J73">
        <v>100</v>
      </c>
      <c r="L73">
        <f>ROUND(D73/100-2,0)</f>
        <v>2</v>
      </c>
      <c r="M73">
        <v>10</v>
      </c>
      <c r="N73">
        <v>100</v>
      </c>
      <c r="O73">
        <f>E73</f>
        <v>300</v>
      </c>
      <c r="P73">
        <v>10</v>
      </c>
      <c r="Q73">
        <v>100</v>
      </c>
      <c r="R73">
        <f>(C73+(2*40+0*50)*P73)*2</f>
        <v>2630</v>
      </c>
      <c r="S73">
        <f>C73*D73*E73/1000000000</f>
        <v>0.0618</v>
      </c>
      <c r="T73">
        <f>2*C73*D73/1000000</f>
        <v>0.412</v>
      </c>
      <c r="U73">
        <f>0.006165*(F73^2*H73*(ROUND(C73/G73,0)+1)+I73^2*K73*(ROUND(C73/J73,0)+1))/1000</f>
        <v>5.9184</v>
      </c>
      <c r="V73">
        <f>0.006165*M73^2*O73*(ROUND(C73/N73,0)+1)/1000*L73</f>
        <v>2.2194000000000003</v>
      </c>
      <c r="W73">
        <f>0.006165*P73^2*R73*(ROUND(D73/Q73,0)+1)/1000</f>
        <v>8.106975000000002</v>
      </c>
      <c r="Y73">
        <f>T73/S73</f>
        <v>6.666666666666666</v>
      </c>
      <c r="Z73">
        <f>SUM(U73:W73)/S73</f>
        <v>262.86043689320394</v>
      </c>
      <c r="AB73">
        <f>T73/2</f>
        <v>0.206</v>
      </c>
    </row>
    <row r="74">
      <c r="A74">
        <f>A73+1</f>
        <v>21</v>
      </c>
      <c r="B74" t="str">
        <v>Penebalan Sloof</v>
      </c>
      <c r="C74">
        <v>405</v>
      </c>
      <c r="D74">
        <v>400</v>
      </c>
      <c r="E74">
        <v>300</v>
      </c>
      <c r="F74">
        <v>10</v>
      </c>
      <c r="G74">
        <v>200</v>
      </c>
      <c r="H74">
        <f>(D74+(2*40)*F74)*2</f>
        <v>2400</v>
      </c>
      <c r="J74">
        <v>100</v>
      </c>
      <c r="L74">
        <f>ROUND(D74/100-2,0)</f>
        <v>2</v>
      </c>
      <c r="M74">
        <v>10</v>
      </c>
      <c r="N74">
        <v>100</v>
      </c>
      <c r="O74">
        <f>E74</f>
        <v>300</v>
      </c>
      <c r="P74">
        <v>10</v>
      </c>
      <c r="Q74">
        <v>100</v>
      </c>
      <c r="R74">
        <f>(C74+(2*40+0*50)*P74)*2</f>
        <v>2410</v>
      </c>
      <c r="S74">
        <f>C74*D74*E74/1000000000</f>
        <v>0.0486</v>
      </c>
      <c r="T74">
        <f>2*C74*D74/1000000</f>
        <v>0.324</v>
      </c>
      <c r="U74">
        <f>0.006165*(F74^2*H74*(ROUND(C74/G74,0)+1)+I74^2*K74*(ROUND(C74/J74,0)+1))/1000</f>
        <v>4.4388000000000005</v>
      </c>
      <c r="V74">
        <f>0.006165*M74^2*O74*(ROUND(C74/N74,0)+1)/1000*L74</f>
        <v>1.8495000000000001</v>
      </c>
      <c r="W74">
        <f>0.006165*P74^2*R74*(ROUND(D74/Q74,0)+1)/1000</f>
        <v>7.428825000000001</v>
      </c>
      <c r="Y74">
        <f>T74/S74</f>
        <v>6.666666666666667</v>
      </c>
      <c r="Z74">
        <f>SUM(U74:W74)/S74</f>
        <v>282.2453703703704</v>
      </c>
      <c r="AB74">
        <f>T74/2</f>
        <v>0.162</v>
      </c>
    </row>
    <row r="75">
      <c r="A75">
        <f>A74+1</f>
        <v>22</v>
      </c>
      <c r="B75" t="str">
        <v>Penebalan Sloof</v>
      </c>
      <c r="C75">
        <v>675</v>
      </c>
      <c r="D75">
        <v>400</v>
      </c>
      <c r="E75">
        <v>300</v>
      </c>
      <c r="F75">
        <v>10</v>
      </c>
      <c r="G75">
        <v>200</v>
      </c>
      <c r="H75">
        <f>(D75+(2*40)*F75)*2</f>
        <v>2400</v>
      </c>
      <c r="J75">
        <v>100</v>
      </c>
      <c r="L75">
        <f>ROUND(D75/100-2,0)</f>
        <v>2</v>
      </c>
      <c r="M75">
        <v>10</v>
      </c>
      <c r="N75">
        <v>100</v>
      </c>
      <c r="O75">
        <f>E75</f>
        <v>300</v>
      </c>
      <c r="P75">
        <v>10</v>
      </c>
      <c r="Q75">
        <v>100</v>
      </c>
      <c r="R75">
        <f>(C75+(2*40+0*50)*P75)*2</f>
        <v>2950</v>
      </c>
      <c r="S75">
        <f>C75*D75*E75/1000000000</f>
        <v>0.081</v>
      </c>
      <c r="T75">
        <f>2*C75*D75/1000000</f>
        <v>0.54</v>
      </c>
      <c r="U75">
        <f>0.006165*(F75^2*H75*(ROUND(C75/G75,0)+1)+I75^2*K75*(ROUND(C75/J75,0)+1))/1000</f>
        <v>5.9184</v>
      </c>
      <c r="V75">
        <f>0.006165*M75^2*O75*(ROUND(C75/N75,0)+1)/1000*L75</f>
        <v>2.9592</v>
      </c>
      <c r="W75">
        <f>0.006165*P75^2*R75*(ROUND(D75/Q75,0)+1)/1000</f>
        <v>9.093375</v>
      </c>
      <c r="Y75">
        <f>T75/S75</f>
        <v>6.666666666666667</v>
      </c>
      <c r="Z75">
        <f>SUM(U75:W75)/S75</f>
        <v>221.8638888888889</v>
      </c>
      <c r="AB75">
        <f>T75/2</f>
        <v>0.27</v>
      </c>
    </row>
    <row r="76">
      <c r="A76">
        <f>A75+1</f>
        <v>23</v>
      </c>
      <c r="B76" t="str">
        <v>Penebalan Sloof</v>
      </c>
      <c r="C76">
        <v>500</v>
      </c>
      <c r="D76">
        <v>500</v>
      </c>
      <c r="E76">
        <v>200</v>
      </c>
      <c r="F76">
        <v>10</v>
      </c>
      <c r="G76">
        <v>200</v>
      </c>
      <c r="H76">
        <f>(D76+(2*40)*F76)*2</f>
        <v>2600</v>
      </c>
      <c r="J76">
        <v>100</v>
      </c>
      <c r="L76">
        <f>ROUND(D76/100-2,0)</f>
        <v>3</v>
      </c>
      <c r="M76">
        <v>10</v>
      </c>
      <c r="N76">
        <v>100</v>
      </c>
      <c r="O76">
        <f>E76</f>
        <v>200</v>
      </c>
      <c r="P76">
        <v>10</v>
      </c>
      <c r="Q76">
        <v>100</v>
      </c>
      <c r="R76">
        <f>(C76+(2*40+0*50)*P76)*2</f>
        <v>2600</v>
      </c>
      <c r="S76">
        <f>C76*D76*E76/1000000000</f>
        <v>0.05</v>
      </c>
      <c r="T76">
        <f>2*C76*D76/1000000</f>
        <v>0.5</v>
      </c>
      <c r="U76">
        <f>0.006165*(F76^2*H76*(ROUND(C76/G76,0)+1)+I76^2*K76*(ROUND(C76/J76,0)+1))/1000</f>
        <v>6.4116</v>
      </c>
      <c r="V76">
        <f>0.006165*M76^2*O76*(ROUND(C76/N76,0)+1)/1000*L76</f>
        <v>2.2194000000000003</v>
      </c>
      <c r="W76">
        <f>0.006165*P76^2*R76*(ROUND(D76/Q76,0)+1)/1000</f>
        <v>9.617400000000002</v>
      </c>
      <c r="Y76">
        <f>T76/S76</f>
        <v>10</v>
      </c>
      <c r="Z76">
        <f>SUM(U76:W76)/S76</f>
        <v>364.9680000000001</v>
      </c>
      <c r="AB76">
        <f>T76/2</f>
        <v>0.25</v>
      </c>
    </row>
    <row r="77">
      <c r="A77">
        <f>A76+1</f>
        <v>24</v>
      </c>
      <c r="B77" t="str">
        <v>Penebalan Sloof</v>
      </c>
      <c r="C77">
        <v>500</v>
      </c>
      <c r="D77">
        <v>400</v>
      </c>
      <c r="E77">
        <v>300</v>
      </c>
      <c r="F77">
        <v>10</v>
      </c>
      <c r="G77">
        <v>200</v>
      </c>
      <c r="H77">
        <f>(D77+(2*40)*F77)*2</f>
        <v>2400</v>
      </c>
      <c r="J77">
        <v>100</v>
      </c>
      <c r="L77">
        <f>ROUND(D77/100-2,0)</f>
        <v>2</v>
      </c>
      <c r="M77">
        <v>10</v>
      </c>
      <c r="N77">
        <v>100</v>
      </c>
      <c r="O77">
        <f>E77</f>
        <v>300</v>
      </c>
      <c r="P77">
        <v>10</v>
      </c>
      <c r="Q77">
        <v>100</v>
      </c>
      <c r="R77">
        <f>(C77+(2*40+0*50)*P77)*2</f>
        <v>2600</v>
      </c>
      <c r="S77">
        <f>C77*D77*E77/1000000000</f>
        <v>0.06</v>
      </c>
      <c r="T77">
        <f>2*C77*D77/1000000</f>
        <v>0.4</v>
      </c>
      <c r="U77">
        <f>0.006165*(F77^2*H77*(ROUND(C77/G77,0)+1)+I77^2*K77*(ROUND(C77/J77,0)+1))/1000</f>
        <v>5.9184</v>
      </c>
      <c r="V77">
        <f>0.006165*M77^2*O77*(ROUND(C77/N77,0)+1)/1000*L77</f>
        <v>2.2194000000000003</v>
      </c>
      <c r="W77">
        <f>0.006165*P77^2*R77*(ROUND(D77/Q77,0)+1)/1000</f>
        <v>8.0145</v>
      </c>
      <c r="Y77">
        <f>T77/S77</f>
        <v>6.666666666666667</v>
      </c>
      <c r="Z77">
        <f>SUM(U77:W77)/S77</f>
        <v>269.20500000000004</v>
      </c>
      <c r="AB77">
        <f>T77/2</f>
        <v>0.2</v>
      </c>
    </row>
    <row r="78">
      <c r="A78">
        <f>A77+1</f>
        <v>25</v>
      </c>
      <c r="B78" t="str">
        <v>Penebalan Sloof</v>
      </c>
      <c r="C78">
        <v>675</v>
      </c>
      <c r="D78">
        <v>400</v>
      </c>
      <c r="E78">
        <v>300</v>
      </c>
      <c r="F78">
        <v>10</v>
      </c>
      <c r="G78">
        <v>200</v>
      </c>
      <c r="H78">
        <f>(D78+(2*40)*F78)*2</f>
        <v>2400</v>
      </c>
      <c r="J78">
        <v>100</v>
      </c>
      <c r="L78">
        <f>ROUND(D78/100-2,0)</f>
        <v>2</v>
      </c>
      <c r="M78">
        <v>10</v>
      </c>
      <c r="N78">
        <v>100</v>
      </c>
      <c r="O78">
        <f>E78</f>
        <v>300</v>
      </c>
      <c r="P78">
        <v>10</v>
      </c>
      <c r="Q78">
        <v>100</v>
      </c>
      <c r="R78">
        <f>(C78+(2*40+0*50)*P78)*2</f>
        <v>2950</v>
      </c>
      <c r="S78">
        <f>C78*D78*E78/1000000000</f>
        <v>0.081</v>
      </c>
      <c r="T78">
        <f>2*C78*D78/1000000</f>
        <v>0.54</v>
      </c>
      <c r="U78">
        <f>0.006165*(F78^2*H78*(ROUND(C78/G78,0)+1)+I78^2*K78*(ROUND(C78/J78,0)+1))/1000</f>
        <v>5.9184</v>
      </c>
      <c r="V78">
        <f>0.006165*M78^2*O78*(ROUND(C78/N78,0)+1)/1000*L78</f>
        <v>2.9592</v>
      </c>
      <c r="W78">
        <f>0.006165*P78^2*R78*(ROUND(D78/Q78,0)+1)/1000</f>
        <v>9.093375</v>
      </c>
      <c r="Y78">
        <f>T78/S78</f>
        <v>6.666666666666667</v>
      </c>
      <c r="Z78">
        <f>SUM(U78:W78)/S78</f>
        <v>221.8638888888889</v>
      </c>
      <c r="AB78">
        <f>T78/2</f>
        <v>0.27</v>
      </c>
    </row>
    <row r="79">
      <c r="A79">
        <f>A78+1</f>
        <v>26</v>
      </c>
      <c r="B79" t="str">
        <v>Penebalan Sloof</v>
      </c>
      <c r="C79">
        <v>580</v>
      </c>
      <c r="D79">
        <v>400</v>
      </c>
      <c r="E79">
        <v>300</v>
      </c>
      <c r="F79">
        <v>10</v>
      </c>
      <c r="G79">
        <v>200</v>
      </c>
      <c r="H79">
        <f>(D79+(2*40)*F79)*2</f>
        <v>2400</v>
      </c>
      <c r="J79">
        <v>100</v>
      </c>
      <c r="L79">
        <f>ROUND(D79/100-2,0)</f>
        <v>2</v>
      </c>
      <c r="M79">
        <v>10</v>
      </c>
      <c r="N79">
        <v>100</v>
      </c>
      <c r="O79">
        <f>E79</f>
        <v>300</v>
      </c>
      <c r="P79">
        <v>10</v>
      </c>
      <c r="Q79">
        <v>100</v>
      </c>
      <c r="R79">
        <f>(C79+(2*40+0*50)*P79)*2</f>
        <v>2760</v>
      </c>
      <c r="S79">
        <f>C79*D79*E79/1000000000</f>
        <v>0.0696</v>
      </c>
      <c r="T79">
        <f>2*C79*D79/1000000</f>
        <v>0.464</v>
      </c>
      <c r="U79">
        <f>0.006165*(F79^2*H79*(ROUND(C79/G79,0)+1)+I79^2*K79*(ROUND(C79/J79,0)+1))/1000</f>
        <v>5.9184</v>
      </c>
      <c r="V79">
        <f>0.006165*M79^2*O79*(ROUND(C79/N79,0)+1)/1000*L79</f>
        <v>2.5893</v>
      </c>
      <c r="W79">
        <f>0.006165*P79^2*R79*(ROUND(D79/Q79,0)+1)/1000</f>
        <v>8.507700000000002</v>
      </c>
      <c r="Y79">
        <f>T79/S79</f>
        <v>6.666666666666668</v>
      </c>
      <c r="Z79">
        <f>SUM(U79:W79)/S79</f>
        <v>244.4741379310345</v>
      </c>
      <c r="AB79">
        <f>T79/2</f>
        <v>0.232</v>
      </c>
    </row>
    <row r="80">
      <c r="A80">
        <f>A79+1</f>
        <v>27</v>
      </c>
      <c r="B80" t="str">
        <v>Penebalan Sloof</v>
      </c>
      <c r="C80">
        <v>345</v>
      </c>
      <c r="D80">
        <v>400</v>
      </c>
      <c r="E80">
        <v>300</v>
      </c>
      <c r="F80">
        <v>10</v>
      </c>
      <c r="G80">
        <v>200</v>
      </c>
      <c r="H80">
        <f>(D80+(2*40)*F80)*2</f>
        <v>2400</v>
      </c>
      <c r="J80">
        <v>100</v>
      </c>
      <c r="L80">
        <f>ROUND(D80/100-2,0)</f>
        <v>2</v>
      </c>
      <c r="M80">
        <v>10</v>
      </c>
      <c r="N80">
        <v>100</v>
      </c>
      <c r="O80">
        <f>E80</f>
        <v>300</v>
      </c>
      <c r="P80">
        <v>10</v>
      </c>
      <c r="Q80">
        <v>100</v>
      </c>
      <c r="R80">
        <f>(C80+(2*40+0*50)*P80)*2</f>
        <v>2290</v>
      </c>
      <c r="S80">
        <f>C80*D80*E80/1000000000</f>
        <v>0.0414</v>
      </c>
      <c r="T80">
        <f>2*C80*D80/1000000</f>
        <v>0.276</v>
      </c>
      <c r="U80">
        <f>0.006165*(F80^2*H80*(ROUND(C80/G80,0)+1)+I80^2*K80*(ROUND(C80/J80,0)+1))/1000</f>
        <v>4.4388000000000005</v>
      </c>
      <c r="V80">
        <f>0.006165*M80^2*O80*(ROUND(C80/N80,0)+1)/1000*L80</f>
        <v>1.4796</v>
      </c>
      <c r="W80">
        <f>0.006165*P80^2*R80*(ROUND(D80/Q80,0)+1)/1000</f>
        <v>7.058925</v>
      </c>
      <c r="Y80">
        <f>T80/S80</f>
        <v>6.666666666666667</v>
      </c>
      <c r="Z80">
        <f>SUM(U80:W80)/S80</f>
        <v>313.4619565217391</v>
      </c>
      <c r="AB80">
        <f>T80/2</f>
        <v>0.138</v>
      </c>
    </row>
    <row r="81">
      <c r="A81">
        <f>A80+1</f>
        <v>28</v>
      </c>
      <c r="B81" t="str">
        <v>Penebalan Sloof</v>
      </c>
      <c r="C81">
        <v>390</v>
      </c>
      <c r="D81">
        <v>600</v>
      </c>
      <c r="E81">
        <v>200</v>
      </c>
      <c r="F81">
        <v>10</v>
      </c>
      <c r="G81">
        <v>200</v>
      </c>
      <c r="H81">
        <f>(D81+(2*40)*F81)*2</f>
        <v>2800</v>
      </c>
      <c r="J81">
        <v>100</v>
      </c>
      <c r="L81">
        <f>ROUND(D81/100-2,0)</f>
        <v>4</v>
      </c>
      <c r="M81">
        <v>10</v>
      </c>
      <c r="N81">
        <v>100</v>
      </c>
      <c r="O81">
        <f>E81</f>
        <v>200</v>
      </c>
      <c r="P81">
        <v>10</v>
      </c>
      <c r="Q81">
        <v>100</v>
      </c>
      <c r="R81">
        <f>(C81+(2*40+0*50)*P81)*2</f>
        <v>2380</v>
      </c>
      <c r="S81">
        <f>C81*D81*E81/1000000000</f>
        <v>0.0468</v>
      </c>
      <c r="T81">
        <f>2*C81*D81/1000000</f>
        <v>0.468</v>
      </c>
      <c r="U81">
        <f>0.006165*(F81^2*H81*(ROUND(C81/G81,0)+1)+I81^2*K81*(ROUND(C81/J81,0)+1))/1000</f>
        <v>5.1786</v>
      </c>
      <c r="V81">
        <f>0.006165*M81^2*O81*(ROUND(C81/N81,0)+1)/1000*L81</f>
        <v>2.466</v>
      </c>
      <c r="W81">
        <f>0.006165*P81^2*R81*(ROUND(D81/Q81,0)+1)/1000</f>
        <v>10.270890000000001</v>
      </c>
      <c r="Y81">
        <f>T81/S81</f>
        <v>10</v>
      </c>
      <c r="Z81">
        <f>SUM(U81:W81)/S81</f>
        <v>382.8096153846154</v>
      </c>
      <c r="AB81">
        <f>T81/2</f>
        <v>0.234</v>
      </c>
    </row>
    <row r="82">
      <c r="A82">
        <f>A81+1</f>
        <v>29</v>
      </c>
      <c r="B82" t="str">
        <v>Penebalan Sloof</v>
      </c>
      <c r="C82">
        <v>450</v>
      </c>
      <c r="D82">
        <v>600</v>
      </c>
      <c r="E82">
        <v>200</v>
      </c>
      <c r="F82">
        <v>10</v>
      </c>
      <c r="G82">
        <v>200</v>
      </c>
      <c r="H82">
        <f>(D82+(2*40)*F82)*2</f>
        <v>2800</v>
      </c>
      <c r="J82">
        <v>100</v>
      </c>
      <c r="L82">
        <f>ROUND(D82/100-2,0)</f>
        <v>4</v>
      </c>
      <c r="M82">
        <v>10</v>
      </c>
      <c r="N82">
        <v>100</v>
      </c>
      <c r="O82">
        <f>E82</f>
        <v>200</v>
      </c>
      <c r="P82">
        <v>10</v>
      </c>
      <c r="Q82">
        <v>100</v>
      </c>
      <c r="R82">
        <f>(C82+(2*40+0*50)*P82)*2</f>
        <v>2500</v>
      </c>
      <c r="S82">
        <f>C82*D82*E82/1000000000</f>
        <v>0.054</v>
      </c>
      <c r="T82">
        <f>2*C82*D82/1000000</f>
        <v>0.54</v>
      </c>
      <c r="U82">
        <f>0.006165*(F82^2*H82*(ROUND(C82/G82,0)+1)+I82^2*K82*(ROUND(C82/J82,0)+1))/1000</f>
        <v>5.1786</v>
      </c>
      <c r="V82">
        <f>0.006165*M82^2*O82*(ROUND(C82/N82,0)+1)/1000*L82</f>
        <v>2.9592</v>
      </c>
      <c r="W82">
        <f>0.006165*P82^2*R82*(ROUND(D82/Q82,0)+1)/1000</f>
        <v>10.788750000000002</v>
      </c>
      <c r="Y82">
        <f>T82/S82</f>
        <v>10</v>
      </c>
      <c r="Z82">
        <f>SUM(U82:W82)/S82</f>
        <v>350.49166666666673</v>
      </c>
      <c r="AB82">
        <f>T82/2</f>
        <v>0.27</v>
      </c>
    </row>
    <row r="83">
      <c r="A83">
        <f>A82+1</f>
        <v>30</v>
      </c>
      <c r="B83" t="str">
        <v>Penebalan Sloof</v>
      </c>
      <c r="C83">
        <v>115</v>
      </c>
      <c r="D83">
        <v>600</v>
      </c>
      <c r="E83">
        <v>200</v>
      </c>
      <c r="F83">
        <v>10</v>
      </c>
      <c r="G83">
        <v>200</v>
      </c>
      <c r="H83">
        <f>(D83+(2*40)*F83)*2</f>
        <v>2800</v>
      </c>
      <c r="J83">
        <v>100</v>
      </c>
      <c r="L83">
        <f>ROUND(D83/100-2,0)</f>
        <v>4</v>
      </c>
      <c r="M83">
        <v>10</v>
      </c>
      <c r="N83">
        <v>100</v>
      </c>
      <c r="O83">
        <f>E83</f>
        <v>200</v>
      </c>
      <c r="P83">
        <v>10</v>
      </c>
      <c r="Q83">
        <v>100</v>
      </c>
      <c r="R83">
        <f>(C83+(2*40+0*50)*P83)*2</f>
        <v>1830</v>
      </c>
      <c r="S83">
        <f>C83*D83*E83/1000000000</f>
        <v>0.0138</v>
      </c>
      <c r="T83">
        <f>2*C83*D83/1000000</f>
        <v>0.138</v>
      </c>
      <c r="U83">
        <f>0.006165*(F83^2*H83*(ROUND(C83/G83,0)+1)+I83^2*K83*(ROUND(C83/J83,0)+1))/1000</f>
        <v>3.4524</v>
      </c>
      <c r="V83">
        <f>0.006165*M83^2*O83*(ROUND(C83/N83,0)+1)/1000*L83</f>
        <v>0.9864</v>
      </c>
      <c r="W83">
        <f>0.006165*P83^2*R83*(ROUND(D83/Q83,0)+1)/1000</f>
        <v>7.8973650000000015</v>
      </c>
      <c r="Y83">
        <f>T83/S83</f>
        <v>10.000000000000002</v>
      </c>
      <c r="Z83">
        <f>SUM(U83:W83)/S83</f>
        <v>893.9250000000001</v>
      </c>
      <c r="AB83">
        <f>T83/2</f>
        <v>0.069</v>
      </c>
    </row>
    <row r="84">
      <c r="A84">
        <f>A83+1</f>
        <v>31</v>
      </c>
      <c r="B84" t="str">
        <v>Penebalan Sloof</v>
      </c>
      <c r="C84">
        <v>550</v>
      </c>
      <c r="D84">
        <v>600</v>
      </c>
      <c r="E84">
        <v>200</v>
      </c>
      <c r="F84">
        <v>10</v>
      </c>
      <c r="G84">
        <v>200</v>
      </c>
      <c r="H84">
        <f>(D84+(2*40)*F84)*2</f>
        <v>2800</v>
      </c>
      <c r="J84">
        <v>100</v>
      </c>
      <c r="L84">
        <f>ROUND(D84/100-2,0)</f>
        <v>4</v>
      </c>
      <c r="M84">
        <v>10</v>
      </c>
      <c r="N84">
        <v>100</v>
      </c>
      <c r="O84">
        <f>E84</f>
        <v>200</v>
      </c>
      <c r="P84">
        <v>10</v>
      </c>
      <c r="Q84">
        <v>100</v>
      </c>
      <c r="R84">
        <f>(C84+(2*40+0*50)*P84)*2</f>
        <v>2700</v>
      </c>
      <c r="S84">
        <f>C84*D84*E84/1000000000</f>
        <v>0.066</v>
      </c>
      <c r="T84">
        <f>2*C84*D84/1000000</f>
        <v>0.66</v>
      </c>
      <c r="U84">
        <f>0.006165*(F84^2*H84*(ROUND(C84/G84,0)+1)+I84^2*K84*(ROUND(C84/J84,0)+1))/1000</f>
        <v>6.9048</v>
      </c>
      <c r="V84">
        <f>0.006165*M84^2*O84*(ROUND(C84/N84,0)+1)/1000*L84</f>
        <v>3.4524000000000004</v>
      </c>
      <c r="W84">
        <f>0.006165*P84^2*R84*(ROUND(D84/Q84,0)+1)/1000</f>
        <v>11.651850000000001</v>
      </c>
      <c r="Y84">
        <f>T84/S84</f>
        <v>10</v>
      </c>
      <c r="Z84">
        <f>SUM(U84:W84)/S84</f>
        <v>333.4704545454546</v>
      </c>
      <c r="AB84">
        <f>T84/2</f>
        <v>0.33</v>
      </c>
    </row>
    <row r="85">
      <c r="A85">
        <f>A84+1</f>
        <v>32</v>
      </c>
      <c r="B85" t="str">
        <v>Penebalan Sloof</v>
      </c>
      <c r="C85">
        <v>120</v>
      </c>
      <c r="D85">
        <v>600</v>
      </c>
      <c r="E85">
        <v>200</v>
      </c>
      <c r="F85">
        <v>10</v>
      </c>
      <c r="G85">
        <v>200</v>
      </c>
      <c r="H85">
        <f>(D85+(2*40)*F85)*2</f>
        <v>2800</v>
      </c>
      <c r="J85">
        <v>100</v>
      </c>
      <c r="L85">
        <f>ROUND(D85/100-2,0)</f>
        <v>4</v>
      </c>
      <c r="M85">
        <v>10</v>
      </c>
      <c r="N85">
        <v>100</v>
      </c>
      <c r="O85">
        <f>E85</f>
        <v>200</v>
      </c>
      <c r="P85">
        <v>10</v>
      </c>
      <c r="Q85">
        <v>100</v>
      </c>
      <c r="R85">
        <f>(C85+(2*40+0*50)*P85)*2</f>
        <v>1840</v>
      </c>
      <c r="S85">
        <f>C85*D85*E85/1000000000</f>
        <v>0.0144</v>
      </c>
      <c r="T85">
        <f>2*C85*D85/1000000</f>
        <v>0.144</v>
      </c>
      <c r="U85">
        <f>0.006165*(F85^2*H85*(ROUND(C85/G85,0)+1)+I85^2*K85*(ROUND(C85/J85,0)+1))/1000</f>
        <v>3.4524</v>
      </c>
      <c r="V85">
        <f>0.006165*M85^2*O85*(ROUND(C85/N85,0)+1)/1000*L85</f>
        <v>0.9864</v>
      </c>
      <c r="W85">
        <f>0.006165*P85^2*R85*(ROUND(D85/Q85,0)+1)/1000</f>
        <v>7.94052</v>
      </c>
      <c r="Y85">
        <f>T85/S85</f>
        <v>10</v>
      </c>
      <c r="Z85">
        <f>SUM(U85:W85)/S85</f>
        <v>859.6750000000001</v>
      </c>
      <c r="AB85">
        <f>T85/2</f>
        <v>0.072</v>
      </c>
    </row>
    <row r="86">
      <c r="A86">
        <f>A85+1</f>
        <v>33</v>
      </c>
      <c r="B86" t="str">
        <v>Penebalan Sloof</v>
      </c>
      <c r="C86">
        <v>525</v>
      </c>
      <c r="D86">
        <v>600</v>
      </c>
      <c r="E86">
        <v>200</v>
      </c>
      <c r="F86">
        <v>10</v>
      </c>
      <c r="G86">
        <v>200</v>
      </c>
      <c r="H86">
        <f>(D86+(2*40)*F86)*2</f>
        <v>2800</v>
      </c>
      <c r="J86">
        <v>100</v>
      </c>
      <c r="L86">
        <f>ROUND(D86/100-2,0)</f>
        <v>4</v>
      </c>
      <c r="M86">
        <v>10</v>
      </c>
      <c r="N86">
        <v>100</v>
      </c>
      <c r="O86">
        <f>E86</f>
        <v>200</v>
      </c>
      <c r="P86">
        <v>10</v>
      </c>
      <c r="Q86">
        <v>100</v>
      </c>
      <c r="R86">
        <f>(C86+(2*40+0*50)*P86)*2</f>
        <v>2650</v>
      </c>
      <c r="S86">
        <f>C86*D86*E86/1000000000</f>
        <v>0.063</v>
      </c>
      <c r="T86">
        <f>2*C86*D86/1000000</f>
        <v>0.63</v>
      </c>
      <c r="U86">
        <f>0.006165*(F86^2*H86*(ROUND(C86/G86,0)+1)+I86^2*K86*(ROUND(C86/J86,0)+1))/1000</f>
        <v>6.9048</v>
      </c>
      <c r="V86">
        <f>0.006165*M86^2*O86*(ROUND(C86/N86,0)+1)/1000*L86</f>
        <v>2.9592</v>
      </c>
      <c r="W86">
        <f>0.006165*P86^2*R86*(ROUND(D86/Q86,0)+1)/1000</f>
        <v>11.436075</v>
      </c>
      <c r="Y86">
        <f>T86/S86</f>
        <v>10</v>
      </c>
      <c r="Z86">
        <f>SUM(U86:W86)/S86</f>
        <v>338.0964285714286</v>
      </c>
      <c r="AB86">
        <f>T86/2</f>
        <v>0.315</v>
      </c>
    </row>
    <row r="87">
      <c r="A87">
        <f>A86+1</f>
        <v>34</v>
      </c>
      <c r="B87" t="str">
        <v>Penebalan Sloof</v>
      </c>
    </row>
    <row r="88">
      <c r="A88">
        <f>A87+1</f>
        <v>35</v>
      </c>
      <c r="B88" t="str">
        <v>Penebalan Sloof</v>
      </c>
    </row>
    <row r="89">
      <c r="A89">
        <f>A88+1</f>
        <v>36</v>
      </c>
      <c r="B89" t="str">
        <v>Penebalan Sloof</v>
      </c>
    </row>
    <row r="90">
      <c r="A90">
        <f>A89+1</f>
        <v>37</v>
      </c>
      <c r="B90" t="str">
        <v>Penebalan Sloof</v>
      </c>
      <c r="C90">
        <v>355</v>
      </c>
      <c r="D90">
        <v>600</v>
      </c>
      <c r="E90">
        <v>200</v>
      </c>
      <c r="F90">
        <v>10</v>
      </c>
      <c r="G90">
        <v>200</v>
      </c>
      <c r="H90">
        <f>(D90+(2*40)*F90)*2</f>
        <v>2800</v>
      </c>
      <c r="J90">
        <v>100</v>
      </c>
      <c r="L90">
        <f>ROUND(D90/100-2,0)</f>
        <v>4</v>
      </c>
      <c r="M90">
        <v>10</v>
      </c>
      <c r="N90">
        <v>100</v>
      </c>
      <c r="O90">
        <f>E90</f>
        <v>200</v>
      </c>
      <c r="P90">
        <v>10</v>
      </c>
      <c r="Q90">
        <v>100</v>
      </c>
      <c r="R90">
        <f>(C90+(2*40+0*50)*P90)*2</f>
        <v>2310</v>
      </c>
      <c r="S90">
        <f>C90*D90*E90/1000000000</f>
        <v>0.0426</v>
      </c>
      <c r="T90">
        <f>2*C90*D90/1000000</f>
        <v>0.426</v>
      </c>
      <c r="U90">
        <f>0.006165*(F90^2*H90*(ROUND(C90/G90,0)+1)+I90^2*K90*(ROUND(C90/J90,0)+1))/1000</f>
        <v>5.1786</v>
      </c>
      <c r="V90">
        <f>0.006165*M90^2*O90*(ROUND(C90/N90,0)+1)/1000*L90</f>
        <v>2.466</v>
      </c>
      <c r="W90">
        <f>0.006165*P90^2*R90*(ROUND(D90/Q90,0)+1)/1000</f>
        <v>9.968805</v>
      </c>
      <c r="Y90">
        <f>T90/S90</f>
        <v>10</v>
      </c>
      <c r="Z90">
        <f>SUM(U90:W90)/S90</f>
        <v>413.46021126760564</v>
      </c>
      <c r="AB90">
        <f>T90/2</f>
        <v>0.213</v>
      </c>
    </row>
    <row r="91">
      <c r="A91">
        <f>A90+1</f>
        <v>38</v>
      </c>
      <c r="B91" t="str">
        <v>Penebalan Sloof</v>
      </c>
      <c r="C91">
        <v>580</v>
      </c>
      <c r="D91">
        <v>500</v>
      </c>
      <c r="E91">
        <v>200</v>
      </c>
      <c r="F91">
        <v>10</v>
      </c>
      <c r="G91">
        <v>200</v>
      </c>
      <c r="H91">
        <f>(D91+(2*40)*F91)*2</f>
        <v>2600</v>
      </c>
      <c r="J91">
        <v>100</v>
      </c>
      <c r="L91">
        <f>ROUND(D91/100-2,0)</f>
        <v>3</v>
      </c>
      <c r="M91">
        <v>10</v>
      </c>
      <c r="N91">
        <v>100</v>
      </c>
      <c r="O91">
        <f>E91</f>
        <v>200</v>
      </c>
      <c r="P91">
        <v>10</v>
      </c>
      <c r="Q91">
        <v>100</v>
      </c>
      <c r="R91">
        <f>(C91+(2*40+0*50)*P91)*2</f>
        <v>2760</v>
      </c>
      <c r="S91">
        <f>C91*D91*E91/1000000000</f>
        <v>0.058</v>
      </c>
      <c r="T91">
        <f>2*C91*D91/1000000</f>
        <v>0.58</v>
      </c>
      <c r="U91">
        <f>0.006165*(F91^2*H91*(ROUND(C91/G91,0)+1)+I91^2*K91*(ROUND(C91/J91,0)+1))/1000</f>
        <v>6.4116</v>
      </c>
      <c r="V91">
        <f>0.006165*M91^2*O91*(ROUND(C91/N91,0)+1)/1000*L91</f>
        <v>2.5893</v>
      </c>
      <c r="W91">
        <f>0.006165*P91^2*R91*(ROUND(D91/Q91,0)+1)/1000</f>
        <v>10.209240000000001</v>
      </c>
      <c r="Y91">
        <f>T91/S91</f>
        <v>9.999999999999998</v>
      </c>
      <c r="Z91">
        <f>SUM(U91:W91)/S91</f>
        <v>331.2093103448276</v>
      </c>
      <c r="AB91">
        <f>T91/2</f>
        <v>0.29</v>
      </c>
    </row>
    <row r="92">
      <c r="A92">
        <f>A91+1</f>
        <v>39</v>
      </c>
      <c r="B92" t="str">
        <v>Penebalan Sloof</v>
      </c>
    </row>
    <row r="93">
      <c r="A93">
        <f>A92+1</f>
        <v>40</v>
      </c>
      <c r="B93" t="str">
        <v>Penebalan Sloof</v>
      </c>
    </row>
    <row r="94">
      <c r="A94">
        <f>A93+1</f>
        <v>41</v>
      </c>
      <c r="B94" t="str">
        <v>Penebalan Sloof</v>
      </c>
      <c r="C94">
        <v>350</v>
      </c>
      <c r="D94">
        <v>600</v>
      </c>
      <c r="E94">
        <v>200</v>
      </c>
      <c r="F94">
        <v>10</v>
      </c>
      <c r="G94">
        <v>200</v>
      </c>
      <c r="H94">
        <f>(D94+(2*40)*F94)*2</f>
        <v>2800</v>
      </c>
      <c r="J94">
        <v>100</v>
      </c>
      <c r="L94">
        <f>ROUND(D94/100-2,0)</f>
        <v>4</v>
      </c>
      <c r="M94">
        <v>10</v>
      </c>
      <c r="N94">
        <v>100</v>
      </c>
      <c r="O94">
        <f>E94</f>
        <v>200</v>
      </c>
      <c r="P94">
        <v>10</v>
      </c>
      <c r="Q94">
        <v>100</v>
      </c>
      <c r="R94">
        <f>(C94+(2*40+0*50)*P94)*2</f>
        <v>2300</v>
      </c>
      <c r="S94">
        <f>C94*D94*E94/1000000000</f>
        <v>0.042</v>
      </c>
      <c r="T94">
        <f>2*C94*D94/1000000</f>
        <v>0.42</v>
      </c>
      <c r="U94">
        <f>0.006165*(F94^2*H94*(ROUND(C94/G94,0)+1)+I94^2*K94*(ROUND(C94/J94,0)+1))/1000</f>
        <v>5.1786</v>
      </c>
      <c r="V94">
        <f>0.006165*M94^2*O94*(ROUND(C94/N94,0)+1)/1000*L94</f>
        <v>2.466</v>
      </c>
      <c r="W94">
        <f>0.006165*P94^2*R94*(ROUND(D94/Q94,0)+1)/1000</f>
        <v>9.92565</v>
      </c>
      <c r="Y94">
        <f>T94/S94</f>
        <v>9.999999999999998</v>
      </c>
      <c r="Z94">
        <f>SUM(U94:W94)/S94</f>
        <v>418.3392857142857</v>
      </c>
      <c r="AB94">
        <f>T94/2</f>
        <v>0.21</v>
      </c>
    </row>
    <row r="95">
      <c r="A95">
        <f>A94+1</f>
        <v>42</v>
      </c>
      <c r="B95" t="str">
        <v>Penebalan Sloof</v>
      </c>
      <c r="C95">
        <v>350</v>
      </c>
      <c r="D95">
        <v>500</v>
      </c>
      <c r="E95">
        <v>200</v>
      </c>
      <c r="F95">
        <v>10</v>
      </c>
      <c r="G95">
        <v>200</v>
      </c>
      <c r="H95">
        <f>(D95+(2*40)*F95)*2</f>
        <v>2600</v>
      </c>
      <c r="J95">
        <v>100</v>
      </c>
      <c r="L95">
        <f>ROUND(D95/100-2,0)</f>
        <v>3</v>
      </c>
      <c r="M95">
        <v>10</v>
      </c>
      <c r="N95">
        <v>100</v>
      </c>
      <c r="O95">
        <f>E95</f>
        <v>200</v>
      </c>
      <c r="P95">
        <v>10</v>
      </c>
      <c r="Q95">
        <v>100</v>
      </c>
      <c r="R95">
        <f>(C95+(2*40+0*50)*P95)*2</f>
        <v>2300</v>
      </c>
      <c r="S95">
        <f>C95*D95*E95/1000000000</f>
        <v>0.035</v>
      </c>
      <c r="T95">
        <f>2*C95*D95/1000000</f>
        <v>0.35</v>
      </c>
      <c r="U95">
        <f>0.006165*(F95^2*H95*(ROUND(C95/G95,0)+1)+I95^2*K95*(ROUND(C95/J95,0)+1))/1000</f>
        <v>4.8087</v>
      </c>
      <c r="V95">
        <f>0.006165*M95^2*O95*(ROUND(C95/N95,0)+1)/1000*L95</f>
        <v>1.8495000000000001</v>
      </c>
      <c r="W95">
        <f>0.006165*P95^2*R95*(ROUND(D95/Q95,0)+1)/1000</f>
        <v>8.507700000000002</v>
      </c>
      <c r="Y95">
        <f>T95/S95</f>
        <v>9.999999999999998</v>
      </c>
      <c r="Z95">
        <f>SUM(U95:W95)/S95</f>
        <v>433.31142857142856</v>
      </c>
      <c r="AB95">
        <f>T95/2</f>
        <v>0.175</v>
      </c>
    </row>
    <row r="96">
      <c r="A96">
        <f>A95+1</f>
        <v>43</v>
      </c>
      <c r="B96" t="str">
        <v>Penebalan Sloof</v>
      </c>
      <c r="C96">
        <v>225</v>
      </c>
      <c r="D96">
        <v>600</v>
      </c>
      <c r="E96">
        <v>200</v>
      </c>
      <c r="F96">
        <v>10</v>
      </c>
      <c r="G96">
        <v>200</v>
      </c>
      <c r="H96">
        <f>(D96+(2*40)*F96)*2</f>
        <v>2800</v>
      </c>
      <c r="J96">
        <v>100</v>
      </c>
      <c r="L96">
        <f>ROUND(D96/100-2,0)</f>
        <v>4</v>
      </c>
      <c r="M96">
        <v>10</v>
      </c>
      <c r="N96">
        <v>100</v>
      </c>
      <c r="O96">
        <f>E96</f>
        <v>200</v>
      </c>
      <c r="P96">
        <v>10</v>
      </c>
      <c r="Q96">
        <v>100</v>
      </c>
      <c r="R96">
        <f>(C96+(2*40+0*50)*P96)*2</f>
        <v>2050</v>
      </c>
      <c r="S96">
        <f>C96*D96*E96/1000000000</f>
        <v>0.027</v>
      </c>
      <c r="T96">
        <f>2*C96*D96/1000000</f>
        <v>0.27</v>
      </c>
      <c r="U96">
        <f>0.006165*(F96^2*H96*(ROUND(C96/G96,0)+1)+I96^2*K96*(ROUND(C96/J96,0)+1))/1000</f>
        <v>3.4524</v>
      </c>
      <c r="V96">
        <f>0.006165*M96^2*O96*(ROUND(C96/N96,0)+1)/1000*L96</f>
        <v>1.4796</v>
      </c>
      <c r="W96">
        <f>0.006165*P96^2*R96*(ROUND(D96/Q96,0)+1)/1000</f>
        <v>8.846775</v>
      </c>
      <c r="Y96">
        <f>T96/S96</f>
        <v>10</v>
      </c>
      <c r="Z96">
        <f>SUM(U96:W96)/S96</f>
        <v>510.325</v>
      </c>
      <c r="AB96">
        <f>T96/2</f>
        <v>0.135</v>
      </c>
    </row>
    <row r="97">
      <c r="A97">
        <f>A96+1</f>
        <v>44</v>
      </c>
      <c r="B97" t="str">
        <v>Penebalan Sloof</v>
      </c>
      <c r="C97">
        <v>195</v>
      </c>
      <c r="D97">
        <v>1100</v>
      </c>
      <c r="E97">
        <v>200</v>
      </c>
      <c r="F97">
        <v>10</v>
      </c>
      <c r="G97">
        <v>200</v>
      </c>
      <c r="H97">
        <f>(D97+(2*40)*F97)*2</f>
        <v>3800</v>
      </c>
      <c r="J97">
        <v>100</v>
      </c>
      <c r="L97">
        <f>ROUND(D97/100-2,0)</f>
        <v>9</v>
      </c>
      <c r="M97">
        <v>10</v>
      </c>
      <c r="N97">
        <v>100</v>
      </c>
      <c r="O97">
        <f>E97</f>
        <v>200</v>
      </c>
      <c r="P97">
        <v>10</v>
      </c>
      <c r="Q97">
        <v>100</v>
      </c>
      <c r="R97">
        <f>(C97+(2*40+0*50)*P97)*2</f>
        <v>1990</v>
      </c>
      <c r="S97">
        <f>C97*D97*E97/1000000000</f>
        <v>0.0429</v>
      </c>
      <c r="T97">
        <f>2*C97*D97/1000000</f>
        <v>0.429</v>
      </c>
      <c r="U97">
        <f>0.006165*(F97^2*H97*(ROUND(C97/G97,0)+1)+I97^2*K97*(ROUND(C97/J97,0)+1))/1000</f>
        <v>4.6854000000000005</v>
      </c>
      <c r="V97">
        <f>0.006165*M97^2*O97*(ROUND(C97/N97,0)+1)/1000*L97</f>
        <v>3.3291</v>
      </c>
      <c r="W97">
        <f>0.006165*P97^2*R97*(ROUND(D97/Q97,0)+1)/1000</f>
        <v>14.72202</v>
      </c>
      <c r="Y97">
        <f>T97/S97</f>
        <v>10</v>
      </c>
      <c r="Z97">
        <f>SUM(U97:W97)/S97</f>
        <v>529.9888111888112</v>
      </c>
      <c r="AB97">
        <f>T97/2</f>
        <v>0.2145</v>
      </c>
    </row>
    <row r="98">
      <c r="A98">
        <f>A97+1</f>
        <v>45</v>
      </c>
      <c r="B98" t="str">
        <v>Penebalan Sloof</v>
      </c>
      <c r="C98">
        <v>200</v>
      </c>
      <c r="D98">
        <v>1100</v>
      </c>
      <c r="E98">
        <v>200</v>
      </c>
      <c r="F98">
        <v>10</v>
      </c>
      <c r="G98">
        <v>200</v>
      </c>
      <c r="H98">
        <f>(D98+(2*40)*F98)*2</f>
        <v>3800</v>
      </c>
      <c r="J98">
        <v>100</v>
      </c>
      <c r="L98">
        <f>ROUND(D98/100-2,0)</f>
        <v>9</v>
      </c>
      <c r="M98">
        <v>10</v>
      </c>
      <c r="N98">
        <v>100</v>
      </c>
      <c r="O98">
        <f>E98</f>
        <v>200</v>
      </c>
      <c r="P98">
        <v>10</v>
      </c>
      <c r="Q98">
        <v>100</v>
      </c>
      <c r="R98">
        <f>(C98+(2*40+0*50)*P98)*2</f>
        <v>2000</v>
      </c>
      <c r="S98">
        <f>C98*D98*E98/1000000000</f>
        <v>0.044</v>
      </c>
      <c r="T98">
        <f>2*C98*D98/1000000</f>
        <v>0.44</v>
      </c>
      <c r="U98">
        <f>0.006165*(F98^2*H98*(ROUND(C98/G98,0)+1)+I98^2*K98*(ROUND(C98/J98,0)+1))/1000</f>
        <v>4.6854000000000005</v>
      </c>
      <c r="V98">
        <f>0.006165*M98^2*O98*(ROUND(C98/N98,0)+1)/1000*L98</f>
        <v>3.3291</v>
      </c>
      <c r="W98">
        <f>0.006165*P98^2*R98*(ROUND(D98/Q98,0)+1)/1000</f>
        <v>14.796</v>
      </c>
      <c r="Y98">
        <f>T98/S98</f>
        <v>10</v>
      </c>
      <c r="Z98">
        <f>SUM(U98:W98)/S98</f>
        <v>518.4204545454545</v>
      </c>
      <c r="AB98">
        <f>T98/2</f>
        <v>0.22</v>
      </c>
    </row>
    <row r="99">
      <c r="A99">
        <f>A98+1</f>
        <v>46</v>
      </c>
      <c r="B99" t="str">
        <v>Penebalan Sloof</v>
      </c>
      <c r="C99">
        <v>675</v>
      </c>
      <c r="D99">
        <v>600</v>
      </c>
      <c r="E99">
        <v>200</v>
      </c>
      <c r="F99">
        <v>10</v>
      </c>
      <c r="G99">
        <v>200</v>
      </c>
      <c r="H99">
        <f>(D99+(2*40)*F99)*2</f>
        <v>2800</v>
      </c>
      <c r="J99">
        <v>100</v>
      </c>
      <c r="L99">
        <f>ROUND(D99/100-2,0)</f>
        <v>4</v>
      </c>
      <c r="M99">
        <v>10</v>
      </c>
      <c r="N99">
        <v>100</v>
      </c>
      <c r="O99">
        <f>E99</f>
        <v>200</v>
      </c>
      <c r="P99">
        <v>10</v>
      </c>
      <c r="Q99">
        <v>100</v>
      </c>
      <c r="R99">
        <f>(C99+(2*40+0*50)*P99)*2</f>
        <v>2950</v>
      </c>
      <c r="S99">
        <f>C99*D99*E99/1000000000</f>
        <v>0.081</v>
      </c>
      <c r="T99">
        <f>2*C99*D99/1000000</f>
        <v>0.81</v>
      </c>
      <c r="U99">
        <f>0.006165*(F99^2*H99*(ROUND(C99/G99,0)+1)+I99^2*K99*(ROUND(C99/J99,0)+1))/1000</f>
        <v>6.9048</v>
      </c>
      <c r="V99">
        <f>0.006165*M99^2*O99*(ROUND(C99/N99,0)+1)/1000*L99</f>
        <v>3.9456</v>
      </c>
      <c r="W99">
        <f>0.006165*P99^2*R99*(ROUND(D99/Q99,0)+1)/1000</f>
        <v>12.730725000000001</v>
      </c>
      <c r="Y99">
        <f>T99/S99</f>
        <v>10</v>
      </c>
      <c r="Z99">
        <f>SUM(U99:W99)/S99</f>
        <v>291.125</v>
      </c>
      <c r="AB99">
        <f>T99/2</f>
        <v>0.405</v>
      </c>
    </row>
    <row r="100">
      <c r="A100">
        <f>A99+1</f>
        <v>47</v>
      </c>
      <c r="B100" t="str">
        <v>Penebalan Sloof</v>
      </c>
      <c r="C100">
        <v>500</v>
      </c>
      <c r="D100">
        <v>400</v>
      </c>
      <c r="E100">
        <v>300</v>
      </c>
      <c r="F100">
        <v>10</v>
      </c>
      <c r="G100">
        <v>200</v>
      </c>
      <c r="H100">
        <f>(D100+(2*40)*F100)*2</f>
        <v>2400</v>
      </c>
      <c r="J100">
        <v>100</v>
      </c>
      <c r="L100">
        <f>ROUND(D100/100-2,0)</f>
        <v>2</v>
      </c>
      <c r="M100">
        <v>10</v>
      </c>
      <c r="N100">
        <v>100</v>
      </c>
      <c r="O100">
        <f>E100</f>
        <v>300</v>
      </c>
      <c r="P100">
        <v>10</v>
      </c>
      <c r="Q100">
        <v>100</v>
      </c>
      <c r="R100">
        <f>(C100+(2*40+0*50)*P100)*2</f>
        <v>2600</v>
      </c>
      <c r="S100">
        <f>C100*D100*E100/1000000000</f>
        <v>0.06</v>
      </c>
      <c r="T100">
        <f>2*C100*D100/1000000</f>
        <v>0.4</v>
      </c>
      <c r="U100">
        <f>0.006165*(F100^2*H100*(ROUND(C100/G100,0)+1)+I100^2*K100*(ROUND(C100/J100,0)+1))/1000</f>
        <v>5.9184</v>
      </c>
      <c r="V100">
        <f>0.006165*M100^2*O100*(ROUND(C100/N100,0)+1)/1000*L100</f>
        <v>2.2194000000000003</v>
      </c>
      <c r="W100">
        <f>0.006165*P100^2*R100*(ROUND(D100/Q100,0)+1)/1000</f>
        <v>8.0145</v>
      </c>
      <c r="Y100">
        <f>T100/S100</f>
        <v>6.666666666666667</v>
      </c>
      <c r="Z100">
        <f>SUM(U100:W100)/S100</f>
        <v>269.20500000000004</v>
      </c>
      <c r="AB100">
        <f>T100/2</f>
        <v>0.2</v>
      </c>
    </row>
    <row r="101">
      <c r="A101">
        <f>A100+1</f>
        <v>48</v>
      </c>
      <c r="B101" t="str">
        <v>Penebalan Sloof</v>
      </c>
      <c r="C101">
        <v>675</v>
      </c>
      <c r="D101">
        <v>400</v>
      </c>
      <c r="E101">
        <v>300</v>
      </c>
      <c r="F101">
        <v>10</v>
      </c>
      <c r="G101">
        <v>200</v>
      </c>
      <c r="H101">
        <f>(D101+(2*40)*F101)*2</f>
        <v>2400</v>
      </c>
      <c r="J101">
        <v>100</v>
      </c>
      <c r="L101">
        <f>ROUND(D101/100-2,0)</f>
        <v>2</v>
      </c>
      <c r="M101">
        <v>10</v>
      </c>
      <c r="N101">
        <v>100</v>
      </c>
      <c r="O101">
        <f>E101</f>
        <v>300</v>
      </c>
      <c r="P101">
        <v>10</v>
      </c>
      <c r="Q101">
        <v>100</v>
      </c>
      <c r="R101">
        <f>(C101+(2*40+0*50)*P101)*2</f>
        <v>2950</v>
      </c>
      <c r="S101">
        <f>C101*D101*E101/1000000000</f>
        <v>0.081</v>
      </c>
      <c r="T101">
        <f>2*C101*D101/1000000</f>
        <v>0.54</v>
      </c>
      <c r="U101">
        <f>0.006165*(F101^2*H101*(ROUND(C101/G101,0)+1)+I101^2*K101*(ROUND(C101/J101,0)+1))/1000</f>
        <v>5.9184</v>
      </c>
      <c r="V101">
        <f>0.006165*M101^2*O101*(ROUND(C101/N101,0)+1)/1000*L101</f>
        <v>2.9592</v>
      </c>
      <c r="W101">
        <f>0.006165*P101^2*R101*(ROUND(D101/Q101,0)+1)/1000</f>
        <v>9.093375</v>
      </c>
      <c r="Y101">
        <f>T101/S101</f>
        <v>6.666666666666667</v>
      </c>
      <c r="Z101">
        <f>SUM(U101:W101)/S101</f>
        <v>221.8638888888889</v>
      </c>
      <c r="AB101">
        <f>T101/2</f>
        <v>0.27</v>
      </c>
    </row>
    <row r="102">
      <c r="A102">
        <f>A101+1</f>
        <v>49</v>
      </c>
      <c r="B102" t="str">
        <v>Penebalan Sloof</v>
      </c>
      <c r="C102">
        <v>500</v>
      </c>
      <c r="D102">
        <v>500</v>
      </c>
      <c r="E102">
        <v>200</v>
      </c>
      <c r="F102">
        <v>10</v>
      </c>
      <c r="G102">
        <v>200</v>
      </c>
      <c r="H102">
        <f>(D102+(2*40)*F102)*2</f>
        <v>2600</v>
      </c>
      <c r="J102">
        <v>100</v>
      </c>
      <c r="L102">
        <f>ROUND(D102/100-2,0)</f>
        <v>3</v>
      </c>
      <c r="M102">
        <v>10</v>
      </c>
      <c r="N102">
        <v>100</v>
      </c>
      <c r="O102">
        <f>E102</f>
        <v>200</v>
      </c>
      <c r="P102">
        <v>10</v>
      </c>
      <c r="Q102">
        <v>100</v>
      </c>
      <c r="R102">
        <f>(C102+(2*40+0*50)*P102)*2</f>
        <v>2600</v>
      </c>
      <c r="S102">
        <f>C102*D102*E102/1000000000</f>
        <v>0.05</v>
      </c>
      <c r="T102">
        <f>2*C102*D102/1000000</f>
        <v>0.5</v>
      </c>
      <c r="U102">
        <f>0.006165*(F102^2*H102*(ROUND(C102/G102,0)+1)+I102^2*K102*(ROUND(C102/J102,0)+1))/1000</f>
        <v>6.4116</v>
      </c>
      <c r="V102">
        <f>0.006165*M102^2*O102*(ROUND(C102/N102,0)+1)/1000*L102</f>
        <v>2.2194000000000003</v>
      </c>
      <c r="W102">
        <f>0.006165*P102^2*R102*(ROUND(D102/Q102,0)+1)/1000</f>
        <v>9.617400000000002</v>
      </c>
      <c r="Y102">
        <f>T102/S102</f>
        <v>10</v>
      </c>
      <c r="Z102">
        <f>SUM(U102:W102)/S102</f>
        <v>364.9680000000001</v>
      </c>
      <c r="AB102">
        <f>T102/2</f>
        <v>0.25</v>
      </c>
    </row>
    <row r="103">
      <c r="A103">
        <f>A102+1</f>
        <v>50</v>
      </c>
      <c r="B103" t="str">
        <v>Penebalan Sloof</v>
      </c>
      <c r="C103">
        <v>580</v>
      </c>
      <c r="D103">
        <v>500</v>
      </c>
      <c r="E103">
        <v>200</v>
      </c>
      <c r="F103">
        <v>10</v>
      </c>
      <c r="G103">
        <v>200</v>
      </c>
      <c r="H103">
        <f>(D103+(2*40)*F103)*2</f>
        <v>2600</v>
      </c>
      <c r="J103">
        <v>100</v>
      </c>
      <c r="L103">
        <f>ROUND(D103/100-2,0)</f>
        <v>3</v>
      </c>
      <c r="M103">
        <v>10</v>
      </c>
      <c r="N103">
        <v>100</v>
      </c>
      <c r="O103">
        <f>E103</f>
        <v>200</v>
      </c>
      <c r="P103">
        <v>10</v>
      </c>
      <c r="Q103">
        <v>100</v>
      </c>
      <c r="R103">
        <f>(C103+(2*40+0*50)*P103)*2</f>
        <v>2760</v>
      </c>
      <c r="S103">
        <f>C103*D103*E103/1000000000</f>
        <v>0.058</v>
      </c>
      <c r="T103">
        <f>2*C103*D103/1000000</f>
        <v>0.58</v>
      </c>
      <c r="U103">
        <f>0.006165*(F103^2*H103*(ROUND(C103/G103,0)+1)+I103^2*K103*(ROUND(C103/J103,0)+1))/1000</f>
        <v>6.4116</v>
      </c>
      <c r="V103">
        <f>0.006165*M103^2*O103*(ROUND(C103/N103,0)+1)/1000*L103</f>
        <v>2.5893</v>
      </c>
      <c r="W103">
        <f>0.006165*P103^2*R103*(ROUND(D103/Q103,0)+1)/1000</f>
        <v>10.209240000000001</v>
      </c>
      <c r="Y103">
        <f>T103/S103</f>
        <v>9.999999999999998</v>
      </c>
      <c r="Z103">
        <f>SUM(U103:W103)/S103</f>
        <v>331.2093103448276</v>
      </c>
      <c r="AB103">
        <f>T103/2</f>
        <v>0.29</v>
      </c>
    </row>
    <row r="104">
      <c r="A104">
        <f>A103+1</f>
        <v>51</v>
      </c>
      <c r="B104" t="str">
        <v>Penebalan Sloof</v>
      </c>
      <c r="C104">
        <v>350</v>
      </c>
      <c r="D104">
        <v>400</v>
      </c>
      <c r="E104">
        <v>300</v>
      </c>
      <c r="F104">
        <v>10</v>
      </c>
      <c r="G104">
        <v>200</v>
      </c>
      <c r="H104">
        <f>(D104+(2*40)*F104)*2</f>
        <v>2400</v>
      </c>
      <c r="J104">
        <v>100</v>
      </c>
      <c r="L104">
        <f>ROUND(D104/100-2,0)</f>
        <v>2</v>
      </c>
      <c r="M104">
        <v>10</v>
      </c>
      <c r="N104">
        <v>100</v>
      </c>
      <c r="O104">
        <f>E104</f>
        <v>300</v>
      </c>
      <c r="P104">
        <v>10</v>
      </c>
      <c r="Q104">
        <v>100</v>
      </c>
      <c r="R104">
        <f>(C104+(2*40+0*50)*P104)*2</f>
        <v>2300</v>
      </c>
      <c r="S104">
        <f>C104*D104*E104/1000000000</f>
        <v>0.042</v>
      </c>
      <c r="T104">
        <f>2*C104*D104/1000000</f>
        <v>0.28</v>
      </c>
      <c r="U104">
        <f>0.006165*(F104^2*H104*(ROUND(C104/G104,0)+1)+I104^2*K104*(ROUND(C104/J104,0)+1))/1000</f>
        <v>4.4388000000000005</v>
      </c>
      <c r="V104">
        <f>0.006165*M104^2*O104*(ROUND(C104/N104,0)+1)/1000*L104</f>
        <v>1.8495000000000001</v>
      </c>
      <c r="W104">
        <f>0.006165*P104^2*R104*(ROUND(D104/Q104,0)+1)/1000</f>
        <v>7.08975</v>
      </c>
      <c r="Y104">
        <f>T104/S104</f>
        <v>6.666666666666667</v>
      </c>
      <c r="Z104">
        <f>SUM(U104:W104)/S104</f>
        <v>318.52500000000003</v>
      </c>
      <c r="AB104">
        <f>T104/2</f>
        <v>0.14</v>
      </c>
    </row>
    <row r="105">
      <c r="A105">
        <f>A104+1</f>
        <v>52</v>
      </c>
      <c r="B105" t="str">
        <v>Penebalan Sloof</v>
      </c>
      <c r="C105">
        <v>405</v>
      </c>
      <c r="D105">
        <v>600</v>
      </c>
      <c r="E105">
        <v>200</v>
      </c>
      <c r="F105">
        <v>10</v>
      </c>
      <c r="G105">
        <v>200</v>
      </c>
      <c r="H105">
        <f>(D105+(2*40)*F105)*2</f>
        <v>2800</v>
      </c>
      <c r="J105">
        <v>100</v>
      </c>
      <c r="L105">
        <f>ROUND(D105/100-2,0)</f>
        <v>4</v>
      </c>
      <c r="M105">
        <v>10</v>
      </c>
      <c r="N105">
        <v>100</v>
      </c>
      <c r="O105">
        <f>E105</f>
        <v>200</v>
      </c>
      <c r="P105">
        <v>10</v>
      </c>
      <c r="Q105">
        <v>100</v>
      </c>
      <c r="R105">
        <f>(C105+(2*40+0*50)*P105)*2</f>
        <v>2410</v>
      </c>
      <c r="S105">
        <f>C105*D105*E105/1000000000</f>
        <v>0.0486</v>
      </c>
      <c r="T105">
        <f>2*C105*D105/1000000</f>
        <v>0.486</v>
      </c>
      <c r="U105">
        <f>0.006165*(F105^2*H105*(ROUND(C105/G105,0)+1)+I105^2*K105*(ROUND(C105/J105,0)+1))/1000</f>
        <v>5.1786</v>
      </c>
      <c r="V105">
        <f>0.006165*M105^2*O105*(ROUND(C105/N105,0)+1)/1000*L105</f>
        <v>2.466</v>
      </c>
      <c r="W105">
        <f>0.006165*P105^2*R105*(ROUND(D105/Q105,0)+1)/1000</f>
        <v>10.400355000000001</v>
      </c>
      <c r="Y105">
        <f>T105/S105</f>
        <v>10</v>
      </c>
      <c r="Z105">
        <f>SUM(U105:W105)/S105</f>
        <v>371.29537037037045</v>
      </c>
      <c r="AB105">
        <f>T105/2</f>
        <v>0.243</v>
      </c>
    </row>
    <row r="106">
      <c r="A106">
        <f>A105+1</f>
        <v>53</v>
      </c>
      <c r="B106" t="str">
        <v>Penebalan Sloof</v>
      </c>
      <c r="C106">
        <v>350</v>
      </c>
      <c r="D106">
        <v>500</v>
      </c>
      <c r="E106">
        <v>200</v>
      </c>
      <c r="F106">
        <v>10</v>
      </c>
      <c r="G106">
        <v>200</v>
      </c>
      <c r="H106">
        <f>(D106+(2*40)*F106)*2</f>
        <v>2600</v>
      </c>
      <c r="J106">
        <v>100</v>
      </c>
      <c r="L106">
        <f>ROUND(D106/100-2,0)</f>
        <v>3</v>
      </c>
      <c r="M106">
        <v>10</v>
      </c>
      <c r="N106">
        <v>100</v>
      </c>
      <c r="O106">
        <f>E106</f>
        <v>200</v>
      </c>
      <c r="P106">
        <v>10</v>
      </c>
      <c r="Q106">
        <v>100</v>
      </c>
      <c r="R106">
        <f>(C106+(2*40+0*50)*P106)*2</f>
        <v>2300</v>
      </c>
      <c r="S106">
        <f>C106*D106*E106/1000000000</f>
        <v>0.035</v>
      </c>
      <c r="T106">
        <f>2*C106*D106/1000000</f>
        <v>0.35</v>
      </c>
      <c r="U106">
        <f>0.006165*(F106^2*H106*(ROUND(C106/G106,0)+1)+I106^2*K106*(ROUND(C106/J106,0)+1))/1000</f>
        <v>4.8087</v>
      </c>
      <c r="V106">
        <f>0.006165*M106^2*O106*(ROUND(C106/N106,0)+1)/1000*L106</f>
        <v>1.8495000000000001</v>
      </c>
      <c r="W106">
        <f>0.006165*P106^2*R106*(ROUND(D106/Q106,0)+1)/1000</f>
        <v>8.507700000000002</v>
      </c>
      <c r="Y106">
        <f>T106/S106</f>
        <v>9.999999999999998</v>
      </c>
      <c r="Z106">
        <f>SUM(U106:W106)/S106</f>
        <v>433.31142857142856</v>
      </c>
      <c r="AB106">
        <f>T106/2</f>
        <v>0.175</v>
      </c>
    </row>
    <row r="107">
      <c r="A107">
        <f>A106+1</f>
        <v>54</v>
      </c>
      <c r="B107" t="str">
        <v>Penebalan Sloof</v>
      </c>
      <c r="C107">
        <v>580</v>
      </c>
      <c r="D107">
        <v>400</v>
      </c>
      <c r="E107">
        <v>300</v>
      </c>
      <c r="F107">
        <v>10</v>
      </c>
      <c r="G107">
        <v>200</v>
      </c>
      <c r="H107">
        <f>(D107+(2*40)*F107)*2</f>
        <v>2400</v>
      </c>
      <c r="J107">
        <v>100</v>
      </c>
      <c r="L107">
        <f>ROUND(D107/100-2,0)</f>
        <v>2</v>
      </c>
      <c r="M107">
        <v>10</v>
      </c>
      <c r="N107">
        <v>100</v>
      </c>
      <c r="O107">
        <f>E107</f>
        <v>300</v>
      </c>
      <c r="P107">
        <v>10</v>
      </c>
      <c r="Q107">
        <v>100</v>
      </c>
      <c r="R107">
        <f>(C107+(2*40+0*50)*P107)*2</f>
        <v>2760</v>
      </c>
      <c r="S107">
        <f>C107*D107*E107/1000000000</f>
        <v>0.0696</v>
      </c>
      <c r="T107">
        <f>2*C107*D107/1000000</f>
        <v>0.464</v>
      </c>
      <c r="U107">
        <f>0.006165*(F107^2*H107*(ROUND(C107/G107,0)+1)+I107^2*K107*(ROUND(C107/J107,0)+1))/1000</f>
        <v>5.9184</v>
      </c>
      <c r="V107">
        <f>0.006165*M107^2*O107*(ROUND(C107/N107,0)+1)/1000*L107</f>
        <v>2.5893</v>
      </c>
      <c r="W107">
        <f>0.006165*P107^2*R107*(ROUND(D107/Q107,0)+1)/1000</f>
        <v>8.507700000000002</v>
      </c>
      <c r="Y107">
        <f>T107/S107</f>
        <v>6.666666666666668</v>
      </c>
      <c r="Z107">
        <f>SUM(U107:W107)/S107</f>
        <v>244.4741379310345</v>
      </c>
      <c r="AB107">
        <f>T107/2</f>
        <v>0.232</v>
      </c>
    </row>
    <row r="108">
      <c r="A108">
        <f>A107+1</f>
        <v>55</v>
      </c>
      <c r="B108" t="str">
        <v>Penebalan Sloof</v>
      </c>
      <c r="C108">
        <v>350</v>
      </c>
      <c r="D108">
        <v>500</v>
      </c>
      <c r="E108">
        <v>200</v>
      </c>
      <c r="F108">
        <v>10</v>
      </c>
      <c r="G108">
        <v>200</v>
      </c>
      <c r="H108">
        <f>(D108+(2*40)*F108)*2</f>
        <v>2600</v>
      </c>
      <c r="J108">
        <v>100</v>
      </c>
      <c r="L108">
        <f>ROUND(D108/100-2,0)</f>
        <v>3</v>
      </c>
      <c r="M108">
        <v>10</v>
      </c>
      <c r="N108">
        <v>100</v>
      </c>
      <c r="O108">
        <f>E108</f>
        <v>200</v>
      </c>
      <c r="P108">
        <v>10</v>
      </c>
      <c r="Q108">
        <v>100</v>
      </c>
      <c r="R108">
        <f>(C108+(2*40+0*50)*P108)*2</f>
        <v>2300</v>
      </c>
      <c r="S108">
        <f>C108*D108*E108/1000000000</f>
        <v>0.035</v>
      </c>
      <c r="T108">
        <f>2*C108*D108/1000000</f>
        <v>0.35</v>
      </c>
      <c r="U108">
        <f>0.006165*(F108^2*H108*(ROUND(C108/G108,0)+1)+I108^2*K108*(ROUND(C108/J108,0)+1))/1000</f>
        <v>4.8087</v>
      </c>
      <c r="V108">
        <f>0.006165*M108^2*O108*(ROUND(C108/N108,0)+1)/1000*L108</f>
        <v>1.8495000000000001</v>
      </c>
      <c r="W108">
        <f>0.006165*P108^2*R108*(ROUND(D108/Q108,0)+1)/1000</f>
        <v>8.507700000000002</v>
      </c>
      <c r="Y108">
        <f>T108/S108</f>
        <v>9.999999999999998</v>
      </c>
      <c r="Z108">
        <f>SUM(U108:W108)/S108</f>
        <v>433.31142857142856</v>
      </c>
      <c r="AB108">
        <f>T108/2</f>
        <v>0.175</v>
      </c>
    </row>
    <row r="109">
      <c r="A109">
        <f>A108+1</f>
        <v>56</v>
      </c>
      <c r="B109" t="str">
        <v>Penebalan Sloof</v>
      </c>
      <c r="C109">
        <v>350</v>
      </c>
      <c r="D109">
        <v>500</v>
      </c>
      <c r="E109">
        <v>200</v>
      </c>
      <c r="F109">
        <v>10</v>
      </c>
      <c r="G109">
        <v>200</v>
      </c>
      <c r="H109">
        <f>(D109+(2*40)*F109)*2</f>
        <v>2600</v>
      </c>
      <c r="J109">
        <v>100</v>
      </c>
      <c r="L109">
        <f>ROUND(D109/100-2,0)</f>
        <v>3</v>
      </c>
      <c r="M109">
        <v>10</v>
      </c>
      <c r="N109">
        <v>100</v>
      </c>
      <c r="O109">
        <f>E109</f>
        <v>200</v>
      </c>
      <c r="P109">
        <v>10</v>
      </c>
      <c r="Q109">
        <v>100</v>
      </c>
      <c r="R109">
        <f>(C109+(2*40+0*50)*P109)*2</f>
        <v>2300</v>
      </c>
      <c r="S109">
        <f>C109*D109*E109/1000000000</f>
        <v>0.035</v>
      </c>
      <c r="T109">
        <f>2*C109*D109/1000000</f>
        <v>0.35</v>
      </c>
      <c r="U109">
        <f>0.006165*(F109^2*H109*(ROUND(C109/G109,0)+1)+I109^2*K109*(ROUND(C109/J109,0)+1))/1000</f>
        <v>4.8087</v>
      </c>
      <c r="V109">
        <f>0.006165*M109^2*O109*(ROUND(C109/N109,0)+1)/1000*L109</f>
        <v>1.8495000000000001</v>
      </c>
      <c r="W109">
        <f>0.006165*P109^2*R109*(ROUND(D109/Q109,0)+1)/1000</f>
        <v>8.507700000000002</v>
      </c>
      <c r="Y109">
        <f>T109/S109</f>
        <v>9.999999999999998</v>
      </c>
      <c r="Z109">
        <f>SUM(U109:W109)/S109</f>
        <v>433.31142857142856</v>
      </c>
      <c r="AB109">
        <f>T109/2</f>
        <v>0.175</v>
      </c>
    </row>
    <row r="110">
      <c r="A110">
        <f>A109+1</f>
        <v>57</v>
      </c>
      <c r="B110" t="str">
        <v>Penebalan Sloof</v>
      </c>
      <c r="C110">
        <v>105</v>
      </c>
      <c r="D110">
        <v>600</v>
      </c>
      <c r="E110">
        <v>200</v>
      </c>
      <c r="F110">
        <v>10</v>
      </c>
      <c r="G110">
        <v>200</v>
      </c>
      <c r="H110">
        <f>(D110+(2*40)*F110)*2</f>
        <v>2800</v>
      </c>
      <c r="J110">
        <v>100</v>
      </c>
      <c r="L110">
        <f>ROUND(D110/100-2,0)</f>
        <v>4</v>
      </c>
      <c r="M110">
        <v>10</v>
      </c>
      <c r="N110">
        <v>100</v>
      </c>
      <c r="O110">
        <f>E110</f>
        <v>200</v>
      </c>
      <c r="P110">
        <v>10</v>
      </c>
      <c r="Q110">
        <v>100</v>
      </c>
      <c r="R110">
        <f>(C110+(2*40+0*50)*P110)*2</f>
        <v>1810</v>
      </c>
      <c r="S110">
        <f>C110*D110*E110/1000000000</f>
        <v>0.0126</v>
      </c>
      <c r="T110">
        <f>2*C110*D110/1000000</f>
        <v>0.126</v>
      </c>
      <c r="U110">
        <f>0.006165*(F110^2*H110*(ROUND(C110/G110,0)+1)+I110^2*K110*(ROUND(C110/J110,0)+1))/1000</f>
        <v>3.4524</v>
      </c>
      <c r="V110">
        <f>0.006165*M110^2*O110*(ROUND(C110/N110,0)+1)/1000*L110</f>
        <v>0.9864</v>
      </c>
      <c r="W110">
        <f>0.006165*P110^2*R110*(ROUND(D110/Q110,0)+1)/1000</f>
        <v>7.8110550000000005</v>
      </c>
      <c r="Y110">
        <f>T110/S110</f>
        <v>10</v>
      </c>
      <c r="Z110">
        <f>SUM(U110:W110)/S110</f>
        <v>972.2107142857143</v>
      </c>
      <c r="AB110">
        <f>T110/2</f>
        <v>0.063</v>
      </c>
    </row>
    <row r="111">
      <c r="A111">
        <f>A110+1</f>
        <v>58</v>
      </c>
      <c r="B111" t="str">
        <v>Penebalan Sloof</v>
      </c>
      <c r="C111">
        <v>100</v>
      </c>
      <c r="D111">
        <v>600</v>
      </c>
      <c r="E111">
        <v>200</v>
      </c>
      <c r="F111">
        <v>10</v>
      </c>
      <c r="G111">
        <v>200</v>
      </c>
      <c r="H111">
        <f>(D111+(2*40)*F111)*2</f>
        <v>2800</v>
      </c>
      <c r="J111">
        <v>100</v>
      </c>
      <c r="L111">
        <f>ROUND(D111/100-2,0)</f>
        <v>4</v>
      </c>
      <c r="M111">
        <v>10</v>
      </c>
      <c r="N111">
        <v>100</v>
      </c>
      <c r="O111">
        <f>E111</f>
        <v>200</v>
      </c>
      <c r="P111">
        <v>10</v>
      </c>
      <c r="Q111">
        <v>100</v>
      </c>
      <c r="R111">
        <f>(C111+(2*40+0*50)*P111)*2</f>
        <v>1800</v>
      </c>
      <c r="S111">
        <f>C111*D111*E111/1000000000</f>
        <v>0.012</v>
      </c>
      <c r="T111">
        <f>2*C111*D111/1000000</f>
        <v>0.12</v>
      </c>
      <c r="U111">
        <f>0.006165*(F111^2*H111*(ROUND(C111/G111,0)+1)+I111^2*K111*(ROUND(C111/J111,0)+1))/1000</f>
        <v>3.4524</v>
      </c>
      <c r="V111">
        <f>0.006165*M111^2*O111*(ROUND(C111/N111,0)+1)/1000*L111</f>
        <v>0.9864</v>
      </c>
      <c r="W111">
        <f>0.006165*P111^2*R111*(ROUND(D111/Q111,0)+1)/1000</f>
        <v>7.767900000000001</v>
      </c>
      <c r="Y111">
        <f>T111/S111</f>
        <v>10</v>
      </c>
      <c r="Z111">
        <f>SUM(U111:W111)/S111</f>
        <v>1017.2250000000001</v>
      </c>
      <c r="AB111">
        <f>T111/2</f>
        <v>0.06</v>
      </c>
    </row>
    <row r="112">
      <c r="A112">
        <f>A111+1</f>
        <v>59</v>
      </c>
      <c r="B112" t="str">
        <v>Penebalan Sloof</v>
      </c>
      <c r="C112">
        <v>450</v>
      </c>
      <c r="D112">
        <v>600</v>
      </c>
      <c r="E112">
        <v>200</v>
      </c>
      <c r="F112">
        <v>10</v>
      </c>
      <c r="G112">
        <v>200</v>
      </c>
      <c r="H112">
        <f>(D112+(2*40)*F112)*2</f>
        <v>2800</v>
      </c>
      <c r="J112">
        <v>100</v>
      </c>
      <c r="L112">
        <f>ROUND(D112/100-2,0)</f>
        <v>4</v>
      </c>
      <c r="M112">
        <v>10</v>
      </c>
      <c r="N112">
        <v>100</v>
      </c>
      <c r="O112">
        <f>E112</f>
        <v>200</v>
      </c>
      <c r="P112">
        <v>10</v>
      </c>
      <c r="Q112">
        <v>100</v>
      </c>
      <c r="R112">
        <f>(C112+(2*40+0*50)*P112)*2</f>
        <v>2500</v>
      </c>
      <c r="S112">
        <f>C112*D112*E112/1000000000</f>
        <v>0.054</v>
      </c>
      <c r="T112">
        <f>2*C112*D112/1000000</f>
        <v>0.54</v>
      </c>
      <c r="U112">
        <f>0.006165*(F112^2*H112*(ROUND(C112/G112,0)+1)+I112^2*K112*(ROUND(C112/J112,0)+1))/1000</f>
        <v>5.1786</v>
      </c>
      <c r="V112">
        <f>0.006165*M112^2*O112*(ROUND(C112/N112,0)+1)/1000*L112</f>
        <v>2.9592</v>
      </c>
      <c r="W112">
        <f>0.006165*P112^2*R112*(ROUND(D112/Q112,0)+1)/1000</f>
        <v>10.788750000000002</v>
      </c>
      <c r="Y112">
        <f>T112/S112</f>
        <v>10</v>
      </c>
      <c r="Z112">
        <f>SUM(U112:W112)/S112</f>
        <v>350.49166666666673</v>
      </c>
      <c r="AB112">
        <f>T112/2</f>
        <v>0.27</v>
      </c>
    </row>
    <row r="113">
      <c r="A113">
        <f>A112+1</f>
        <v>60</v>
      </c>
      <c r="B113" t="str">
        <v>Penebalan Sloof</v>
      </c>
      <c r="C113">
        <v>215</v>
      </c>
      <c r="D113">
        <v>500</v>
      </c>
      <c r="E113">
        <v>200</v>
      </c>
      <c r="F113">
        <v>10</v>
      </c>
      <c r="G113">
        <v>200</v>
      </c>
      <c r="H113">
        <f>(D113+(2*40)*F113)*2</f>
        <v>2600</v>
      </c>
      <c r="J113">
        <v>100</v>
      </c>
      <c r="L113">
        <f>ROUND(D113/100-2,0)</f>
        <v>3</v>
      </c>
      <c r="M113">
        <v>10</v>
      </c>
      <c r="N113">
        <v>100</v>
      </c>
      <c r="O113">
        <f>E113</f>
        <v>200</v>
      </c>
      <c r="P113">
        <v>10</v>
      </c>
      <c r="Q113">
        <v>100</v>
      </c>
      <c r="R113">
        <f>(C113+(2*40+0*50)*P113)*2</f>
        <v>2030</v>
      </c>
      <c r="S113">
        <f>C113*D113*E113/1000000000</f>
        <v>0.0215</v>
      </c>
      <c r="T113">
        <f>2*C113*D113/1000000</f>
        <v>0.215</v>
      </c>
      <c r="U113">
        <f>0.006165*(F113^2*H113*(ROUND(C113/G113,0)+1)+I113^2*K113*(ROUND(C113/J113,0)+1))/1000</f>
        <v>3.2058</v>
      </c>
      <c r="V113">
        <f>0.006165*M113^2*O113*(ROUND(C113/N113,0)+1)/1000*L113</f>
        <v>1.1097000000000001</v>
      </c>
      <c r="W113">
        <f>0.006165*P113^2*R113*(ROUND(D113/Q113,0)+1)/1000</f>
        <v>7.5089700000000015</v>
      </c>
      <c r="Y113">
        <f>T113/S113</f>
        <v>10</v>
      </c>
      <c r="Z113">
        <f>SUM(U113:W113)/S113</f>
        <v>549.9753488372094</v>
      </c>
      <c r="AB113">
        <f>T113/2</f>
        <v>0.1075</v>
      </c>
    </row>
    <row r="114">
      <c r="A114">
        <f>A113+1</f>
        <v>61</v>
      </c>
      <c r="B114" t="str">
        <v>Penebalan Sloof</v>
      </c>
      <c r="C114">
        <v>420</v>
      </c>
      <c r="D114">
        <v>500</v>
      </c>
      <c r="E114">
        <v>200</v>
      </c>
      <c r="F114">
        <v>10</v>
      </c>
      <c r="G114">
        <v>200</v>
      </c>
      <c r="H114">
        <f>(D114+(2*40)*F114)*2</f>
        <v>2600</v>
      </c>
      <c r="J114">
        <v>100</v>
      </c>
      <c r="L114">
        <f>ROUND(D114/100-2,0)</f>
        <v>3</v>
      </c>
      <c r="M114">
        <v>10</v>
      </c>
      <c r="N114">
        <v>100</v>
      </c>
      <c r="O114">
        <f>E114</f>
        <v>200</v>
      </c>
      <c r="P114">
        <v>10</v>
      </c>
      <c r="Q114">
        <v>100</v>
      </c>
      <c r="R114">
        <f>(C114+(2*40+0*50)*P114)*2</f>
        <v>2440</v>
      </c>
      <c r="S114">
        <f>C114*D114*E114/1000000000</f>
        <v>0.042</v>
      </c>
      <c r="T114">
        <f>2*C114*D114/1000000</f>
        <v>0.42</v>
      </c>
      <c r="U114">
        <f>0.006165*(F114^2*H114*(ROUND(C114/G114,0)+1)+I114^2*K114*(ROUND(C114/J114,0)+1))/1000</f>
        <v>4.8087</v>
      </c>
      <c r="V114">
        <f>0.006165*M114^2*O114*(ROUND(C114/N114,0)+1)/1000*L114</f>
        <v>1.8495000000000001</v>
      </c>
      <c r="W114">
        <f>0.006165*P114^2*R114*(ROUND(D114/Q114,0)+1)/1000</f>
        <v>9.02556</v>
      </c>
      <c r="Y114">
        <f>T114/S114</f>
        <v>9.999999999999998</v>
      </c>
      <c r="Z114">
        <f>SUM(U114:W114)/S114</f>
        <v>373.4228571428571</v>
      </c>
      <c r="AB114">
        <f>T114/2</f>
        <v>0.21</v>
      </c>
    </row>
    <row r="115">
      <c r="A115">
        <f>A114+1</f>
        <v>62</v>
      </c>
      <c r="B115" t="str">
        <v>Penebalan Sloof</v>
      </c>
      <c r="C115">
        <v>200</v>
      </c>
      <c r="D115">
        <v>600</v>
      </c>
      <c r="E115">
        <v>200</v>
      </c>
      <c r="F115">
        <v>10</v>
      </c>
      <c r="G115">
        <v>200</v>
      </c>
      <c r="H115">
        <f>(D115+(2*40)*F115)*2</f>
        <v>2800</v>
      </c>
      <c r="J115">
        <v>100</v>
      </c>
      <c r="L115">
        <f>ROUND(D115/100-2,0)</f>
        <v>4</v>
      </c>
      <c r="M115">
        <v>10</v>
      </c>
      <c r="N115">
        <v>100</v>
      </c>
      <c r="O115">
        <f>E115</f>
        <v>200</v>
      </c>
      <c r="P115">
        <v>10</v>
      </c>
      <c r="Q115">
        <v>100</v>
      </c>
      <c r="R115">
        <f>(C115+(2*40+0*50)*P115)*2</f>
        <v>2000</v>
      </c>
      <c r="S115">
        <f>C115*D115*E115/1000000000</f>
        <v>0.024</v>
      </c>
      <c r="T115">
        <f>2*C115*D115/1000000</f>
        <v>0.24</v>
      </c>
      <c r="U115">
        <f>0.006165*(F115^2*H115*(ROUND(C115/G115,0)+1)+I115^2*K115*(ROUND(C115/J115,0)+1))/1000</f>
        <v>3.4524</v>
      </c>
      <c r="V115">
        <f>0.006165*M115^2*O115*(ROUND(C115/N115,0)+1)/1000*L115</f>
        <v>1.4796</v>
      </c>
      <c r="W115">
        <f>0.006165*P115^2*R115*(ROUND(D115/Q115,0)+1)/1000</f>
        <v>8.631</v>
      </c>
      <c r="Y115">
        <f>T115/S115</f>
        <v>10</v>
      </c>
      <c r="Z115">
        <f>SUM(U115:W115)/S115</f>
        <v>565.125</v>
      </c>
      <c r="AB115">
        <f>T115/2</f>
        <v>0.12</v>
      </c>
    </row>
    <row r="116">
      <c r="A116">
        <f>A115+1</f>
        <v>63</v>
      </c>
      <c r="B116" t="str">
        <v>Penebalan Sloof</v>
      </c>
      <c r="C116">
        <v>200</v>
      </c>
      <c r="D116">
        <v>600</v>
      </c>
      <c r="E116">
        <v>200</v>
      </c>
      <c r="F116">
        <v>10</v>
      </c>
      <c r="G116">
        <v>200</v>
      </c>
      <c r="H116">
        <f>(D116+(2*40)*F116)*2</f>
        <v>2800</v>
      </c>
      <c r="J116">
        <v>100</v>
      </c>
      <c r="L116">
        <f>ROUND(D116/100-2,0)</f>
        <v>4</v>
      </c>
      <c r="M116">
        <v>10</v>
      </c>
      <c r="N116">
        <v>100</v>
      </c>
      <c r="O116">
        <f>E116</f>
        <v>200</v>
      </c>
      <c r="P116">
        <v>10</v>
      </c>
      <c r="Q116">
        <v>100</v>
      </c>
      <c r="R116">
        <f>(C116+(2*40+0*50)*P116)*2</f>
        <v>2000</v>
      </c>
      <c r="S116">
        <f>C116*D116*E116/1000000000</f>
        <v>0.024</v>
      </c>
      <c r="T116">
        <f>2*C116*D116/1000000</f>
        <v>0.24</v>
      </c>
      <c r="U116">
        <f>0.006165*(F116^2*H116*(ROUND(C116/G116,0)+1)+I116^2*K116*(ROUND(C116/J116,0)+1))/1000</f>
        <v>3.4524</v>
      </c>
      <c r="V116">
        <f>0.006165*M116^2*O116*(ROUND(C116/N116,0)+1)/1000*L116</f>
        <v>1.4796</v>
      </c>
      <c r="W116">
        <f>0.006165*P116^2*R116*(ROUND(D116/Q116,0)+1)/1000</f>
        <v>8.631</v>
      </c>
      <c r="Y116">
        <f>T116/S116</f>
        <v>10</v>
      </c>
      <c r="Z116">
        <f>SUM(U116:W116)/S116</f>
        <v>565.125</v>
      </c>
      <c r="AB116">
        <f>T116/2</f>
        <v>0.12</v>
      </c>
    </row>
    <row r="117">
      <c r="A117">
        <f>A116+1</f>
        <v>64</v>
      </c>
      <c r="B117" t="str">
        <v>Penebalan Sloof</v>
      </c>
      <c r="C117">
        <v>525</v>
      </c>
      <c r="D117">
        <v>500</v>
      </c>
      <c r="E117">
        <v>200</v>
      </c>
      <c r="F117">
        <v>10</v>
      </c>
      <c r="G117">
        <v>200</v>
      </c>
      <c r="H117">
        <f>(D117+(2*40)*F117)*2</f>
        <v>2600</v>
      </c>
      <c r="J117">
        <v>100</v>
      </c>
      <c r="L117">
        <f>ROUND(D117/100-2,0)</f>
        <v>3</v>
      </c>
      <c r="M117">
        <v>10</v>
      </c>
      <c r="N117">
        <v>100</v>
      </c>
      <c r="O117">
        <f>E117</f>
        <v>200</v>
      </c>
      <c r="P117">
        <v>10</v>
      </c>
      <c r="Q117">
        <v>100</v>
      </c>
      <c r="R117">
        <f>(C117+(2*40+0*50)*P117)*2</f>
        <v>2650</v>
      </c>
      <c r="S117">
        <f>C117*D117*E117/1000000000</f>
        <v>0.0525</v>
      </c>
      <c r="T117">
        <f>2*C117*D117/1000000</f>
        <v>0.525</v>
      </c>
      <c r="U117">
        <f>0.006165*(F117^2*H117*(ROUND(C117/G117,0)+1)+I117^2*K117*(ROUND(C117/J117,0)+1))/1000</f>
        <v>6.4116</v>
      </c>
      <c r="V117">
        <f>0.006165*M117^2*O117*(ROUND(C117/N117,0)+1)/1000*L117</f>
        <v>2.2194000000000003</v>
      </c>
      <c r="W117">
        <f>0.006165*P117^2*R117*(ROUND(D117/Q117,0)+1)/1000</f>
        <v>9.80235</v>
      </c>
      <c r="Y117">
        <f>T117/S117</f>
        <v>10</v>
      </c>
      <c r="Z117">
        <f>SUM(U117:W117)/S117</f>
        <v>351.1114285714286</v>
      </c>
      <c r="AB117">
        <f>T117/2</f>
        <v>0.2625</v>
      </c>
    </row>
    <row r="118">
      <c r="A118">
        <f>A117+1</f>
        <v>65</v>
      </c>
      <c r="B118" t="str">
        <v>Penebalan Sloof</v>
      </c>
      <c r="C118">
        <v>275</v>
      </c>
      <c r="D118">
        <v>500</v>
      </c>
      <c r="E118">
        <v>200</v>
      </c>
      <c r="F118">
        <v>10</v>
      </c>
      <c r="G118">
        <v>200</v>
      </c>
      <c r="H118">
        <f>(D118+(2*40)*F118)*2</f>
        <v>2600</v>
      </c>
      <c r="J118">
        <v>100</v>
      </c>
      <c r="L118">
        <f>ROUND(D118/100-2,0)</f>
        <v>3</v>
      </c>
      <c r="M118">
        <v>10</v>
      </c>
      <c r="N118">
        <v>100</v>
      </c>
      <c r="O118">
        <f>E118</f>
        <v>200</v>
      </c>
      <c r="P118">
        <v>10</v>
      </c>
      <c r="Q118">
        <v>100</v>
      </c>
      <c r="R118">
        <f>(C118+(2*40+0*50)*P118)*2</f>
        <v>2150</v>
      </c>
      <c r="S118">
        <f>C118*D118*E118/1000000000</f>
        <v>0.0275</v>
      </c>
      <c r="T118">
        <f>2*C118*D118/1000000</f>
        <v>0.275</v>
      </c>
      <c r="U118">
        <f>0.006165*(F118^2*H118*(ROUND(C118/G118,0)+1)+I118^2*K118*(ROUND(C118/J118,0)+1))/1000</f>
        <v>3.2058</v>
      </c>
      <c r="V118">
        <f>0.006165*M118^2*O118*(ROUND(C118/N118,0)+1)/1000*L118</f>
        <v>1.4796</v>
      </c>
      <c r="W118">
        <f>0.006165*P118^2*R118*(ROUND(D118/Q118,0)+1)/1000</f>
        <v>7.952850000000001</v>
      </c>
      <c r="Y118">
        <f>T118/S118</f>
        <v>10</v>
      </c>
      <c r="Z118">
        <f>SUM(U118:W118)/S118</f>
        <v>459.57272727272726</v>
      </c>
      <c r="AB118">
        <f>T118/2</f>
        <v>0.1375</v>
      </c>
    </row>
    <row r="119">
      <c r="A119">
        <f>A118+1</f>
        <v>66</v>
      </c>
      <c r="B119" t="str">
        <v>Penebalan Sloof</v>
      </c>
      <c r="C119">
        <v>525</v>
      </c>
      <c r="D119">
        <v>400</v>
      </c>
      <c r="E119">
        <v>300</v>
      </c>
      <c r="F119">
        <v>10</v>
      </c>
      <c r="G119">
        <v>200</v>
      </c>
      <c r="H119">
        <f>(D119+(2*40)*F119)*2</f>
        <v>2400</v>
      </c>
      <c r="J119">
        <v>100</v>
      </c>
      <c r="L119">
        <f>ROUND(D119/100-2,0)</f>
        <v>2</v>
      </c>
      <c r="M119">
        <v>10</v>
      </c>
      <c r="N119">
        <v>100</v>
      </c>
      <c r="O119">
        <f>E119</f>
        <v>300</v>
      </c>
      <c r="P119">
        <v>10</v>
      </c>
      <c r="Q119">
        <v>100</v>
      </c>
      <c r="R119">
        <f>(C119+(2*40+0*50)*P119)*2</f>
        <v>2650</v>
      </c>
      <c r="S119">
        <f>C119*D119*E119/1000000000</f>
        <v>0.063</v>
      </c>
      <c r="T119">
        <f>2*C119*D119/1000000</f>
        <v>0.42</v>
      </c>
      <c r="U119">
        <f>0.006165*(F119^2*H119*(ROUND(C119/G119,0)+1)+I119^2*K119*(ROUND(C119/J119,0)+1))/1000</f>
        <v>5.9184</v>
      </c>
      <c r="V119">
        <f>0.006165*M119^2*O119*(ROUND(C119/N119,0)+1)/1000*L119</f>
        <v>2.2194000000000003</v>
      </c>
      <c r="W119">
        <f>0.006165*P119^2*R119*(ROUND(D119/Q119,0)+1)/1000</f>
        <v>8.168625</v>
      </c>
      <c r="Y119">
        <f>T119/S119</f>
        <v>6.666666666666666</v>
      </c>
      <c r="Z119">
        <f>SUM(U119:W119)/S119</f>
        <v>258.83214285714286</v>
      </c>
      <c r="AB119">
        <f>T119/2</f>
        <v>0.21</v>
      </c>
    </row>
    <row r="120">
      <c r="A120">
        <f>A119+1</f>
        <v>67</v>
      </c>
      <c r="B120" t="str">
        <v>Penebalan Sloof</v>
      </c>
      <c r="C120">
        <v>580</v>
      </c>
      <c r="D120">
        <v>400</v>
      </c>
      <c r="E120">
        <v>300</v>
      </c>
      <c r="F120">
        <v>10</v>
      </c>
      <c r="G120">
        <v>200</v>
      </c>
      <c r="H120">
        <f>(D120+(2*40)*F120)*2</f>
        <v>2400</v>
      </c>
      <c r="J120">
        <v>100</v>
      </c>
      <c r="L120">
        <f>ROUND(D120/100-2,0)</f>
        <v>2</v>
      </c>
      <c r="M120">
        <v>10</v>
      </c>
      <c r="N120">
        <v>100</v>
      </c>
      <c r="O120">
        <f>E120</f>
        <v>300</v>
      </c>
      <c r="P120">
        <v>10</v>
      </c>
      <c r="Q120">
        <v>100</v>
      </c>
      <c r="R120">
        <f>(C120+(2*40+0*50)*P120)*2</f>
        <v>2760</v>
      </c>
      <c r="S120">
        <f>C120*D120*E120/1000000000</f>
        <v>0.0696</v>
      </c>
      <c r="T120">
        <f>2*C120*D120/1000000</f>
        <v>0.464</v>
      </c>
      <c r="U120">
        <f>0.006165*(F120^2*H120*(ROUND(C120/G120,0)+1)+I120^2*K120*(ROUND(C120/J120,0)+1))/1000</f>
        <v>5.9184</v>
      </c>
      <c r="V120">
        <f>0.006165*M120^2*O120*(ROUND(C120/N120,0)+1)/1000*L120</f>
        <v>2.5893</v>
      </c>
      <c r="W120">
        <f>0.006165*P120^2*R120*(ROUND(D120/Q120,0)+1)/1000</f>
        <v>8.507700000000002</v>
      </c>
      <c r="Y120">
        <f>T120/S120</f>
        <v>6.666666666666668</v>
      </c>
      <c r="Z120">
        <f>SUM(U120:W120)/S120</f>
        <v>244.4741379310345</v>
      </c>
      <c r="AB120">
        <f>T120/2</f>
        <v>0.232</v>
      </c>
    </row>
    <row r="121">
      <c r="A121">
        <f>A120+1</f>
        <v>68</v>
      </c>
      <c r="B121" t="str">
        <v>Penebalan Sloof</v>
      </c>
      <c r="C121">
        <v>350</v>
      </c>
      <c r="D121">
        <v>500</v>
      </c>
      <c r="E121">
        <v>200</v>
      </c>
      <c r="F121">
        <v>10</v>
      </c>
      <c r="G121">
        <v>200</v>
      </c>
      <c r="H121">
        <f>(D121+(2*40)*F121)*2</f>
        <v>2600</v>
      </c>
      <c r="J121">
        <v>100</v>
      </c>
      <c r="L121">
        <f>ROUND(D121/100-2,0)</f>
        <v>3</v>
      </c>
      <c r="M121">
        <v>10</v>
      </c>
      <c r="N121">
        <v>100</v>
      </c>
      <c r="O121">
        <f>E121</f>
        <v>200</v>
      </c>
      <c r="P121">
        <v>10</v>
      </c>
      <c r="Q121">
        <v>100</v>
      </c>
      <c r="R121">
        <f>(C121+(2*40+0*50)*P121)*2</f>
        <v>2300</v>
      </c>
      <c r="S121">
        <f>C121*D121*E121/1000000000</f>
        <v>0.035</v>
      </c>
      <c r="T121">
        <f>2*C121*D121/1000000</f>
        <v>0.35</v>
      </c>
      <c r="U121">
        <f>0.006165*(F121^2*H121*(ROUND(C121/G121,0)+1)+I121^2*K121*(ROUND(C121/J121,0)+1))/1000</f>
        <v>4.8087</v>
      </c>
      <c r="V121">
        <f>0.006165*M121^2*O121*(ROUND(C121/N121,0)+1)/1000*L121</f>
        <v>1.8495000000000001</v>
      </c>
      <c r="W121">
        <f>0.006165*P121^2*R121*(ROUND(D121/Q121,0)+1)/1000</f>
        <v>8.507700000000002</v>
      </c>
      <c r="Y121">
        <f>T121/S121</f>
        <v>9.999999999999998</v>
      </c>
      <c r="Z121">
        <f>SUM(U121:W121)/S121</f>
        <v>433.31142857142856</v>
      </c>
      <c r="AB121">
        <f>T121/2</f>
        <v>0.175</v>
      </c>
    </row>
    <row r="122">
      <c r="A122">
        <f>A121+1</f>
        <v>69</v>
      </c>
      <c r="B122" t="str">
        <v>Penebalan Sloof</v>
      </c>
      <c r="C122">
        <v>390</v>
      </c>
      <c r="D122">
        <v>600</v>
      </c>
      <c r="E122">
        <v>200</v>
      </c>
      <c r="F122">
        <v>10</v>
      </c>
      <c r="G122">
        <v>200</v>
      </c>
      <c r="H122">
        <f>(D122+(2*40)*F122)*2</f>
        <v>2800</v>
      </c>
      <c r="J122">
        <v>100</v>
      </c>
      <c r="L122">
        <f>ROUND(D122/100-2,0)</f>
        <v>4</v>
      </c>
      <c r="M122">
        <v>10</v>
      </c>
      <c r="N122">
        <v>100</v>
      </c>
      <c r="O122">
        <f>E122</f>
        <v>200</v>
      </c>
      <c r="P122">
        <v>10</v>
      </c>
      <c r="Q122">
        <v>100</v>
      </c>
      <c r="R122">
        <f>(C122+(2*40+0*50)*P122)*2</f>
        <v>2380</v>
      </c>
      <c r="S122">
        <f>C122*D122*E122/1000000000</f>
        <v>0.0468</v>
      </c>
      <c r="T122">
        <f>2*C122*D122/1000000</f>
        <v>0.468</v>
      </c>
      <c r="U122">
        <f>0.006165*(F122^2*H122*(ROUND(C122/G122,0)+1)+I122^2*K122*(ROUND(C122/J122,0)+1))/1000</f>
        <v>5.1786</v>
      </c>
      <c r="V122">
        <f>0.006165*M122^2*O122*(ROUND(C122/N122,0)+1)/1000*L122</f>
        <v>2.466</v>
      </c>
      <c r="W122">
        <f>0.006165*P122^2*R122*(ROUND(D122/Q122,0)+1)/1000</f>
        <v>10.270890000000001</v>
      </c>
      <c r="Y122">
        <f>T122/S122</f>
        <v>10</v>
      </c>
      <c r="Z122">
        <f>SUM(U122:W122)/S122</f>
        <v>382.8096153846154</v>
      </c>
      <c r="AB122">
        <f>T122/2</f>
        <v>0.234</v>
      </c>
    </row>
    <row r="123">
      <c r="A123">
        <f>A122+1</f>
        <v>70</v>
      </c>
      <c r="B123" t="str">
        <v>Penebalan Sloof</v>
      </c>
      <c r="AB123">
        <f>T123/2</f>
        <v>0</v>
      </c>
    </row>
    <row r="124">
      <c r="A124">
        <f>A123+1</f>
        <v>71</v>
      </c>
      <c r="B124" t="str">
        <v>Penebalan Sloof</v>
      </c>
      <c r="AB124">
        <f>T124/2</f>
        <v>0</v>
      </c>
    </row>
    <row r="125">
      <c r="A125">
        <f>A124+1</f>
        <v>72</v>
      </c>
      <c r="B125" t="str">
        <v>Penebalan Sloof</v>
      </c>
      <c r="C125">
        <v>1200</v>
      </c>
      <c r="D125">
        <v>600</v>
      </c>
      <c r="E125">
        <v>200</v>
      </c>
      <c r="F125">
        <v>10</v>
      </c>
      <c r="G125">
        <v>200</v>
      </c>
      <c r="H125">
        <f>(D125+(2*40)*F125)*2</f>
        <v>2800</v>
      </c>
      <c r="J125">
        <v>100</v>
      </c>
      <c r="L125">
        <f>ROUND(D125/100-2,0)</f>
        <v>4</v>
      </c>
      <c r="M125">
        <v>10</v>
      </c>
      <c r="N125">
        <v>100</v>
      </c>
      <c r="O125">
        <f>E125</f>
        <v>200</v>
      </c>
      <c r="P125">
        <v>10</v>
      </c>
      <c r="Q125">
        <v>100</v>
      </c>
      <c r="R125">
        <f>(C125+(2*40+0*50)*P125)*2</f>
        <v>4000</v>
      </c>
      <c r="S125">
        <f>C125*D125*E125/1000000000</f>
        <v>0.144</v>
      </c>
      <c r="T125">
        <f>2*C125*D125/1000000</f>
        <v>1.44</v>
      </c>
      <c r="U125">
        <f>0.006165*(F125^2*H125*(ROUND(C125/G125,0)+1)+I125^2*K125*(ROUND(C125/J125,0)+1))/1000</f>
        <v>12.083400000000001</v>
      </c>
      <c r="V125">
        <f>0.006165*M125^2*O125*(ROUND(C125/N125,0)+1)/1000*L125</f>
        <v>6.4116</v>
      </c>
      <c r="W125">
        <f>0.006165*P125^2*R125*(ROUND(D125/Q125,0)+1)/1000</f>
        <v>17.262</v>
      </c>
      <c r="Y125">
        <f>T125/S125</f>
        <v>10</v>
      </c>
      <c r="Z125">
        <f>SUM(U125:W125)/S125</f>
        <v>248.31250000000006</v>
      </c>
      <c r="AB125">
        <f>T125/2</f>
        <v>0.72</v>
      </c>
    </row>
    <row r="126">
      <c r="A126">
        <f>A125+1</f>
        <v>73</v>
      </c>
      <c r="B126" t="str">
        <v>Penebalan Sloof</v>
      </c>
      <c r="C126">
        <v>1200</v>
      </c>
      <c r="D126">
        <v>600</v>
      </c>
      <c r="E126">
        <v>200</v>
      </c>
      <c r="F126">
        <v>10</v>
      </c>
      <c r="G126">
        <v>200</v>
      </c>
      <c r="H126">
        <f>(D126+(2*40)*F126)*2</f>
        <v>2800</v>
      </c>
      <c r="J126">
        <v>100</v>
      </c>
      <c r="L126">
        <f>ROUND(D126/100-2,0)</f>
        <v>4</v>
      </c>
      <c r="M126">
        <v>10</v>
      </c>
      <c r="N126">
        <v>100</v>
      </c>
      <c r="O126">
        <f>E126</f>
        <v>200</v>
      </c>
      <c r="P126">
        <v>10</v>
      </c>
      <c r="Q126">
        <v>100</v>
      </c>
      <c r="R126">
        <f>(C126+(2*40+0*50)*P126)*2</f>
        <v>4000</v>
      </c>
      <c r="S126">
        <f>C126*D126*E126/1000000000</f>
        <v>0.144</v>
      </c>
      <c r="T126">
        <f>2*C126*D126/1000000</f>
        <v>1.44</v>
      </c>
      <c r="U126">
        <f>0.006165*(F126^2*H126*(ROUND(C126/G126,0)+1)+I126^2*K126*(ROUND(C126/J126,0)+1))/1000</f>
        <v>12.083400000000001</v>
      </c>
      <c r="V126">
        <f>0.006165*M126^2*O126*(ROUND(C126/N126,0)+1)/1000*L126</f>
        <v>6.4116</v>
      </c>
      <c r="W126">
        <f>0.006165*P126^2*R126*(ROUND(D126/Q126,0)+1)/1000</f>
        <v>17.262</v>
      </c>
      <c r="Y126">
        <f>T126/S126</f>
        <v>10</v>
      </c>
      <c r="Z126">
        <f>SUM(U126:W126)/S126</f>
        <v>248.31250000000006</v>
      </c>
      <c r="AB126">
        <f>T126/2</f>
        <v>0.72</v>
      </c>
    </row>
    <row r="127">
      <c r="A127">
        <f>A126+1</f>
        <v>74</v>
      </c>
      <c r="B127" t="str">
        <v>Penebalan Sloof</v>
      </c>
    </row>
    <row r="128">
      <c r="A128">
        <f>A127+1</f>
        <v>75</v>
      </c>
      <c r="B128" t="str">
        <v>Penebalan Sloof</v>
      </c>
    </row>
    <row r="129">
      <c r="A129">
        <f>A128+1</f>
        <v>76</v>
      </c>
      <c r="B129" t="str">
        <v>Penebalan Sloof</v>
      </c>
    </row>
    <row r="130">
      <c r="A130">
        <f>A129+1</f>
        <v>77</v>
      </c>
      <c r="B130" t="str">
        <v>Penebalan Sloof</v>
      </c>
    </row>
    <row r="131">
      <c r="A131">
        <f>A130+1</f>
        <v>78</v>
      </c>
      <c r="B131" t="str">
        <v>Penebalan Sloof</v>
      </c>
    </row>
    <row r="132">
      <c r="A132">
        <f>A131+1</f>
        <v>79</v>
      </c>
      <c r="B132" t="str">
        <v>Penebalan Sloof</v>
      </c>
    </row>
    <row r="133">
      <c r="A133">
        <f>A132+1</f>
        <v>80</v>
      </c>
      <c r="B133" t="str">
        <v>Penebalan Sloof</v>
      </c>
    </row>
    <row r="134">
      <c r="A134">
        <f>A133+1</f>
        <v>81</v>
      </c>
      <c r="B134" t="str">
        <v>Penebalan Sloof</v>
      </c>
    </row>
    <row r="135">
      <c r="A135">
        <f>A134+1</f>
        <v>82</v>
      </c>
      <c r="B135" t="str">
        <v>Penebalan Sloof</v>
      </c>
    </row>
    <row r="136">
      <c r="A136">
        <f>A135+1</f>
        <v>83</v>
      </c>
      <c r="B136" t="str">
        <v>Penebalan Sloof</v>
      </c>
    </row>
    <row r="137">
      <c r="A137">
        <f>A136+1</f>
        <v>84</v>
      </c>
      <c r="B137" t="str">
        <v>Penebalan Sloof</v>
      </c>
    </row>
    <row r="138">
      <c r="A138">
        <f>A137+1</f>
        <v>85</v>
      </c>
      <c r="B138" t="str">
        <v>Penebalan Sloof</v>
      </c>
    </row>
    <row r="139">
      <c r="A139">
        <f>A138+1</f>
        <v>86</v>
      </c>
      <c r="B139" t="str">
        <v>Penebalan Sloof</v>
      </c>
    </row>
    <row r="140">
      <c r="A140">
        <f>A139+1</f>
        <v>87</v>
      </c>
      <c r="B140" t="str">
        <v>Penebalan Sloof</v>
      </c>
    </row>
    <row r="141">
      <c r="A141">
        <f>A140+1</f>
        <v>88</v>
      </c>
      <c r="B141" t="str">
        <v>Penebalan Sloof</v>
      </c>
    </row>
    <row r="142">
      <c r="A142">
        <f>A141+1</f>
        <v>89</v>
      </c>
      <c r="B142" t="str">
        <v>Penebalan Sloof</v>
      </c>
    </row>
    <row r="143">
      <c r="A143">
        <f>A142+1</f>
        <v>90</v>
      </c>
      <c r="B143" t="str">
        <v>Penebalan Sloof</v>
      </c>
    </row>
    <row r="144">
      <c r="A144">
        <f>A143+1</f>
        <v>91</v>
      </c>
      <c r="B144" t="str">
        <v>Penebalan Sloof</v>
      </c>
    </row>
    <row r="145">
      <c r="A145">
        <f>A144+1</f>
        <v>92</v>
      </c>
      <c r="B145" t="str">
        <v>Penebalan Sloof</v>
      </c>
    </row>
    <row r="146">
      <c r="A146">
        <f>A145+1</f>
        <v>93</v>
      </c>
      <c r="B146" t="str">
        <v>Penebalan Sloof</v>
      </c>
    </row>
    <row r="147">
      <c r="A147">
        <f>A146+1</f>
        <v>94</v>
      </c>
      <c r="B147" t="str">
        <v>Penebalan Sloof</v>
      </c>
    </row>
    <row r="148">
      <c r="A148">
        <f>A147+1</f>
        <v>95</v>
      </c>
      <c r="B148" t="str">
        <v>Penebalan Sloof</v>
      </c>
    </row>
    <row r="149">
      <c r="A149">
        <f>A148+1</f>
        <v>96</v>
      </c>
      <c r="B149" t="str">
        <v>Penebalan Sloof</v>
      </c>
    </row>
    <row r="150">
      <c r="A150">
        <f>A149+1</f>
        <v>97</v>
      </c>
      <c r="B150" t="str">
        <v>Penebalan Sloof</v>
      </c>
    </row>
    <row r="151">
      <c r="A151">
        <f>A150+1</f>
        <v>98</v>
      </c>
      <c r="B151" t="str">
        <v>Penebalan Sloof</v>
      </c>
    </row>
    <row r="152">
      <c r="A152">
        <f>A151+1</f>
        <v>99</v>
      </c>
      <c r="B152" t="str">
        <v>Penebalan Sloof</v>
      </c>
    </row>
    <row r="153">
      <c r="A153">
        <f>A152+1</f>
        <v>100</v>
      </c>
      <c r="B153" t="str">
        <v>Penebalan Sloof</v>
      </c>
    </row>
    <row r="154">
      <c r="A154">
        <f>A153+1</f>
        <v>101</v>
      </c>
      <c r="B154" t="str">
        <v>Penebalan Sloof</v>
      </c>
    </row>
    <row r="155">
      <c r="S155">
        <f>C155*D155*E155/1000000000</f>
        <v>0</v>
      </c>
      <c r="T155">
        <f>2*C155*D155/1000000</f>
        <v>0</v>
      </c>
    </row>
    <row r="156">
      <c r="A156" t="str">
        <v>TOTAL</v>
      </c>
      <c r="S156">
        <f>SUM(S6:S155)</f>
        <v>84.90149375</v>
      </c>
      <c r="T156">
        <f>SUM(T6:T155)</f>
        <v>1048.8392500000007</v>
      </c>
      <c r="U156">
        <f>SUM(U6:U155)</f>
        <v>5586.789335399998</v>
      </c>
      <c r="V156">
        <f>SUM(V6:V155)</f>
        <v>301.8384000000002</v>
      </c>
      <c r="W156">
        <f>SUM(W6:W155)</f>
        <v>5966.251620300003</v>
      </c>
    </row>
    <row r="159">
      <c r="B159" t="str">
        <v>REKAP VOLUME</v>
      </c>
    </row>
    <row r="160">
      <c r="C160" t="str">
        <v>Beton</v>
      </c>
      <c r="D160" t="str">
        <v>Bekisting</v>
      </c>
      <c r="E160" t="str">
        <v>Besi</v>
      </c>
      <c r="J160" t="str">
        <v>Total Besi</v>
      </c>
      <c r="L160" t="str">
        <v>Rasio</v>
      </c>
      <c r="O160" t="str">
        <v>Plesteran</v>
      </c>
    </row>
    <row r="161">
      <c r="E161">
        <v>8</v>
      </c>
      <c r="F161">
        <v>10</v>
      </c>
      <c r="G161">
        <v>13</v>
      </c>
      <c r="H161">
        <v>16</v>
      </c>
      <c r="L161" t="str">
        <v>Bekisting</v>
      </c>
      <c r="M161" t="str">
        <v>Besi</v>
      </c>
    </row>
    <row r="162">
      <c r="B162" t="str">
        <v>RW150</v>
      </c>
      <c r="C162">
        <f>SUMIF($B$6:$B$155,B162,$S$6:$S$155)</f>
        <v>8.573343750000001</v>
      </c>
      <c r="D162">
        <f>SUMIF($B$6:$B$155,B162,$T$6:$T$155)</f>
        <v>114.31125</v>
      </c>
      <c r="E162">
        <f>SUMIFS($U$6:$U$155,$B$6:$B$155,B162,$F$6:$F$155,$E$161)+SUMIFS($V$6:$V$155,$B$6:$B$155,B162,$M$6:$M$155,$E$161)+SUMIFS($W$6:$W$155,$B$6:$B$155,B162,$P$6:$P$155,$E$161)</f>
        <v>0</v>
      </c>
      <c r="F162">
        <f>SUMIFS($U$6:$U$155,$B$6:$B$155,B162,$F$6:$F$155,$F$161)+SUMIFS($V$6:$V$155,$B$6:$B$155,B162,$M$6:$M$155,$F$161)+SUMIFS($W$6:$W$155,$B$6:$B$155,B162,$P$6:$P$155,$F$161)</f>
        <v>1424.2567950000002</v>
      </c>
      <c r="G162">
        <f>SUMIFS($U$6:$U$155,$B$6:$B$155,B162,$F$6:$F$155,$G$161)+SUMIFS($V$6:$V$155,$B$6:$B$155,B162,$M$6:$M$155,$G$161)+SUMIFS($W$6:$W$155,$B$6:$B$155,B162,$P$6:$P$155,$G$161)</f>
        <v>0</v>
      </c>
      <c r="H162">
        <f>SUMIFS($U$6:$U$155,$B$6:$B$155,B162,$F$6:$F$155,$H$161)+SUMIFS($V$6:$V$155,$B$6:$B$155,B162,$M$6:$M$155,$H$161)+SUMIFS($W$6:$W$155,$B$6:$B$155,B162,$P$6:$P$155,$H$161)</f>
        <v>0</v>
      </c>
      <c r="J162">
        <f>SUM(E162:H162)</f>
        <v>1424.2567950000002</v>
      </c>
      <c r="L162">
        <f>D162/C162</f>
        <v>13.333333333333332</v>
      </c>
      <c r="M162">
        <f>J162/C162</f>
        <v>166.12617393301184</v>
      </c>
      <c r="O162">
        <f>SUMIF($B$6:$B$155,B162,$AB$6:$AB$155)</f>
        <v>80.53062499999999</v>
      </c>
    </row>
    <row r="163">
      <c r="B163" t="str">
        <v>Pagar Alas</v>
      </c>
      <c r="C163">
        <f>SUMIF($B$6:$B$155,B163,$S$6:$S$155)</f>
        <v>31.741349999999997</v>
      </c>
      <c r="D163">
        <f>SUMIF($B$6:$B$155,B163,$T$6:$T$155)</f>
        <v>418.315</v>
      </c>
      <c r="E163">
        <f>SUMIFS($U$6:$U$155,$B$6:$B$155,B163,$F$6:$F$155,$E$161)+SUMIFS($V$6:$V$155,$B$6:$B$155,B163,$M$6:$M$155,$E$161)+SUMIFS($W$6:$W$155,$B$6:$B$155,B163,$P$6:$P$155,$E$161)</f>
        <v>0</v>
      </c>
      <c r="F163">
        <f>SUMIFS($U$6:$U$155,$B$6:$B$155,B163,$F$6:$F$155,$F$161)+SUMIFS($V$6:$V$155,$B$6:$B$155,B163,$M$6:$M$155,$F$161)+SUMIFS($W$6:$W$155,$B$6:$B$155,B163,$P$6:$P$155,$F$161)</f>
        <v>2372.4646200000007</v>
      </c>
      <c r="G163">
        <f>SUMIFS($U$6:$U$155,$B$6:$B$155,B163,$F$6:$F$155,$G$161)+SUMIFS($V$6:$V$155,$B$6:$B$155,B163,$M$6:$M$155,$G$161)+SUMIFS($W$6:$W$155,$B$6:$B$155,B163,$P$6:$P$155,$G$161)</f>
        <v>0</v>
      </c>
      <c r="H163">
        <f>SUMIFS($U$6:$U$155,$B$6:$B$155,B163,$F$6:$F$155,$H$161)+SUMIFS($V$6:$V$155,$B$6:$B$155,B163,$M$6:$M$155,$H$161)+SUMIFS($W$6:$W$155,$B$6:$B$155,B163,$P$6:$P$155,$H$161)</f>
        <v>0</v>
      </c>
      <c r="J163">
        <f>SUM(E163:H163)</f>
        <v>2372.4646200000007</v>
      </c>
      <c r="L163">
        <f>D163/C163</f>
        <v>13.178866053271207</v>
      </c>
      <c r="M163">
        <f>J163/C163</f>
        <v>74.74365835101534</v>
      </c>
      <c r="O163">
        <f>SUMIF($B$6:$B$155,B163,$AB$6:$AB$155)</f>
        <v>384.03</v>
      </c>
    </row>
    <row r="164">
      <c r="B164" t="str">
        <v>Kolam Renang</v>
      </c>
      <c r="C164">
        <f>SUMIF($B$6:$B$155,B164,$S$6:$S$155)</f>
        <v>7.497</v>
      </c>
      <c r="D164">
        <f>SUMIF($B$6:$B$155,B164,$T$6:$T$155)</f>
        <v>74.97</v>
      </c>
      <c r="E164">
        <f>SUMIFS($U$6:$U$155,$B$6:$B$155,B164,$F$6:$F$155,$E$161)+SUMIFS($V$6:$V$155,$B$6:$B$155,B164,$M$6:$M$155,$E$161)+SUMIFS($W$6:$W$155,$B$6:$B$155,B164,$P$6:$P$155,$E$161)</f>
        <v>0</v>
      </c>
      <c r="F164">
        <f>SUMIFS($U$6:$U$155,$B$6:$B$155,B164,$F$6:$F$155,$F$161)+SUMIFS($V$6:$V$155,$B$6:$B$155,B164,$M$6:$M$155,$F$161)+SUMIFS($W$6:$W$155,$B$6:$B$155,B164,$P$6:$P$155,$F$161)</f>
        <v>349.9254</v>
      </c>
      <c r="G164">
        <f>SUMIFS($U$6:$U$155,$B$6:$B$155,B164,$F$6:$F$155,$G$161)+SUMIFS($V$6:$V$155,$B$6:$B$155,B164,$M$6:$M$155,$G$161)+SUMIFS($W$6:$W$155,$B$6:$B$155,B164,$P$6:$P$155,$G$161)</f>
        <v>845.0104104000001</v>
      </c>
      <c r="H164">
        <f>SUMIFS($U$6:$U$155,$B$6:$B$155,B164,$F$6:$F$155,$H$161)+SUMIFS($V$6:$V$155,$B$6:$B$155,B164,$M$6:$M$155,$H$161)+SUMIFS($W$6:$W$155,$B$6:$B$155,B164,$P$6:$P$155,$H$161)</f>
        <v>0</v>
      </c>
      <c r="J164">
        <f>SUM(E164:H164)</f>
        <v>1194.9358104</v>
      </c>
      <c r="L164">
        <f>D164/C164</f>
        <v>10</v>
      </c>
      <c r="M164">
        <f>J164/C164</f>
        <v>159.38853013205284</v>
      </c>
      <c r="O164">
        <f>SUMIF($B$6:$B$155,B164,$AB$6:$AB$155)</f>
        <v>37.485</v>
      </c>
    </row>
    <row r="165">
      <c r="B165" t="str">
        <v>Tanggulan KM</v>
      </c>
      <c r="C165">
        <f>SUMIF($B$6:$B$155,B165,$S$6:$S$155)</f>
        <v>0.2685</v>
      </c>
      <c r="D165">
        <f>SUMIF($B$6:$B$155,B165,$T$6:$T$155)</f>
        <v>3.58</v>
      </c>
      <c r="E165">
        <f>SUMIFS($U$6:$U$155,$B$6:$B$155,B165,$F$6:$F$155,$E$161)+SUMIFS($V$6:$V$155,$B$6:$B$155,B165,$M$6:$M$155,$E$161)+SUMIFS($W$6:$W$155,$B$6:$B$155,B165,$P$6:$P$155,$E$161)</f>
        <v>0</v>
      </c>
      <c r="F165">
        <f>SUMIFS($U$6:$U$155,$B$6:$B$155,B165,$F$6:$F$155,$F$161)+SUMIFS($V$6:$V$155,$B$6:$B$155,B165,$M$6:$M$155,$F$161)+SUMIFS($W$6:$W$155,$B$6:$B$155,B165,$P$6:$P$155,$F$161)</f>
        <v>83.96730000000001</v>
      </c>
      <c r="G165">
        <f>SUMIFS($U$6:$U$155,$B$6:$B$155,B165,$F$6:$F$155,$G$161)+SUMIFS($V$6:$V$155,$B$6:$B$155,B165,$M$6:$M$155,$G$161)+SUMIFS($W$6:$W$155,$B$6:$B$155,B165,$P$6:$P$155,$G$161)</f>
        <v>0</v>
      </c>
      <c r="H165">
        <f>SUMIFS($U$6:$U$155,$B$6:$B$155,B165,$F$6:$F$155,$H$161)+SUMIFS($V$6:$V$155,$B$6:$B$155,B165,$M$6:$M$155,$H$161)+SUMIFS($W$6:$W$155,$B$6:$B$155,B165,$P$6:$P$155,$H$161)</f>
        <v>0</v>
      </c>
      <c r="J165">
        <f>SUM(E165:H165)</f>
        <v>83.96730000000001</v>
      </c>
      <c r="L165">
        <f>D165/C165</f>
        <v>13.333333333333332</v>
      </c>
      <c r="M165">
        <f>J165/C165</f>
        <v>312.727374301676</v>
      </c>
      <c r="O165">
        <f>SUMIF($B$6:$B$155,B165,$AB$6:$AB$155)</f>
        <v>1.79</v>
      </c>
    </row>
    <row r="166">
      <c r="B166" t="str">
        <v>Penebalan Sloof</v>
      </c>
      <c r="C166">
        <f>SUMIF($B$6:$B$155,B166,$S$6:$S$155)</f>
        <v>2.9974000000000003</v>
      </c>
      <c r="D166">
        <f>SUMIF($B$6:$B$155,B166,$T$6:$T$155)</f>
        <v>26.186000000000007</v>
      </c>
      <c r="E166">
        <f>SUMIFS($U$6:$U$155,$B$6:$B$155,B166,$F$6:$F$155,$E$161)+SUMIFS($V$6:$V$155,$B$6:$B$155,B166,$M$6:$M$155,$E$161)+SUMIFS($W$6:$W$155,$B$6:$B$155,B166,$P$6:$P$155,$E$161)</f>
        <v>0</v>
      </c>
      <c r="F166">
        <f>SUMIFS($U$6:$U$155,$B$6:$B$155,B166,$F$6:$F$155,$F$161)+SUMIFS($V$6:$V$155,$B$6:$B$155,B166,$M$6:$M$155,$F$161)+SUMIFS($W$6:$W$155,$B$6:$B$155,B166,$P$6:$P$155,$F$161)</f>
        <v>993.1136849999997</v>
      </c>
      <c r="G166">
        <f>SUMIFS($U$6:$U$155,$B$6:$B$155,B166,$F$6:$F$155,$G$161)+SUMIFS($V$6:$V$155,$B$6:$B$155,B166,$M$6:$M$155,$G$161)+SUMIFS($W$6:$W$155,$B$6:$B$155,B166,$P$6:$P$155,$G$161)</f>
        <v>0</v>
      </c>
      <c r="H166">
        <f>SUMIFS($U$6:$U$155,$B$6:$B$155,B166,$F$6:$F$155,$H$161)+SUMIFS($V$6:$V$155,$B$6:$B$155,B166,$M$6:$M$155,$H$161)+SUMIFS($W$6:$W$155,$B$6:$B$155,B166,$P$6:$P$155,$H$161)</f>
        <v>0</v>
      </c>
      <c r="J166">
        <f>SUM(E166:H166)</f>
        <v>993.1136849999997</v>
      </c>
      <c r="L166">
        <f>D166/C166</f>
        <v>8.7362380729966</v>
      </c>
      <c r="M166">
        <f>J166/C166</f>
        <v>331.3250433709213</v>
      </c>
      <c r="O166">
        <f>SUMIF($B$6:$B$155,B166,$AB$6:$AB$155)</f>
        <v>13.093000000000004</v>
      </c>
    </row>
    <row r="167">
      <c r="B167" t="str">
        <v>Pagar Alas Lt2</v>
      </c>
      <c r="C167">
        <f>SUMIF($B$6:$B$155,B167,$S$6:$S$155)</f>
        <v>11.139000000000001</v>
      </c>
      <c r="D167">
        <f>SUMIF($B$6:$B$155,B167,$T$6:$T$155)</f>
        <v>112.52</v>
      </c>
      <c r="E167">
        <f>SUMIFS($U$6:$U$155,$B$6:$B$155,B167,$F$6:$F$155,$E$161)+SUMIFS($V$6:$V$155,$B$6:$B$155,B167,$M$6:$M$155,$E$161)+SUMIFS($W$6:$W$155,$B$6:$B$155,B167,$P$6:$P$155,$E$161)</f>
        <v>0</v>
      </c>
      <c r="F167">
        <f>SUMIFS($U$6:$U$155,$B$6:$B$155,B167,$F$6:$F$155,$F$161)+SUMIFS($V$6:$V$155,$B$6:$B$155,B167,$M$6:$M$155,$F$161)+SUMIFS($W$6:$W$155,$B$6:$B$155,B167,$P$6:$P$155,$F$161)</f>
        <v>631.6659</v>
      </c>
      <c r="G167">
        <f>SUMIFS($U$6:$U$155,$B$6:$B$155,B167,$F$6:$F$155,$G$161)+SUMIFS($V$6:$V$155,$B$6:$B$155,B167,$M$6:$M$155,$G$161)+SUMIFS($W$6:$W$155,$B$6:$B$155,B167,$P$6:$P$155,$G$161)</f>
        <v>0</v>
      </c>
      <c r="H167">
        <f>SUMIFS($U$6:$U$155,$B$6:$B$155,B167,$F$6:$F$155,$H$161)+SUMIFS($V$6:$V$155,$B$6:$B$155,B167,$M$6:$M$155,$H$161)+SUMIFS($W$6:$W$155,$B$6:$B$155,B167,$P$6:$P$155,$H$161)</f>
        <v>0</v>
      </c>
      <c r="J167">
        <f>SUM(E167:H167)</f>
        <v>631.6659</v>
      </c>
      <c r="L167">
        <f>D167/C167</f>
        <v>10.101445372115988</v>
      </c>
      <c r="M167">
        <f>J167/C167</f>
        <v>56.70759493670885</v>
      </c>
      <c r="O167">
        <f>SUMIF($B$6:$B$155,B167,$AB$6:$AB$155)</f>
        <v>56.26</v>
      </c>
    </row>
    <row r="168">
      <c r="B168" t="str">
        <v>Tanggulan Lt2</v>
      </c>
      <c r="C168">
        <f>SUMIF($B$6:$B$155,B168,$S$6:$S$155)</f>
        <v>1.7430000000000003</v>
      </c>
      <c r="D168">
        <f>SUMIF($B$6:$B$155,B168,$T$6:$T$155)</f>
        <v>23.240000000000002</v>
      </c>
      <c r="E168">
        <f>SUMIFS($U$6:$U$155,$B$6:$B$155,B168,$F$6:$F$155,$E$161)+SUMIFS($V$6:$V$155,$B$6:$B$155,B168,$M$6:$M$155,$E$161)+SUMIFS($W$6:$W$155,$B$6:$B$155,B168,$P$6:$P$155,$E$161)</f>
        <v>0</v>
      </c>
      <c r="F168">
        <f>SUMIFS($U$6:$U$155,$B$6:$B$155,B168,$F$6:$F$155,$F$161)+SUMIFS($V$6:$V$155,$B$6:$B$155,B168,$M$6:$M$155,$F$161)+SUMIFS($W$6:$W$155,$B$6:$B$155,B168,$P$6:$P$155,$F$161)</f>
        <v>530.9298</v>
      </c>
      <c r="G168">
        <f>SUMIFS($U$6:$U$155,$B$6:$B$155,B168,$F$6:$F$155,$G$161)+SUMIFS($V$6:$V$155,$B$6:$B$155,B168,$M$6:$M$155,$G$161)+SUMIFS($W$6:$W$155,$B$6:$B$155,B168,$P$6:$P$155,$G$161)</f>
        <v>0</v>
      </c>
      <c r="H168">
        <f>SUMIFS($U$6:$U$155,$B$6:$B$155,B168,$F$6:$F$155,$H$161)+SUMIFS($V$6:$V$155,$B$6:$B$155,B168,$M$6:$M$155,$H$161)+SUMIFS($W$6:$W$155,$B$6:$B$155,B168,$P$6:$P$155,$H$161)</f>
        <v>0</v>
      </c>
      <c r="J168">
        <f>SUM(E168:H168)</f>
        <v>530.9298</v>
      </c>
      <c r="L168">
        <f>D168/C168</f>
        <v>13.333333333333332</v>
      </c>
      <c r="M168">
        <f>J168/C168</f>
        <v>304.60688468158344</v>
      </c>
      <c r="O168">
        <f>SUMIF($B$6:$B$155,B168,$AB$6:$AB$155)</f>
        <v>11.620000000000001</v>
      </c>
    </row>
    <row r="169">
      <c r="B169" t="str">
        <v>Pagar Alas Lt3</v>
      </c>
      <c r="C169">
        <f>SUMIF($B$6:$B$155,B169,$S$6:$S$155)</f>
        <v>2.35375</v>
      </c>
      <c r="D169">
        <f>SUMIF($B$6:$B$155,B169,$T$6:$T$155)</f>
        <v>47.075</v>
      </c>
      <c r="E169">
        <f>SUMIFS($U$6:$U$155,$B$6:$B$155,B169,$F$6:$F$155,$E$161)+SUMIFS($V$6:$V$155,$B$6:$B$155,B169,$M$6:$M$155,$E$161)+SUMIFS($W$6:$W$155,$B$6:$B$155,B169,$P$6:$P$155,$E$161)</f>
        <v>0</v>
      </c>
      <c r="F169">
        <f>SUMIFS($U$6:$U$155,$B$6:$B$155,B169,$F$6:$F$155,$F$161)+SUMIFS($V$6:$V$155,$B$6:$B$155,B169,$M$6:$M$155,$F$161)+SUMIFS($W$6:$W$155,$B$6:$B$155,B169,$P$6:$P$155,$F$161)</f>
        <v>121.28096250000002</v>
      </c>
      <c r="G169">
        <f>SUMIFS($U$6:$U$155,$B$6:$B$155,B169,$F$6:$F$155,$G$161)+SUMIFS($V$6:$V$155,$B$6:$B$155,B169,$M$6:$M$155,$G$161)+SUMIFS($W$6:$W$155,$B$6:$B$155,B169,$P$6:$P$155,$G$161)</f>
        <v>0</v>
      </c>
      <c r="H169">
        <f>SUMIFS($U$6:$U$155,$B$6:$B$155,B169,$F$6:$F$155,$H$161)+SUMIFS($V$6:$V$155,$B$6:$B$155,B169,$M$6:$M$155,$H$161)+SUMIFS($W$6:$W$155,$B$6:$B$155,B169,$P$6:$P$155,$H$161)</f>
        <v>0</v>
      </c>
      <c r="J169">
        <f>SUM(E169:H169)</f>
        <v>121.28096250000002</v>
      </c>
      <c r="L169">
        <f>D169/C169</f>
        <v>20.000000000000004</v>
      </c>
      <c r="M169">
        <f>J169/C169</f>
        <v>51.52669676048859</v>
      </c>
      <c r="O169">
        <f>SUMIF($B$6:$B$155,B169,$AB$6:$AB$155)</f>
        <v>23.5375</v>
      </c>
    </row>
    <row r="170">
      <c r="B170" t="str">
        <v>Opening Lengkung</v>
      </c>
      <c r="C170">
        <f>SUMIF($B$6:$B$155,B170,$S$6:$S$155)</f>
        <v>4.8345</v>
      </c>
      <c r="D170">
        <f>SUMIF($B$6:$B$155,B170,$T$6:$T$155)</f>
        <v>64.46</v>
      </c>
      <c r="E170">
        <f>SUMIFS($U$6:$U$155,$B$6:$B$155,B170,$F$6:$F$155,$E$161)+SUMIFS($V$6:$V$155,$B$6:$B$155,B170,$M$6:$M$155,$E$161)+SUMIFS($W$6:$W$155,$B$6:$B$155,B170,$P$6:$P$155,$E$161)</f>
        <v>0</v>
      </c>
      <c r="F170">
        <f>SUMIFS($U$6:$U$155,$B$6:$B$155,B170,$F$6:$F$155,$F$161)+SUMIFS($V$6:$V$155,$B$6:$B$155,B170,$M$6:$M$155,$F$161)+SUMIFS($W$6:$W$155,$B$6:$B$155,B170,$P$6:$P$155,$F$161)</f>
        <v>638.8173000000002</v>
      </c>
      <c r="G170">
        <f>SUMIFS($U$6:$U$155,$B$6:$B$155,B170,$F$6:$F$155,$G$161)+SUMIFS($V$6:$V$155,$B$6:$B$155,B170,$M$6:$M$155,$G$161)+SUMIFS($W$6:$W$155,$B$6:$B$155,B170,$P$6:$P$155,$G$161)</f>
        <v>0</v>
      </c>
      <c r="H170">
        <f>SUMIFS($U$6:$U$155,$B$6:$B$155,B170,$F$6:$F$155,$H$161)+SUMIFS($V$6:$V$155,$B$6:$B$155,B170,$M$6:$M$155,$H$161)+SUMIFS($W$6:$W$155,$B$6:$B$155,B170,$P$6:$P$155,$H$161)</f>
        <v>0</v>
      </c>
      <c r="J170">
        <f>SUM(E170:H170)</f>
        <v>638.8173000000002</v>
      </c>
      <c r="L170">
        <f>D170/C170</f>
        <v>13.333333333333332</v>
      </c>
      <c r="M170">
        <f>J170/C170</f>
        <v>132.13720136518774</v>
      </c>
      <c r="O170">
        <f>SUMIF($B$6:$B$155,B170,$AB$6:$AB$155)</f>
        <v>32.23</v>
      </c>
    </row>
    <row r="171">
      <c r="B171" t="str">
        <v>Tanggulan Lt3</v>
      </c>
      <c r="C171">
        <f>SUMIF($B$6:$B$155,B171,$S$6:$S$155)</f>
        <v>0.2775</v>
      </c>
      <c r="D171">
        <f>SUMIF($B$6:$B$155,B171,$T$6:$T$155)</f>
        <v>3.7</v>
      </c>
      <c r="E171">
        <f>SUMIFS($U$6:$U$155,$B$6:$B$155,B171,$F$6:$F$155,$E$161)+SUMIFS($V$6:$V$155,$B$6:$B$155,B171,$M$6:$M$155,$E$161)+SUMIFS($W$6:$W$155,$B$6:$B$155,B171,$P$6:$P$155,$E$161)</f>
        <v>0</v>
      </c>
      <c r="F171">
        <f>SUMIFS($U$6:$U$155,$B$6:$B$155,B171,$F$6:$F$155,$F$161)+SUMIFS($V$6:$V$155,$B$6:$B$155,B171,$M$6:$M$155,$F$161)+SUMIFS($W$6:$W$155,$B$6:$B$155,B171,$P$6:$P$155,$F$161)</f>
        <v>93.5847</v>
      </c>
      <c r="G171">
        <f>SUMIFS($U$6:$U$155,$B$6:$B$155,B171,$F$6:$F$155,$G$161)+SUMIFS($V$6:$V$155,$B$6:$B$155,B171,$M$6:$M$155,$G$161)+SUMIFS($W$6:$W$155,$B$6:$B$155,B171,$P$6:$P$155,$G$161)</f>
        <v>0</v>
      </c>
      <c r="H171">
        <f>SUMIFS($U$6:$U$155,$B$6:$B$155,B171,$F$6:$F$155,$H$161)+SUMIFS($V$6:$V$155,$B$6:$B$155,B171,$M$6:$M$155,$H$161)+SUMIFS($W$6:$W$155,$B$6:$B$155,B171,$P$6:$P$155,$H$161)</f>
        <v>0</v>
      </c>
      <c r="J171">
        <f>SUM(E171:H171)</f>
        <v>93.5847</v>
      </c>
      <c r="L171">
        <f>D171/C171</f>
        <v>13.333333333333332</v>
      </c>
      <c r="M171">
        <f>J171/C171</f>
        <v>337.2421621621621</v>
      </c>
      <c r="O171">
        <f>SUMIF($B$6:$B$155,B171,$AB$6:$AB$155)</f>
        <v>1.85</v>
      </c>
    </row>
    <row r="172">
      <c r="B172" t="str">
        <v>Tanggulan Lt Atap</v>
      </c>
      <c r="C172">
        <f>SUMIF($B$6:$B$155,B172,$S$6:$S$155)</f>
        <v>1.2361499999999999</v>
      </c>
      <c r="D172">
        <f>SUMIF($B$6:$B$155,B172,$T$6:$T$155)</f>
        <v>16.482</v>
      </c>
      <c r="E172">
        <f>SUMIFS($U$6:$U$155,$B$6:$B$155,B172,$F$6:$F$155,$E$161)+SUMIFS($V$6:$V$155,$B$6:$B$155,B172,$M$6:$M$155,$E$161)+SUMIFS($W$6:$W$155,$B$6:$B$155,B172,$P$6:$P$155,$E$161)</f>
        <v>0</v>
      </c>
      <c r="F172">
        <f>SUMIFS($U$6:$U$155,$B$6:$B$155,B172,$F$6:$F$155,$F$161)+SUMIFS($V$6:$V$155,$B$6:$B$155,B172,$M$6:$M$155,$F$161)+SUMIFS($W$6:$W$155,$B$6:$B$155,B172,$P$6:$P$155,$F$161)</f>
        <v>362.02113</v>
      </c>
      <c r="G172">
        <f>SUMIFS($U$6:$U$155,$B$6:$B$155,B172,$F$6:$F$155,$G$161)+SUMIFS($V$6:$V$155,$B$6:$B$155,B172,$M$6:$M$155,$G$161)+SUMIFS($W$6:$W$155,$B$6:$B$155,B172,$P$6:$P$155,$G$161)</f>
        <v>0</v>
      </c>
      <c r="H172">
        <f>SUMIFS($U$6:$U$155,$B$6:$B$155,B172,$F$6:$F$155,$H$161)+SUMIFS($V$6:$V$155,$B$6:$B$155,B172,$M$6:$M$155,$H$161)+SUMIFS($W$6:$W$155,$B$6:$B$155,B172,$P$6:$P$155,$H$161)</f>
        <v>0</v>
      </c>
      <c r="J172">
        <f>SUM(E172:H172)</f>
        <v>362.02113</v>
      </c>
      <c r="L172">
        <f>D172/C172</f>
        <v>13.333333333333334</v>
      </c>
      <c r="M172">
        <f>J172/C172</f>
        <v>292.86181288678563</v>
      </c>
      <c r="O172">
        <f>SUMIF($B$6:$B$155,B172,$AB$6:$AB$155)</f>
        <v>8.241</v>
      </c>
    </row>
    <row r="173">
      <c r="B173" t="str">
        <v>Lift</v>
      </c>
      <c r="C173">
        <f>SUMIF($B$6:$B$155,B173,$S$6:$S$155)</f>
        <v>4.896</v>
      </c>
      <c r="D173">
        <f>SUMIF($B$6:$B$155,B173,$T$6:$T$155)</f>
        <v>57.6</v>
      </c>
      <c r="E173">
        <f>SUMIFS($U$6:$U$155,$B$6:$B$155,B173,$F$6:$F$155,$E$161)+SUMIFS($V$6:$V$155,$B$6:$B$155,B173,$M$6:$M$155,$E$161)+SUMIFS($W$6:$W$155,$B$6:$B$155,B173,$P$6:$P$155,$E$161)</f>
        <v>0</v>
      </c>
      <c r="F173">
        <f>SUMIFS($U$6:$U$155,$B$6:$B$155,B173,$F$6:$F$155,$F$161)+SUMIFS($V$6:$V$155,$B$6:$B$155,B173,$M$6:$M$155,$F$161)+SUMIFS($W$6:$W$155,$B$6:$B$155,B173,$P$6:$P$155,$F$161)</f>
        <v>465.21090000000004</v>
      </c>
      <c r="G173">
        <f>SUMIFS($U$6:$U$155,$B$6:$B$155,B173,$F$6:$F$155,$G$161)+SUMIFS($V$6:$V$155,$B$6:$B$155,B173,$M$6:$M$155,$G$161)+SUMIFS($W$6:$W$155,$B$6:$B$155,B173,$P$6:$P$155,$G$161)</f>
        <v>874.5165935999999</v>
      </c>
      <c r="H173">
        <f>SUMIFS($U$6:$U$155,$B$6:$B$155,B173,$F$6:$F$155,$H$161)+SUMIFS($V$6:$V$155,$B$6:$B$155,B173,$M$6:$M$155,$H$161)+SUMIFS($W$6:$W$155,$B$6:$B$155,B173,$P$6:$P$155,$H$161)</f>
        <v>0</v>
      </c>
      <c r="J173">
        <f>SUM(E173:H173)</f>
        <v>1339.7274936</v>
      </c>
      <c r="L173">
        <f>D173/C173</f>
        <v>11.764705882352942</v>
      </c>
      <c r="M173">
        <f>J173/C173</f>
        <v>273.6371514705882</v>
      </c>
      <c r="O173">
        <f>SUMIF($B$6:$B$155,B173,$AB$6:$AB$155)</f>
        <v>28.8</v>
      </c>
    </row>
    <row r="174">
      <c r="B174" t="str">
        <v>Lift lt2</v>
      </c>
      <c r="C174">
        <f>SUMIF($B$6:$B$155,B174,$S$6:$S$155)</f>
        <v>3.672</v>
      </c>
      <c r="D174">
        <f>SUMIF($B$6:$B$155,B174,$T$6:$T$155)</f>
        <v>43.2</v>
      </c>
      <c r="E174">
        <f>SUMIFS($U$6:$U$155,$B$6:$B$155,B174,$F$6:$F$155,$E$161)+SUMIFS($V$6:$V$155,$B$6:$B$155,B174,$M$6:$M$155,$E$161)+SUMIFS($W$6:$W$155,$B$6:$B$155,B174,$P$6:$P$155,$E$161)</f>
        <v>0</v>
      </c>
      <c r="F174">
        <f>SUMIFS($U$6:$U$155,$B$6:$B$155,B174,$F$6:$F$155,$F$161)+SUMIFS($V$6:$V$155,$B$6:$B$155,B174,$M$6:$M$155,$F$161)+SUMIFS($W$6:$W$155,$B$6:$B$155,B174,$P$6:$P$155,$F$161)</f>
        <v>374.58540000000005</v>
      </c>
      <c r="G174">
        <f>SUMIFS($U$6:$U$155,$B$6:$B$155,B174,$F$6:$F$155,$G$161)+SUMIFS($V$6:$V$155,$B$6:$B$155,B174,$M$6:$M$155,$G$161)+SUMIFS($W$6:$W$155,$B$6:$B$155,B174,$P$6:$P$155,$G$161)</f>
        <v>659.4715296</v>
      </c>
      <c r="H174">
        <f>SUMIFS($U$6:$U$155,$B$6:$B$155,B174,$F$6:$F$155,$H$161)+SUMIFS($V$6:$V$155,$B$6:$B$155,B174,$M$6:$M$155,$H$161)+SUMIFS($W$6:$W$155,$B$6:$B$155,B174,$P$6:$P$155,$H$161)</f>
        <v>0</v>
      </c>
      <c r="J174">
        <f>SUM(E174:H174)</f>
        <v>1034.0569296</v>
      </c>
      <c r="L174">
        <f>D174/C174</f>
        <v>11.764705882352942</v>
      </c>
      <c r="M174">
        <f>J174/C174</f>
        <v>281.60591764705885</v>
      </c>
      <c r="O174">
        <f>SUMIF($B$6:$B$155,B174,$AB$6:$AB$155)</f>
        <v>21.6</v>
      </c>
    </row>
    <row r="175">
      <c r="B175" t="str">
        <v>Lift lt3</v>
      </c>
      <c r="C175">
        <f>SUMIF($B$6:$B$155,B175,$S$6:$S$155)</f>
        <v>3.672</v>
      </c>
      <c r="D175">
        <f>SUMIF($B$6:$B$155,B175,$T$6:$T$155)</f>
        <v>43.2</v>
      </c>
      <c r="E175">
        <f>SUMIFS($U$6:$U$155,$B$6:$B$155,B175,$F$6:$F$155,$E$161)+SUMIFS($V$6:$V$155,$B$6:$B$155,B175,$M$6:$M$155,$E$161)+SUMIFS($W$6:$W$155,$B$6:$B$155,B175,$P$6:$P$155,$E$161)</f>
        <v>0</v>
      </c>
      <c r="F175">
        <f>SUMIFS($U$6:$U$155,$B$6:$B$155,B175,$F$6:$F$155,$F$161)+SUMIFS($V$6:$V$155,$B$6:$B$155,B175,$M$6:$M$155,$F$161)+SUMIFS($W$6:$W$155,$B$6:$B$155,B175,$P$6:$P$155,$F$161)</f>
        <v>374.58540000000005</v>
      </c>
      <c r="G175">
        <f>SUMIFS($U$6:$U$155,$B$6:$B$155,B175,$F$6:$F$155,$G$161)+SUMIFS($V$6:$V$155,$B$6:$B$155,B175,$M$6:$M$155,$G$161)+SUMIFS($W$6:$W$155,$B$6:$B$155,B175,$P$6:$P$155,$G$161)</f>
        <v>659.4715296</v>
      </c>
      <c r="H175">
        <f>SUMIFS($U$6:$U$155,$B$6:$B$155,B175,$F$6:$F$155,$H$161)+SUMIFS($V$6:$V$155,$B$6:$B$155,B175,$M$6:$M$155,$H$161)+SUMIFS($W$6:$W$155,$B$6:$B$155,B175,$P$6:$P$155,$H$161)</f>
        <v>0</v>
      </c>
      <c r="J175">
        <f>SUM(E175:H175)</f>
        <v>1034.0569296</v>
      </c>
      <c r="L175">
        <f>D175/C175</f>
        <v>11.764705882352942</v>
      </c>
      <c r="M175">
        <f>J175/C175</f>
        <v>281.60591764705885</v>
      </c>
      <c r="O175">
        <f>SUMIF($B$6:$B$155,B175,$AB$6:$AB$155)</f>
        <v>21.6</v>
      </c>
    </row>
    <row r="177">
      <c r="B177" t="str">
        <v>TOTAL</v>
      </c>
      <c r="C177">
        <f>SUM(C162:C176)</f>
        <v>84.90149375</v>
      </c>
      <c r="D177">
        <f>SUM(D162:D176)</f>
        <v>1048.8392500000002</v>
      </c>
      <c r="E177">
        <f>SUM(E162:E176)</f>
        <v>0</v>
      </c>
      <c r="F177">
        <f>SUM(F162:F176)</f>
        <v>8816.4092925</v>
      </c>
      <c r="G177">
        <f>SUM(G162:G176)</f>
        <v>3038.4700632</v>
      </c>
      <c r="H177">
        <f>SUM(H162:H176)</f>
        <v>0</v>
      </c>
      <c r="J177">
        <f>SUM(J162:J176)</f>
        <v>11854.879355699999</v>
      </c>
    </row>
    <row r="178">
      <c r="B178" t="str">
        <v>Cek</v>
      </c>
      <c r="C178">
        <f>C177-SUM(S6:S155)</f>
        <v>0</v>
      </c>
      <c r="D178">
        <f>D177-SUM(T6:T155)</f>
        <v>0</v>
      </c>
      <c r="E178">
        <f>SUM(E177:H177)-SUM(U6:W155)</f>
        <v>0</v>
      </c>
    </row>
  </sheetData>
  <autoFilter ref="A6:W156"/>
  <mergeCells count="28">
    <mergeCell ref="Z3:Z4"/>
    <mergeCell ref="Y3:Y4"/>
    <mergeCell ref="J160:J161"/>
    <mergeCell ref="D160:D161"/>
    <mergeCell ref="E160:H160"/>
    <mergeCell ref="I3:K3"/>
    <mergeCell ref="L160:M160"/>
    <mergeCell ref="C160:C161"/>
    <mergeCell ref="W3:W4"/>
    <mergeCell ref="A156:R156"/>
    <mergeCell ref="P3:R3"/>
    <mergeCell ref="S3:S4"/>
    <mergeCell ref="T3:T4"/>
    <mergeCell ref="U3:U4"/>
    <mergeCell ref="A3:A5"/>
    <mergeCell ref="B3:B5"/>
    <mergeCell ref="C3:C4"/>
    <mergeCell ref="D3:D4"/>
    <mergeCell ref="E3:E4"/>
    <mergeCell ref="F3:H3"/>
    <mergeCell ref="V3:V4"/>
    <mergeCell ref="L3:O3"/>
    <mergeCell ref="A7:B7"/>
    <mergeCell ref="A24:B24"/>
    <mergeCell ref="A38:B38"/>
    <mergeCell ref="A50:B50"/>
    <mergeCell ref="B160:B161"/>
    <mergeCell ref="A53:B53"/>
  </mergeCells>
  <pageMargins left="0.7" right="0.7" top="0.75" bottom="0.75" header="0.3" footer="0.3"/>
  <ignoredErrors>
    <ignoredError numberStoredAsText="1" sqref="A3:AB18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F137"/>
  <sheetViews>
    <sheetView workbookViewId="0" rightToLeft="0"/>
  </sheetViews>
  <sheetData>
    <row r="1">
      <c r="A1" t="str">
        <v>Asumsi</v>
      </c>
      <c r="C1" t="str">
        <v>KP</v>
      </c>
      <c r="D1">
        <v>130</v>
      </c>
      <c r="E1" t="str">
        <v>x</v>
      </c>
      <c r="F1">
        <v>130</v>
      </c>
    </row>
    <row r="2">
      <c r="C2" t="str">
        <v>BP</v>
      </c>
      <c r="D2">
        <v>130</v>
      </c>
      <c r="E2" t="str">
        <v>x</v>
      </c>
      <c r="F2">
        <v>130</v>
      </c>
    </row>
    <row r="3">
      <c r="C3" t="str">
        <v>BL</v>
      </c>
      <c r="D3">
        <v>130</v>
      </c>
      <c r="E3" t="str">
        <v>x</v>
      </c>
      <c r="F3">
        <v>130</v>
      </c>
    </row>
    <row r="5">
      <c r="A5" t="str">
        <v>Lantai 1</v>
      </c>
      <c r="C5" t="str">
        <v>Panjang</v>
      </c>
      <c r="D5" t="str">
        <v>Tinggi</v>
      </c>
      <c r="E5" t="str">
        <v>Luas Pengurang</v>
      </c>
      <c r="Q5" t="str">
        <v>Luas Bruto - Kusen</v>
      </c>
      <c r="R5" t="str">
        <v>Luas Bruto - Kusen dan Balok</v>
      </c>
      <c r="S5" t="str">
        <v>Luas Dinding 1/2 Bata</v>
      </c>
      <c r="T5" t="str">
        <v>Luas Dinding 3/4 Bata</v>
      </c>
      <c r="U5" t="str">
        <v>Luas Dinding 1 Bata</v>
      </c>
      <c r="V5" t="str">
        <v>Luas Dinding 1 1/4 Bata</v>
      </c>
      <c r="W5" t="str">
        <v>Luas Dinding 1 1/2 Bata</v>
      </c>
      <c r="X5" t="str">
        <v xml:space="preserve">Luas Dinding 1 3/4 Bata </v>
      </c>
      <c r="Y5" t="str">
        <v>Luas Dinding 1/4 Bata</v>
      </c>
      <c r="Z5" t="str">
        <v>Plester &amp; Aci</v>
      </c>
      <c r="AA5" t="str">
        <v>Benangan</v>
      </c>
    </row>
    <row r="6">
      <c r="E6" t="str">
        <v>Kolom Struktur</v>
      </c>
      <c r="F6" t="str">
        <v>Kolom Praktis</v>
      </c>
      <c r="H6" t="str">
        <v>Balok Struktur</v>
      </c>
      <c r="K6" t="str">
        <v>Balok Latei</v>
      </c>
      <c r="M6" t="str">
        <v>Balok Praktis</v>
      </c>
      <c r="O6" t="str">
        <v>Luas Kusen</v>
      </c>
      <c r="P6" t="str">
        <v>Tipe Kusen</v>
      </c>
      <c r="AC6" t="str">
        <v>Benangan Opening</v>
      </c>
      <c r="AD6" t="str">
        <v>Luas Plesteran Opening</v>
      </c>
    </row>
    <row r="7">
      <c r="A7" t="str">
        <v>Nomor</v>
      </c>
      <c r="B7" t="str">
        <v>Tebal (mm)</v>
      </c>
      <c r="E7" t="str">
        <v>m2</v>
      </c>
      <c r="F7" t="str">
        <v>m'</v>
      </c>
      <c r="G7" t="str">
        <v>Luas KP</v>
      </c>
      <c r="H7" t="str">
        <v>panjang</v>
      </c>
      <c r="I7" t="str">
        <v>tinggi</v>
      </c>
      <c r="J7" t="str">
        <v>Luas Balok</v>
      </c>
      <c r="K7" t="str">
        <v>m'</v>
      </c>
      <c r="L7" t="str">
        <v>Luas BL</v>
      </c>
      <c r="M7" t="str">
        <v>m'</v>
      </c>
      <c r="N7" t="str">
        <v>Luas BP</v>
      </c>
      <c r="O7" t="str">
        <v>m2</v>
      </c>
      <c r="Q7" t="str">
        <v>m2</v>
      </c>
      <c r="R7" t="str">
        <v>m2</v>
      </c>
      <c r="S7" t="str">
        <v>m2</v>
      </c>
      <c r="T7" t="str">
        <v>m2</v>
      </c>
      <c r="U7" t="str">
        <v>m2</v>
      </c>
      <c r="V7" t="str">
        <v>m2</v>
      </c>
      <c r="W7" t="str">
        <v>m2</v>
      </c>
      <c r="X7" t="str">
        <v>m2</v>
      </c>
      <c r="Y7" t="str">
        <v>m2</v>
      </c>
      <c r="Z7" t="str">
        <v>m2</v>
      </c>
      <c r="AA7" t="str">
        <v>m'</v>
      </c>
    </row>
    <row r="8">
      <c r="A8">
        <v>1</v>
      </c>
      <c r="B8">
        <v>150</v>
      </c>
      <c r="C8">
        <v>3775</v>
      </c>
      <c r="D8">
        <v>4500</v>
      </c>
      <c r="Q8">
        <f>C8*D8/1000000-O8</f>
        <v>16.9875</v>
      </c>
      <c r="S8">
        <f>IF($B8=150,Q8-SUM(E8,G8,J8,L8,N8),0)</f>
        <v>16.9875</v>
      </c>
      <c r="T8">
        <f>IF($B8=200,Q8-SUM(E8,G8,J8,L8,N8),0)</f>
        <v>0</v>
      </c>
      <c r="U8">
        <f>IF($B8=250,Q8-SUM(E8,G8,J8,L8,N8),0)</f>
        <v>0</v>
      </c>
      <c r="V8">
        <f>IF($B8=300,Q8-SUM(E8,G8,J8,L8,N8),0)</f>
        <v>0</v>
      </c>
      <c r="W8">
        <f>IF($B8=350,Q8-SUM(E8,G8,J8,L8,N8),0)</f>
        <v>0</v>
      </c>
      <c r="X8">
        <f>IF($B8=400,Q8-SUM(E8,G8,J8,L8,N8),0)</f>
        <v>0</v>
      </c>
      <c r="Y8">
        <f>IF($B8=100,Q8-SUM(E8,G8,J8,L8,N8),0)</f>
        <v>0</v>
      </c>
      <c r="Z8">
        <f>SUM(S8:Y8)*2</f>
        <v>33.975</v>
      </c>
      <c r="AD8">
        <f>AC8*(IF(S8&gt;0,150,IF(T8&gt;0,200,IF(U8&gt;0,250,IF(V8&gt;0,300,IF(W8&gt;0,350,IF(X8&gt;0,400,IF(Y8&gt;0,450))))))))/1000</f>
        <v>0</v>
      </c>
    </row>
    <row r="9">
      <c r="A9">
        <v>2</v>
      </c>
      <c r="B9">
        <v>150</v>
      </c>
      <c r="C9">
        <v>5275</v>
      </c>
      <c r="D9">
        <v>4500</v>
      </c>
      <c r="O9">
        <f>(0.98*3)</f>
        <v>2.94</v>
      </c>
      <c r="P9" t="str">
        <v>P</v>
      </c>
      <c r="Q9">
        <f>C9*D9/1000000-O9</f>
        <v>20.7975</v>
      </c>
      <c r="S9">
        <f>IF($B9=150,Q9-SUM(E9,G9,J9,L9,N9),0)</f>
        <v>20.7975</v>
      </c>
      <c r="T9">
        <f>IF($B9=200,Q9-SUM(E9,G9,J9,L9,N9),0)</f>
        <v>0</v>
      </c>
      <c r="U9">
        <f>IF($B9=250,Q9-SUM(E9,G9,J9,L9,N9),0)</f>
        <v>0</v>
      </c>
      <c r="V9">
        <f>IF($B9=300,Q9-SUM(E9,G9,J9,L9,N9),0)</f>
        <v>0</v>
      </c>
      <c r="W9">
        <f>IF($B9=350,Q9-SUM(E9,G9,J9,L9,N9),0)</f>
        <v>0</v>
      </c>
      <c r="X9">
        <f>IF($B9=400,Q9-SUM(E9,G9,J9,L9,N9),0)</f>
        <v>0</v>
      </c>
      <c r="Y9">
        <f>IF($B9=100,Q9-SUM(E9,G9,J9,L9,N9),0)</f>
        <v>0</v>
      </c>
      <c r="Z9">
        <f>SUM(S9:Y9)*2</f>
        <v>41.595</v>
      </c>
      <c r="AB9" t="str">
        <v>P</v>
      </c>
      <c r="AC9">
        <f>(0.98+2*2.4)</f>
        <v>5.779999999999999</v>
      </c>
      <c r="AD9">
        <f>AC9*(IF(S9&gt;0,150,IF(T9&gt;0,200,IF(U9&gt;0,250,IF(V9&gt;0,300,IF(W9&gt;0,350,IF(X9&gt;0,400,IF(Y9&gt;0,450))))))))/1000</f>
        <v>0.8669999999999999</v>
      </c>
    </row>
    <row r="10">
      <c r="A10">
        <v>3</v>
      </c>
      <c r="B10">
        <v>200</v>
      </c>
      <c r="C10">
        <v>5275</v>
      </c>
      <c r="D10">
        <v>4500</v>
      </c>
      <c r="O10">
        <f>(2.945*3)</f>
        <v>8.834999999999999</v>
      </c>
      <c r="P10" t="str">
        <v>PG</v>
      </c>
      <c r="Q10">
        <f>C10*D10/1000000-O10</f>
        <v>14.902500000000002</v>
      </c>
      <c r="S10">
        <f>IF($B10=150,Q10-SUM(E10,G10,J10,L10,N10),0)</f>
        <v>0</v>
      </c>
      <c r="T10">
        <f>IF($B10=200,Q10-SUM(E10,G10,J10,L10,N10),0)</f>
        <v>14.902500000000002</v>
      </c>
      <c r="U10">
        <f>IF($B10=250,Q10-SUM(E10,G10,J10,L10,N10),0)</f>
        <v>0</v>
      </c>
      <c r="V10">
        <f>IF($B10=300,Q10-SUM(E10,G10,J10,L10,N10),0)</f>
        <v>0</v>
      </c>
      <c r="W10">
        <f>IF($B10=350,Q10-SUM(E10,G10,J10,L10,N10),0)</f>
        <v>0</v>
      </c>
      <c r="X10">
        <f>IF($B10=400,Q10-SUM(E10,G10,J10,L10,N10),0)</f>
        <v>0</v>
      </c>
      <c r="Y10">
        <f>IF($B10=100,Q10-SUM(E10,G10,J10,L10,N10),0)</f>
        <v>0</v>
      </c>
      <c r="Z10">
        <f>SUM(S10:Y10)*2</f>
        <v>29.805000000000003</v>
      </c>
      <c r="AB10" t="str">
        <v>PG</v>
      </c>
      <c r="AC10">
        <f>(2.945+2*2.4)</f>
        <v>7.744999999999999</v>
      </c>
      <c r="AD10">
        <f>AC10*(IF(S10&gt;0,150,IF(T10&gt;0,200,IF(U10&gt;0,250,IF(V10&gt;0,300,IF(W10&gt;0,350,IF(X10&gt;0,400,IF(Y10&gt;0,450))))))))/1000</f>
        <v>1.5489999999999997</v>
      </c>
    </row>
    <row r="11">
      <c r="A11">
        <v>4</v>
      </c>
      <c r="B11">
        <v>150</v>
      </c>
      <c r="C11">
        <v>4775</v>
      </c>
      <c r="D11">
        <v>4500</v>
      </c>
      <c r="O11">
        <f>(0.98*3)+(0.98*3)+(0.7*1.2)</f>
        <v>6.72</v>
      </c>
      <c r="P11" t="str">
        <v>P,PJ</v>
      </c>
      <c r="Q11">
        <f>C11*D11/1000000-O11</f>
        <v>14.767500000000002</v>
      </c>
      <c r="S11">
        <f>IF($B11=150,Q11-SUM(E11,G11,J11,L11,N11),0)</f>
        <v>14.767500000000002</v>
      </c>
      <c r="T11">
        <f>IF($B11=200,Q11-SUM(E11,G11,J11,L11,N11),0)</f>
        <v>0</v>
      </c>
      <c r="U11">
        <f>IF($B11=250,Q11-SUM(E11,G11,J11,L11,N11),0)</f>
        <v>0</v>
      </c>
      <c r="V11">
        <f>IF($B11=300,Q11-SUM(E11,G11,J11,L11,N11),0)</f>
        <v>0</v>
      </c>
      <c r="W11">
        <f>IF($B11=350,Q11-SUM(E11,G11,J11,L11,N11),0)</f>
        <v>0</v>
      </c>
      <c r="X11">
        <f>IF($B11=400,Q11-SUM(E11,G11,J11,L11,N11),0)</f>
        <v>0</v>
      </c>
      <c r="Y11">
        <f>IF($B11=100,Q11-SUM(E11,G11,J11,L11,N11),0)</f>
        <v>0</v>
      </c>
      <c r="Z11">
        <f>SUM(S11:Y11)*2</f>
        <v>29.535000000000004</v>
      </c>
      <c r="AB11" t="str">
        <v>P,PJ</v>
      </c>
      <c r="AC11">
        <f>(0.98+2*2.4)+(0.98+2*2.4)+(0.7+2*1.2)</f>
        <v>14.659999999999998</v>
      </c>
      <c r="AD11">
        <f>AC11*(IF(S11&gt;0,150,IF(T11&gt;0,200,IF(U11&gt;0,250,IF(V11&gt;0,300,IF(W11&gt;0,350,IF(X11&gt;0,400,IF(Y11&gt;0,450))))))))/1000</f>
        <v>2.1989999999999994</v>
      </c>
    </row>
    <row r="12">
      <c r="A12">
        <v>5</v>
      </c>
      <c r="B12">
        <v>200</v>
      </c>
      <c r="C12">
        <v>10850</v>
      </c>
      <c r="D12">
        <v>4500</v>
      </c>
      <c r="O12">
        <f>(3.25*3)+(4.4*3)</f>
        <v>22.950000000000003</v>
      </c>
      <c r="P12" t="str">
        <v>O,PG</v>
      </c>
      <c r="Q12">
        <f>C12*D12/1000000-O12</f>
        <v>25.875</v>
      </c>
      <c r="S12">
        <f>IF($B12=150,Q12-SUM(E12,G12,J12,L12,N12),0)</f>
        <v>0</v>
      </c>
      <c r="T12">
        <f>IF($B12=200,Q12-SUM(E12,G12,J12,L12,N12),0)</f>
        <v>25.875</v>
      </c>
      <c r="U12">
        <f>IF($B12=250,Q12-SUM(E12,G12,J12,L12,N12),0)</f>
        <v>0</v>
      </c>
      <c r="V12">
        <f>IF($B12=300,Q12-SUM(E12,G12,J12,L12,N12),0)</f>
        <v>0</v>
      </c>
      <c r="W12">
        <f>IF($B12=350,Q12-SUM(E12,G12,J12,L12,N12),0)</f>
        <v>0</v>
      </c>
      <c r="X12">
        <f>IF($B12=400,Q12-SUM(E12,G12,J12,L12,N12),0)</f>
        <v>0</v>
      </c>
      <c r="Y12">
        <f>IF($B12=100,Q12-SUM(E12,G12,J12,L12,N12),0)</f>
        <v>0</v>
      </c>
      <c r="Z12">
        <f>SUM(S12:Y12)*2</f>
        <v>51.75</v>
      </c>
      <c r="AB12" t="str">
        <v>O,PG</v>
      </c>
      <c r="AC12">
        <f>(3.25+2*3)+(4.4+2*2.4)</f>
        <v>18.45</v>
      </c>
      <c r="AD12">
        <f>AC12*(IF(S12&gt;0,150,IF(T12&gt;0,200,IF(U12&gt;0,250,IF(V12&gt;0,300,IF(W12&gt;0,350,IF(X12&gt;0,400,IF(Y12&gt;0,450))))))))/1000</f>
        <v>3.69</v>
      </c>
    </row>
    <row r="13">
      <c r="A13">
        <v>6</v>
      </c>
      <c r="B13">
        <v>200</v>
      </c>
      <c r="C13">
        <v>9750</v>
      </c>
      <c r="D13">
        <v>4500</v>
      </c>
      <c r="Q13">
        <f>C13*D13/1000000-O13</f>
        <v>43.875</v>
      </c>
      <c r="S13">
        <f>IF($B13=150,Q13-SUM(E13,G13,J13,L13,N13),0)</f>
        <v>0</v>
      </c>
      <c r="T13">
        <f>IF($B13=200,Q13-SUM(E13,G13,J13,L13,N13),0)</f>
        <v>43.875</v>
      </c>
      <c r="U13">
        <f>IF($B13=250,Q13-SUM(E13,G13,J13,L13,N13),0)</f>
        <v>0</v>
      </c>
      <c r="V13">
        <f>IF($B13=300,Q13-SUM(E13,G13,J13,L13,N13),0)</f>
        <v>0</v>
      </c>
      <c r="W13">
        <f>IF($B13=350,Q13-SUM(E13,G13,J13,L13,N13),0)</f>
        <v>0</v>
      </c>
      <c r="X13">
        <f>IF($B13=400,Q13-SUM(E13,G13,J13,L13,N13),0)</f>
        <v>0</v>
      </c>
      <c r="Y13">
        <f>IF($B13=100,Q13-SUM(E13,G13,J13,L13,N13),0)</f>
        <v>0</v>
      </c>
      <c r="Z13">
        <f>SUM(S13:Y13)*2</f>
        <v>87.75</v>
      </c>
      <c r="AD13">
        <f>AC13*(IF(S13&gt;0,150,IF(T13&gt;0,200,IF(U13&gt;0,250,IF(V13&gt;0,300,IF(W13&gt;0,350,IF(X13&gt;0,400,IF(Y13&gt;0,450))))))))/1000</f>
        <v>0</v>
      </c>
    </row>
    <row r="14">
      <c r="A14">
        <v>7</v>
      </c>
      <c r="B14">
        <v>200</v>
      </c>
      <c r="C14">
        <v>150</v>
      </c>
      <c r="D14">
        <v>4500</v>
      </c>
      <c r="Q14">
        <f>C14*D14/1000000-O14</f>
        <v>0.675</v>
      </c>
      <c r="S14">
        <f>IF($B14=150,Q14-SUM(E14,G14,J14,L14,N14),0)</f>
        <v>0</v>
      </c>
      <c r="T14">
        <f>IF($B14=200,Q14-SUM(E14,G14,J14,L14,N14),0)</f>
        <v>0.675</v>
      </c>
      <c r="U14">
        <f>IF($B14=250,Q14-SUM(E14,G14,J14,L14,N14),0)</f>
        <v>0</v>
      </c>
      <c r="V14">
        <f>IF($B14=300,Q14-SUM(E14,G14,J14,L14,N14),0)</f>
        <v>0</v>
      </c>
      <c r="W14">
        <f>IF($B14=350,Q14-SUM(E14,G14,J14,L14,N14),0)</f>
        <v>0</v>
      </c>
      <c r="X14">
        <f>IF($B14=400,Q14-SUM(E14,G14,J14,L14,N14),0)</f>
        <v>0</v>
      </c>
      <c r="Y14">
        <f>IF($B14=100,Q14-SUM(E14,G14,J14,L14,N14),0)</f>
        <v>0</v>
      </c>
      <c r="Z14">
        <f>SUM(S14:Y14)*2</f>
        <v>1.35</v>
      </c>
      <c r="AD14">
        <f>AC14*(IF(S14&gt;0,150,IF(T14&gt;0,200,IF(U14&gt;0,250,IF(V14&gt;0,300,IF(W14&gt;0,350,IF(X14&gt;0,400,IF(Y14&gt;0,450))))))))/1000</f>
        <v>0</v>
      </c>
    </row>
    <row r="15">
      <c r="A15">
        <v>8</v>
      </c>
      <c r="B15">
        <v>200</v>
      </c>
      <c r="C15">
        <v>150</v>
      </c>
      <c r="D15">
        <v>4500</v>
      </c>
      <c r="Q15">
        <f>C15*D15/1000000-O15</f>
        <v>0.675</v>
      </c>
      <c r="S15">
        <f>IF($B15=150,Q15-SUM(E15,G15,J15,L15,N15),0)</f>
        <v>0</v>
      </c>
      <c r="T15">
        <f>IF($B15=200,Q15-SUM(E15,G15,J15,L15,N15),0)</f>
        <v>0.675</v>
      </c>
      <c r="U15">
        <f>IF($B15=250,Q15-SUM(E15,G15,J15,L15,N15),0)</f>
        <v>0</v>
      </c>
      <c r="V15">
        <f>IF($B15=300,Q15-SUM(E15,G15,J15,L15,N15),0)</f>
        <v>0</v>
      </c>
      <c r="W15">
        <f>IF($B15=350,Q15-SUM(E15,G15,J15,L15,N15),0)</f>
        <v>0</v>
      </c>
      <c r="X15">
        <f>IF($B15=400,Q15-SUM(E15,G15,J15,L15,N15),0)</f>
        <v>0</v>
      </c>
      <c r="Y15">
        <f>IF($B15=100,Q15-SUM(E15,G15,J15,L15,N15),0)</f>
        <v>0</v>
      </c>
      <c r="Z15">
        <f>SUM(S15:Y15)*2</f>
        <v>1.35</v>
      </c>
      <c r="AD15">
        <f>AC15*(IF(S15&gt;0,150,IF(T15&gt;0,200,IF(U15&gt;0,250,IF(V15&gt;0,300,IF(W15&gt;0,350,IF(X15&gt;0,400,IF(Y15&gt;0,450))))))))/1000</f>
        <v>0</v>
      </c>
    </row>
    <row r="16">
      <c r="A16">
        <v>9</v>
      </c>
      <c r="B16">
        <v>200</v>
      </c>
      <c r="C16">
        <v>10650</v>
      </c>
      <c r="D16">
        <v>4500</v>
      </c>
      <c r="O16">
        <f>(2.2*4.5)+2*(0.9*2.5)</f>
        <v>14.4</v>
      </c>
      <c r="P16" t="str">
        <v>PG</v>
      </c>
      <c r="Q16">
        <f>C16*D16/1000000-O16</f>
        <v>33.525</v>
      </c>
      <c r="S16">
        <f>IF($B16=150,Q16-SUM(E16,G16,J16,L16,N16),0)</f>
        <v>0</v>
      </c>
      <c r="T16">
        <f>IF($B16=200,Q16-SUM(E16,G16,J16,L16,N16),0)</f>
        <v>33.525</v>
      </c>
      <c r="U16">
        <f>IF($B16=250,Q16-SUM(E16,G16,J16,L16,N16),0)</f>
        <v>0</v>
      </c>
      <c r="V16">
        <f>IF($B16=300,Q16-SUM(E16,G16,J16,L16,N16),0)</f>
        <v>0</v>
      </c>
      <c r="W16">
        <f>IF($B16=350,Q16-SUM(E16,G16,J16,L16,N16),0)</f>
        <v>0</v>
      </c>
      <c r="X16">
        <f>IF($B16=400,Q16-SUM(E16,G16,J16,L16,N16),0)</f>
        <v>0</v>
      </c>
      <c r="Y16">
        <f>IF($B16=100,Q16-SUM(E16,G16,J16,L16,N16),0)</f>
        <v>0</v>
      </c>
      <c r="Z16">
        <f>SUM(S16:Y16)*2</f>
        <v>67.05</v>
      </c>
      <c r="AB16" t="str">
        <v>PG</v>
      </c>
      <c r="AC16">
        <f>(2.2+2*2.4)+2*2*(0.9+1.2)</f>
        <v>15.4</v>
      </c>
      <c r="AD16">
        <f>AC16*(IF(S16&gt;0,150,IF(T16&gt;0,200,IF(U16&gt;0,250,IF(V16&gt;0,300,IF(W16&gt;0,350,IF(X16&gt;0,400,IF(Y16&gt;0,450))))))))/1000</f>
        <v>3.08</v>
      </c>
    </row>
    <row r="17">
      <c r="A17">
        <v>10</v>
      </c>
      <c r="B17">
        <v>150</v>
      </c>
      <c r="C17">
        <v>1300</v>
      </c>
      <c r="D17">
        <v>4500</v>
      </c>
      <c r="O17">
        <f>(0.65*3)</f>
        <v>1.9500000000000002</v>
      </c>
      <c r="P17" t="str">
        <v>J</v>
      </c>
      <c r="Q17">
        <f>C17*D17/1000000-O17</f>
        <v>3.8999999999999995</v>
      </c>
      <c r="S17">
        <f>IF($B17=150,Q17-SUM(E17,G17,J17,L17,N17),0)</f>
        <v>3.8999999999999995</v>
      </c>
      <c r="T17">
        <f>IF($B17=200,Q17-SUM(E17,G17,J17,L17,N17),0)</f>
        <v>0</v>
      </c>
      <c r="U17">
        <f>IF($B17=250,Q17-SUM(E17,G17,J17,L17,N17),0)</f>
        <v>0</v>
      </c>
      <c r="V17">
        <f>IF($B17=300,Q17-SUM(E17,G17,J17,L17,N17),0)</f>
        <v>0</v>
      </c>
      <c r="W17">
        <f>IF($B17=350,Q17-SUM(E17,G17,J17,L17,N17),0)</f>
        <v>0</v>
      </c>
      <c r="X17">
        <f>IF($B17=400,Q17-SUM(E17,G17,J17,L17,N17),0)</f>
        <v>0</v>
      </c>
      <c r="Y17">
        <f>IF($B17=100,Q17-SUM(E17,G17,J17,L17,N17),0)</f>
        <v>0</v>
      </c>
      <c r="Z17">
        <f>SUM(S17:Y17)*2</f>
        <v>7.799999999999999</v>
      </c>
      <c r="AB17" t="str">
        <v>J</v>
      </c>
      <c r="AC17">
        <f>2*(0.65+1.2)</f>
        <v>3.7</v>
      </c>
      <c r="AD17">
        <f>AC17*(IF(S17&gt;0,150,IF(T17&gt;0,200,IF(U17&gt;0,250,IF(V17&gt;0,300,IF(W17&gt;0,350,IF(X17&gt;0,400,IF(Y17&gt;0,450))))))))/1000</f>
        <v>0.555</v>
      </c>
    </row>
    <row r="18">
      <c r="A18">
        <v>11</v>
      </c>
      <c r="B18">
        <v>400</v>
      </c>
      <c r="C18">
        <v>3925</v>
      </c>
      <c r="D18">
        <v>5500</v>
      </c>
      <c r="O18">
        <f>(3.375*3)</f>
        <v>10.125</v>
      </c>
      <c r="P18" t="str">
        <v>O</v>
      </c>
      <c r="Q18">
        <f>C18*D18/1000000-O18</f>
        <v>11.462499999999999</v>
      </c>
      <c r="S18">
        <f>IF($B18=150,Q18-SUM(E18,G18,J18,L18,N18),0)</f>
        <v>0</v>
      </c>
      <c r="T18">
        <f>IF($B18=200,Q18-SUM(E18,G18,J18,L18,N18),0)</f>
        <v>0</v>
      </c>
      <c r="U18">
        <f>IF($B18=250,Q18-SUM(E18,G18,J18,L18,N18),0)</f>
        <v>0</v>
      </c>
      <c r="V18">
        <f>IF($B18=300,Q18-SUM(E18,G18,J18,L18,N18),0)</f>
        <v>0</v>
      </c>
      <c r="W18">
        <f>IF($B18=350,Q18-SUM(E18,G18,J18,L18,N18),0)</f>
        <v>0</v>
      </c>
      <c r="X18">
        <f>IF($B18=400,Q18-SUM(E18,G18,J18,L18,N18),0)</f>
        <v>11.462499999999999</v>
      </c>
      <c r="Y18">
        <f>IF($B18=100,Q18-SUM(E18,G18,J18,L18,N18),0)</f>
        <v>0</v>
      </c>
      <c r="Z18">
        <f>SUM(S18:Y18)*2</f>
        <v>22.924999999999997</v>
      </c>
      <c r="AB18" t="str">
        <v>O</v>
      </c>
      <c r="AC18">
        <f>(3.375+2*3)</f>
        <v>9.375</v>
      </c>
      <c r="AD18">
        <f>AC18*(IF(S18&gt;0,150,IF(T18&gt;0,200,IF(U18&gt;0,250,IF(V18&gt;0,300,IF(W18&gt;0,350,IF(X18&gt;0,400,IF(Y18&gt;0,450))))))))/1000</f>
        <v>3.75</v>
      </c>
    </row>
    <row r="19">
      <c r="A19">
        <v>12</v>
      </c>
      <c r="B19">
        <v>150</v>
      </c>
      <c r="C19">
        <v>1525</v>
      </c>
      <c r="D19">
        <v>4500</v>
      </c>
      <c r="Q19">
        <f>C19*D19/1000000-O19</f>
        <v>6.8625</v>
      </c>
      <c r="S19">
        <f>IF($B19=150,Q19-SUM(E19,G19,J19,L19,N19),0)</f>
        <v>6.8625</v>
      </c>
      <c r="T19">
        <f>IF($B19=200,Q19-SUM(E19,G19,J19,L19,N19),0)</f>
        <v>0</v>
      </c>
      <c r="U19">
        <f>IF($B19=250,Q19-SUM(E19,G19,J19,L19,N19),0)</f>
        <v>0</v>
      </c>
      <c r="V19">
        <f>IF($B19=300,Q19-SUM(E19,G19,J19,L19,N19),0)</f>
        <v>0</v>
      </c>
      <c r="W19">
        <f>IF($B19=350,Q19-SUM(E19,G19,J19,L19,N19),0)</f>
        <v>0</v>
      </c>
      <c r="X19">
        <f>IF($B19=400,Q19-SUM(E19,G19,J19,L19,N19),0)</f>
        <v>0</v>
      </c>
      <c r="Y19">
        <f>IF($B19=100,Q19-SUM(E19,G19,J19,L19,N19),0)</f>
        <v>0</v>
      </c>
      <c r="Z19">
        <f>SUM(S19:Y19)*2</f>
        <v>13.725</v>
      </c>
      <c r="AD19">
        <f>AC19*(IF(S19&gt;0,150,IF(T19&gt;0,200,IF(U19&gt;0,250,IF(V19&gt;0,300,IF(W19&gt;0,350,IF(X19&gt;0,400,IF(Y19&gt;0,450))))))))/1000</f>
        <v>0</v>
      </c>
    </row>
    <row r="20">
      <c r="A20">
        <v>13</v>
      </c>
      <c r="B20">
        <v>200</v>
      </c>
      <c r="C20">
        <v>4700</v>
      </c>
      <c r="D20">
        <v>4500</v>
      </c>
      <c r="Q20">
        <f>C20*D20/1000000-O20</f>
        <v>21.15</v>
      </c>
      <c r="S20">
        <f>IF($B20=150,Q20-SUM(E20,G20,J20,L20,N20),0)</f>
        <v>0</v>
      </c>
      <c r="T20">
        <f>IF($B20=200,Q20-SUM(E20,G20,J20,L20,N20),0)</f>
        <v>21.15</v>
      </c>
      <c r="U20">
        <f>IF($B20=250,Q20-SUM(E20,G20,J20,L20,N20),0)</f>
        <v>0</v>
      </c>
      <c r="V20">
        <f>IF($B20=300,Q20-SUM(E20,G20,J20,L20,N20),0)</f>
        <v>0</v>
      </c>
      <c r="W20">
        <f>IF($B20=350,Q20-SUM(E20,G20,J20,L20,N20),0)</f>
        <v>0</v>
      </c>
      <c r="X20">
        <f>IF($B20=400,Q20-SUM(E20,G20,J20,L20,N20),0)</f>
        <v>0</v>
      </c>
      <c r="Y20">
        <f>IF($B20=100,Q20-SUM(E20,G20,J20,L20,N20),0)</f>
        <v>0</v>
      </c>
      <c r="Z20">
        <f>SUM(S20:Y20)*2</f>
        <v>42.3</v>
      </c>
      <c r="AD20">
        <f>AC20*(IF(S20&gt;0,150,IF(T20&gt;0,200,IF(U20&gt;0,250,IF(V20&gt;0,300,IF(W20&gt;0,350,IF(X20&gt;0,400,IF(Y20&gt;0,450))))))))/1000</f>
        <v>0</v>
      </c>
    </row>
    <row r="21">
      <c r="A21">
        <v>14</v>
      </c>
      <c r="B21">
        <v>150</v>
      </c>
      <c r="C21">
        <v>5850</v>
      </c>
      <c r="D21">
        <v>4500</v>
      </c>
      <c r="O21">
        <f>2*(1.075*3)</f>
        <v>6.449999999999999</v>
      </c>
      <c r="P21" t="str">
        <v>2O</v>
      </c>
      <c r="Q21">
        <f>C21*D21/1000000-O21</f>
        <v>19.875</v>
      </c>
      <c r="S21">
        <f>IF($B21=150,Q21-SUM(E21,G21,J21,L21,N21),0)</f>
        <v>19.875</v>
      </c>
      <c r="T21">
        <f>IF($B21=200,Q21-SUM(E21,G21,J21,L21,N21),0)</f>
        <v>0</v>
      </c>
      <c r="U21">
        <f>IF($B21=250,Q21-SUM(E21,G21,J21,L21,N21),0)</f>
        <v>0</v>
      </c>
      <c r="V21">
        <f>IF($B21=300,Q21-SUM(E21,G21,J21,L21,N21),0)</f>
        <v>0</v>
      </c>
      <c r="W21">
        <f>IF($B21=350,Q21-SUM(E21,G21,J21,L21,N21),0)</f>
        <v>0</v>
      </c>
      <c r="X21">
        <f>IF($B21=400,Q21-SUM(E21,G21,J21,L21,N21),0)</f>
        <v>0</v>
      </c>
      <c r="Y21">
        <f>IF($B21=100,Q21-SUM(E21,G21,J21,L21,N21),0)</f>
        <v>0</v>
      </c>
      <c r="Z21">
        <f>SUM(S21:Y21)*2</f>
        <v>39.75</v>
      </c>
      <c r="AB21" t="str">
        <v>2O</v>
      </c>
      <c r="AC21">
        <f>2*(1.075+2*3)</f>
        <v>14.15</v>
      </c>
      <c r="AD21">
        <f>AC21*(IF(S21&gt;0,150,IF(T21&gt;0,200,IF(U21&gt;0,250,IF(V21&gt;0,300,IF(W21&gt;0,350,IF(X21&gt;0,400,IF(Y21&gt;0,450))))))))/1000</f>
        <v>2.1225</v>
      </c>
    </row>
    <row r="22">
      <c r="A22">
        <v>15</v>
      </c>
      <c r="B22">
        <v>150</v>
      </c>
      <c r="C22">
        <v>4850</v>
      </c>
      <c r="D22">
        <v>5500</v>
      </c>
      <c r="O22">
        <f>(0.8*1.2)</f>
        <v>0.96</v>
      </c>
      <c r="P22" t="str">
        <v>J</v>
      </c>
      <c r="Q22">
        <f>C22*D22/1000000-O22</f>
        <v>25.715</v>
      </c>
      <c r="S22">
        <f>IF($B22=150,Q22-SUM(E22,G22,J22,L22,N22),0)</f>
        <v>25.715</v>
      </c>
      <c r="T22">
        <f>IF($B22=200,Q22-SUM(E22,G22,J22,L22,N22),0)</f>
        <v>0</v>
      </c>
      <c r="U22">
        <f>IF($B22=250,Q22-SUM(E22,G22,J22,L22,N22),0)</f>
        <v>0</v>
      </c>
      <c r="V22">
        <f>IF($B22=300,Q22-SUM(E22,G22,J22,L22,N22),0)</f>
        <v>0</v>
      </c>
      <c r="W22">
        <f>IF($B22=350,Q22-SUM(E22,G22,J22,L22,N22),0)</f>
        <v>0</v>
      </c>
      <c r="X22">
        <f>IF($B22=400,Q22-SUM(E22,G22,J22,L22,N22),0)</f>
        <v>0</v>
      </c>
      <c r="Y22">
        <f>IF($B22=100,Q22-SUM(E22,G22,J22,L22,N22),0)</f>
        <v>0</v>
      </c>
      <c r="Z22">
        <f>SUM(S22:Y22)*2</f>
        <v>51.43</v>
      </c>
      <c r="AB22" t="str">
        <v>J</v>
      </c>
      <c r="AC22">
        <f>2*(0.8+1.2)</f>
        <v>4</v>
      </c>
      <c r="AD22">
        <f>AC22*(IF(S22&gt;0,150,IF(T22&gt;0,200,IF(U22&gt;0,250,IF(V22&gt;0,300,IF(W22&gt;0,350,IF(X22&gt;0,400,IF(Y22&gt;0,450))))))))/1000</f>
        <v>0.6</v>
      </c>
    </row>
    <row r="23">
      <c r="A23">
        <v>16</v>
      </c>
      <c r="C23">
        <v>500</v>
      </c>
      <c r="D23">
        <v>4500</v>
      </c>
      <c r="Q23">
        <f>C23*D23/1000000-O23</f>
        <v>2.25</v>
      </c>
      <c r="S23">
        <f>IF($B23=150,Q23-SUM(E23,G23,J23,L23,N23),0)</f>
        <v>0</v>
      </c>
      <c r="T23">
        <f>IF($B23=200,Q23-SUM(E23,G23,J23,L23,N23),0)</f>
        <v>0</v>
      </c>
      <c r="U23">
        <f>IF($B23=250,Q23-SUM(E23,G23,J23,L23,N23),0)</f>
        <v>0</v>
      </c>
      <c r="V23">
        <f>IF($B23=300,Q23-SUM(E23,G23,J23,L23,N23),0)</f>
        <v>0</v>
      </c>
      <c r="W23">
        <f>IF($B23=350,Q23-SUM(E23,G23,J23,L23,N23),0)</f>
        <v>0</v>
      </c>
      <c r="X23">
        <f>IF($B23=400,Q23-SUM(E23,G23,J23,L23,N23),0)</f>
        <v>0</v>
      </c>
      <c r="Y23">
        <f>IF($B23=100,Q23-SUM(E23,G23,J23,L23,N23),0)</f>
        <v>0</v>
      </c>
      <c r="Z23">
        <f>SUM(S23:Y23)*2</f>
        <v>0</v>
      </c>
      <c r="AD23">
        <f>AC23*(IF(S23&gt;0,150,IF(T23&gt;0,200,IF(U23&gt;0,250,IF(V23&gt;0,300,IF(W23&gt;0,350,IF(X23&gt;0,400,IF(Y23&gt;0,450))))))))/1000</f>
        <v>0</v>
      </c>
    </row>
    <row r="24">
      <c r="A24">
        <v>17</v>
      </c>
      <c r="C24">
        <v>4250</v>
      </c>
      <c r="D24">
        <v>4500</v>
      </c>
      <c r="Q24">
        <f>C24*D24/1000000-O24</f>
        <v>19.125</v>
      </c>
      <c r="S24">
        <f>IF($B24=150,Q24-SUM(E24,G24,J24,L24,N24),0)</f>
        <v>0</v>
      </c>
      <c r="T24">
        <f>IF($B24=200,Q24-SUM(E24,G24,J24,L24,N24),0)</f>
        <v>0</v>
      </c>
      <c r="U24">
        <f>IF($B24=250,Q24-SUM(E24,G24,J24,L24,N24),0)</f>
        <v>0</v>
      </c>
      <c r="V24">
        <f>IF($B24=300,Q24-SUM(E24,G24,J24,L24,N24),0)</f>
        <v>0</v>
      </c>
      <c r="W24">
        <f>IF($B24=350,Q24-SUM(E24,G24,J24,L24,N24),0)</f>
        <v>0</v>
      </c>
      <c r="X24">
        <f>IF($B24=400,Q24-SUM(E24,G24,J24,L24,N24),0)</f>
        <v>0</v>
      </c>
      <c r="Y24">
        <f>IF($B24=100,Q24-SUM(E24,G24,J24,L24,N24),0)</f>
        <v>0</v>
      </c>
      <c r="Z24">
        <f>SUM(S24:Y24)*2</f>
        <v>0</v>
      </c>
      <c r="AD24">
        <f>AC24*(IF(S24&gt;0,150,IF(T24&gt;0,200,IF(U24&gt;0,250,IF(V24&gt;0,300,IF(W24&gt;0,350,IF(X24&gt;0,400,IF(Y24&gt;0,450))))))))/1000</f>
        <v>0</v>
      </c>
    </row>
    <row r="25">
      <c r="A25">
        <v>18</v>
      </c>
      <c r="B25">
        <v>150</v>
      </c>
      <c r="C25">
        <v>5850</v>
      </c>
      <c r="D25">
        <v>4500</v>
      </c>
      <c r="O25">
        <f>(2.28*3)</f>
        <v>6.84</v>
      </c>
      <c r="P25" t="str">
        <v>P</v>
      </c>
      <c r="Q25">
        <f>C25*D25/1000000-O25</f>
        <v>19.485</v>
      </c>
      <c r="S25">
        <f>IF($B25=150,Q25-SUM(E25,G25,J25,L25,N25),0)</f>
        <v>19.485</v>
      </c>
      <c r="T25">
        <f>IF($B25=200,Q25-SUM(E25,G25,J25,L25,N25),0)</f>
        <v>0</v>
      </c>
      <c r="U25">
        <f>IF($B25=250,Q25-SUM(E25,G25,J25,L25,N25),0)</f>
        <v>0</v>
      </c>
      <c r="V25">
        <f>IF($B25=300,Q25-SUM(E25,G25,J25,L25,N25),0)</f>
        <v>0</v>
      </c>
      <c r="W25">
        <f>IF($B25=350,Q25-SUM(E25,G25,J25,L25,N25),0)</f>
        <v>0</v>
      </c>
      <c r="X25">
        <f>IF($B25=400,Q25-SUM(E25,G25,J25,L25,N25),0)</f>
        <v>0</v>
      </c>
      <c r="Y25">
        <f>IF($B25=100,Q25-SUM(E25,G25,J25,L25,N25),0)</f>
        <v>0</v>
      </c>
      <c r="Z25">
        <f>SUM(S25:Y25)*2</f>
        <v>38.97</v>
      </c>
      <c r="AB25" t="str">
        <v>P</v>
      </c>
      <c r="AC25">
        <f>(2.28+2*2.4)</f>
        <v>7.08</v>
      </c>
      <c r="AD25">
        <f>AC25*(IF(S25&gt;0,150,IF(T25&gt;0,200,IF(U25&gt;0,250,IF(V25&gt;0,300,IF(W25&gt;0,350,IF(X25&gt;0,400,IF(Y25&gt;0,450))))))))/1000</f>
        <v>1.062</v>
      </c>
    </row>
    <row r="26">
      <c r="A26">
        <v>19</v>
      </c>
      <c r="B26">
        <v>100</v>
      </c>
      <c r="C26">
        <v>20000</v>
      </c>
      <c r="D26">
        <v>4500</v>
      </c>
      <c r="Q26">
        <f>C26*D26/1000000-O26</f>
        <v>90</v>
      </c>
      <c r="S26">
        <f>IF($B26=150,Q26-SUM(E26,G26,J26,L26,N26),0)</f>
        <v>0</v>
      </c>
      <c r="T26">
        <f>IF($B26=200,Q26-SUM(E26,G26,J26,L26,N26),0)</f>
        <v>0</v>
      </c>
      <c r="U26">
        <f>IF($B26=250,Q26-SUM(E26,G26,J26,L26,N26),0)</f>
        <v>0</v>
      </c>
      <c r="V26">
        <f>IF($B26=300,Q26-SUM(E26,G26,J26,L26,N26),0)</f>
        <v>0</v>
      </c>
      <c r="W26">
        <f>IF($B26=350,Q26-SUM(E26,G26,J26,L26,N26),0)</f>
        <v>0</v>
      </c>
      <c r="X26">
        <f>IF($B26=400,Q26-SUM(E26,G26,J26,L26,N26),0)</f>
        <v>0</v>
      </c>
      <c r="Y26">
        <f>IF($B26=100,Q26-SUM(E26,G26,J26,L26,N26),0)</f>
        <v>90</v>
      </c>
      <c r="Z26">
        <f>SUM(S26:Y26)*2</f>
        <v>180</v>
      </c>
      <c r="AD26">
        <f>AC26*(IF(S26&gt;0,150,IF(T26&gt;0,200,IF(U26&gt;0,250,IF(V26&gt;0,300,IF(W26&gt;0,350,IF(X26&gt;0,400,IF(Y26&gt;0,450))))))))/1000</f>
        <v>0</v>
      </c>
    </row>
    <row r="27">
      <c r="A27">
        <v>20</v>
      </c>
      <c r="B27">
        <v>100</v>
      </c>
      <c r="C27">
        <v>21795</v>
      </c>
      <c r="D27">
        <v>4500</v>
      </c>
      <c r="Q27">
        <f>C27*D27/1000000-O27</f>
        <v>98.0775</v>
      </c>
      <c r="S27">
        <f>IF($B27=150,Q27-SUM(E27,G27,J27,L27,N27),0)</f>
        <v>0</v>
      </c>
      <c r="T27">
        <f>IF($B27=200,Q27-SUM(E27,G27,J27,L27,N27),0)</f>
        <v>0</v>
      </c>
      <c r="U27">
        <f>IF($B27=250,Q27-SUM(E27,G27,J27,L27,N27),0)</f>
        <v>0</v>
      </c>
      <c r="V27">
        <f>IF($B27=300,Q27-SUM(E27,G27,J27,L27,N27),0)</f>
        <v>0</v>
      </c>
      <c r="W27">
        <f>IF($B27=350,Q27-SUM(E27,G27,J27,L27,N27),0)</f>
        <v>0</v>
      </c>
      <c r="X27">
        <f>IF($B27=400,Q27-SUM(E27,G27,J27,L27,N27),0)</f>
        <v>0</v>
      </c>
      <c r="Y27">
        <f>IF($B27=100,Q27-SUM(E27,G27,J27,L27,N27),0)</f>
        <v>98.0775</v>
      </c>
      <c r="Z27">
        <f>SUM(S27:Y27)</f>
        <v>98.0775</v>
      </c>
      <c r="AD27">
        <f>AC27*(IF(S27&gt;0,150,IF(T27&gt;0,200,IF(U27&gt;0,250,IF(V27&gt;0,300,IF(W27&gt;0,350,IF(X27&gt;0,400,IF(Y27&gt;0,450))))))))/1000</f>
        <v>0</v>
      </c>
    </row>
    <row r="28">
      <c r="A28">
        <v>21</v>
      </c>
      <c r="B28">
        <v>200</v>
      </c>
      <c r="C28">
        <v>34285</v>
      </c>
      <c r="D28">
        <v>4500</v>
      </c>
      <c r="Q28">
        <f>C28*D28/1000000-O28</f>
        <v>154.2825</v>
      </c>
      <c r="S28">
        <f>IF($B28=150,Q28-SUM(E28,G28,J28,L28,N28),0)</f>
        <v>0</v>
      </c>
      <c r="T28">
        <f>IF($B28=200,Q28-SUM(E28,G28,J28,L28,N28),0)</f>
        <v>154.2825</v>
      </c>
      <c r="U28">
        <f>IF($B28=250,Q28-SUM(E28,G28,J28,L28,N28),0)</f>
        <v>0</v>
      </c>
      <c r="V28">
        <f>IF($B28=300,Q28-SUM(E28,G28,J28,L28,N28),0)</f>
        <v>0</v>
      </c>
      <c r="W28">
        <f>IF($B28=350,Q28-SUM(E28,G28,J28,L28,N28),0)</f>
        <v>0</v>
      </c>
      <c r="X28">
        <f>IF($B28=400,Q28-SUM(E28,G28,J28,L28,N28),0)</f>
        <v>0</v>
      </c>
      <c r="Y28">
        <f>IF($B28=100,Q28-SUM(E28,G28,J28,L28,N28),0)</f>
        <v>0</v>
      </c>
      <c r="Z28">
        <f>SUM(S28:Y28)*2</f>
        <v>308.565</v>
      </c>
      <c r="AD28">
        <f>AC28*(IF(S28&gt;0,150,IF(T28&gt;0,200,IF(U28&gt;0,250,IF(V28&gt;0,300,IF(W28&gt;0,350,IF(X28&gt;0,400,IF(Y28&gt;0,450))))))))/1000</f>
        <v>0</v>
      </c>
    </row>
    <row r="29">
      <c r="A29">
        <v>22</v>
      </c>
      <c r="C29">
        <v>18590</v>
      </c>
      <c r="D29">
        <v>4500</v>
      </c>
      <c r="Q29">
        <f>C29*D29/1000000-O29</f>
        <v>83.655</v>
      </c>
      <c r="S29">
        <f>IF($B29=150,Q29-SUM(E29,G29,J29,L29,N29),0)</f>
        <v>0</v>
      </c>
      <c r="T29">
        <f>IF($B29=200,Q29-SUM(E29,G29,J29,L29,N29),0)</f>
        <v>0</v>
      </c>
      <c r="U29">
        <f>IF($B29=250,Q29-SUM(E29,G29,J29,L29,N29),0)</f>
        <v>0</v>
      </c>
      <c r="V29">
        <f>IF($B29=300,Q29-SUM(E29,G29,J29,L29,N29),0)</f>
        <v>0</v>
      </c>
      <c r="W29">
        <f>IF($B29=350,Q29-SUM(E29,G29,J29,L29,N29),0)</f>
        <v>0</v>
      </c>
      <c r="X29">
        <f>IF($B29=400,Q29-SUM(E29,G29,J29,L29,N29),0)</f>
        <v>0</v>
      </c>
      <c r="Y29">
        <f>IF($B29=100,Q29-SUM(E29,G29,J29,L29,N29),0)</f>
        <v>0</v>
      </c>
      <c r="Z29">
        <f>SUM(S29:Y29)*2</f>
        <v>0</v>
      </c>
      <c r="AD29">
        <f>AC29*(IF(S29&gt;0,150,IF(T29&gt;0,200,IF(U29&gt;0,250,IF(V29&gt;0,300,IF(W29&gt;0,350,IF(X29&gt;0,400,IF(Y29&gt;0,450))))))))/1000</f>
        <v>0</v>
      </c>
    </row>
    <row r="30">
      <c r="Y30">
        <f>IF($B30=100,Q30-SUM(E30,G30,J30,L30,N30),0)</f>
        <v>0</v>
      </c>
    </row>
    <row r="31">
      <c r="A31">
        <v>30</v>
      </c>
      <c r="C31">
        <f>8800-8*500</f>
        <v>4800</v>
      </c>
      <c r="D31">
        <v>6000</v>
      </c>
      <c r="Q31">
        <f>C31*D31/1000000-O31</f>
        <v>28.8</v>
      </c>
      <c r="S31">
        <f>IF($B31=150,Q31-SUM(E31,G31,J31,L31,N31),0)</f>
        <v>0</v>
      </c>
      <c r="T31">
        <f>IF($B31=200,Q31-SUM(E31,G31,J31,L31,N31),0)</f>
        <v>0</v>
      </c>
      <c r="U31">
        <f>IF($B31=250,Q31-SUM(E31,G31,J31,L31,N31),0)</f>
        <v>0</v>
      </c>
      <c r="V31">
        <f>IF($B31=300,Q31-SUM(E31,G31,J31,L31,N31),0)</f>
        <v>0</v>
      </c>
      <c r="W31">
        <f>IF($B31=350,Q31-SUM(E31,G31,J31,L31,N31),0)</f>
        <v>0</v>
      </c>
      <c r="X31">
        <f>IF($B31=400,Q31-SUM(E31,G31,J31,L31,N31),0)</f>
        <v>0</v>
      </c>
      <c r="Y31">
        <f>IF($B31=100,Q31-SUM(E31,G31,J31,L31,N31),0)</f>
        <v>0</v>
      </c>
      <c r="Z31">
        <f>SUM(S31:Y31)*2</f>
        <v>0</v>
      </c>
      <c r="AD31">
        <f>AC31*(IF(S31&gt;0,150,IF(T31&gt;0,200,IF(U31&gt;0,250,IF(V31&gt;0,300,IF(W31&gt;0,350,IF(X31&gt;0,400,IF(Y31&gt;0,450))))))))/1000</f>
        <v>0</v>
      </c>
    </row>
    <row r="32">
      <c r="A32">
        <v>31</v>
      </c>
      <c r="B32">
        <v>150</v>
      </c>
      <c r="C32">
        <v>3380</v>
      </c>
      <c r="D32">
        <v>6000</v>
      </c>
      <c r="Q32">
        <f>C32*D32/1000000-O32</f>
        <v>20.28</v>
      </c>
      <c r="S32">
        <f>IF($B32=150,Q32-SUM(E32,G32,J32,L32,N32),0)</f>
        <v>20.28</v>
      </c>
      <c r="T32">
        <f>IF($B32=200,Q32-SUM(E32,G32,J32,L32,N32),0)</f>
        <v>0</v>
      </c>
      <c r="U32">
        <f>IF($B32=250,Q32-SUM(E32,G32,J32,L32,N32),0)</f>
        <v>0</v>
      </c>
      <c r="V32">
        <f>IF($B32=300,Q32-SUM(E32,G32,J32,L32,N32),0)</f>
        <v>0</v>
      </c>
      <c r="W32">
        <f>IF($B32=350,Q32-SUM(E32,G32,J32,L32,N32),0)</f>
        <v>0</v>
      </c>
      <c r="X32">
        <f>IF($B32=400,Q32-SUM(E32,G32,J32,L32,N32),0)</f>
        <v>0</v>
      </c>
      <c r="Y32">
        <f>IF($B32=100,Q32-SUM(E32,G32,J32,L32,N32),0)</f>
        <v>0</v>
      </c>
      <c r="Z32">
        <f>SUM(S32:Y32)*2</f>
        <v>40.56</v>
      </c>
      <c r="AD32">
        <f>AC32*(IF(S32&gt;0,150,IF(T32&gt;0,200,IF(U32&gt;0,250,IF(V32&gt;0,300,IF(W32&gt;0,350,IF(X32&gt;0,400,IF(Y32&gt;0,450))))))))/1000</f>
        <v>0</v>
      </c>
    </row>
    <row r="33">
      <c r="Q33">
        <f>C33*D33/1000000-O33</f>
        <v>0</v>
      </c>
      <c r="S33">
        <f>IF($B33=150,Q33-SUM(E33,G33,J33,L33,N33),0)</f>
        <v>0</v>
      </c>
      <c r="T33">
        <f>IF($B33=200,Q33-SUM(E33,G33,J33,L33,N33),0)</f>
        <v>0</v>
      </c>
      <c r="U33">
        <f>IF($B33=250,Q33-SUM(E33,G33,J33,L33,N33),0)</f>
        <v>0</v>
      </c>
      <c r="V33">
        <f>IF($B33=300,Q33-SUM(E33,G33,J33,L33,N33),0)</f>
        <v>0</v>
      </c>
      <c r="W33">
        <f>IF($B33=350,Q33-SUM(E33,G33,J33,L33,N33),0)</f>
        <v>0</v>
      </c>
      <c r="X33">
        <f>IF($B33=400,Q33-SUM(E33,G33,J33,L33,N33),0)</f>
        <v>0</v>
      </c>
      <c r="Y33">
        <f>IF($B33=100,Q33-SUM(E33,G33,J33,L33,N33),0)</f>
        <v>0</v>
      </c>
      <c r="Z33">
        <f>SUM(S33:Y33)*2</f>
        <v>0</v>
      </c>
    </row>
    <row r="34">
      <c r="Q34">
        <f>C34*D34/1000000-O34</f>
        <v>0</v>
      </c>
      <c r="S34">
        <f>IF($B34=150,Q34-SUM(E34,G34,J34,L34,N34),0)</f>
        <v>0</v>
      </c>
      <c r="T34">
        <f>IF($B34=200,Q34-SUM(E34,G34,J34,L34,N34),0)</f>
        <v>0</v>
      </c>
      <c r="U34">
        <f>IF($B34=250,Q34-SUM(E34,G34,J34,L34,N34),0)</f>
        <v>0</v>
      </c>
      <c r="V34">
        <f>IF($B34=300,Q34-SUM(E34,G34,J34,L34,N34),0)</f>
        <v>0</v>
      </c>
      <c r="W34">
        <f>IF($B34=350,Q34-SUM(E34,G34,J34,L34,N34),0)</f>
        <v>0</v>
      </c>
      <c r="X34">
        <f>IF($B34=400,Q34-SUM(E34,G34,J34,L34,N34),0)</f>
        <v>0</v>
      </c>
      <c r="Y34">
        <f>IF($B34=100,Q34-SUM(E34,G34,J34,L34,N34),0)</f>
        <v>0</v>
      </c>
      <c r="Z34">
        <f>SUM(S34:Y34)*2</f>
        <v>0</v>
      </c>
    </row>
    <row r="35">
      <c r="Q35">
        <f>C35*D35/1000000-O35</f>
        <v>0</v>
      </c>
      <c r="S35">
        <f>IF($B35=150,Q35-SUM(E35,G35,J35,L35,N35),0)</f>
        <v>0</v>
      </c>
      <c r="T35">
        <f>IF($B35=200,Q35-SUM(E35,G35,J35,L35,N35),0)</f>
        <v>0</v>
      </c>
      <c r="U35">
        <f>IF($B35=250,Q35-SUM(E35,G35,J35,L35,N35),0)</f>
        <v>0</v>
      </c>
      <c r="V35">
        <f>IF($B35=300,Q35-SUM(E35,G35,J35,L35,N35),0)</f>
        <v>0</v>
      </c>
      <c r="W35">
        <f>IF($B35=350,Q35-SUM(E35,G35,J35,L35,N35),0)</f>
        <v>0</v>
      </c>
      <c r="X35">
        <f>IF($B35=400,Q35-SUM(E35,G35,J35,L35,N35),0)</f>
        <v>0</v>
      </c>
      <c r="Y35">
        <f>IF($B35=100,Q35-SUM(E35,G35,J35,L35,N35),0)</f>
        <v>0</v>
      </c>
      <c r="Z35">
        <f>SUM(S35:Y35)*2</f>
        <v>0</v>
      </c>
    </row>
    <row r="36">
      <c r="A36" t="str">
        <v>VOLUME</v>
      </c>
      <c r="F36">
        <f>SUM(F8:F35)</f>
        <v>0</v>
      </c>
      <c r="K36">
        <f>SUM(K8:K35)</f>
        <v>0</v>
      </c>
      <c r="M36">
        <f>SUM(M8:M35)</f>
        <v>0</v>
      </c>
      <c r="Q36">
        <f>SUM(Q8:Q35)</f>
        <v>776.9999999999999</v>
      </c>
      <c r="R36">
        <f>SUM(R8:R35)</f>
        <v>0</v>
      </c>
      <c r="S36">
        <f>SUM(S8:S35)</f>
        <v>148.67</v>
      </c>
      <c r="T36">
        <f>SUM(T8:T35)</f>
        <v>294.96000000000004</v>
      </c>
      <c r="U36">
        <f>SUM(U8:U35)</f>
        <v>0</v>
      </c>
      <c r="V36">
        <f>SUM(V8:V35)</f>
        <v>0</v>
      </c>
      <c r="W36">
        <f>SUM(W8:W35)</f>
        <v>0</v>
      </c>
      <c r="X36">
        <f>SUM(X8:X35)</f>
        <v>11.462499999999999</v>
      </c>
      <c r="Y36">
        <f>SUM(Y8:Y35)</f>
        <v>188.0775</v>
      </c>
      <c r="Z36">
        <f>SUM(Z8:Z35)</f>
        <v>1188.2625</v>
      </c>
      <c r="AA36">
        <f>SUM(AA8:AA35)</f>
        <v>0</v>
      </c>
      <c r="AB36">
        <f>SUM(R36:Y36)</f>
        <v>643.17</v>
      </c>
      <c r="AC36">
        <f>SUM(AC8:AC35)</f>
        <v>100.33999999999999</v>
      </c>
      <c r="AD36">
        <f>SUM(AD8:AD35)</f>
        <v>19.4745</v>
      </c>
    </row>
    <row r="37">
      <c r="AD37">
        <f>AD36/AB36</f>
        <v>0.03027893092028546</v>
      </c>
    </row>
    <row r="38">
      <c r="A38" t="str">
        <v>Lantai 2</v>
      </c>
      <c r="C38" t="str">
        <v>Panjang</v>
      </c>
      <c r="D38" t="str">
        <v>Tinggi</v>
      </c>
      <c r="E38" t="str">
        <v>Luas Pengurang</v>
      </c>
      <c r="Q38" t="str">
        <v>Luas Bruto - Kusen</v>
      </c>
      <c r="R38" t="str">
        <v>Luas Bruto - Kusen dan Balok</v>
      </c>
      <c r="S38" t="str">
        <v>Luas Dinding 1/2 Bata</v>
      </c>
      <c r="T38" t="str">
        <v>Luas Dinding 3/4 Bata</v>
      </c>
      <c r="U38" t="str">
        <v>Luas Dinding 1 Bata</v>
      </c>
      <c r="V38" t="str">
        <v>Luas Dinding 1 1/4 Bata</v>
      </c>
      <c r="W38" t="str">
        <v>Luas Dinding 1 1/2 Bata</v>
      </c>
      <c r="X38" t="str">
        <v xml:space="preserve">Luas Dinding 1 3/4 Bata </v>
      </c>
      <c r="Y38" t="str">
        <v>Luas Dinding  1/4 Bata</v>
      </c>
      <c r="Z38" t="str">
        <v>Plester &amp; Aci</v>
      </c>
      <c r="AA38" t="str">
        <v>Benangan</v>
      </c>
    </row>
    <row r="39">
      <c r="E39" t="str">
        <v>Kolom Struktur</v>
      </c>
      <c r="F39" t="str">
        <v>Kolom Praktis</v>
      </c>
      <c r="H39" t="str">
        <v>Balok Struktur</v>
      </c>
      <c r="K39" t="str">
        <v>Balok Latei</v>
      </c>
      <c r="M39" t="str">
        <v>Balok Praktis</v>
      </c>
      <c r="O39" t="str">
        <v>Luas Kusen</v>
      </c>
      <c r="P39" t="str">
        <v>Tipe Kusen</v>
      </c>
      <c r="AC39" t="str">
        <v>Benangan Opening</v>
      </c>
      <c r="AD39" t="str">
        <v>Luas Plesteran Opening</v>
      </c>
    </row>
    <row r="40">
      <c r="A40" t="str">
        <v>Nomor</v>
      </c>
      <c r="B40" t="str">
        <v>Tebal (mm)</v>
      </c>
      <c r="E40" t="str">
        <v>m2</v>
      </c>
      <c r="F40" t="str">
        <v>m'</v>
      </c>
      <c r="G40" t="str">
        <v>Luas KP</v>
      </c>
      <c r="H40" t="str">
        <v>panjang</v>
      </c>
      <c r="I40" t="str">
        <v>tinggi</v>
      </c>
      <c r="J40" t="str">
        <v>Luas Balok</v>
      </c>
      <c r="K40" t="str">
        <v>m'</v>
      </c>
      <c r="L40" t="str">
        <v>Luas BL</v>
      </c>
      <c r="M40" t="str">
        <v>m'</v>
      </c>
      <c r="N40" t="str">
        <v>Luas BP</v>
      </c>
      <c r="O40" t="str">
        <v>m2</v>
      </c>
      <c r="Q40" t="str">
        <v>m2</v>
      </c>
      <c r="R40" t="str">
        <v>m2</v>
      </c>
      <c r="S40" t="str">
        <v>m2</v>
      </c>
      <c r="T40" t="str">
        <v>m2</v>
      </c>
      <c r="U40" t="str">
        <v>m2</v>
      </c>
      <c r="V40" t="str">
        <v>m2</v>
      </c>
      <c r="W40" t="str">
        <v>m2</v>
      </c>
      <c r="X40" t="str">
        <v>m2</v>
      </c>
      <c r="Y40" t="str">
        <v>m2</v>
      </c>
      <c r="Z40" t="str">
        <v>m2</v>
      </c>
      <c r="AA40" t="str">
        <v>m'</v>
      </c>
    </row>
    <row r="41">
      <c r="A41">
        <v>1</v>
      </c>
      <c r="B41">
        <v>150</v>
      </c>
      <c r="C41">
        <v>2775</v>
      </c>
      <c r="D41">
        <v>4500</v>
      </c>
      <c r="O41">
        <f>(0.9*3)</f>
        <v>2.7</v>
      </c>
      <c r="P41" t="str">
        <v>PG</v>
      </c>
      <c r="Q41">
        <f>C41*D41/1000000-O41</f>
        <v>9.787500000000001</v>
      </c>
      <c r="S41">
        <f>IF($B41=150,Q41-SUM(E41,G41,J41,L41,N41),0)</f>
        <v>9.787500000000001</v>
      </c>
      <c r="T41">
        <f>IF($B41=200,Q41-SUM(E41,G41,J41,L41,N41),0)</f>
        <v>0</v>
      </c>
      <c r="U41">
        <f>IF($B41=250,Q41-SUM(E41,G41,J41,L41,N41),0)</f>
        <v>0</v>
      </c>
      <c r="V41">
        <f>IF($B41=300,Q41-SUM(E41,G41,J41,L41,N41),0)</f>
        <v>0</v>
      </c>
      <c r="W41">
        <f>IF($B41=350,Q41-SUM(E41,G41,J41,L41,N41),0)</f>
        <v>0</v>
      </c>
      <c r="X41">
        <f>IF($B41=400,Q41-SUM(E41,G41,J41,L41,N41),0)</f>
        <v>0</v>
      </c>
      <c r="Y41">
        <f>IF($B41=100,Q41-SUM(E41,G41,J41,L41,N41),0)</f>
        <v>0</v>
      </c>
      <c r="Z41">
        <f>SUM(S41:Y41)*2</f>
        <v>19.575000000000003</v>
      </c>
      <c r="AB41" t="str">
        <v>PG</v>
      </c>
      <c r="AC41">
        <f>(0.9+2*2.4)</f>
        <v>5.7</v>
      </c>
      <c r="AD41">
        <f>AC41*(IF(S41&gt;0,150,IF(T41&gt;0,200,IF(U41&gt;0,250,IF(V41&gt;0,300,IF(W41&gt;0,350,IF(X41&gt;0,400,IF(Y41&gt;0,450))))))))/1000</f>
        <v>0.855</v>
      </c>
    </row>
    <row r="42">
      <c r="A42">
        <v>2</v>
      </c>
      <c r="B42">
        <v>150</v>
      </c>
      <c r="C42">
        <v>4775</v>
      </c>
      <c r="D42">
        <v>4500</v>
      </c>
      <c r="Q42">
        <f>C42*D42/1000000-O42</f>
        <v>21.4875</v>
      </c>
      <c r="S42">
        <f>IF($B42=150,Q42-SUM(E42,G42,J42,L42,N42),0)</f>
        <v>21.4875</v>
      </c>
      <c r="T42">
        <f>IF($B42=200,Q42-SUM(E42,G42,J42,L42,N42),0)</f>
        <v>0</v>
      </c>
      <c r="U42">
        <f>IF($B42=250,Q42-SUM(E42,G42,J42,L42,N42),0)</f>
        <v>0</v>
      </c>
      <c r="V42">
        <f>IF($B42=300,Q42-SUM(E42,G42,J42,L42,N42),0)</f>
        <v>0</v>
      </c>
      <c r="W42">
        <f>IF($B42=350,Q42-SUM(E42,G42,J42,L42,N42),0)</f>
        <v>0</v>
      </c>
      <c r="X42">
        <f>IF($B42=400,Q42-SUM(E42,G42,J42,L42,N42),0)</f>
        <v>0</v>
      </c>
      <c r="Y42">
        <f>IF($B42=100,Q42-SUM(E42,G42,J42,L42,N42),0)</f>
        <v>0</v>
      </c>
      <c r="Z42">
        <f>SUM(S42:Y42)*2</f>
        <v>42.975</v>
      </c>
      <c r="AD42">
        <f>AC42*(IF(S42&gt;0,150,IF(T42&gt;0,200,IF(U42&gt;0,250,IF(V42&gt;0,300,IF(W42&gt;0,350,IF(X42&gt;0,400,IF(Y42&gt;0,450))))))))/1000</f>
        <v>0</v>
      </c>
    </row>
    <row r="43">
      <c r="A43">
        <v>3</v>
      </c>
      <c r="B43">
        <v>150</v>
      </c>
      <c r="C43">
        <v>2350</v>
      </c>
      <c r="D43">
        <v>4500</v>
      </c>
      <c r="Q43">
        <f>C43*D43/1000000-O43</f>
        <v>10.575</v>
      </c>
      <c r="S43">
        <f>IF($B43=150,Q43-SUM(E43,G43,J43,L43,N43),0)</f>
        <v>10.575</v>
      </c>
      <c r="T43">
        <f>IF($B43=200,Q43-SUM(E43,G43,J43,L43,N43),0)</f>
        <v>0</v>
      </c>
      <c r="U43">
        <f>IF($B43=250,Q43-SUM(E43,G43,J43,L43,N43),0)</f>
        <v>0</v>
      </c>
      <c r="V43">
        <f>IF($B43=300,Q43-SUM(E43,G43,J43,L43,N43),0)</f>
        <v>0</v>
      </c>
      <c r="W43">
        <f>IF($B43=350,Q43-SUM(E43,G43,J43,L43,N43),0)</f>
        <v>0</v>
      </c>
      <c r="X43">
        <f>IF($B43=400,Q43-SUM(E43,G43,J43,L43,N43),0)</f>
        <v>0</v>
      </c>
      <c r="Y43">
        <f>IF($B43=100,Q43-SUM(E43,G43,J43,L43,N43),0)</f>
        <v>0</v>
      </c>
      <c r="Z43">
        <f>SUM(S43:Y43)*2</f>
        <v>21.15</v>
      </c>
      <c r="AD43">
        <f>AC43*(IF(S43&gt;0,150,IF(T43&gt;0,200,IF(U43&gt;0,250,IF(V43&gt;0,300,IF(W43&gt;0,350,IF(X43&gt;0,400,IF(Y43&gt;0,450))))))))/1000</f>
        <v>0</v>
      </c>
    </row>
    <row r="44">
      <c r="A44">
        <v>4</v>
      </c>
      <c r="B44">
        <v>150</v>
      </c>
      <c r="C44">
        <v>5275</v>
      </c>
      <c r="D44">
        <v>4500</v>
      </c>
      <c r="O44">
        <f>(1*3)</f>
        <v>3</v>
      </c>
      <c r="P44" t="str">
        <v>O</v>
      </c>
      <c r="Q44">
        <f>C44*D44/1000000-O44</f>
        <v>20.7375</v>
      </c>
      <c r="S44">
        <f>IF($B44=150,Q44-SUM(E44,G44,J44,L44,N44),0)</f>
        <v>20.7375</v>
      </c>
      <c r="T44">
        <f>IF($B44=200,Q44-SUM(E44,G44,J44,L44,N44),0)</f>
        <v>0</v>
      </c>
      <c r="U44">
        <f>IF($B44=250,Q44-SUM(E44,G44,J44,L44,N44),0)</f>
        <v>0</v>
      </c>
      <c r="V44">
        <f>IF($B44=300,Q44-SUM(E44,G44,J44,L44,N44),0)</f>
        <v>0</v>
      </c>
      <c r="W44">
        <f>IF($B44=350,Q44-SUM(E44,G44,J44,L44,N44),0)</f>
        <v>0</v>
      </c>
      <c r="X44">
        <f>IF($B44=400,Q44-SUM(E44,G44,J44,L44,N44),0)</f>
        <v>0</v>
      </c>
      <c r="Y44">
        <f>IF($B44=100,Q44-SUM(E44,G44,J44,L44,N44),0)</f>
        <v>0</v>
      </c>
      <c r="Z44">
        <f>SUM(S44:Y44)*2</f>
        <v>41.475</v>
      </c>
      <c r="AB44" t="str">
        <v>O</v>
      </c>
      <c r="AC44">
        <f>(1+2*2.4)</f>
        <v>5.8</v>
      </c>
      <c r="AD44">
        <f>AC44*(IF(S44&gt;0,150,IF(T44&gt;0,200,IF(U44&gt;0,250,IF(V44&gt;0,300,IF(W44&gt;0,350,IF(X44&gt;0,400,IF(Y44&gt;0,450))))))))/1000</f>
        <v>0.87</v>
      </c>
    </row>
    <row r="45">
      <c r="A45">
        <v>5</v>
      </c>
      <c r="B45">
        <v>200</v>
      </c>
      <c r="C45">
        <v>5275</v>
      </c>
      <c r="D45">
        <v>4500</v>
      </c>
      <c r="O45">
        <f>(2.945*3)</f>
        <v>8.834999999999999</v>
      </c>
      <c r="P45" t="str">
        <v>PG</v>
      </c>
      <c r="Q45">
        <f>C45*D45/1000000-O45</f>
        <v>14.902500000000002</v>
      </c>
      <c r="S45">
        <f>IF($B45=150,Q45-SUM(E45,G45,J45,L45,N45),0)</f>
        <v>0</v>
      </c>
      <c r="T45">
        <f>IF($B45=200,Q45-SUM(E45,G45,J45,L45,N45),0)</f>
        <v>14.902500000000002</v>
      </c>
      <c r="U45">
        <f>IF($B45=250,Q45-SUM(E45,G45,J45,L45,N45),0)</f>
        <v>0</v>
      </c>
      <c r="V45">
        <f>IF($B45=300,Q45-SUM(E45,G45,J45,L45,N45),0)</f>
        <v>0</v>
      </c>
      <c r="W45">
        <f>IF($B45=350,Q45-SUM(E45,G45,J45,L45,N45),0)</f>
        <v>0</v>
      </c>
      <c r="X45">
        <f>IF($B45=400,Q45-SUM(E45,G45,J45,L45,N45),0)</f>
        <v>0</v>
      </c>
      <c r="Y45">
        <f>IF($B45=100,Q45-SUM(E45,G45,J45,L45,N45),0)</f>
        <v>0</v>
      </c>
      <c r="Z45">
        <f>SUM(S45:Y45)*2</f>
        <v>29.805000000000003</v>
      </c>
      <c r="AB45" t="str">
        <v>PG</v>
      </c>
      <c r="AC45">
        <f>(2.945+2*2.4)</f>
        <v>7.744999999999999</v>
      </c>
      <c r="AD45">
        <f>AC45*(IF(S45&gt;0,150,IF(T45&gt;0,200,IF(U45&gt;0,250,IF(V45&gt;0,300,IF(W45&gt;0,350,IF(X45&gt;0,400,IF(Y45&gt;0,450))))))))/1000</f>
        <v>1.5489999999999997</v>
      </c>
    </row>
    <row r="46">
      <c r="A46">
        <v>6</v>
      </c>
      <c r="B46">
        <v>200</v>
      </c>
      <c r="C46">
        <v>14775</v>
      </c>
      <c r="D46">
        <v>4500</v>
      </c>
      <c r="O46">
        <f>(0.98*3)+(0.72*1.2)+(0.98*3)</f>
        <v>6.744</v>
      </c>
      <c r="P46" t="str">
        <v>PJ,P</v>
      </c>
      <c r="Q46">
        <f>C46*D46/1000000-O46</f>
        <v>59.7435</v>
      </c>
      <c r="S46">
        <f>IF($B46=150,Q46-SUM(E46,G46,J46,L46,N46),0)</f>
        <v>0</v>
      </c>
      <c r="T46">
        <f>IF($B46=200,Q46-SUM(E46,G46,J46,L46,N46),0)</f>
        <v>59.7435</v>
      </c>
      <c r="U46">
        <f>IF($B46=250,Q46-SUM(E46,G46,J46,L46,N46),0)</f>
        <v>0</v>
      </c>
      <c r="V46">
        <f>IF($B46=300,Q46-SUM(E46,G46,J46,L46,N46),0)</f>
        <v>0</v>
      </c>
      <c r="W46">
        <f>IF($B46=350,Q46-SUM(E46,G46,J46,L46,N46),0)</f>
        <v>0</v>
      </c>
      <c r="X46">
        <f>IF($B46=400,Q46-SUM(E46,G46,J46,L46,N46),0)</f>
        <v>0</v>
      </c>
      <c r="Y46">
        <f>IF($B46=100,Q46-SUM(E46,G46,J46,L46,N46),0)</f>
        <v>0</v>
      </c>
      <c r="Z46">
        <f>SUM(S46:Y46)*2</f>
        <v>119.487</v>
      </c>
      <c r="AB46" t="str">
        <v>PJ,P</v>
      </c>
      <c r="AC46">
        <f>(0.98+2*2.4)+(0.72+2*1.2)+(0.98+2*2.4)</f>
        <v>14.679999999999998</v>
      </c>
      <c r="AD46">
        <f>AC46*(IF(S46&gt;0,150,IF(T46&gt;0,200,IF(U46&gt;0,250,IF(V46&gt;0,300,IF(W46&gt;0,350,IF(X46&gt;0,400,IF(Y46&gt;0,450))))))))/1000</f>
        <v>2.9359999999999995</v>
      </c>
    </row>
    <row r="47">
      <c r="A47">
        <v>7</v>
      </c>
      <c r="B47">
        <v>150</v>
      </c>
      <c r="C47">
        <v>3350</v>
      </c>
      <c r="D47">
        <v>4500</v>
      </c>
      <c r="O47">
        <f>(0.98*3)</f>
        <v>2.94</v>
      </c>
      <c r="P47" t="str">
        <v>P</v>
      </c>
      <c r="Q47">
        <f>C47*D47/1000000-O47</f>
        <v>12.135</v>
      </c>
      <c r="S47">
        <f>IF($B47=150,Q47-SUM(E47,G47,J47,L47,N47),0)</f>
        <v>12.135</v>
      </c>
      <c r="T47">
        <f>IF($B47=200,Q47-SUM(E47,G47,J47,L47,N47),0)</f>
        <v>0</v>
      </c>
      <c r="U47">
        <f>IF($B47=250,Q47-SUM(E47,G47,J47,L47,N47),0)</f>
        <v>0</v>
      </c>
      <c r="V47">
        <f>IF($B47=300,Q47-SUM(E47,G47,J47,L47,N47),0)</f>
        <v>0</v>
      </c>
      <c r="W47">
        <f>IF($B47=350,Q47-SUM(E47,G47,J47,L47,N47),0)</f>
        <v>0</v>
      </c>
      <c r="X47">
        <f>IF($B47=400,Q47-SUM(E47,G47,J47,L47,N47),0)</f>
        <v>0</v>
      </c>
      <c r="Y47">
        <f>IF($B47=100,Q47-SUM(E47,G47,J47,L47,N47),0)</f>
        <v>0</v>
      </c>
      <c r="Z47">
        <f>SUM(S47:Y47)*2</f>
        <v>24.27</v>
      </c>
      <c r="AB47" t="str">
        <v>P</v>
      </c>
      <c r="AC47">
        <f>(0.98+2*2.4)</f>
        <v>5.779999999999999</v>
      </c>
      <c r="AD47">
        <f>AC47*(IF(S47&gt;0,150,IF(T47&gt;0,200,IF(U47&gt;0,250,IF(V47&gt;0,300,IF(W47&gt;0,350,IF(X47&gt;0,400,IF(Y47&gt;0,450))))))))/1000</f>
        <v>0.8669999999999999</v>
      </c>
    </row>
    <row r="48">
      <c r="A48">
        <v>8</v>
      </c>
      <c r="B48">
        <v>150</v>
      </c>
      <c r="C48">
        <v>3775</v>
      </c>
      <c r="D48">
        <v>4500</v>
      </c>
      <c r="O48">
        <f>(0.9*1.2)</f>
        <v>1.08</v>
      </c>
      <c r="P48" t="str">
        <v>J</v>
      </c>
      <c r="Q48">
        <f>C48*D48/1000000-O48</f>
        <v>15.9075</v>
      </c>
      <c r="S48">
        <f>IF($B48=150,Q48-SUM(E48,G48,J48,L48,N48),0)</f>
        <v>15.9075</v>
      </c>
      <c r="T48">
        <f>IF($B48=200,Q48-SUM(E48,G48,J48,L48,N48),0)</f>
        <v>0</v>
      </c>
      <c r="U48">
        <f>IF($B48=250,Q48-SUM(E48,G48,J48,L48,N48),0)</f>
        <v>0</v>
      </c>
      <c r="V48">
        <f>IF($B48=300,Q48-SUM(E48,G48,J48,L48,N48),0)</f>
        <v>0</v>
      </c>
      <c r="W48">
        <f>IF($B48=350,Q48-SUM(E48,G48,J48,L48,N48),0)</f>
        <v>0</v>
      </c>
      <c r="X48">
        <f>IF($B48=400,Q48-SUM(E48,G48,J48,L48,N48),0)</f>
        <v>0</v>
      </c>
      <c r="Y48">
        <f>IF($B48=100,Q48-SUM(E48,G48,J48,L48,N48),0)</f>
        <v>0</v>
      </c>
      <c r="Z48">
        <f>SUM(S48:Y48)*2</f>
        <v>31.815</v>
      </c>
      <c r="AB48" t="str">
        <v>J</v>
      </c>
      <c r="AC48">
        <f>2*(0.9+1.2)</f>
        <v>4.2</v>
      </c>
      <c r="AD48">
        <f>AC48*(IF(S48&gt;0,150,IF(T48&gt;0,200,IF(U48&gt;0,250,IF(V48&gt;0,300,IF(W48&gt;0,350,IF(X48&gt;0,400,IF(Y48&gt;0,450))))))))/1000</f>
        <v>0.63</v>
      </c>
    </row>
    <row r="49">
      <c r="A49">
        <v>9</v>
      </c>
      <c r="B49">
        <v>150</v>
      </c>
      <c r="C49">
        <v>2350</v>
      </c>
      <c r="D49">
        <v>4500</v>
      </c>
      <c r="O49">
        <f>(0.9*3)</f>
        <v>2.7</v>
      </c>
      <c r="P49" t="str">
        <v>O</v>
      </c>
      <c r="Q49">
        <f>C49*D49/1000000-O49</f>
        <v>7.874999999999999</v>
      </c>
      <c r="S49">
        <f>IF($B49=150,Q49-SUM(E49,G49,J49,L49,N49),0)</f>
        <v>7.874999999999999</v>
      </c>
      <c r="T49">
        <f>IF($B49=200,Q49-SUM(E49,G49,J49,L49,N49),0)</f>
        <v>0</v>
      </c>
      <c r="U49">
        <f>IF($B49=250,Q49-SUM(E49,G49,J49,L49,N49),0)</f>
        <v>0</v>
      </c>
      <c r="V49">
        <f>IF($B49=300,Q49-SUM(E49,G49,J49,L49,N49),0)</f>
        <v>0</v>
      </c>
      <c r="W49">
        <f>IF($B49=350,Q49-SUM(E49,G49,J49,L49,N49),0)</f>
        <v>0</v>
      </c>
      <c r="X49">
        <f>IF($B49=400,Q49-SUM(E49,G49,J49,L49,N49),0)</f>
        <v>0</v>
      </c>
      <c r="Y49">
        <f>IF($B49=100,Q49-SUM(E49,G49,J49,L49,N49),0)</f>
        <v>0</v>
      </c>
      <c r="Z49">
        <f>SUM(S49:Y49)*2</f>
        <v>15.749999999999998</v>
      </c>
      <c r="AB49" t="str">
        <v>O</v>
      </c>
      <c r="AC49">
        <f>(0.9+2*2.4)</f>
        <v>5.7</v>
      </c>
      <c r="AD49">
        <f>AC49*(IF(S49&gt;0,150,IF(T49&gt;0,200,IF(U49&gt;0,250,IF(V49&gt;0,300,IF(W49&gt;0,350,IF(X49&gt;0,400,IF(Y49&gt;0,450))))))))/1000</f>
        <v>0.855</v>
      </c>
    </row>
    <row r="50">
      <c r="A50">
        <v>10</v>
      </c>
      <c r="B50">
        <v>150</v>
      </c>
      <c r="C50">
        <v>1925</v>
      </c>
      <c r="D50">
        <v>4500</v>
      </c>
      <c r="Q50">
        <f>C50*D50/1000000-O50</f>
        <v>8.6625</v>
      </c>
      <c r="S50">
        <f>IF($B50=150,Q50-SUM(E50,G50,J50,L50,N50),0)</f>
        <v>8.6625</v>
      </c>
      <c r="T50">
        <f>IF($B50=200,Q50-SUM(E50,G50,J50,L50,N50),0)</f>
        <v>0</v>
      </c>
      <c r="U50">
        <f>IF($B50=250,Q50-SUM(E50,G50,J50,L50,N50),0)</f>
        <v>0</v>
      </c>
      <c r="V50">
        <f>IF($B50=300,Q50-SUM(E50,G50,J50,L50,N50),0)</f>
        <v>0</v>
      </c>
      <c r="W50">
        <f>IF($B50=350,Q50-SUM(E50,G50,J50,L50,N50),0)</f>
        <v>0</v>
      </c>
      <c r="X50">
        <f>IF($B50=400,Q50-SUM(E50,G50,J50,L50,N50),0)</f>
        <v>0</v>
      </c>
      <c r="Y50">
        <f>IF($B50=100,Q50-SUM(E50,G50,J50,L50,N50),0)</f>
        <v>0</v>
      </c>
      <c r="Z50">
        <f>SUM(S50:Y50)*2</f>
        <v>17.325</v>
      </c>
      <c r="AD50">
        <f>AC50*(IF(S50&gt;0,150,IF(T50&gt;0,200,IF(U50&gt;0,250,IF(V50&gt;0,300,IF(W50&gt;0,350,IF(X50&gt;0,400,IF(Y50&gt;0,450))))))))/1000</f>
        <v>0</v>
      </c>
    </row>
    <row r="51">
      <c r="A51">
        <v>11</v>
      </c>
      <c r="B51">
        <v>200</v>
      </c>
      <c r="C51">
        <v>2200</v>
      </c>
      <c r="D51">
        <v>4500</v>
      </c>
      <c r="Q51">
        <f>C51*D51/1000000-O51</f>
        <v>9.9</v>
      </c>
      <c r="S51">
        <f>IF($B51=150,Q51-SUM(E51,G51,J51,L51,N51),0)</f>
        <v>0</v>
      </c>
      <c r="T51">
        <f>IF($B51=200,Q51-SUM(E51,G51,J51,L51,N51),0)</f>
        <v>9.9</v>
      </c>
      <c r="U51">
        <f>IF($B51=250,Q51-SUM(E51,G51,J51,L51,N51),0)</f>
        <v>0</v>
      </c>
      <c r="V51">
        <f>IF($B51=300,Q51-SUM(E51,G51,J51,L51,N51),0)</f>
        <v>0</v>
      </c>
      <c r="W51">
        <f>IF($B51=350,Q51-SUM(E51,G51,J51,L51,N51),0)</f>
        <v>0</v>
      </c>
      <c r="X51">
        <f>IF($B51=400,Q51-SUM(E51,G51,J51,L51,N51),0)</f>
        <v>0</v>
      </c>
      <c r="Y51">
        <f>IF($B51=100,Q51-SUM(E51,G51,J51,L51,N51),0)</f>
        <v>0</v>
      </c>
      <c r="Z51">
        <f>SUM(S51:Y51)*2</f>
        <v>19.8</v>
      </c>
      <c r="AD51">
        <f>AC51*(IF(S51&gt;0,150,IF(T51&gt;0,200,IF(U51&gt;0,250,IF(V51&gt;0,300,IF(W51&gt;0,350,IF(X51&gt;0,400,IF(Y51&gt;0,450))))))))/1000</f>
        <v>0</v>
      </c>
    </row>
    <row r="52">
      <c r="A52">
        <v>12</v>
      </c>
      <c r="B52">
        <v>150</v>
      </c>
      <c r="C52">
        <v>6200</v>
      </c>
      <c r="D52">
        <v>4500</v>
      </c>
      <c r="Q52">
        <f>C52*D52/1000000-O52</f>
        <v>27.9</v>
      </c>
      <c r="S52">
        <f>IF($B52=150,Q52-SUM(E52,G52,J52,L52,N52),0)</f>
        <v>27.9</v>
      </c>
      <c r="T52">
        <f>IF($B52=200,Q52-SUM(E52,G52,J52,L52,N52),0)</f>
        <v>0</v>
      </c>
      <c r="U52">
        <f>IF($B52=250,Q52-SUM(E52,G52,J52,L52,N52),0)</f>
        <v>0</v>
      </c>
      <c r="V52">
        <f>IF($B52=300,Q52-SUM(E52,G52,J52,L52,N52),0)</f>
        <v>0</v>
      </c>
      <c r="W52">
        <f>IF($B52=350,Q52-SUM(E52,G52,J52,L52,N52),0)</f>
        <v>0</v>
      </c>
      <c r="X52">
        <f>IF($B52=400,Q52-SUM(E52,G52,J52,L52,N52),0)</f>
        <v>0</v>
      </c>
      <c r="Y52">
        <f>IF($B52=100,Q52-SUM(E52,G52,J52,L52,N52),0)</f>
        <v>0</v>
      </c>
      <c r="Z52">
        <f>SUM(S52:Y52)*2</f>
        <v>55.8</v>
      </c>
      <c r="AD52">
        <f>AC52*(IF(S52&gt;0,150,IF(T52&gt;0,200,IF(U52&gt;0,250,IF(V52&gt;0,300,IF(W52&gt;0,350,IF(X52&gt;0,400,IF(Y52&gt;0,450))))))))/1000</f>
        <v>0</v>
      </c>
    </row>
    <row r="53">
      <c r="A53">
        <v>13</v>
      </c>
      <c r="B53">
        <v>200</v>
      </c>
      <c r="C53">
        <v>150</v>
      </c>
      <c r="D53">
        <v>4500</v>
      </c>
      <c r="Q53">
        <f>C53*D53/1000000-O53</f>
        <v>0.675</v>
      </c>
      <c r="S53">
        <f>IF($B53=150,Q53-SUM(E53,G53,J53,L53,N53),0)</f>
        <v>0</v>
      </c>
      <c r="T53">
        <f>IF($B53=200,Q53-SUM(E53,G53,J53,L53,N53),0)</f>
        <v>0.675</v>
      </c>
      <c r="U53">
        <f>IF($B53=250,Q53-SUM(E53,G53,J53,L53,N53),0)</f>
        <v>0</v>
      </c>
      <c r="V53">
        <f>IF($B53=300,Q53-SUM(E53,G53,J53,L53,N53),0)</f>
        <v>0</v>
      </c>
      <c r="W53">
        <f>IF($B53=350,Q53-SUM(E53,G53,J53,L53,N53),0)</f>
        <v>0</v>
      </c>
      <c r="X53">
        <f>IF($B53=400,Q53-SUM(E53,G53,J53,L53,N53),0)</f>
        <v>0</v>
      </c>
      <c r="Y53">
        <f>IF($B53=100,Q53-SUM(E53,G53,J53,L53,N53),0)</f>
        <v>0</v>
      </c>
      <c r="Z53">
        <f>SUM(S53:Y53)*2</f>
        <v>1.35</v>
      </c>
      <c r="AD53">
        <f>AC53*(IF(S53&gt;0,150,IF(T53&gt;0,200,IF(U53&gt;0,250,IF(V53&gt;0,300,IF(W53&gt;0,350,IF(X53&gt;0,400,IF(Y53&gt;0,450))))))))/1000</f>
        <v>0</v>
      </c>
    </row>
    <row r="54">
      <c r="A54">
        <v>14</v>
      </c>
      <c r="B54">
        <v>200</v>
      </c>
      <c r="C54">
        <v>150</v>
      </c>
      <c r="D54">
        <v>4500</v>
      </c>
      <c r="Q54">
        <f>C54*D54/1000000-O54</f>
        <v>0.675</v>
      </c>
      <c r="S54">
        <f>IF($B54=150,Q54-SUM(E54,G54,J54,L54,N54),0)</f>
        <v>0</v>
      </c>
      <c r="T54">
        <f>IF($B54=200,Q54-SUM(E54,G54,J54,L54,N54),0)</f>
        <v>0.675</v>
      </c>
      <c r="U54">
        <f>IF($B54=250,Q54-SUM(E54,G54,J54,L54,N54),0)</f>
        <v>0</v>
      </c>
      <c r="V54">
        <f>IF($B54=300,Q54-SUM(E54,G54,J54,L54,N54),0)</f>
        <v>0</v>
      </c>
      <c r="W54">
        <f>IF($B54=350,Q54-SUM(E54,G54,J54,L54,N54),0)</f>
        <v>0</v>
      </c>
      <c r="X54">
        <f>IF($B54=400,Q54-SUM(E54,G54,J54,L54,N54),0)</f>
        <v>0</v>
      </c>
      <c r="Y54">
        <f>IF($B54=100,Q54-SUM(E54,G54,J54,L54,N54),0)</f>
        <v>0</v>
      </c>
      <c r="Z54">
        <f>SUM(S54:Y54)*2</f>
        <v>1.35</v>
      </c>
      <c r="AD54">
        <f>AC54*(IF(S54&gt;0,150,IF(T54&gt;0,200,IF(U54&gt;0,250,IF(V54&gt;0,300,IF(W54&gt;0,350,IF(X54&gt;0,400,IF(Y54&gt;0,450))))))))/1000</f>
        <v>0</v>
      </c>
    </row>
    <row r="55">
      <c r="A55">
        <v>15</v>
      </c>
      <c r="B55">
        <v>200</v>
      </c>
      <c r="C55">
        <v>7250</v>
      </c>
      <c r="D55">
        <v>4500</v>
      </c>
      <c r="O55">
        <f>(1.2*3)</f>
        <v>3.5999999999999996</v>
      </c>
      <c r="P55" t="str">
        <v>P</v>
      </c>
      <c r="Q55">
        <f>C55*D55/1000000-O55</f>
        <v>29.025</v>
      </c>
      <c r="S55">
        <f>IF($B55=150,Q55-SUM(E55,G55,J55,L55,N55),0)</f>
        <v>0</v>
      </c>
      <c r="T55">
        <f>IF($B55=200,Q55-SUM(E55,G55,J55,L55,N55),0)</f>
        <v>29.025</v>
      </c>
      <c r="U55">
        <f>IF($B55=250,Q55-SUM(E55,G55,J55,L55,N55),0)</f>
        <v>0</v>
      </c>
      <c r="V55">
        <f>IF($B55=300,Q55-SUM(E55,G55,J55,L55,N55),0)</f>
        <v>0</v>
      </c>
      <c r="W55">
        <f>IF($B55=350,Q55-SUM(E55,G55,J55,L55,N55),0)</f>
        <v>0</v>
      </c>
      <c r="X55">
        <f>IF($B55=400,Q55-SUM(E55,G55,J55,L55,N55),0)</f>
        <v>0</v>
      </c>
      <c r="Y55">
        <f>IF($B55=100,Q55-SUM(E55,G55,J55,L55,N55),0)</f>
        <v>0</v>
      </c>
      <c r="Z55">
        <f>SUM(S55:Y55)*2</f>
        <v>58.05</v>
      </c>
      <c r="AB55" t="str">
        <v>P</v>
      </c>
      <c r="AC55">
        <f>(1.2+2*2.4)</f>
        <v>6</v>
      </c>
      <c r="AD55">
        <f>AC55*(IF(S55&gt;0,150,IF(T55&gt;0,200,IF(U55&gt;0,250,IF(V55&gt;0,300,IF(W55&gt;0,350,IF(X55&gt;0,400,IF(Y55&gt;0,450))))))))/1000</f>
        <v>1.2</v>
      </c>
    </row>
    <row r="56">
      <c r="A56">
        <v>16</v>
      </c>
      <c r="B56">
        <v>150</v>
      </c>
      <c r="C56">
        <v>3775</v>
      </c>
      <c r="D56">
        <v>4500</v>
      </c>
      <c r="O56">
        <f>(1.8*3)</f>
        <v>5.4</v>
      </c>
      <c r="P56" t="str">
        <v>PG</v>
      </c>
      <c r="Q56">
        <f>C56*D56/1000000-O56</f>
        <v>11.5875</v>
      </c>
      <c r="S56">
        <f>IF($B56=150,Q56-SUM(E56,G56,J56,L56,N56),0)</f>
        <v>11.5875</v>
      </c>
      <c r="T56">
        <f>IF($B56=200,Q56-SUM(E56,G56,J56,L56,N56),0)</f>
        <v>0</v>
      </c>
      <c r="U56">
        <f>IF($B56=250,Q56-SUM(E56,G56,J56,L56,N56),0)</f>
        <v>0</v>
      </c>
      <c r="V56">
        <f>IF($B56=300,Q56-SUM(E56,G56,J56,L56,N56),0)</f>
        <v>0</v>
      </c>
      <c r="W56">
        <f>IF($B56=350,Q56-SUM(E56,G56,J56,L56,N56),0)</f>
        <v>0</v>
      </c>
      <c r="X56">
        <f>IF($B56=400,Q56-SUM(E56,G56,J56,L56,N56),0)</f>
        <v>0</v>
      </c>
      <c r="Y56">
        <f>IF($B56=100,Q56-SUM(E56,G56,J56,L56,N56),0)</f>
        <v>0</v>
      </c>
      <c r="Z56">
        <f>SUM(S56:Y56)*2</f>
        <v>23.175</v>
      </c>
      <c r="AB56" t="str">
        <v>PG</v>
      </c>
      <c r="AC56">
        <f>(1.8+2*2.4)</f>
        <v>6.6</v>
      </c>
      <c r="AD56">
        <f>AC56*(IF(S56&gt;0,150,IF(T56&gt;0,200,IF(U56&gt;0,250,IF(V56&gt;0,300,IF(W56&gt;0,350,IF(X56&gt;0,400,IF(Y56&gt;0,450))))))))/1000</f>
        <v>0.99</v>
      </c>
    </row>
    <row r="57">
      <c r="A57">
        <v>17</v>
      </c>
      <c r="B57">
        <v>200</v>
      </c>
      <c r="C57">
        <v>5000</v>
      </c>
      <c r="D57">
        <v>4500</v>
      </c>
      <c r="O57">
        <f>(2*3)</f>
        <v>6</v>
      </c>
      <c r="P57" t="str">
        <v>J</v>
      </c>
      <c r="Q57">
        <f>C57*D57/1000000-O57</f>
        <v>16.5</v>
      </c>
      <c r="S57">
        <f>IF($B57=150,Q57-SUM(E57,G57,J57,L57,N57),0)</f>
        <v>0</v>
      </c>
      <c r="T57">
        <f>IF($B57=200,Q57-SUM(E57,G57,J57,L57,N57),0)</f>
        <v>16.5</v>
      </c>
      <c r="U57">
        <f>IF($B57=250,Q57-SUM(E57,G57,J57,L57,N57),0)</f>
        <v>0</v>
      </c>
      <c r="V57">
        <f>IF($B57=300,Q57-SUM(E57,G57,J57,L57,N57),0)</f>
        <v>0</v>
      </c>
      <c r="W57">
        <f>IF($B57=350,Q57-SUM(E57,G57,J57,L57,N57),0)</f>
        <v>0</v>
      </c>
      <c r="X57">
        <f>IF($B57=400,Q57-SUM(E57,G57,J57,L57,N57),0)</f>
        <v>0</v>
      </c>
      <c r="Y57">
        <f>IF($B57=100,Q57-SUM(E57,G57,J57,L57,N57),0)</f>
        <v>0</v>
      </c>
      <c r="Z57">
        <f>SUM(S57:Y57)*2</f>
        <v>33</v>
      </c>
      <c r="AB57" t="str">
        <v>J</v>
      </c>
      <c r="AC57">
        <f>2*(2+3)</f>
        <v>10</v>
      </c>
      <c r="AD57">
        <f>AC57*(IF(S57&gt;0,150,IF(T57&gt;0,200,IF(U57&gt;0,250,IF(V57&gt;0,300,IF(W57&gt;0,350,IF(X57&gt;0,400,IF(Y57&gt;0,450))))))))/1000</f>
        <v>2</v>
      </c>
    </row>
    <row r="58">
      <c r="A58">
        <v>18</v>
      </c>
      <c r="B58">
        <v>200</v>
      </c>
      <c r="C58">
        <v>6500</v>
      </c>
      <c r="D58">
        <v>4500</v>
      </c>
      <c r="O58">
        <f>(1.2*3)</f>
        <v>3.5999999999999996</v>
      </c>
      <c r="P58" t="str">
        <v>P</v>
      </c>
      <c r="Q58">
        <f>C58*D58/1000000-O58</f>
        <v>25.65</v>
      </c>
      <c r="S58">
        <f>IF($B58=150,Q58-SUM(E58,G58,J58,L58,N58),0)</f>
        <v>0</v>
      </c>
      <c r="T58">
        <f>IF($B58=200,Q58-SUM(E58,G58,J58,L58,N58),0)</f>
        <v>25.65</v>
      </c>
      <c r="U58">
        <f>IF($B58=250,Q58-SUM(E58,G58,J58,L58,N58),0)</f>
        <v>0</v>
      </c>
      <c r="V58">
        <f>IF($B58=300,Q58-SUM(E58,G58,J58,L58,N58),0)</f>
        <v>0</v>
      </c>
      <c r="W58">
        <f>IF($B58=350,Q58-SUM(E58,G58,J58,L58,N58),0)</f>
        <v>0</v>
      </c>
      <c r="X58">
        <f>IF($B58=400,Q58-SUM(E58,G58,J58,L58,N58),0)</f>
        <v>0</v>
      </c>
      <c r="Y58">
        <f>IF($B58=100,Q58-SUM(E58,G58,J58,L58,N58),0)</f>
        <v>0</v>
      </c>
      <c r="Z58">
        <f>SUM(S58:Y58)*2</f>
        <v>51.3</v>
      </c>
      <c r="AB58" t="str">
        <v>P</v>
      </c>
      <c r="AC58">
        <f>(1.2+2*2.4)</f>
        <v>6</v>
      </c>
      <c r="AD58">
        <f>AC58*(IF(S58&gt;0,150,IF(T58&gt;0,200,IF(U58&gt;0,250,IF(V58&gt;0,300,IF(W58&gt;0,350,IF(X58&gt;0,400,IF(Y58&gt;0,450))))))))/1000</f>
        <v>1.2</v>
      </c>
    </row>
    <row r="59">
      <c r="A59">
        <v>19</v>
      </c>
      <c r="B59">
        <v>150</v>
      </c>
      <c r="C59">
        <v>1850</v>
      </c>
      <c r="D59">
        <v>4500</v>
      </c>
      <c r="O59">
        <f>(1*3)</f>
        <v>3</v>
      </c>
      <c r="P59" t="str">
        <v>P</v>
      </c>
      <c r="Q59">
        <f>C59*D59/1000000-O59</f>
        <v>5.324999999999999</v>
      </c>
      <c r="S59">
        <f>IF($B59=150,Q59-SUM(E59,G59,J59,L59,N59),0)</f>
        <v>5.324999999999999</v>
      </c>
      <c r="T59">
        <f>IF($B59=200,Q59-SUM(E59,G59,J59,L59,N59),0)</f>
        <v>0</v>
      </c>
      <c r="U59">
        <f>IF($B59=250,Q59-SUM(E59,G59,J59,L59,N59),0)</f>
        <v>0</v>
      </c>
      <c r="V59">
        <f>IF($B59=300,Q59-SUM(E59,G59,J59,L59,N59),0)</f>
        <v>0</v>
      </c>
      <c r="W59">
        <f>IF($B59=350,Q59-SUM(E59,G59,J59,L59,N59),0)</f>
        <v>0</v>
      </c>
      <c r="X59">
        <f>IF($B59=400,Q59-SUM(E59,G59,J59,L59,N59),0)</f>
        <v>0</v>
      </c>
      <c r="Y59">
        <f>IF($B59=100,Q59-SUM(E59,G59,J59,L59,N59),0)</f>
        <v>0</v>
      </c>
      <c r="Z59">
        <f>SUM(S59:Y59)*2</f>
        <v>10.649999999999999</v>
      </c>
      <c r="AB59" t="str">
        <v>P</v>
      </c>
      <c r="AC59">
        <f>(1+2*2.4)</f>
        <v>5.8</v>
      </c>
      <c r="AD59">
        <f>AC59*(IF(S59&gt;0,150,IF(T59&gt;0,200,IF(U59&gt;0,250,IF(V59&gt;0,300,IF(W59&gt;0,350,IF(X59&gt;0,400,IF(Y59&gt;0,450))))))))/1000</f>
        <v>0.87</v>
      </c>
    </row>
    <row r="60">
      <c r="A60">
        <v>20</v>
      </c>
      <c r="B60">
        <v>150</v>
      </c>
      <c r="C60">
        <v>4600</v>
      </c>
      <c r="D60">
        <v>4500</v>
      </c>
      <c r="Q60">
        <f>C60*D60/1000000-O60</f>
        <v>20.7</v>
      </c>
      <c r="S60">
        <f>IF($B60=150,Q60-SUM(E60,G60,J60,L60,N60),0)</f>
        <v>20.7</v>
      </c>
      <c r="T60">
        <f>IF($B60=200,Q60-SUM(E60,G60,J60,L60,N60),0)</f>
        <v>0</v>
      </c>
      <c r="U60">
        <f>IF($B60=250,Q60-SUM(E60,G60,J60,L60,N60),0)</f>
        <v>0</v>
      </c>
      <c r="V60">
        <f>IF($B60=300,Q60-SUM(E60,G60,J60,L60,N60),0)</f>
        <v>0</v>
      </c>
      <c r="W60">
        <f>IF($B60=350,Q60-SUM(E60,G60,J60,L60,N60),0)</f>
        <v>0</v>
      </c>
      <c r="X60">
        <f>IF($B60=400,Q60-SUM(E60,G60,J60,L60,N60),0)</f>
        <v>0</v>
      </c>
      <c r="Y60">
        <f>IF($B60=100,Q60-SUM(E60,G60,J60,L60,N60),0)</f>
        <v>0</v>
      </c>
      <c r="Z60">
        <f>SUM(S60:Y60)*2</f>
        <v>41.4</v>
      </c>
      <c r="AD60">
        <f>AC60*(IF(S60&gt;0,150,IF(T60&gt;0,200,IF(U60&gt;0,250,IF(V60&gt;0,300,IF(W60&gt;0,350,IF(X60&gt;0,400,IF(Y60&gt;0,450))))))))/1000</f>
        <v>0</v>
      </c>
    </row>
    <row r="61">
      <c r="A61">
        <v>21</v>
      </c>
      <c r="B61">
        <v>150</v>
      </c>
      <c r="C61">
        <v>5850</v>
      </c>
      <c r="D61">
        <v>4500</v>
      </c>
      <c r="Q61">
        <f>C61*D61/1000000-O61</f>
        <v>26.325</v>
      </c>
      <c r="S61">
        <f>IF($B61=150,Q61-SUM(E61,G61,J61,L61,N61),0)</f>
        <v>26.325</v>
      </c>
      <c r="T61">
        <f>IF($B61=200,Q61-SUM(E61,G61,J61,L61,N61),0)</f>
        <v>0</v>
      </c>
      <c r="U61">
        <f>IF($B61=250,Q61-SUM(E61,G61,J61,L61,N61),0)</f>
        <v>0</v>
      </c>
      <c r="V61">
        <f>IF($B61=300,Q61-SUM(E61,G61,J61,L61,N61),0)</f>
        <v>0</v>
      </c>
      <c r="W61">
        <f>IF($B61=350,Q61-SUM(E61,G61,J61,L61,N61),0)</f>
        <v>0</v>
      </c>
      <c r="X61">
        <f>IF($B61=400,Q61-SUM(E61,G61,J61,L61,N61),0)</f>
        <v>0</v>
      </c>
      <c r="Y61">
        <f>IF($B61=100,Q61-SUM(E61,G61,J61,L61,N61),0)</f>
        <v>0</v>
      </c>
      <c r="Z61">
        <f>SUM(S61:Y61)*2</f>
        <v>52.65</v>
      </c>
      <c r="AD61">
        <f>AC61*(IF(S61&gt;0,150,IF(T61&gt;0,200,IF(U61&gt;0,250,IF(V61&gt;0,300,IF(W61&gt;0,350,IF(X61&gt;0,400,IF(Y61&gt;0,450))))))))/1000</f>
        <v>0</v>
      </c>
    </row>
    <row r="62">
      <c r="A62">
        <v>22</v>
      </c>
      <c r="B62">
        <v>200</v>
      </c>
      <c r="C62">
        <v>10650</v>
      </c>
      <c r="D62">
        <v>4500</v>
      </c>
      <c r="O62">
        <f>(2.2*1)+(2.35*3)</f>
        <v>9.25</v>
      </c>
      <c r="P62" t="str">
        <v>J,PG</v>
      </c>
      <c r="Q62">
        <f>C62*D62/1000000-O62</f>
        <v>38.675</v>
      </c>
      <c r="S62">
        <f>IF($B62=150,Q62-SUM(E62,G62,J62,L62,N62),0)</f>
        <v>0</v>
      </c>
      <c r="T62">
        <f>IF($B62=200,Q62-SUM(E62,G62,J62,L62,N62),0)</f>
        <v>38.675</v>
      </c>
      <c r="U62">
        <f>IF($B62=250,Q62-SUM(E62,G62,J62,L62,N62),0)</f>
        <v>0</v>
      </c>
      <c r="V62">
        <f>IF($B62=300,Q62-SUM(E62,G62,J62,L62,N62),0)</f>
        <v>0</v>
      </c>
      <c r="W62">
        <f>IF($B62=350,Q62-SUM(E62,G62,J62,L62,N62),0)</f>
        <v>0</v>
      </c>
      <c r="X62">
        <f>IF($B62=400,Q62-SUM(E62,G62,J62,L62,N62),0)</f>
        <v>0</v>
      </c>
      <c r="Y62">
        <f>IF($B62=100,Q62-SUM(E62,G62,J62,L62,N62),0)</f>
        <v>0</v>
      </c>
      <c r="Z62">
        <f>SUM(S62:Y62)*2</f>
        <v>77.35</v>
      </c>
      <c r="AB62" t="str">
        <v>J,PG</v>
      </c>
      <c r="AC62">
        <f>2*(2.2+2.4)+(2.35+2*2.4)</f>
        <v>16.35</v>
      </c>
      <c r="AD62">
        <f>AC62*(IF(S62&gt;0,150,IF(T62&gt;0,200,IF(U62&gt;0,250,IF(V62&gt;0,300,IF(W62&gt;0,350,IF(X62&gt;0,400,IF(Y62&gt;0,450))))))))/1000</f>
        <v>3.2700000000000005</v>
      </c>
    </row>
    <row r="63">
      <c r="A63">
        <v>23</v>
      </c>
      <c r="B63">
        <v>100</v>
      </c>
      <c r="C63">
        <v>9000</v>
      </c>
      <c r="D63">
        <v>4500</v>
      </c>
      <c r="Q63">
        <f>C63*D63/1000000-O63</f>
        <v>40.5</v>
      </c>
      <c r="S63">
        <f>IF($B63=150,Q63-SUM(E63,G63,J63,L63,N63),0)</f>
        <v>0</v>
      </c>
      <c r="T63">
        <f>IF($B63=200,Q63-SUM(E63,G63,J63,L63,N63),0)</f>
        <v>0</v>
      </c>
      <c r="U63">
        <f>IF($B63=250,Q63-SUM(E63,G63,J63,L63,N63),0)</f>
        <v>0</v>
      </c>
      <c r="V63">
        <f>IF($B63=300,Q63-SUM(E63,G63,J63,L63,N63),0)</f>
        <v>0</v>
      </c>
      <c r="W63">
        <f>IF($B63=350,Q63-SUM(E63,G63,J63,L63,N63),0)</f>
        <v>0</v>
      </c>
      <c r="X63">
        <f>IF($B63=400,Q63-SUM(E63,G63,J63,L63,N63),0)</f>
        <v>0</v>
      </c>
      <c r="Y63">
        <f>IF($B63=100,Q63-SUM(E63,G63,J63,L63,N63),0)</f>
        <v>40.5</v>
      </c>
      <c r="Z63">
        <f>SUM(S63:Y63)*2</f>
        <v>81</v>
      </c>
      <c r="AD63">
        <f>AC63*(IF(S63&gt;0,150,IF(T63&gt;0,200,IF(U63&gt;0,250,IF(V63&gt;0,300,IF(W63&gt;0,350,IF(X63&gt;0,400,IF(Y63&gt;0,450))))))))/1000</f>
        <v>0</v>
      </c>
    </row>
    <row r="64">
      <c r="A64" t="str">
        <v>23A</v>
      </c>
      <c r="B64">
        <v>150</v>
      </c>
      <c r="C64">
        <v>10925</v>
      </c>
      <c r="D64">
        <v>4500</v>
      </c>
      <c r="Q64">
        <f>C64*D64/1000000-O64</f>
        <v>49.1625</v>
      </c>
      <c r="S64">
        <f>IF($B64=150,Q64-SUM(E64,G64,J64,L64,N64),0)</f>
        <v>49.1625</v>
      </c>
      <c r="T64">
        <f>IF($B64=200,Q64-SUM(E64,G64,J64,L64,N64),0)</f>
        <v>0</v>
      </c>
      <c r="U64">
        <f>IF($B64=250,Q64-SUM(E64,G64,J64,L64,N64),0)</f>
        <v>0</v>
      </c>
      <c r="V64">
        <f>IF($B64=300,Q64-SUM(E64,G64,J64,L64,N64),0)</f>
        <v>0</v>
      </c>
      <c r="W64">
        <f>IF($B64=350,Q64-SUM(E64,G64,J64,L64,N64),0)</f>
        <v>0</v>
      </c>
      <c r="X64">
        <f>IF($B64=400,Q64-SUM(E64,G64,J64,L64,N64),0)</f>
        <v>0</v>
      </c>
      <c r="Y64">
        <f>IF($B64=100,Q64-SUM(E64,G64,J64,L64,N64),0)</f>
        <v>0</v>
      </c>
      <c r="Z64">
        <f>SUM(S64:Y64)*2</f>
        <v>98.325</v>
      </c>
    </row>
    <row r="65">
      <c r="A65">
        <v>24</v>
      </c>
      <c r="B65">
        <v>100</v>
      </c>
      <c r="C65">
        <v>15000</v>
      </c>
      <c r="D65">
        <v>4500</v>
      </c>
      <c r="Q65">
        <f>C65*D65/1000000-O65</f>
        <v>67.5</v>
      </c>
      <c r="S65">
        <f>IF($B65=150,Q65-SUM(E65,G65,J65,L65,N65),0)</f>
        <v>0</v>
      </c>
      <c r="T65">
        <f>IF($B65=200,Q65-SUM(E65,G65,J65,L65,N65),0)</f>
        <v>0</v>
      </c>
      <c r="U65">
        <f>IF($B65=250,Q65-SUM(E65,G65,J65,L65,N65),0)</f>
        <v>0</v>
      </c>
      <c r="V65">
        <f>IF($B65=300,Q65-SUM(E65,G65,J65,L65,N65),0)</f>
        <v>0</v>
      </c>
      <c r="W65">
        <f>IF($B65=350,Q65-SUM(E65,G65,J65,L65,N65),0)</f>
        <v>0</v>
      </c>
      <c r="X65">
        <f>IF($B65=400,Q65-SUM(E65,G65,J65,L65,N65),0)</f>
        <v>0</v>
      </c>
      <c r="Y65">
        <f>IF($B65=100,Q65-SUM(E65,G65,J65,L65,N65),0)</f>
        <v>67.5</v>
      </c>
      <c r="Z65">
        <f>SUM(S65:Y65)</f>
        <v>67.5</v>
      </c>
      <c r="AD65">
        <f>AC65*(IF(S65&gt;0,150,IF(T65&gt;0,200,IF(U65&gt;0,250,IF(V65&gt;0,300,IF(W65&gt;0,350,IF(X65&gt;0,400,IF(Y65&gt;0,450))))))))/1000</f>
        <v>0</v>
      </c>
    </row>
    <row r="66">
      <c r="A66" t="str">
        <v>24A</v>
      </c>
      <c r="B66">
        <v>150</v>
      </c>
      <c r="C66">
        <v>7000</v>
      </c>
      <c r="D66">
        <v>4500</v>
      </c>
      <c r="Q66">
        <f>C66*D66/1000000-O66</f>
        <v>31.5</v>
      </c>
      <c r="S66">
        <f>IF($B66=150,Q66-SUM(E66,G66,J66,L66,N66),0)</f>
        <v>31.5</v>
      </c>
      <c r="T66">
        <f>IF($B66=200,Q66-SUM(E66,G66,J66,L66,N66),0)</f>
        <v>0</v>
      </c>
      <c r="U66">
        <f>IF($B66=250,Q66-SUM(E66,G66,J66,L66,N66),0)</f>
        <v>0</v>
      </c>
      <c r="V66">
        <f>IF($B66=300,Q66-SUM(E66,G66,J66,L66,N66),0)</f>
        <v>0</v>
      </c>
      <c r="W66">
        <f>IF($B66=350,Q66-SUM(E66,G66,J66,L66,N66),0)</f>
        <v>0</v>
      </c>
      <c r="X66">
        <f>IF($B66=400,Q66-SUM(E66,G66,J66,L66,N66),0)</f>
        <v>0</v>
      </c>
      <c r="Y66">
        <f>IF($B66=100,Q66-SUM(E66,G66,J66,L66,N66),0)</f>
        <v>0</v>
      </c>
      <c r="Z66">
        <f>SUM(S66:Y66)*2</f>
        <v>63</v>
      </c>
    </row>
    <row r="67">
      <c r="A67">
        <v>35</v>
      </c>
      <c r="C67">
        <f>8800-8*500</f>
        <v>4800</v>
      </c>
      <c r="D67">
        <v>4500</v>
      </c>
      <c r="Q67">
        <f>C67*D67/1000000-O67</f>
        <v>21.6</v>
      </c>
      <c r="S67">
        <f>IF($B67=150,Q67-SUM(E67,G67,J67,L67,N67),0)</f>
        <v>0</v>
      </c>
      <c r="T67">
        <f>IF($B67=200,Q67-SUM(E67,G67,J67,L67,N67),0)</f>
        <v>0</v>
      </c>
      <c r="U67">
        <f>IF($B67=250,Q67-SUM(E67,G67,J67,L67,N67),0)</f>
        <v>0</v>
      </c>
      <c r="V67">
        <f>IF($B67=300,Q67-SUM(E67,G67,J67,L67,N67),0)</f>
        <v>0</v>
      </c>
      <c r="W67">
        <f>IF($B67=350,Q67-SUM(E67,G67,J67,L67,N67),0)</f>
        <v>0</v>
      </c>
      <c r="X67">
        <f>IF($B67=400,Q67-SUM(E67,G67,J67,L67,N67),0)</f>
        <v>0</v>
      </c>
      <c r="Y67">
        <f>IF($B67=100,Q67-SUM(E67,G67,J67,L67,N67),0)</f>
        <v>0</v>
      </c>
      <c r="Z67">
        <f>SUM(S67:Y67)*2</f>
        <v>0</v>
      </c>
      <c r="AD67">
        <f>AC67*(IF(S67&gt;0,150,IF(T67&gt;0,200,IF(U67&gt;0,250,IF(V67&gt;0,300,IF(W67&gt;0,350,IF(X67&gt;0,400,IF(Y67&gt;0,450))))))))/1000</f>
        <v>0</v>
      </c>
    </row>
    <row r="68">
      <c r="A68">
        <v>36</v>
      </c>
      <c r="B68">
        <v>150</v>
      </c>
      <c r="C68">
        <v>3380</v>
      </c>
      <c r="D68">
        <v>4500</v>
      </c>
      <c r="Q68">
        <f>C68*D68/1000000-O68</f>
        <v>15.21</v>
      </c>
      <c r="S68">
        <f>IF($B68=150,Q68-SUM(E68,G68,J68,L68,N68),0)</f>
        <v>15.21</v>
      </c>
      <c r="T68">
        <f>IF($B68=200,Q68-SUM(E68,G68,J68,L68,N68),0)</f>
        <v>0</v>
      </c>
      <c r="U68">
        <f>IF($B68=250,Q68-SUM(E68,G68,J68,L68,N68),0)</f>
        <v>0</v>
      </c>
      <c r="V68">
        <f>IF($B68=300,Q68-SUM(E68,G68,J68,L68,N68),0)</f>
        <v>0</v>
      </c>
      <c r="W68">
        <f>IF($B68=350,Q68-SUM(E68,G68,J68,L68,N68),0)</f>
        <v>0</v>
      </c>
      <c r="X68">
        <f>IF($B68=400,Q68-SUM(E68,G68,J68,L68,N68),0)</f>
        <v>0</v>
      </c>
      <c r="Y68">
        <f>IF($B68=100,Q68-SUM(E68,G68,J68,L68,N68),0)</f>
        <v>0</v>
      </c>
      <c r="Z68">
        <f>SUM(S68:Y68)*2</f>
        <v>30.42</v>
      </c>
      <c r="AD68">
        <f>AC68*(IF(S68&gt;0,150,IF(T68&gt;0,200,IF(U68&gt;0,250,IF(V68&gt;0,300,IF(W68&gt;0,350,IF(X68&gt;0,400,IF(Y68&gt;0,450))))))))/1000</f>
        <v>0</v>
      </c>
    </row>
    <row r="69">
      <c r="Q69">
        <f>C69*D69/1000000-O69</f>
        <v>0</v>
      </c>
      <c r="S69">
        <f>IF($B69=150,Q69-SUM(E69,G69,J69,L69,N69),0)</f>
        <v>0</v>
      </c>
      <c r="T69">
        <f>IF($B69=200,Q69-SUM(E69,G69,J69,L69,N69),0)</f>
        <v>0</v>
      </c>
      <c r="U69">
        <f>IF($B69=250,Q69-SUM(E69,G69,J69,L69,N69),0)</f>
        <v>0</v>
      </c>
      <c r="V69">
        <f>IF($B69=300,Q69-SUM(E69,G69,J69,L69,N69),0)</f>
        <v>0</v>
      </c>
      <c r="W69">
        <f>IF($B69=350,Q69-SUM(E69,G69,J69,L69,N69),0)</f>
        <v>0</v>
      </c>
      <c r="X69">
        <f>IF($B69=400,Q69-SUM(E69,G69,J69,L69,N69),0)</f>
        <v>0</v>
      </c>
      <c r="Y69">
        <f>IF($B69=100,Q69-SUM(E69,G69,J69,L69,N69),0)</f>
        <v>0</v>
      </c>
      <c r="Z69">
        <f>SUM(S69:Y69)*2</f>
        <v>0</v>
      </c>
    </row>
    <row r="70">
      <c r="Q70">
        <f>C70*D70/1000000-O70</f>
        <v>0</v>
      </c>
      <c r="S70">
        <f>IF($B70=150,Q70-SUM(E70,G70,J70,L70,N70),0)</f>
        <v>0</v>
      </c>
      <c r="T70">
        <f>IF($B70=200,Q70-SUM(E70,G70,J70,L70,N70),0)</f>
        <v>0</v>
      </c>
      <c r="U70">
        <f>IF($B70=250,Q70-SUM(E70,G70,J70,L70,N70),0)</f>
        <v>0</v>
      </c>
      <c r="V70">
        <f>IF($B70=300,Q70-SUM(E70,G70,J70,L70,N70),0)</f>
        <v>0</v>
      </c>
      <c r="W70">
        <f>IF($B70=350,Q70-SUM(E70,G70,J70,L70,N70),0)</f>
        <v>0</v>
      </c>
      <c r="X70">
        <f>IF($B70=400,Q70-SUM(E70,G70,J70,L70,N70),0)</f>
        <v>0</v>
      </c>
      <c r="Y70">
        <f>IF($B70=100,Q70-SUM(E70,G70,J70,L70,N70),0)</f>
        <v>0</v>
      </c>
      <c r="Z70">
        <f>SUM(S70:Y70)*2</f>
        <v>0</v>
      </c>
    </row>
    <row r="71">
      <c r="A71" t="str">
        <v>VOLUME</v>
      </c>
      <c r="F71">
        <f>SUM(F41:F70)</f>
        <v>0</v>
      </c>
      <c r="K71">
        <f>SUM(K41:K70)</f>
        <v>0</v>
      </c>
      <c r="M71">
        <f>SUM(M41:M70)</f>
        <v>0</v>
      </c>
      <c r="Q71">
        <f>SUM(Q41:Q70)</f>
        <v>620.2235000000001</v>
      </c>
      <c r="R71">
        <f>SUM(R41:R70)</f>
        <v>0</v>
      </c>
      <c r="S71">
        <f>SUM(S41:S70)</f>
        <v>294.87749999999994</v>
      </c>
      <c r="T71">
        <f>SUM(T41:T70)</f>
        <v>195.74599999999998</v>
      </c>
      <c r="U71">
        <f>SUM(U41:U70)</f>
        <v>0</v>
      </c>
      <c r="V71">
        <f>SUM(V41:V70)</f>
        <v>0</v>
      </c>
      <c r="W71">
        <f>SUM(W41:W70)</f>
        <v>0</v>
      </c>
      <c r="X71">
        <f>SUM(X41:X70)</f>
        <v>0</v>
      </c>
      <c r="Y71">
        <f>SUM(Y41:Y70)</f>
        <v>108</v>
      </c>
      <c r="Z71">
        <f>SUM(Z41:Z70)</f>
        <v>1129.747</v>
      </c>
      <c r="AA71">
        <f>SUM(AA41:AA70)</f>
        <v>0</v>
      </c>
      <c r="AB71">
        <f>SUM(R71:Y71)</f>
        <v>598.6234999999999</v>
      </c>
      <c r="AC71">
        <f>SUM(AC41:AC70)</f>
        <v>100.35500000000002</v>
      </c>
      <c r="AD71">
        <f>SUM(AD41:AD70)</f>
        <v>18.092</v>
      </c>
    </row>
    <row r="72">
      <c r="AD72">
        <f>AD71/AB71</f>
        <v>0.03022266917352894</v>
      </c>
    </row>
    <row r="73">
      <c r="A73" t="str">
        <v>Lantai 3</v>
      </c>
      <c r="C73" t="str">
        <v>Panjang</v>
      </c>
      <c r="D73" t="str">
        <v>Tinggi</v>
      </c>
      <c r="E73" t="str">
        <v>Luas Pengurang</v>
      </c>
      <c r="Q73" t="str">
        <v>Luas Bruto - Kusen</v>
      </c>
      <c r="R73" t="str">
        <v>Luas Bruto - Kusen dan Balok</v>
      </c>
      <c r="S73" t="str">
        <v>Luas Dinding 1/2 Bata</v>
      </c>
      <c r="T73" t="str">
        <v>Luas Dinding 3/4 Bata</v>
      </c>
      <c r="U73" t="str">
        <v>Luas Dinding 1 Bata</v>
      </c>
      <c r="V73" t="str">
        <v>Luas Dinding 1 1/4 Bata</v>
      </c>
      <c r="W73" t="str">
        <v>Luas Dinding 1 1/2 Bata</v>
      </c>
      <c r="X73" t="str">
        <v xml:space="preserve">Luas Dinding 1 3/4 Bata </v>
      </c>
      <c r="Y73" t="str">
        <v>Luas Dinding 3 1/4 Bata</v>
      </c>
      <c r="Z73" t="str">
        <v>Plester &amp; Aci</v>
      </c>
      <c r="AA73" t="str">
        <v>Benangan</v>
      </c>
    </row>
    <row r="74">
      <c r="E74" t="str">
        <v>Kolom Struktur</v>
      </c>
      <c r="F74" t="str">
        <v>Kolom Praktis</v>
      </c>
      <c r="H74" t="str">
        <v>Balok Struktur</v>
      </c>
      <c r="K74" t="str">
        <v>Balok Latei</v>
      </c>
      <c r="M74" t="str">
        <v>Balok Praktis</v>
      </c>
      <c r="O74" t="str">
        <v>Luas Kusen</v>
      </c>
      <c r="P74" t="str">
        <v>Tipe Kusen</v>
      </c>
      <c r="AC74" t="str">
        <v>Benangan Opening</v>
      </c>
      <c r="AD74" t="str">
        <v>Luas Plesteran Opening</v>
      </c>
    </row>
    <row r="75">
      <c r="A75" t="str">
        <v>Nomor</v>
      </c>
      <c r="B75" t="str">
        <v>Tebal (mm)</v>
      </c>
      <c r="E75" t="str">
        <v>m2</v>
      </c>
      <c r="F75" t="str">
        <v>m'</v>
      </c>
      <c r="G75" t="str">
        <v>Luas KP</v>
      </c>
      <c r="H75" t="str">
        <v>panjang</v>
      </c>
      <c r="I75" t="str">
        <v>tinggi</v>
      </c>
      <c r="J75" t="str">
        <v>Luas Balok</v>
      </c>
      <c r="K75" t="str">
        <v>m'</v>
      </c>
      <c r="L75" t="str">
        <v>Luas BL</v>
      </c>
      <c r="M75" t="str">
        <v>m'</v>
      </c>
      <c r="N75" t="str">
        <v>Luas BP</v>
      </c>
      <c r="O75" t="str">
        <v>m2</v>
      </c>
      <c r="Q75" t="str">
        <v>m2</v>
      </c>
      <c r="R75" t="str">
        <v>m2</v>
      </c>
      <c r="S75" t="str">
        <v>m2</v>
      </c>
      <c r="T75" t="str">
        <v>m2</v>
      </c>
      <c r="U75" t="str">
        <v>m2</v>
      </c>
      <c r="V75" t="str">
        <v>m2</v>
      </c>
      <c r="W75" t="str">
        <v>m2</v>
      </c>
      <c r="X75" t="str">
        <v>m2</v>
      </c>
      <c r="Y75" t="str">
        <v>m2</v>
      </c>
      <c r="Z75" t="str">
        <v>m2</v>
      </c>
      <c r="AA75" t="str">
        <v>m'</v>
      </c>
    </row>
    <row r="76">
      <c r="A76">
        <v>1</v>
      </c>
      <c r="B76">
        <v>150</v>
      </c>
      <c r="C76">
        <v>4850</v>
      </c>
      <c r="D76">
        <v>3500</v>
      </c>
      <c r="O76">
        <f>(1.2*1.2)</f>
        <v>1.44</v>
      </c>
      <c r="P76" t="str">
        <v>J</v>
      </c>
      <c r="Q76">
        <f>C76*D76/1000000-O76</f>
        <v>15.535000000000002</v>
      </c>
      <c r="S76">
        <f>IF($B76=150,Q76-SUM(E76,G76,J76,L76,N76),0)</f>
        <v>15.535000000000002</v>
      </c>
      <c r="T76">
        <f>IF($B76=200,Q76-SUM(E76,G76,J76,L76,N76),0)</f>
        <v>0</v>
      </c>
      <c r="U76">
        <f>IF($B76=250,Q76-SUM(E76,G76,J76,L76,N76),0)</f>
        <v>0</v>
      </c>
      <c r="V76">
        <f>IF($B76=300,Q76-SUM(E76,G76,J76,L76,N76),0)</f>
        <v>0</v>
      </c>
      <c r="W76">
        <f>IF($B76=350,Q76-SUM(E76,G76,J76,L76,N76),0)</f>
        <v>0</v>
      </c>
      <c r="X76">
        <f>IF($B76=400,Q76-SUM(E76,G76,J76,L76,N76),0)</f>
        <v>0</v>
      </c>
      <c r="Y76">
        <f>IF($B76=700,Q76-SUM(E76,G76,J76,L76,N76),0)</f>
        <v>0</v>
      </c>
      <c r="Z76">
        <f>SUM(S76:Y76)*2</f>
        <v>31.070000000000004</v>
      </c>
      <c r="AB76" t="str">
        <v>J</v>
      </c>
      <c r="AC76">
        <f>2*(1.2+1.2)</f>
        <v>4.8</v>
      </c>
      <c r="AD76">
        <f>AC76*(IF(S76&gt;0,150,IF(T76&gt;0,200,IF(U76&gt;0,250,IF(V76&gt;0,300,IF(W76&gt;0,350,IF(X76&gt;0,400,IF(Y76&gt;0,450))))))))/1000</f>
        <v>0.72</v>
      </c>
    </row>
    <row r="77">
      <c r="A77">
        <v>2</v>
      </c>
      <c r="B77">
        <v>150</v>
      </c>
      <c r="C77">
        <v>3775</v>
      </c>
      <c r="D77">
        <v>3500</v>
      </c>
      <c r="O77">
        <f>(2.375*2.4)</f>
        <v>5.7</v>
      </c>
      <c r="P77" t="str">
        <v>O</v>
      </c>
      <c r="Q77">
        <f>C77*D77/1000000-O77</f>
        <v>7.5125</v>
      </c>
      <c r="S77">
        <f>IF($B77=150,Q77-SUM(E77,G77,J77,L77,N77),0)</f>
        <v>7.5125</v>
      </c>
      <c r="T77">
        <f>IF($B77=200,Q77-SUM(E77,G77,J77,L77,N77),0)</f>
        <v>0</v>
      </c>
      <c r="U77">
        <f>IF($B77=250,Q77-SUM(E77,G77,J77,L77,N77),0)</f>
        <v>0</v>
      </c>
      <c r="V77">
        <f>IF($B77=300,Q77-SUM(E77,G77,J77,L77,N77),0)</f>
        <v>0</v>
      </c>
      <c r="W77">
        <f>IF($B77=350,Q77-SUM(E77,G77,J77,L77,N77),0)</f>
        <v>0</v>
      </c>
      <c r="X77">
        <f>IF($B77=400,Q77-SUM(E77,G77,J77,L77,N77),0)</f>
        <v>0</v>
      </c>
      <c r="Y77">
        <f>IF($B77=700,Q77-SUM(E77,G77,J77,L77,N77),0)</f>
        <v>0</v>
      </c>
      <c r="Z77">
        <f>SUM(S77:Y77)*2</f>
        <v>15.025</v>
      </c>
      <c r="AB77" t="str">
        <v>O</v>
      </c>
      <c r="AC77">
        <f>(2.375+2*2.4)</f>
        <v>7.175</v>
      </c>
      <c r="AD77">
        <f>AC77*(IF(S77&gt;0,150,IF(T77&gt;0,200,IF(U77&gt;0,250,IF(V77&gt;0,300,IF(W77&gt;0,350,IF(X77&gt;0,400,IF(Y77&gt;0,450))))))))/1000</f>
        <v>1.07625</v>
      </c>
    </row>
    <row r="78">
      <c r="A78">
        <v>3</v>
      </c>
      <c r="B78">
        <v>150</v>
      </c>
      <c r="C78">
        <v>4850</v>
      </c>
      <c r="D78">
        <v>3500</v>
      </c>
      <c r="O78">
        <f>(1*2.4)</f>
        <v>2.4</v>
      </c>
      <c r="P78" t="str">
        <v>P</v>
      </c>
      <c r="Q78">
        <f>C78*D78/1000000-O78</f>
        <v>14.575000000000001</v>
      </c>
      <c r="S78">
        <f>IF($B78=150,Q78-SUM(E78,G78,J78,L78,N78),0)</f>
        <v>14.575000000000001</v>
      </c>
      <c r="T78">
        <f>IF($B78=200,Q78-SUM(E78,G78,J78,L78,N78),0)</f>
        <v>0</v>
      </c>
      <c r="U78">
        <f>IF($B78=250,Q78-SUM(E78,G78,J78,L78,N78),0)</f>
        <v>0</v>
      </c>
      <c r="V78">
        <f>IF($B78=300,Q78-SUM(E78,G78,J78,L78,N78),0)</f>
        <v>0</v>
      </c>
      <c r="W78">
        <f>IF($B78=350,Q78-SUM(E78,G78,J78,L78,N78),0)</f>
        <v>0</v>
      </c>
      <c r="X78">
        <f>IF($B78=400,Q78-SUM(E78,G78,J78,L78,N78),0)</f>
        <v>0</v>
      </c>
      <c r="Y78">
        <f>IF($B78=700,Q78-SUM(E78,G78,J78,L78,N78),0)</f>
        <v>0</v>
      </c>
      <c r="Z78">
        <f>SUM(S78:Y78)*2</f>
        <v>29.150000000000002</v>
      </c>
      <c r="AB78" t="str">
        <v>P</v>
      </c>
      <c r="AC78">
        <f>(1+2*2.4)</f>
        <v>5.8</v>
      </c>
      <c r="AD78">
        <f>AC78*(IF(S78&gt;0,150,IF(T78&gt;0,200,IF(U78&gt;0,250,IF(V78&gt;0,300,IF(W78&gt;0,350,IF(X78&gt;0,400,IF(Y78&gt;0,450))))))))/1000</f>
        <v>0.87</v>
      </c>
    </row>
    <row r="79">
      <c r="A79">
        <v>4</v>
      </c>
      <c r="B79">
        <v>150</v>
      </c>
      <c r="C79">
        <v>5850</v>
      </c>
      <c r="D79">
        <v>3500</v>
      </c>
      <c r="Q79">
        <f>C79*D79/1000000-O79</f>
        <v>20.475</v>
      </c>
      <c r="S79">
        <f>IF($B79=150,Q79-SUM(E79,G79,J79,L79,N79),0)</f>
        <v>20.475</v>
      </c>
      <c r="T79">
        <f>IF($B79=200,Q79-SUM(E79,G79,J79,L79,N79),0)</f>
        <v>0</v>
      </c>
      <c r="U79">
        <f>IF($B79=250,Q79-SUM(E79,G79,J79,L79,N79),0)</f>
        <v>0</v>
      </c>
      <c r="V79">
        <f>IF($B79=300,Q79-SUM(E79,G79,J79,L79,N79),0)</f>
        <v>0</v>
      </c>
      <c r="W79">
        <f>IF($B79=350,Q79-SUM(E79,G79,J79,L79,N79),0)</f>
        <v>0</v>
      </c>
      <c r="X79">
        <f>IF($B79=400,Q79-SUM(E79,G79,J79,L79,N79),0)</f>
        <v>0</v>
      </c>
      <c r="Y79">
        <f>IF($B79=700,Q79-SUM(E79,G79,J79,L79,N79),0)</f>
        <v>0</v>
      </c>
      <c r="Z79">
        <f>SUM(S79:Y79)*2</f>
        <v>40.95</v>
      </c>
      <c r="AD79">
        <f>AC79*(IF(S79&gt;0,150,IF(T79&gt;0,200,IF(U79&gt;0,250,IF(V79&gt;0,300,IF(W79&gt;0,350,IF(X79&gt;0,400,IF(Y79&gt;0,450))))))))/1000</f>
        <v>0</v>
      </c>
    </row>
    <row r="80">
      <c r="A80">
        <v>5</v>
      </c>
      <c r="B80">
        <v>150</v>
      </c>
      <c r="C80">
        <v>3775</v>
      </c>
      <c r="D80">
        <v>3500</v>
      </c>
      <c r="O80">
        <f>(2.975*2.4)</f>
        <v>7.14</v>
      </c>
      <c r="P80" t="str">
        <v>O</v>
      </c>
      <c r="Q80">
        <f>C80*D80/1000000-O80</f>
        <v>6.072500000000001</v>
      </c>
      <c r="S80">
        <f>IF($B80=150,Q80-SUM(E80,G80,J80,L80,N80),0)</f>
        <v>6.072500000000001</v>
      </c>
      <c r="T80">
        <f>IF($B80=200,Q80-SUM(E80,G80,J80,L80,N80),0)</f>
        <v>0</v>
      </c>
      <c r="U80">
        <f>IF($B80=250,Q80-SUM(E80,G80,J80,L80,N80),0)</f>
        <v>0</v>
      </c>
      <c r="V80">
        <f>IF($B80=300,Q80-SUM(E80,G80,J80,L80,N80),0)</f>
        <v>0</v>
      </c>
      <c r="W80">
        <f>IF($B80=350,Q80-SUM(E80,G80,J80,L80,N80),0)</f>
        <v>0</v>
      </c>
      <c r="X80">
        <f>IF($B80=400,Q80-SUM(E80,G80,J80,L80,N80),0)</f>
        <v>0</v>
      </c>
      <c r="Y80">
        <f>IF($B80=700,Q80-SUM(E80,G80,J80,L80,N80),0)</f>
        <v>0</v>
      </c>
      <c r="Z80">
        <f>SUM(S80:Y80)*2</f>
        <v>12.145000000000001</v>
      </c>
      <c r="AB80" t="str">
        <v>O</v>
      </c>
      <c r="AC80">
        <f>(2.975+2*2.4)</f>
        <v>7.775</v>
      </c>
      <c r="AD80">
        <f>AC80*(IF(S80&gt;0,150,IF(T80&gt;0,200,IF(U80&gt;0,250,IF(V80&gt;0,300,IF(W80&gt;0,350,IF(X80&gt;0,400,IF(Y80&gt;0,450))))))))/1000</f>
        <v>1.16625</v>
      </c>
    </row>
    <row r="81">
      <c r="A81">
        <v>6</v>
      </c>
      <c r="B81">
        <v>150</v>
      </c>
      <c r="C81">
        <v>2575</v>
      </c>
      <c r="D81">
        <v>3500</v>
      </c>
      <c r="O81">
        <f>(1.2*2.4)</f>
        <v>2.88</v>
      </c>
      <c r="P81" t="str">
        <v>O</v>
      </c>
      <c r="Q81">
        <f>C81*D81/1000000-O81</f>
        <v>6.132499999999999</v>
      </c>
      <c r="S81">
        <f>IF($B81=150,Q81-SUM(E81,G81,J81,L81,N81),0)</f>
        <v>6.132499999999999</v>
      </c>
      <c r="T81">
        <f>IF($B81=200,Q81-SUM(E81,G81,J81,L81,N81),0)</f>
        <v>0</v>
      </c>
      <c r="U81">
        <f>IF($B81=250,Q81-SUM(E81,G81,J81,L81,N81),0)</f>
        <v>0</v>
      </c>
      <c r="V81">
        <f>IF($B81=300,Q81-SUM(E81,G81,J81,L81,N81),0)</f>
        <v>0</v>
      </c>
      <c r="W81">
        <f>IF($B81=350,Q81-SUM(E81,G81,J81,L81,N81),0)</f>
        <v>0</v>
      </c>
      <c r="X81">
        <f>IF($B81=400,Q81-SUM(E81,G81,J81,L81,N81),0)</f>
        <v>0</v>
      </c>
      <c r="Y81">
        <f>IF($B81=700,Q81-SUM(E81,G81,J81,L81,N81),0)</f>
        <v>0</v>
      </c>
      <c r="Z81">
        <f>SUM(S81:Y81)*2</f>
        <v>12.264999999999999</v>
      </c>
      <c r="AB81" t="str">
        <v>O</v>
      </c>
      <c r="AC81">
        <f>(1.2+2*2.4)</f>
        <v>6</v>
      </c>
      <c r="AD81">
        <f>AC81*(IF(S81&gt;0,150,IF(T81&gt;0,200,IF(U81&gt;0,250,IF(V81&gt;0,300,IF(W81&gt;0,350,IF(X81&gt;0,400,IF(Y81&gt;0,450))))))))/1000</f>
        <v>0.9</v>
      </c>
    </row>
    <row r="82">
      <c r="A82">
        <v>7</v>
      </c>
      <c r="B82">
        <v>150</v>
      </c>
      <c r="C82">
        <v>4850</v>
      </c>
      <c r="D82">
        <v>3500</v>
      </c>
      <c r="O82">
        <f>(1.88*2.4)</f>
        <v>4.512</v>
      </c>
      <c r="P82" t="str">
        <v>P</v>
      </c>
      <c r="Q82">
        <f>C82*D82/1000000-O82</f>
        <v>12.463000000000001</v>
      </c>
      <c r="S82">
        <f>IF($B82=150,Q82-SUM(E82,G82,J82,L82,N82),0)</f>
        <v>12.463000000000001</v>
      </c>
      <c r="T82">
        <f>IF($B82=200,Q82-SUM(E82,G82,J82,L82,N82),0)</f>
        <v>0</v>
      </c>
      <c r="U82">
        <f>IF($B82=250,Q82-SUM(E82,G82,J82,L82,N82),0)</f>
        <v>0</v>
      </c>
      <c r="V82">
        <f>IF($B82=300,Q82-SUM(E82,G82,J82,L82,N82),0)</f>
        <v>0</v>
      </c>
      <c r="W82">
        <f>IF($B82=350,Q82-SUM(E82,G82,J82,L82,N82),0)</f>
        <v>0</v>
      </c>
      <c r="X82">
        <f>IF($B82=400,Q82-SUM(E82,G82,J82,L82,N82),0)</f>
        <v>0</v>
      </c>
      <c r="Y82">
        <f>IF($B82=700,Q82-SUM(E82,G82,J82,L82,N82),0)</f>
        <v>0</v>
      </c>
      <c r="Z82">
        <f>SUM(S82:Y82)*2</f>
        <v>24.926000000000002</v>
      </c>
      <c r="AB82" t="str">
        <v>P</v>
      </c>
      <c r="AC82">
        <f>(1.88+2*2.4)</f>
        <v>6.68</v>
      </c>
      <c r="AD82">
        <f>AC82*(IF(S82&gt;0,150,IF(T82&gt;0,200,IF(U82&gt;0,250,IF(V82&gt;0,300,IF(W82&gt;0,350,IF(X82&gt;0,400,IF(Y82&gt;0,450))))))))/1000</f>
        <v>1.002</v>
      </c>
    </row>
    <row r="83">
      <c r="A83">
        <v>8</v>
      </c>
      <c r="B83">
        <v>150</v>
      </c>
      <c r="C83">
        <v>13650</v>
      </c>
      <c r="D83">
        <v>3500</v>
      </c>
      <c r="O83">
        <f>(1.2*1.2)+(1.2*2.4)</f>
        <v>4.32</v>
      </c>
      <c r="P83" t="str">
        <v>J,P</v>
      </c>
      <c r="Q83">
        <f>C83*D83/1000000-O83</f>
        <v>43.455</v>
      </c>
      <c r="S83">
        <f>IF($B83=150,Q83-SUM(E83,G83,J83,L83,N83),0)</f>
        <v>43.455</v>
      </c>
      <c r="T83">
        <f>IF($B83=200,Q83-SUM(E83,G83,J83,L83,N83),0)</f>
        <v>0</v>
      </c>
      <c r="U83">
        <f>IF($B83=250,Q83-SUM(E83,G83,J83,L83,N83),0)</f>
        <v>0</v>
      </c>
      <c r="V83">
        <f>IF($B83=300,Q83-SUM(E83,G83,J83,L83,N83),0)</f>
        <v>0</v>
      </c>
      <c r="W83">
        <f>IF($B83=350,Q83-SUM(E83,G83,J83,L83,N83),0)</f>
        <v>0</v>
      </c>
      <c r="X83">
        <f>IF($B83=400,Q83-SUM(E83,G83,J83,L83,N83),0)</f>
        <v>0</v>
      </c>
      <c r="Y83">
        <f>IF($B83=700,Q83-SUM(E83,G83,J83,L83,N83),0)</f>
        <v>0</v>
      </c>
      <c r="Z83">
        <f>SUM(S83:Y83)*2</f>
        <v>86.91</v>
      </c>
      <c r="AB83" t="str">
        <v>J,P</v>
      </c>
      <c r="AC83">
        <f>2*(1.2+1.2)+(1.2+2*2.4)</f>
        <v>10.8</v>
      </c>
      <c r="AD83">
        <f>AC83*(IF(S83&gt;0,150,IF(T83&gt;0,200,IF(U83&gt;0,250,IF(V83&gt;0,300,IF(W83&gt;0,350,IF(X83&gt;0,400,IF(Y83&gt;0,450))))))))/1000</f>
        <v>1.62</v>
      </c>
    </row>
    <row r="84">
      <c r="A84">
        <v>9</v>
      </c>
      <c r="B84">
        <v>200</v>
      </c>
      <c r="C84">
        <v>150</v>
      </c>
      <c r="D84">
        <v>3500</v>
      </c>
      <c r="Q84">
        <f>C84*D84/1000000-O84</f>
        <v>0.525</v>
      </c>
      <c r="S84">
        <f>IF($B84=150,Q84-SUM(E84,G84,J84,L84,N84),0)</f>
        <v>0</v>
      </c>
      <c r="T84">
        <f>IF($B84=200,Q84-SUM(E84,G84,J84,L84,N84),0)</f>
        <v>0.525</v>
      </c>
      <c r="U84">
        <f>IF($B84=250,Q84-SUM(E84,G84,J84,L84,N84),0)</f>
        <v>0</v>
      </c>
      <c r="V84">
        <f>IF($B84=300,Q84-SUM(E84,G84,J84,L84,N84),0)</f>
        <v>0</v>
      </c>
      <c r="W84">
        <f>IF($B84=350,Q84-SUM(E84,G84,J84,L84,N84),0)</f>
        <v>0</v>
      </c>
      <c r="X84">
        <f>IF($B84=400,Q84-SUM(E84,G84,J84,L84,N84),0)</f>
        <v>0</v>
      </c>
      <c r="Y84">
        <f>IF($B84=700,Q84-SUM(E84,G84,J84,L84,N84),0)</f>
        <v>0</v>
      </c>
      <c r="Z84">
        <f>SUM(S84:Y84)*2</f>
        <v>1.05</v>
      </c>
      <c r="AD84">
        <f>AC84*(IF(S84&gt;0,150,IF(T84&gt;0,200,IF(U84&gt;0,250,IF(V84&gt;0,300,IF(W84&gt;0,350,IF(X84&gt;0,400,IF(Y84&gt;0,450))))))))/1000</f>
        <v>0</v>
      </c>
    </row>
    <row r="85">
      <c r="A85">
        <v>10</v>
      </c>
      <c r="B85">
        <v>200</v>
      </c>
      <c r="C85">
        <v>150</v>
      </c>
      <c r="D85">
        <v>3500</v>
      </c>
      <c r="Q85">
        <f>C85*D85/1000000-O85</f>
        <v>0.525</v>
      </c>
      <c r="S85">
        <f>IF($B85=150,Q85-SUM(E85,G85,J85,L85,N85),0)</f>
        <v>0</v>
      </c>
      <c r="T85">
        <f>IF($B85=200,Q85-SUM(E85,G85,J85,L85,N85),0)</f>
        <v>0.525</v>
      </c>
      <c r="U85">
        <f>IF($B85=250,Q85-SUM(E85,G85,J85,L85,N85),0)</f>
        <v>0</v>
      </c>
      <c r="V85">
        <f>IF($B85=300,Q85-SUM(E85,G85,J85,L85,N85),0)</f>
        <v>0</v>
      </c>
      <c r="W85">
        <f>IF($B85=350,Q85-SUM(E85,G85,J85,L85,N85),0)</f>
        <v>0</v>
      </c>
      <c r="X85">
        <f>IF($B85=400,Q85-SUM(E85,G85,J85,L85,N85),0)</f>
        <v>0</v>
      </c>
      <c r="Y85">
        <f>IF($B85=700,Q85-SUM(E85,G85,J85,L85,N85),0)</f>
        <v>0</v>
      </c>
      <c r="Z85">
        <f>SUM(S85:Y85)*2</f>
        <v>1.05</v>
      </c>
      <c r="AD85">
        <f>AC85*(IF(S85&gt;0,150,IF(T85&gt;0,200,IF(U85&gt;0,250,IF(V85&gt;0,300,IF(W85&gt;0,350,IF(X85&gt;0,400,IF(Y85&gt;0,450))))))))/1000</f>
        <v>0</v>
      </c>
    </row>
    <row r="86">
      <c r="A86">
        <v>11</v>
      </c>
      <c r="B86">
        <v>150</v>
      </c>
      <c r="C86">
        <v>14150</v>
      </c>
      <c r="D86">
        <v>3500</v>
      </c>
      <c r="O86">
        <f>(1.2*2.4)</f>
        <v>2.88</v>
      </c>
      <c r="P86" t="str">
        <v>O</v>
      </c>
      <c r="Q86">
        <f>C86*D86/1000000-O86</f>
        <v>46.644999999999996</v>
      </c>
      <c r="S86">
        <f>IF($B86=150,Q86-SUM(E86,G86,J86,L86,N86),0)</f>
        <v>46.644999999999996</v>
      </c>
      <c r="T86">
        <f>IF($B86=200,Q86-SUM(E86,G86,J86,L86,N86),0)</f>
        <v>0</v>
      </c>
      <c r="U86">
        <f>IF($B86=250,Q86-SUM(E86,G86,J86,L86,N86),0)</f>
        <v>0</v>
      </c>
      <c r="V86">
        <f>IF($B86=300,Q86-SUM(E86,G86,J86,L86,N86),0)</f>
        <v>0</v>
      </c>
      <c r="W86">
        <f>IF($B86=350,Q86-SUM(E86,G86,J86,L86,N86),0)</f>
        <v>0</v>
      </c>
      <c r="X86">
        <f>IF($B86=400,Q86-SUM(E86,G86,J86,L86,N86),0)</f>
        <v>0</v>
      </c>
      <c r="Y86">
        <f>IF($B86=700,Q86-SUM(E86,G86,J86,L86,N86),0)</f>
        <v>0</v>
      </c>
      <c r="Z86">
        <f>SUM(S86:Y86)*2</f>
        <v>93.28999999999999</v>
      </c>
      <c r="AB86" t="str">
        <v>O</v>
      </c>
      <c r="AC86">
        <f>(1.2+2*2.4)</f>
        <v>6</v>
      </c>
      <c r="AD86">
        <f>AC86*(IF(S86&gt;0,150,IF(T86&gt;0,200,IF(U86&gt;0,250,IF(V86&gt;0,300,IF(W86&gt;0,350,IF(X86&gt;0,400,IF(Y86&gt;0,450))))))))/1000</f>
        <v>0.9</v>
      </c>
    </row>
    <row r="87">
      <c r="A87">
        <v>12</v>
      </c>
      <c r="B87">
        <v>150</v>
      </c>
      <c r="C87">
        <v>3775</v>
      </c>
      <c r="D87">
        <v>3500</v>
      </c>
      <c r="O87">
        <f>(1.8*2.4)</f>
        <v>4.32</v>
      </c>
      <c r="P87" t="str">
        <v>PG</v>
      </c>
      <c r="Q87">
        <f>C87*D87/1000000-O87</f>
        <v>8.8925</v>
      </c>
      <c r="S87">
        <f>IF($B87=150,Q87-SUM(E87,G87,J87,L87,N87),0)</f>
        <v>8.8925</v>
      </c>
      <c r="T87">
        <f>IF($B87=200,Q87-SUM(E87,G87,J87,L87,N87),0)</f>
        <v>0</v>
      </c>
      <c r="U87">
        <f>IF($B87=250,Q87-SUM(E87,G87,J87,L87,N87),0)</f>
        <v>0</v>
      </c>
      <c r="V87">
        <f>IF($B87=300,Q87-SUM(E87,G87,J87,L87,N87),0)</f>
        <v>0</v>
      </c>
      <c r="W87">
        <f>IF($B87=350,Q87-SUM(E87,G87,J87,L87,N87),0)</f>
        <v>0</v>
      </c>
      <c r="X87">
        <f>IF($B87=400,Q87-SUM(E87,G87,J87,L87,N87),0)</f>
        <v>0</v>
      </c>
      <c r="Y87">
        <f>IF($B87=700,Q87-SUM(E87,G87,J87,L87,N87),0)</f>
        <v>0</v>
      </c>
      <c r="Z87">
        <f>SUM(S87:Y87)*2</f>
        <v>17.785</v>
      </c>
      <c r="AB87" t="str">
        <v>PG</v>
      </c>
      <c r="AC87">
        <f>(1.8+2*2.4)</f>
        <v>6.6</v>
      </c>
      <c r="AD87">
        <f>AC87*(IF(S87&gt;0,150,IF(T87&gt;0,200,IF(U87&gt;0,250,IF(V87&gt;0,300,IF(W87&gt;0,350,IF(X87&gt;0,400,IF(Y87&gt;0,450))))))))/1000</f>
        <v>0.99</v>
      </c>
    </row>
    <row r="88">
      <c r="A88">
        <v>13</v>
      </c>
      <c r="B88">
        <v>200</v>
      </c>
      <c r="C88">
        <v>4850</v>
      </c>
      <c r="D88">
        <v>3500</v>
      </c>
      <c r="O88">
        <f>(1.2*1.2)</f>
        <v>1.44</v>
      </c>
      <c r="P88" t="str">
        <v>J</v>
      </c>
      <c r="Q88">
        <f>C88*D88/1000000-O88</f>
        <v>15.535000000000002</v>
      </c>
      <c r="S88">
        <f>IF($B88=150,Q88-SUM(E88,G88,J88,L88,N88),0)</f>
        <v>0</v>
      </c>
      <c r="T88">
        <f>IF($B88=200,Q88-SUM(E88,G88,J88,L88,N88),0)</f>
        <v>15.535000000000002</v>
      </c>
      <c r="U88">
        <f>IF($B88=250,Q88-SUM(E88,G88,J88,L88,N88),0)</f>
        <v>0</v>
      </c>
      <c r="V88">
        <f>IF($B88=300,Q88-SUM(E88,G88,J88,L88,N88),0)</f>
        <v>0</v>
      </c>
      <c r="W88">
        <f>IF($B88=350,Q88-SUM(E88,G88,J88,L88,N88),0)</f>
        <v>0</v>
      </c>
      <c r="X88">
        <f>IF($B88=400,Q88-SUM(E88,G88,J88,L88,N88),0)</f>
        <v>0</v>
      </c>
      <c r="Y88">
        <f>IF($B88=700,Q88-SUM(E88,G88,J88,L88,N88),0)</f>
        <v>0</v>
      </c>
      <c r="Z88">
        <f>SUM(S88:Y88)*2</f>
        <v>31.070000000000004</v>
      </c>
      <c r="AB88" t="str">
        <v>J</v>
      </c>
      <c r="AC88">
        <f>2*(1.2+1.2)</f>
        <v>4.8</v>
      </c>
      <c r="AD88">
        <f>AC88*(IF(S88&gt;0,150,IF(T88&gt;0,200,IF(U88&gt;0,250,IF(V88&gt;0,300,IF(W88&gt;0,350,IF(X88&gt;0,400,IF(Y88&gt;0,450))))))))/1000</f>
        <v>0.96</v>
      </c>
    </row>
    <row r="89">
      <c r="A89">
        <v>14</v>
      </c>
      <c r="B89">
        <v>150</v>
      </c>
      <c r="C89">
        <v>5850</v>
      </c>
      <c r="D89">
        <v>3500</v>
      </c>
      <c r="O89">
        <f>(1.2*1.2)</f>
        <v>1.44</v>
      </c>
      <c r="P89" t="str">
        <v>J</v>
      </c>
      <c r="Q89">
        <f>C89*D89/1000000-O89</f>
        <v>19.035</v>
      </c>
      <c r="S89">
        <f>IF($B89=150,Q89-SUM(E89,G89,J89,L89,N89),0)</f>
        <v>19.035</v>
      </c>
      <c r="T89">
        <f>IF($B89=200,Q89-SUM(E89,G89,J89,L89,N89),0)</f>
        <v>0</v>
      </c>
      <c r="U89">
        <f>IF($B89=250,Q89-SUM(E89,G89,J89,L89,N89),0)</f>
        <v>0</v>
      </c>
      <c r="V89">
        <f>IF($B89=300,Q89-SUM(E89,G89,J89,L89,N89),0)</f>
        <v>0</v>
      </c>
      <c r="W89">
        <f>IF($B89=350,Q89-SUM(E89,G89,J89,L89,N89),0)</f>
        <v>0</v>
      </c>
      <c r="X89">
        <f>IF($B89=400,Q89-SUM(E89,G89,J89,L89,N89),0)</f>
        <v>0</v>
      </c>
      <c r="Y89">
        <f>IF($B89=700,Q89-SUM(E89,G89,J89,L89,N89),0)</f>
        <v>0</v>
      </c>
      <c r="Z89">
        <f>SUM(S89:Y89)*2</f>
        <v>38.07</v>
      </c>
      <c r="AB89" t="str">
        <v>J</v>
      </c>
      <c r="AC89">
        <f>2*(1.2+1.2)</f>
        <v>4.8</v>
      </c>
      <c r="AD89">
        <f>AC89*(IF(S89&gt;0,150,IF(T89&gt;0,200,IF(U89&gt;0,250,IF(V89&gt;0,300,IF(W89&gt;0,350,IF(X89&gt;0,400,IF(Y89&gt;0,450))))))))/1000</f>
        <v>0.72</v>
      </c>
    </row>
    <row r="90">
      <c r="A90">
        <v>15</v>
      </c>
      <c r="B90">
        <v>150</v>
      </c>
      <c r="C90">
        <v>10650</v>
      </c>
      <c r="D90">
        <v>3500</v>
      </c>
      <c r="O90">
        <f>(1.2*1.2)</f>
        <v>1.44</v>
      </c>
      <c r="P90" t="str">
        <v>J</v>
      </c>
      <c r="Q90">
        <f>C90*D90/1000000-O90</f>
        <v>35.835</v>
      </c>
      <c r="S90">
        <f>IF($B90=150,Q90-SUM(E90,G90,J90,L90,N90),0)</f>
        <v>35.835</v>
      </c>
      <c r="T90">
        <f>IF($B90=200,Q90-SUM(E90,G90,J90,L90,N90),0)</f>
        <v>0</v>
      </c>
      <c r="U90">
        <f>IF($B90=250,Q90-SUM(E90,G90,J90,L90,N90),0)</f>
        <v>0</v>
      </c>
      <c r="V90">
        <f>IF($B90=300,Q90-SUM(E90,G90,J90,L90,N90),0)</f>
        <v>0</v>
      </c>
      <c r="W90">
        <f>IF($B90=350,Q90-SUM(E90,G90,J90,L90,N90),0)</f>
        <v>0</v>
      </c>
      <c r="X90">
        <f>IF($B90=400,Q90-SUM(E90,G90,J90,L90,N90),0)</f>
        <v>0</v>
      </c>
      <c r="Y90">
        <f>IF($B90=700,Q90-SUM(E90,G90,J90,L90,N90),0)</f>
        <v>0</v>
      </c>
      <c r="Z90">
        <f>SUM(S90:Y90)*2</f>
        <v>71.67</v>
      </c>
      <c r="AB90" t="str">
        <v>J</v>
      </c>
      <c r="AC90">
        <f>2*(1.2+1.2)</f>
        <v>4.8</v>
      </c>
      <c r="AD90">
        <f>AC90*(IF(S90&gt;0,150,IF(T90&gt;0,200,IF(U90&gt;0,250,IF(V90&gt;0,300,IF(W90&gt;0,350,IF(X90&gt;0,400,IF(Y90&gt;0,450))))))))/1000</f>
        <v>0.72</v>
      </c>
    </row>
    <row r="91">
      <c r="A91">
        <v>16</v>
      </c>
      <c r="C91">
        <v>1100</v>
      </c>
      <c r="D91">
        <v>3500</v>
      </c>
      <c r="Q91">
        <f>C91*D91/1000000-O91</f>
        <v>3.85</v>
      </c>
      <c r="S91">
        <f>IF($B91=150,Q91-SUM(E91,G91,J91,L91,N91),0)</f>
        <v>0</v>
      </c>
      <c r="T91">
        <f>IF($B91=200,Q91-SUM(E91,G91,J91,L91,N91),0)</f>
        <v>0</v>
      </c>
      <c r="U91">
        <f>IF($B91=250,Q91-SUM(E91,G91,J91,L91,N91),0)</f>
        <v>0</v>
      </c>
      <c r="V91">
        <f>IF($B91=300,Q91-SUM(E91,G91,J91,L91,N91),0)</f>
        <v>0</v>
      </c>
      <c r="W91">
        <f>IF($B91=350,Q91-SUM(E91,G91,J91,L91,N91),0)</f>
        <v>0</v>
      </c>
      <c r="X91">
        <f>IF($B91=400,Q91-SUM(E91,G91,J91,L91,N91),0)</f>
        <v>0</v>
      </c>
      <c r="Y91">
        <f>IF($B91=700,Q91-SUM(E91,G91,J91,L91,N91),0)</f>
        <v>0</v>
      </c>
      <c r="Z91">
        <f>SUM(S91:Y91)*2</f>
        <v>0</v>
      </c>
      <c r="AD91">
        <f>AC91*(IF(S91&gt;0,150,IF(T91&gt;0,200,IF(U91&gt;0,250,IF(V91&gt;0,300,IF(W91&gt;0,350,IF(X91&gt;0,400,IF(Y91&gt;0,450))))))))/1000</f>
        <v>0</v>
      </c>
    </row>
    <row r="92">
      <c r="A92">
        <v>17</v>
      </c>
      <c r="C92">
        <v>1100</v>
      </c>
      <c r="D92">
        <v>3500</v>
      </c>
      <c r="Q92">
        <f>C92*D92/1000000-O92</f>
        <v>3.85</v>
      </c>
      <c r="S92">
        <f>IF($B92=150,Q92-SUM(E92,G92,J92,L92,N92),0)</f>
        <v>0</v>
      </c>
      <c r="T92">
        <f>IF($B92=200,Q92-SUM(E92,G92,J92,L92,N92),0)</f>
        <v>0</v>
      </c>
      <c r="U92">
        <f>IF($B92=250,Q92-SUM(E92,G92,J92,L92,N92),0)</f>
        <v>0</v>
      </c>
      <c r="V92">
        <f>IF($B92=300,Q92-SUM(E92,G92,J92,L92,N92),0)</f>
        <v>0</v>
      </c>
      <c r="W92">
        <f>IF($B92=350,Q92-SUM(E92,G92,J92,L92,N92),0)</f>
        <v>0</v>
      </c>
      <c r="X92">
        <f>IF($B92=400,Q92-SUM(E92,G92,J92,L92,N92),0)</f>
        <v>0</v>
      </c>
      <c r="Y92">
        <f>IF($B92=700,Q92-SUM(E92,G92,J92,L92,N92),0)</f>
        <v>0</v>
      </c>
      <c r="Z92">
        <f>SUM(S92:Y92)*2</f>
        <v>0</v>
      </c>
      <c r="AD92">
        <f>AC92*(IF(S92&gt;0,150,IF(T92&gt;0,200,IF(U92&gt;0,250,IF(V92&gt;0,300,IF(W92&gt;0,350,IF(X92&gt;0,400,IF(Y92&gt;0,450))))))))/1000</f>
        <v>0</v>
      </c>
    </row>
    <row r="93">
      <c r="A93">
        <v>18</v>
      </c>
      <c r="C93">
        <v>1100</v>
      </c>
      <c r="D93">
        <v>3500</v>
      </c>
      <c r="Q93">
        <f>C93*D93/1000000-O93</f>
        <v>3.85</v>
      </c>
      <c r="S93">
        <f>IF($B93=150,Q93-SUM(E93,G93,J93,L93,N93),0)</f>
        <v>0</v>
      </c>
      <c r="T93">
        <f>IF($B93=200,Q93-SUM(E93,G93,J93,L93,N93),0)</f>
        <v>0</v>
      </c>
      <c r="U93">
        <f>IF($B93=250,Q93-SUM(E93,G93,J93,L93,N93),0)</f>
        <v>0</v>
      </c>
      <c r="V93">
        <f>IF($B93=300,Q93-SUM(E93,G93,J93,L93,N93),0)</f>
        <v>0</v>
      </c>
      <c r="W93">
        <f>IF($B93=350,Q93-SUM(E93,G93,J93,L93,N93),0)</f>
        <v>0</v>
      </c>
      <c r="X93">
        <f>IF($B93=400,Q93-SUM(E93,G93,J93,L93,N93),0)</f>
        <v>0</v>
      </c>
      <c r="Y93">
        <f>IF($B93=700,Q93-SUM(E93,G93,J93,L93,N93),0)</f>
        <v>0</v>
      </c>
      <c r="Z93">
        <f>SUM(S93:Y93)*2</f>
        <v>0</v>
      </c>
      <c r="AD93">
        <f>AC93*(IF(S93&gt;0,150,IF(T93&gt;0,200,IF(U93&gt;0,250,IF(V93&gt;0,300,IF(W93&gt;0,350,IF(X93&gt;0,400,IF(Y93&gt;0,450))))))))/1000</f>
        <v>0</v>
      </c>
    </row>
    <row r="94">
      <c r="A94">
        <v>19</v>
      </c>
      <c r="C94">
        <v>1100</v>
      </c>
      <c r="D94">
        <v>3500</v>
      </c>
      <c r="Q94">
        <f>C94*D94/1000000-O94</f>
        <v>3.85</v>
      </c>
      <c r="S94">
        <f>IF($B94=150,Q94-SUM(E94,G94,J94,L94,N94),0)</f>
        <v>0</v>
      </c>
      <c r="T94">
        <f>IF($B94=200,Q94-SUM(E94,G94,J94,L94,N94),0)</f>
        <v>0</v>
      </c>
      <c r="U94">
        <f>IF($B94=250,Q94-SUM(E94,G94,J94,L94,N94),0)</f>
        <v>0</v>
      </c>
      <c r="V94">
        <f>IF($B94=300,Q94-SUM(E94,G94,J94,L94,N94),0)</f>
        <v>0</v>
      </c>
      <c r="W94">
        <f>IF($B94=350,Q94-SUM(E94,G94,J94,L94,N94),0)</f>
        <v>0</v>
      </c>
      <c r="X94">
        <f>IF($B94=400,Q94-SUM(E94,G94,J94,L94,N94),0)</f>
        <v>0</v>
      </c>
      <c r="Y94">
        <f>IF($B94=700,Q94-SUM(E94,G94,J94,L94,N94),0)</f>
        <v>0</v>
      </c>
      <c r="Z94">
        <f>SUM(S94:Y94)*2</f>
        <v>0</v>
      </c>
      <c r="AD94">
        <f>AC94*(IF(S94&gt;0,150,IF(T94&gt;0,200,IF(U94&gt;0,250,IF(V94&gt;0,300,IF(W94&gt;0,350,IF(X94&gt;0,400,IF(Y94&gt;0,450))))))))/1000</f>
        <v>0</v>
      </c>
    </row>
    <row r="95">
      <c r="A95">
        <v>20</v>
      </c>
      <c r="C95">
        <v>1100</v>
      </c>
      <c r="D95">
        <v>3500</v>
      </c>
      <c r="Q95">
        <f>C95*D95/1000000-O95</f>
        <v>3.85</v>
      </c>
      <c r="S95">
        <f>IF($B95=150,Q95-SUM(E95,G95,J95,L95,N95),0)</f>
        <v>0</v>
      </c>
      <c r="T95">
        <f>IF($B95=200,Q95-SUM(E95,G95,J95,L95,N95),0)</f>
        <v>0</v>
      </c>
      <c r="U95">
        <f>IF($B95=250,Q95-SUM(E95,G95,J95,L95,N95),0)</f>
        <v>0</v>
      </c>
      <c r="V95">
        <f>IF($B95=300,Q95-SUM(E95,G95,J95,L95,N95),0)</f>
        <v>0</v>
      </c>
      <c r="W95">
        <f>IF($B95=350,Q95-SUM(E95,G95,J95,L95,N95),0)</f>
        <v>0</v>
      </c>
      <c r="X95">
        <f>IF($B95=400,Q95-SUM(E95,G95,J95,L95,N95),0)</f>
        <v>0</v>
      </c>
      <c r="Y95">
        <f>IF($B95=700,Q95-SUM(E95,G95,J95,L95,N95),0)</f>
        <v>0</v>
      </c>
      <c r="Z95">
        <f>SUM(S95:Y95)*2</f>
        <v>0</v>
      </c>
      <c r="AD95">
        <f>AC95*(IF(S95&gt;0,150,IF(T95&gt;0,200,IF(U95&gt;0,250,IF(V95&gt;0,300,IF(W95&gt;0,350,IF(X95&gt;0,400,IF(Y95&gt;0,450))))))))/1000</f>
        <v>0</v>
      </c>
    </row>
    <row r="96">
      <c r="A96">
        <v>21</v>
      </c>
      <c r="C96">
        <v>1100</v>
      </c>
      <c r="D96">
        <v>3500</v>
      </c>
      <c r="Q96">
        <f>C96*D96/1000000-O96</f>
        <v>3.85</v>
      </c>
      <c r="S96">
        <f>IF($B96=150,Q96-SUM(E96,G96,J96,L96,N96),0)</f>
        <v>0</v>
      </c>
      <c r="T96">
        <f>IF($B96=200,Q96-SUM(E96,G96,J96,L96,N96),0)</f>
        <v>0</v>
      </c>
      <c r="U96">
        <f>IF($B96=250,Q96-SUM(E96,G96,J96,L96,N96),0)</f>
        <v>0</v>
      </c>
      <c r="V96">
        <f>IF($B96=300,Q96-SUM(E96,G96,J96,L96,N96),0)</f>
        <v>0</v>
      </c>
      <c r="W96">
        <f>IF($B96=350,Q96-SUM(E96,G96,J96,L96,N96),0)</f>
        <v>0</v>
      </c>
      <c r="X96">
        <f>IF($B96=400,Q96-SUM(E96,G96,J96,L96,N96),0)</f>
        <v>0</v>
      </c>
      <c r="Y96">
        <f>IF($B96=700,Q96-SUM(E96,G96,J96,L96,N96),0)</f>
        <v>0</v>
      </c>
      <c r="Z96">
        <f>SUM(S96:Y96)*2</f>
        <v>0</v>
      </c>
      <c r="AD96">
        <f>AC96*(IF(S96&gt;0,150,IF(T96&gt;0,200,IF(U96&gt;0,250,IF(V96&gt;0,300,IF(W96&gt;0,350,IF(X96&gt;0,400,IF(Y96&gt;0,450))))))))/1000</f>
        <v>0</v>
      </c>
    </row>
    <row r="97">
      <c r="A97">
        <v>22</v>
      </c>
      <c r="C97">
        <v>1100</v>
      </c>
      <c r="D97">
        <v>3500</v>
      </c>
      <c r="Q97">
        <f>C97*D97/1000000-O97</f>
        <v>3.85</v>
      </c>
      <c r="S97">
        <f>IF($B97=150,Q97-SUM(E97,G97,J97,L97,N97),0)</f>
        <v>0</v>
      </c>
      <c r="T97">
        <f>IF($B97=200,Q97-SUM(E97,G97,J97,L97,N97),0)</f>
        <v>0</v>
      </c>
      <c r="U97">
        <f>IF($B97=250,Q97-SUM(E97,G97,J97,L97,N97),0)</f>
        <v>0</v>
      </c>
      <c r="V97">
        <f>IF($B97=300,Q97-SUM(E97,G97,J97,L97,N97),0)</f>
        <v>0</v>
      </c>
      <c r="W97">
        <f>IF($B97=350,Q97-SUM(E97,G97,J97,L97,N97),0)</f>
        <v>0</v>
      </c>
      <c r="X97">
        <f>IF($B97=400,Q97-SUM(E97,G97,J97,L97,N97),0)</f>
        <v>0</v>
      </c>
      <c r="Y97">
        <f>IF($B97=700,Q97-SUM(E97,G97,J97,L97,N97),0)</f>
        <v>0</v>
      </c>
      <c r="Z97">
        <f>SUM(S97:Y97)*2</f>
        <v>0</v>
      </c>
      <c r="AD97">
        <f>AC97*(IF(S97&gt;0,150,IF(T97&gt;0,200,IF(U97&gt;0,250,IF(V97&gt;0,300,IF(W97&gt;0,350,IF(X97&gt;0,400,IF(Y97&gt;0,450))))))))/1000</f>
        <v>0</v>
      </c>
    </row>
    <row r="98">
      <c r="A98">
        <v>23</v>
      </c>
      <c r="C98">
        <v>1100</v>
      </c>
      <c r="D98">
        <v>3500</v>
      </c>
      <c r="Q98">
        <f>C98*D98/1000000-O98</f>
        <v>3.85</v>
      </c>
      <c r="S98">
        <f>IF($B98=150,Q98-SUM(E98,G98,J98,L98,N98),0)</f>
        <v>0</v>
      </c>
      <c r="T98">
        <f>IF($B98=200,Q98-SUM(E98,G98,J98,L98,N98),0)</f>
        <v>0</v>
      </c>
      <c r="U98">
        <f>IF($B98=250,Q98-SUM(E98,G98,J98,L98,N98),0)</f>
        <v>0</v>
      </c>
      <c r="V98">
        <f>IF($B98=300,Q98-SUM(E98,G98,J98,L98,N98),0)</f>
        <v>0</v>
      </c>
      <c r="W98">
        <f>IF($B98=350,Q98-SUM(E98,G98,J98,L98,N98),0)</f>
        <v>0</v>
      </c>
      <c r="X98">
        <f>IF($B98=400,Q98-SUM(E98,G98,J98,L98,N98),0)</f>
        <v>0</v>
      </c>
      <c r="Y98">
        <f>IF($B98=700,Q98-SUM(E98,G98,J98,L98,N98),0)</f>
        <v>0</v>
      </c>
      <c r="Z98">
        <f>SUM(S98:Y98)*2</f>
        <v>0</v>
      </c>
      <c r="AD98">
        <f>AC98*(IF(S98&gt;0,150,IF(T98&gt;0,200,IF(U98&gt;0,250,IF(V98&gt;0,300,IF(W98&gt;0,350,IF(X98&gt;0,400,IF(Y98&gt;0,450))))))))/1000</f>
        <v>0</v>
      </c>
    </row>
    <row r="99">
      <c r="A99">
        <v>24</v>
      </c>
      <c r="C99">
        <v>1100</v>
      </c>
      <c r="D99">
        <v>3500</v>
      </c>
      <c r="Q99">
        <f>C99*D99/1000000-O99</f>
        <v>3.85</v>
      </c>
      <c r="S99">
        <f>IF($B99=150,Q99-SUM(E99,G99,J99,L99,N99),0)</f>
        <v>0</v>
      </c>
      <c r="T99">
        <f>IF($B99=200,Q99-SUM(E99,G99,J99,L99,N99),0)</f>
        <v>0</v>
      </c>
      <c r="U99">
        <f>IF($B99=250,Q99-SUM(E99,G99,J99,L99,N99),0)</f>
        <v>0</v>
      </c>
      <c r="V99">
        <f>IF($B99=300,Q99-SUM(E99,G99,J99,L99,N99),0)</f>
        <v>0</v>
      </c>
      <c r="W99">
        <f>IF($B99=350,Q99-SUM(E99,G99,J99,L99,N99),0)</f>
        <v>0</v>
      </c>
      <c r="X99">
        <f>IF($B99=400,Q99-SUM(E99,G99,J99,L99,N99),0)</f>
        <v>0</v>
      </c>
      <c r="Y99">
        <f>IF($B99=700,Q99-SUM(E99,G99,J99,L99,N99),0)</f>
        <v>0</v>
      </c>
      <c r="Z99">
        <f>SUM(S99:Y99)*2</f>
        <v>0</v>
      </c>
      <c r="AD99">
        <f>AC99*(IF(S99&gt;0,150,IF(T99&gt;0,200,IF(U99&gt;0,250,IF(V99&gt;0,300,IF(W99&gt;0,350,IF(X99&gt;0,400,IF(Y99&gt;0,450))))))))/1000</f>
        <v>0</v>
      </c>
    </row>
    <row r="100">
      <c r="A100">
        <v>25</v>
      </c>
      <c r="C100">
        <v>1100</v>
      </c>
      <c r="D100">
        <v>3500</v>
      </c>
      <c r="Q100">
        <f>C100*D100/1000000-O100</f>
        <v>3.85</v>
      </c>
      <c r="S100">
        <f>IF($B100=150,Q100-SUM(E100,G100,J100,L100,N100),0)</f>
        <v>0</v>
      </c>
      <c r="T100">
        <f>IF($B100=200,Q100-SUM(E100,G100,J100,L100,N100),0)</f>
        <v>0</v>
      </c>
      <c r="U100">
        <f>IF($B100=250,Q100-SUM(E100,G100,J100,L100,N100),0)</f>
        <v>0</v>
      </c>
      <c r="V100">
        <f>IF($B100=300,Q100-SUM(E100,G100,J100,L100,N100),0)</f>
        <v>0</v>
      </c>
      <c r="W100">
        <f>IF($B100=350,Q100-SUM(E100,G100,J100,L100,N100),0)</f>
        <v>0</v>
      </c>
      <c r="X100">
        <f>IF($B100=400,Q100-SUM(E100,G100,J100,L100,N100),0)</f>
        <v>0</v>
      </c>
      <c r="Y100">
        <f>IF($B100=700,Q100-SUM(E100,G100,J100,L100,N100),0)</f>
        <v>0</v>
      </c>
      <c r="Z100">
        <f>SUM(S100:Y100)*2</f>
        <v>0</v>
      </c>
      <c r="AD100">
        <f>AC100*(IF(S100&gt;0,150,IF(T100&gt;0,200,IF(U100&gt;0,250,IF(V100&gt;0,300,IF(W100&gt;0,350,IF(X100&gt;0,400,IF(Y100&gt;0,450))))))))/1000</f>
        <v>0</v>
      </c>
    </row>
    <row r="101">
      <c r="A101">
        <v>26</v>
      </c>
      <c r="B101">
        <v>150</v>
      </c>
      <c r="C101">
        <v>10580</v>
      </c>
      <c r="D101">
        <v>2000</v>
      </c>
      <c r="Q101">
        <f>C101*D101/1000000-O101</f>
        <v>21.16</v>
      </c>
      <c r="S101">
        <f>IF($B101=150,Q101-SUM(E101,G101,J101,L101,N101),0)</f>
        <v>21.16</v>
      </c>
      <c r="T101">
        <f>IF($B101=200,Q101-SUM(E101,G101,J101,L101,N101),0)</f>
        <v>0</v>
      </c>
      <c r="U101">
        <f>IF($B101=250,Q101-SUM(E101,G101,J101,L101,N101),0)</f>
        <v>0</v>
      </c>
      <c r="V101">
        <f>IF($B101=300,Q101-SUM(E101,G101,J101,L101,N101),0)</f>
        <v>0</v>
      </c>
      <c r="W101">
        <f>IF($B101=350,Q101-SUM(E101,G101,J101,L101,N101),0)</f>
        <v>0</v>
      </c>
      <c r="X101">
        <f>IF($B101=400,Q101-SUM(E101,G101,J101,L101,N101),0)</f>
        <v>0</v>
      </c>
      <c r="Y101">
        <f>IF($B101=700,Q101-SUM(E101,G101,J101,L101,N101),0)</f>
        <v>0</v>
      </c>
      <c r="Z101">
        <f>SUM(S101:Y101)*2</f>
        <v>42.32</v>
      </c>
      <c r="AD101">
        <f>AC101*(IF(S101&gt;0,150,IF(T101&gt;0,200,IF(U101&gt;0,250,IF(V101&gt;0,300,IF(W101&gt;0,350,IF(X101&gt;0,400,IF(Y101&gt;0,450))))))))/1000</f>
        <v>0</v>
      </c>
    </row>
    <row r="102">
      <c r="A102">
        <v>27</v>
      </c>
      <c r="B102">
        <v>150</v>
      </c>
      <c r="C102">
        <v>5275</v>
      </c>
      <c r="D102">
        <v>2000</v>
      </c>
      <c r="Q102">
        <f>C102*D102/1000000-O102</f>
        <v>10.55</v>
      </c>
      <c r="S102">
        <f>IF($B102=150,Q102-SUM(E102,G102,J102,L102,N102),0)</f>
        <v>10.55</v>
      </c>
      <c r="T102">
        <f>IF($B102=200,Q102-SUM(E102,G102,J102,L102,N102),0)</f>
        <v>0</v>
      </c>
      <c r="U102">
        <f>IF($B102=250,Q102-SUM(E102,G102,J102,L102,N102),0)</f>
        <v>0</v>
      </c>
      <c r="V102">
        <f>IF($B102=300,Q102-SUM(E102,G102,J102,L102,N102),0)</f>
        <v>0</v>
      </c>
      <c r="W102">
        <f>IF($B102=350,Q102-SUM(E102,G102,J102,L102,N102),0)</f>
        <v>0</v>
      </c>
      <c r="X102">
        <f>IF($B102=400,Q102-SUM(E102,G102,J102,L102,N102),0)</f>
        <v>0</v>
      </c>
      <c r="Y102">
        <f>IF($B102=700,Q102-SUM(E102,G102,J102,L102,N102),0)</f>
        <v>0</v>
      </c>
      <c r="Z102">
        <f>SUM(S102:Y102)*2</f>
        <v>21.1</v>
      </c>
      <c r="AD102">
        <f>AC102*(IF(S102&gt;0,150,IF(T102&gt;0,200,IF(U102&gt;0,250,IF(V102&gt;0,300,IF(W102&gt;0,350,IF(X102&gt;0,400,IF(Y102&gt;0,450))))))))/1000</f>
        <v>0</v>
      </c>
    </row>
    <row r="103">
      <c r="A103">
        <v>28</v>
      </c>
      <c r="B103">
        <v>150</v>
      </c>
      <c r="C103">
        <v>6725</v>
      </c>
      <c r="D103">
        <v>0</v>
      </c>
      <c r="Q103">
        <f>C103*D103/1000000-O103</f>
        <v>0</v>
      </c>
      <c r="S103">
        <f>IF($B103=150,Q103-SUM(E103,G103,J103,L103,N103),0)</f>
        <v>0</v>
      </c>
      <c r="T103">
        <f>IF($B103=200,Q103-SUM(E103,G103,J103,L103,N103),0)</f>
        <v>0</v>
      </c>
      <c r="U103">
        <f>IF($B103=250,Q103-SUM(E103,G103,J103,L103,N103),0)</f>
        <v>0</v>
      </c>
      <c r="V103">
        <f>IF($B103=300,Q103-SUM(E103,G103,J103,L103,N103),0)</f>
        <v>0</v>
      </c>
      <c r="W103">
        <f>IF($B103=350,Q103-SUM(E103,G103,J103,L103,N103),0)</f>
        <v>0</v>
      </c>
      <c r="X103">
        <f>IF($B103=400,Q103-SUM(E103,G103,J103,L103,N103),0)</f>
        <v>0</v>
      </c>
      <c r="Y103">
        <f>IF($B103=700,Q103-SUM(E103,G103,J103,L103,N103),0)</f>
        <v>0</v>
      </c>
      <c r="Z103">
        <f>SUM(S103:Y103)*2</f>
        <v>0</v>
      </c>
      <c r="AD103">
        <f>AC103*(IF(S103&gt;0,150,IF(T103&gt;0,200,IF(U103&gt;0,250,IF(V103&gt;0,300,IF(W103&gt;0,350,IF(X103&gt;0,400,IF(Y103&gt;0,450))))))))/1000</f>
        <v>0</v>
      </c>
    </row>
    <row r="104">
      <c r="Q104">
        <f>C104*D104/1000000-O104</f>
        <v>0</v>
      </c>
      <c r="S104">
        <f>IF($B104=150,Q104-SUM(E104,G104,J104,L104,N104),0)</f>
        <v>0</v>
      </c>
      <c r="T104">
        <f>IF($B104=200,Q104-SUM(E104,G104,J104,L104,N104),0)</f>
        <v>0</v>
      </c>
      <c r="U104">
        <f>IF($B104=250,Q104-SUM(E104,G104,J104,L104,N104),0)</f>
        <v>0</v>
      </c>
      <c r="V104">
        <f>IF($B104=300,Q104-SUM(E104,G104,J104,L104,N104),0)</f>
        <v>0</v>
      </c>
      <c r="W104">
        <f>IF($B104=350,Q104-SUM(E104,G104,J104,L104,N104),0)</f>
        <v>0</v>
      </c>
      <c r="X104">
        <f>IF($B104=400,Q104-SUM(E104,G104,J104,L104,N104),0)</f>
        <v>0</v>
      </c>
      <c r="Y104">
        <f>IF($B104=700,Q104-SUM(E104,G104,J104,L104,N104),0)</f>
        <v>0</v>
      </c>
      <c r="Z104">
        <f>SUM(S104:Y104)*2</f>
        <v>0</v>
      </c>
    </row>
    <row r="105">
      <c r="A105">
        <v>33</v>
      </c>
      <c r="C105">
        <f>8800-8*500</f>
        <v>4800</v>
      </c>
      <c r="D105">
        <v>3500</v>
      </c>
      <c r="Q105">
        <f>C105*D105/1000000-O105</f>
        <v>16.8</v>
      </c>
      <c r="S105">
        <f>IF($B105=150,Q105-SUM(E105,G105,J105,L105,N105),0)</f>
        <v>0</v>
      </c>
      <c r="T105">
        <f>IF($B105=200,Q105-SUM(E105,G105,J105,L105,N105),0)</f>
        <v>0</v>
      </c>
      <c r="U105">
        <f>IF($B105=250,Q105-SUM(E105,G105,J105,L105,N105),0)</f>
        <v>0</v>
      </c>
      <c r="V105">
        <f>IF($B105=300,Q105-SUM(E105,G105,J105,L105,N105),0)</f>
        <v>0</v>
      </c>
      <c r="W105">
        <f>IF($B105=350,Q105-SUM(E105,G105,J105,L105,N105),0)</f>
        <v>0</v>
      </c>
      <c r="X105">
        <f>IF($B105=400,Q105-SUM(E105,G105,J105,L105,N105),0)</f>
        <v>0</v>
      </c>
      <c r="Y105">
        <f>IF($B105=700,Q105-SUM(E105,G105,J105,L105,N105),0)</f>
        <v>0</v>
      </c>
      <c r="Z105">
        <f>SUM(S105:Y105)*2</f>
        <v>0</v>
      </c>
      <c r="AD105">
        <f>AC105*(IF(S105&gt;0,150,IF(T105&gt;0,200,IF(U105&gt;0,250,IF(V105&gt;0,300,IF(W105&gt;0,350,IF(X105&gt;0,400,IF(Y105&gt;0,450))))))))/1000</f>
        <v>0</v>
      </c>
    </row>
    <row r="106">
      <c r="A106">
        <v>34</v>
      </c>
      <c r="B106">
        <v>150</v>
      </c>
      <c r="C106">
        <v>3380</v>
      </c>
      <c r="D106">
        <v>3500</v>
      </c>
      <c r="Q106">
        <f>C106*D106/1000000-O106</f>
        <v>11.83</v>
      </c>
      <c r="S106">
        <f>IF($B106=150,Q106-SUM(E106,G106,J106,L106,N106),0)</f>
        <v>11.83</v>
      </c>
      <c r="T106">
        <f>IF($B106=200,Q106-SUM(E106,G106,J106,L106,N106),0)</f>
        <v>0</v>
      </c>
      <c r="U106">
        <f>IF($B106=250,Q106-SUM(E106,G106,J106,L106,N106),0)</f>
        <v>0</v>
      </c>
      <c r="V106">
        <f>IF($B106=300,Q106-SUM(E106,G106,J106,L106,N106),0)</f>
        <v>0</v>
      </c>
      <c r="W106">
        <f>IF($B106=350,Q106-SUM(E106,G106,J106,L106,N106),0)</f>
        <v>0</v>
      </c>
      <c r="X106">
        <f>IF($B106=400,Q106-SUM(E106,G106,J106,L106,N106),0)</f>
        <v>0</v>
      </c>
      <c r="Y106">
        <f>IF($B106=700,Q106-SUM(E106,G106,J106,L106,N106),0)</f>
        <v>0</v>
      </c>
      <c r="Z106">
        <f>SUM(S106:Y106)*2</f>
        <v>23.66</v>
      </c>
      <c r="AD106">
        <f>AC106*(IF(S106&gt;0,150,IF(T106&gt;0,200,IF(U106&gt;0,250,IF(V106&gt;0,300,IF(W106&gt;0,350,IF(X106&gt;0,400,IF(Y106&gt;0,450))))))))/1000</f>
        <v>0</v>
      </c>
    </row>
    <row r="107">
      <c r="Q107">
        <f>C107*D107/1000000-O107</f>
        <v>0</v>
      </c>
      <c r="S107">
        <f>IF($B107=150,Q107-SUM(E107,G107,J107,L107,N107),0)</f>
        <v>0</v>
      </c>
      <c r="T107">
        <f>IF($B107=200,Q107-SUM(E107,G107,J107,L107,N107),0)</f>
        <v>0</v>
      </c>
      <c r="U107">
        <f>IF($B107=250,Q107-SUM(E107,G107,J107,L107,N107),0)</f>
        <v>0</v>
      </c>
      <c r="V107">
        <f>IF($B107=300,Q107-SUM(E107,G107,J107,L107,N107),0)</f>
        <v>0</v>
      </c>
      <c r="W107">
        <f>IF($B107=350,Q107-SUM(E107,G107,J107,L107,N107),0)</f>
        <v>0</v>
      </c>
      <c r="X107">
        <f>IF($B107=400,Q107-SUM(E107,G107,J107,L107,N107),0)</f>
        <v>0</v>
      </c>
      <c r="Y107">
        <f>IF($B107=700,Q107-SUM(E107,G107,J107,L107,N107),0)</f>
        <v>0</v>
      </c>
      <c r="Z107">
        <f>SUM(S107:Y107)*2</f>
        <v>0</v>
      </c>
    </row>
    <row r="108">
      <c r="Q108">
        <f>C108*D108/1000000-O108</f>
        <v>0</v>
      </c>
      <c r="S108">
        <f>IF($B108=150,Q108-SUM(E108,G108,J108,L108,N108),0)</f>
        <v>0</v>
      </c>
      <c r="T108">
        <f>IF($B108=200,Q108-SUM(E108,G108,J108,L108,N108),0)</f>
        <v>0</v>
      </c>
      <c r="U108">
        <f>IF($B108=250,Q108-SUM(E108,G108,J108,L108,N108),0)</f>
        <v>0</v>
      </c>
      <c r="V108">
        <f>IF($B108=300,Q108-SUM(E108,G108,J108,L108,N108),0)</f>
        <v>0</v>
      </c>
      <c r="W108">
        <f>IF($B108=350,Q108-SUM(E108,G108,J108,L108,N108),0)</f>
        <v>0</v>
      </c>
      <c r="X108">
        <f>IF($B108=400,Q108-SUM(E108,G108,J108,L108,N108),0)</f>
        <v>0</v>
      </c>
      <c r="Y108">
        <f>IF($B108=700,Q108-SUM(E108,G108,J108,L108,N108),0)</f>
        <v>0</v>
      </c>
      <c r="Z108">
        <f>SUM(S108:Y108)*2</f>
        <v>0</v>
      </c>
    </row>
    <row r="109">
      <c r="A109" t="str">
        <v>VOLUME</v>
      </c>
      <c r="F109">
        <f>SUM(F76:F108)</f>
        <v>0</v>
      </c>
      <c r="K109">
        <f>SUM(K76:K108)</f>
        <v>0</v>
      </c>
      <c r="M109">
        <f>SUM(M76:M108)</f>
        <v>0</v>
      </c>
      <c r="Q109">
        <f>SUM(Q76:Q108)</f>
        <v>352.0530000000003</v>
      </c>
      <c r="R109">
        <f>SUM(R76:R108)</f>
        <v>0</v>
      </c>
      <c r="S109">
        <f>SUM(S76:S108)</f>
        <v>280.168</v>
      </c>
      <c r="T109">
        <f>SUM(T76:T108)</f>
        <v>16.585</v>
      </c>
      <c r="U109">
        <f>SUM(U76:U108)</f>
        <v>0</v>
      </c>
      <c r="V109">
        <f>SUM(V76:V108)</f>
        <v>0</v>
      </c>
      <c r="W109">
        <f>SUM(W76:W108)</f>
        <v>0</v>
      </c>
      <c r="X109">
        <f>SUM(X76:X108)</f>
        <v>0</v>
      </c>
      <c r="Y109">
        <f>SUM(Y76:Y108)</f>
        <v>0</v>
      </c>
      <c r="Z109">
        <f>SUM(Z76:Z108)</f>
        <v>593.5060000000001</v>
      </c>
      <c r="AA109">
        <f>SUM(AA76:AA108)</f>
        <v>0</v>
      </c>
      <c r="AB109">
        <f>SUM(R109:Y109)</f>
        <v>296.753</v>
      </c>
      <c r="AC109">
        <f>SUM(AC76:AC108)</f>
        <v>76.03</v>
      </c>
      <c r="AD109">
        <f>SUM(AD76:AD108)</f>
        <v>11.6445</v>
      </c>
    </row>
    <row r="110">
      <c r="AD110">
        <f>AD109/AB109</f>
        <v>0.03923970440062948</v>
      </c>
    </row>
    <row r="111">
      <c r="A111" t="str">
        <v>Lantai Atap</v>
      </c>
      <c r="C111" t="str">
        <v>Panjang</v>
      </c>
      <c r="D111" t="str">
        <v>Tinggi</v>
      </c>
      <c r="E111" t="str">
        <v>Luas Pengurang</v>
      </c>
      <c r="Q111" t="str">
        <v>Luas Bruto - Kusen</v>
      </c>
      <c r="R111" t="str">
        <v>Luas Bruto - Kusen dan Balok</v>
      </c>
      <c r="S111" t="str">
        <v>Luas Dinding 1/2 Bata</v>
      </c>
      <c r="T111" t="str">
        <v>Luas Dinding 3/4 Bata</v>
      </c>
      <c r="U111" t="str">
        <v>Luas Dinding 1 Bata</v>
      </c>
      <c r="V111" t="str">
        <v>Luas Dinding 1 1/4 Bata</v>
      </c>
      <c r="W111" t="str">
        <v>Luas Dinding 1 1/2 Bata</v>
      </c>
      <c r="X111" t="str">
        <v xml:space="preserve">Luas Dinding 1 3/4 Bata </v>
      </c>
      <c r="Y111" t="str">
        <v>Luas Dinding 3 1/4 Bata</v>
      </c>
      <c r="Z111" t="str">
        <v>Plester &amp; Aci</v>
      </c>
      <c r="AA111" t="str">
        <v>Benangan</v>
      </c>
    </row>
    <row r="112">
      <c r="E112" t="str">
        <v>Kolom Struktur</v>
      </c>
      <c r="F112" t="str">
        <v>Kolom Praktis</v>
      </c>
      <c r="H112" t="str">
        <v>Balok Struktur</v>
      </c>
      <c r="K112" t="str">
        <v>Balok Latei</v>
      </c>
      <c r="M112" t="str">
        <v>Balok Praktis</v>
      </c>
      <c r="O112" t="str">
        <v>Luas Kusen</v>
      </c>
      <c r="P112" t="str">
        <v>Tipe Kusen</v>
      </c>
      <c r="AC112" t="str">
        <v>Benangan Opening</v>
      </c>
      <c r="AD112" t="str">
        <v>Luas Plesteran Opening</v>
      </c>
    </row>
    <row r="113">
      <c r="A113" t="str">
        <v>Nomor</v>
      </c>
      <c r="B113" t="str">
        <v>Tebal (mm)</v>
      </c>
      <c r="E113" t="str">
        <v>m2</v>
      </c>
      <c r="F113" t="str">
        <v>m'</v>
      </c>
      <c r="G113" t="str">
        <v>Luas KP</v>
      </c>
      <c r="H113" t="str">
        <v>panjang</v>
      </c>
      <c r="I113" t="str">
        <v>tinggi</v>
      </c>
      <c r="J113" t="str">
        <v>Luas Balok</v>
      </c>
      <c r="K113" t="str">
        <v>m'</v>
      </c>
      <c r="L113" t="str">
        <v>Luas BL</v>
      </c>
      <c r="M113" t="str">
        <v>m'</v>
      </c>
      <c r="N113" t="str">
        <v>Luas BP</v>
      </c>
      <c r="O113" t="str">
        <v>m2</v>
      </c>
      <c r="Q113" t="str">
        <v>m2</v>
      </c>
      <c r="R113" t="str">
        <v>m2</v>
      </c>
      <c r="S113" t="str">
        <v>m2</v>
      </c>
      <c r="T113" t="str">
        <v>m2</v>
      </c>
      <c r="U113" t="str">
        <v>m2</v>
      </c>
      <c r="V113" t="str">
        <v>m2</v>
      </c>
      <c r="W113" t="str">
        <v>m2</v>
      </c>
      <c r="X113" t="str">
        <v>m2</v>
      </c>
      <c r="Y113" t="str">
        <v>m2</v>
      </c>
      <c r="Z113" t="str">
        <v>m2</v>
      </c>
      <c r="AA113" t="str">
        <v>m'</v>
      </c>
    </row>
    <row r="114">
      <c r="A114">
        <v>1</v>
      </c>
      <c r="B114">
        <v>150</v>
      </c>
      <c r="C114">
        <v>5605</v>
      </c>
      <c r="D114">
        <v>0</v>
      </c>
      <c r="Q114">
        <f>C114*D114/1000000-O114</f>
        <v>0</v>
      </c>
      <c r="S114">
        <f>IF($B114=150,Q114-SUM(E114,G114,J114,L114,N114),0)</f>
        <v>0</v>
      </c>
      <c r="T114">
        <f>IF($B114=200,Q114-SUM(E114,G114,J114,L114,N114),0)</f>
        <v>0</v>
      </c>
      <c r="U114">
        <f>IF($B114=250,Q114-SUM(E114,G114,J114,L114,N114),0)</f>
        <v>0</v>
      </c>
      <c r="V114">
        <f>IF($B114=300,Q114-SUM(E114,G114,J114,L114,N114),0)</f>
        <v>0</v>
      </c>
      <c r="W114">
        <f>IF($B114=350,Q114-SUM(E114,G114,J114,L114,N114),0)</f>
        <v>0</v>
      </c>
      <c r="X114">
        <f>IF($B114=400,Q114-SUM(E114,G114,J114,L114,N114),0)</f>
        <v>0</v>
      </c>
      <c r="Y114">
        <f>IF($B114=700,Q114-SUM(E114,G114,J114,L114,N114),0)</f>
        <v>0</v>
      </c>
      <c r="Z114">
        <f>SUM(S114:Y114)*2</f>
        <v>0</v>
      </c>
      <c r="AD114">
        <f>AC114*(IF(S114&gt;0,150,IF(T114&gt;0,200,IF(U114&gt;0,250,IF(V114&gt;0,300,IF(W114&gt;0,350,IF(X114&gt;0,400,IF(Y114&gt;0,450))))))))/1000</f>
        <v>0</v>
      </c>
    </row>
    <row r="115">
      <c r="A115">
        <v>2</v>
      </c>
      <c r="B115">
        <v>150</v>
      </c>
      <c r="C115">
        <v>3635</v>
      </c>
      <c r="D115">
        <v>0</v>
      </c>
      <c r="Q115">
        <f>C115*D115/1000000-O115</f>
        <v>0</v>
      </c>
      <c r="S115">
        <f>IF($B115=150,Q115-SUM(E115,G115,J115,L115,N115),0)</f>
        <v>0</v>
      </c>
      <c r="T115">
        <f>IF($B115=200,Q115-SUM(E115,G115,J115,L115,N115),0)</f>
        <v>0</v>
      </c>
      <c r="U115">
        <f>IF($B115=250,Q115-SUM(E115,G115,J115,L115,N115),0)</f>
        <v>0</v>
      </c>
      <c r="V115">
        <f>IF($B115=300,Q115-SUM(E115,G115,J115,L115,N115),0)</f>
        <v>0</v>
      </c>
      <c r="W115">
        <f>IF($B115=350,Q115-SUM(E115,G115,J115,L115,N115),0)</f>
        <v>0</v>
      </c>
      <c r="X115">
        <f>IF($B115=400,Q115-SUM(E115,G115,J115,L115,N115),0)</f>
        <v>0</v>
      </c>
      <c r="Y115">
        <f>IF($B115=700,Q115-SUM(E115,G115,J115,L115,N115),0)</f>
        <v>0</v>
      </c>
      <c r="Z115">
        <f>SUM(S115:Y115)*2</f>
        <v>0</v>
      </c>
      <c r="AD115">
        <f>AC115*(IF(S115&gt;0,150,IF(T115&gt;0,200,IF(U115&gt;0,250,IF(V115&gt;0,300,IF(W115&gt;0,350,IF(X115&gt;0,400,IF(Y115&gt;0,450))))))))/1000</f>
        <v>0</v>
      </c>
    </row>
    <row r="116">
      <c r="A116">
        <v>3</v>
      </c>
      <c r="B116">
        <v>150</v>
      </c>
      <c r="C116">
        <v>5605</v>
      </c>
      <c r="D116">
        <v>0</v>
      </c>
      <c r="Q116">
        <f>C116*D116/1000000-O116</f>
        <v>0</v>
      </c>
      <c r="S116">
        <f>IF($B116=150,Q116-SUM(E116,G116,J116,L116,N116),0)</f>
        <v>0</v>
      </c>
      <c r="T116">
        <f>IF($B116=200,Q116-SUM(E116,G116,J116,L116,N116),0)</f>
        <v>0</v>
      </c>
      <c r="U116">
        <f>IF($B116=250,Q116-SUM(E116,G116,J116,L116,N116),0)</f>
        <v>0</v>
      </c>
      <c r="V116">
        <f>IF($B116=300,Q116-SUM(E116,G116,J116,L116,N116),0)</f>
        <v>0</v>
      </c>
      <c r="W116">
        <f>IF($B116=350,Q116-SUM(E116,G116,J116,L116,N116),0)</f>
        <v>0</v>
      </c>
      <c r="X116">
        <f>IF($B116=400,Q116-SUM(E116,G116,J116,L116,N116),0)</f>
        <v>0</v>
      </c>
      <c r="Y116">
        <f>IF($B116=700,Q116-SUM(E116,G116,J116,L116,N116),0)</f>
        <v>0</v>
      </c>
      <c r="Z116">
        <f>SUM(S116:Y116)*2</f>
        <v>0</v>
      </c>
      <c r="AD116">
        <f>AC116*(IF(S116&gt;0,150,IF(T116&gt;0,200,IF(U116&gt;0,250,IF(V116&gt;0,300,IF(W116&gt;0,350,IF(X116&gt;0,400,IF(Y116&gt;0,450))))))))/1000</f>
        <v>0</v>
      </c>
    </row>
    <row r="117">
      <c r="A117">
        <v>4</v>
      </c>
      <c r="B117">
        <v>150</v>
      </c>
      <c r="C117">
        <v>3635</v>
      </c>
      <c r="D117">
        <v>0</v>
      </c>
      <c r="Q117">
        <f>C117*D117/1000000-O117</f>
        <v>0</v>
      </c>
      <c r="S117">
        <f>IF($B117=150,Q117-SUM(E117,G117,J117,L117,N117),0)</f>
        <v>0</v>
      </c>
      <c r="T117">
        <f>IF($B117=200,Q117-SUM(E117,G117,J117,L117,N117),0)</f>
        <v>0</v>
      </c>
      <c r="U117">
        <f>IF($B117=250,Q117-SUM(E117,G117,J117,L117,N117),0)</f>
        <v>0</v>
      </c>
      <c r="V117">
        <f>IF($B117=300,Q117-SUM(E117,G117,J117,L117,N117),0)</f>
        <v>0</v>
      </c>
      <c r="W117">
        <f>IF($B117=350,Q117-SUM(E117,G117,J117,L117,N117),0)</f>
        <v>0</v>
      </c>
      <c r="X117">
        <f>IF($B117=400,Q117-SUM(E117,G117,J117,L117,N117),0)</f>
        <v>0</v>
      </c>
      <c r="Y117">
        <f>IF($B117=700,Q117-SUM(E117,G117,J117,L117,N117),0)</f>
        <v>0</v>
      </c>
      <c r="Z117">
        <f>SUM(S117:Y117)*2</f>
        <v>0</v>
      </c>
      <c r="AD117">
        <f>AC117*(IF(S117&gt;0,150,IF(T117&gt;0,200,IF(U117&gt;0,250,IF(V117&gt;0,300,IF(W117&gt;0,350,IF(X117&gt;0,400,IF(Y117&gt;0,450))))))))/1000</f>
        <v>0</v>
      </c>
    </row>
    <row r="118">
      <c r="Q118">
        <f>C118*D118/1000000-O118</f>
        <v>0</v>
      </c>
      <c r="S118">
        <f>IF($B118=150,Q118-SUM(E118,G118,J118,L118,N118),0)</f>
        <v>0</v>
      </c>
      <c r="T118">
        <f>IF($B118=200,Q118-SUM(E118,G118,J118,L118,N118),0)</f>
        <v>0</v>
      </c>
      <c r="U118">
        <f>IF($B118=250,Q118-SUM(E118,G118,J118,L118,N118),0)</f>
        <v>0</v>
      </c>
      <c r="V118">
        <f>IF($B118=300,Q118-SUM(E118,G118,J118,L118,N118),0)</f>
        <v>0</v>
      </c>
      <c r="W118">
        <f>IF($B118=350,Q118-SUM(E118,G118,J118,L118,N118),0)</f>
        <v>0</v>
      </c>
      <c r="X118">
        <f>IF($B118=400,Q118-SUM(E118,G118,J118,L118,N118),0)</f>
        <v>0</v>
      </c>
      <c r="Y118">
        <f>IF($B118=700,Q118-SUM(E118,G118,J118,L118,N118),0)</f>
        <v>0</v>
      </c>
      <c r="Z118">
        <f>SUM(S118:Y118)*2</f>
        <v>0</v>
      </c>
    </row>
    <row r="119">
      <c r="Q119">
        <f>C119*D119/1000000-O119</f>
        <v>0</v>
      </c>
      <c r="S119">
        <f>IF($B119=150,Q119-SUM(E119,G119,J119,L119,N119),0)</f>
        <v>0</v>
      </c>
      <c r="T119">
        <f>IF($B119=200,Q119-SUM(E119,G119,J119,L119,N119),0)</f>
        <v>0</v>
      </c>
      <c r="U119">
        <f>IF($B119=250,Q119-SUM(E119,G119,J119,L119,N119),0)</f>
        <v>0</v>
      </c>
      <c r="V119">
        <f>IF($B119=300,Q119-SUM(E119,G119,J119,L119,N119),0)</f>
        <v>0</v>
      </c>
      <c r="W119">
        <f>IF($B119=350,Q119-SUM(E119,G119,J119,L119,N119),0)</f>
        <v>0</v>
      </c>
      <c r="X119">
        <f>IF($B119=400,Q119-SUM(E119,G119,J119,L119,N119),0)</f>
        <v>0</v>
      </c>
      <c r="Y119">
        <f>IF($B119=700,Q119-SUM(E119,G119,J119,L119,N119),0)</f>
        <v>0</v>
      </c>
      <c r="Z119">
        <f>SUM(S119:Y119)*2</f>
        <v>0</v>
      </c>
    </row>
    <row r="120">
      <c r="Q120">
        <f>C120*D120/1000000-O120</f>
        <v>0</v>
      </c>
      <c r="S120">
        <f>IF($B120=150,Q120-SUM(E120,G120,J120,L120,N120),0)</f>
        <v>0</v>
      </c>
      <c r="T120">
        <f>IF($B120=200,Q120-SUM(E120,G120,J120,L120,N120),0)</f>
        <v>0</v>
      </c>
      <c r="U120">
        <f>IF($B120=250,Q120-SUM(E120,G120,J120,L120,N120),0)</f>
        <v>0</v>
      </c>
      <c r="V120">
        <f>IF($B120=300,Q120-SUM(E120,G120,J120,L120,N120),0)</f>
        <v>0</v>
      </c>
      <c r="W120">
        <f>IF($B120=350,Q120-SUM(E120,G120,J120,L120,N120),0)</f>
        <v>0</v>
      </c>
      <c r="X120">
        <f>IF($B120=400,Q120-SUM(E120,G120,J120,L120,N120),0)</f>
        <v>0</v>
      </c>
      <c r="Y120">
        <f>IF($B120=700,Q120-SUM(E120,G120,J120,L120,N120),0)</f>
        <v>0</v>
      </c>
      <c r="Z120">
        <f>SUM(S120:Y120)*2</f>
        <v>0</v>
      </c>
    </row>
    <row r="121">
      <c r="A121" t="str">
        <v>VOLUME</v>
      </c>
      <c r="F121">
        <f>SUM(F114:F120)</f>
        <v>0</v>
      </c>
      <c r="K121">
        <f>SUM(K114:K120)</f>
        <v>0</v>
      </c>
      <c r="M121">
        <f>SUM(M114:M120)</f>
        <v>0</v>
      </c>
      <c r="Q121">
        <f>SUM(Q114:Q120)</f>
        <v>0</v>
      </c>
      <c r="R121">
        <f>SUM(R114:R120)</f>
        <v>0</v>
      </c>
      <c r="S121">
        <f>SUM(S114:S120)</f>
        <v>0</v>
      </c>
      <c r="T121">
        <f>SUM(T114:T120)</f>
        <v>0</v>
      </c>
      <c r="U121">
        <f>SUM(U114:U120)</f>
        <v>0</v>
      </c>
      <c r="V121">
        <f>SUM(V114:V120)</f>
        <v>0</v>
      </c>
      <c r="W121">
        <f>SUM(W114:W120)</f>
        <v>0</v>
      </c>
      <c r="X121">
        <f>SUM(X114:X120)</f>
        <v>0</v>
      </c>
      <c r="Y121">
        <f>SUM(Y114:Y120)</f>
        <v>0</v>
      </c>
      <c r="Z121">
        <f>SUM(Z114:Z120)</f>
        <v>0</v>
      </c>
      <c r="AA121">
        <f>SUM(AA114:AA120)</f>
        <v>0</v>
      </c>
      <c r="AB121">
        <f>SUM(R121:Y121)</f>
        <v>0</v>
      </c>
      <c r="AC121">
        <f>SUM(AC114:AC120)</f>
        <v>0</v>
      </c>
      <c r="AD121">
        <f>SUM(AD114:AD120)</f>
        <v>0</v>
      </c>
    </row>
    <row r="122">
      <c r="AD122" t="e">
        <f>AD121/AB121</f>
        <v>#DIV/0!</v>
      </c>
    </row>
    <row r="127">
      <c r="B127" t="str">
        <v>15cm</v>
      </c>
      <c r="C127" t="str">
        <v>20cm</v>
      </c>
      <c r="D127" t="str">
        <v>25cm</v>
      </c>
      <c r="E127" t="str">
        <v>30cm</v>
      </c>
      <c r="F127" t="str">
        <v>35cm</v>
      </c>
      <c r="G127" t="str">
        <v>40cm</v>
      </c>
      <c r="H127" t="str">
        <v>10cm</v>
      </c>
    </row>
    <row r="128">
      <c r="A128" t="str">
        <v>Lantai</v>
      </c>
      <c r="B128" t="str">
        <v>Luas Dinding 1/2 Bata</v>
      </c>
      <c r="C128" t="str">
        <v>Luas Dinding 3/4 Bata</v>
      </c>
      <c r="D128" t="str">
        <v>Luas Dinding 1 Bata</v>
      </c>
      <c r="E128" t="str">
        <v>Luas Dinding 1 1/4 Bata</v>
      </c>
      <c r="F128" t="str">
        <v>Luas Dinding 1 1/2 Bata</v>
      </c>
      <c r="G128" t="str">
        <v>Luas Dinding 1 3/4 Bata</v>
      </c>
      <c r="H128" t="str">
        <v>Luas Dinding 3 1/4 Bata</v>
      </c>
      <c r="I128" t="str">
        <v>Plester &amp; Aci</v>
      </c>
      <c r="K128" t="str">
        <v>Benangan Sudut</v>
      </c>
      <c r="L128" t="str">
        <v>Benangan Opening</v>
      </c>
      <c r="M128" t="str">
        <v>Plester Aci Opening</v>
      </c>
    </row>
    <row r="129">
      <c r="J129" t="str">
        <v>cek</v>
      </c>
    </row>
    <row r="131">
      <c r="A131" t="str">
        <v>Lantai 1</v>
      </c>
      <c r="B131">
        <f>SUM(S36)</f>
        <v>148.67</v>
      </c>
      <c r="C131">
        <f>SUM(T36)</f>
        <v>294.96000000000004</v>
      </c>
      <c r="D131">
        <f>SUM(U36)</f>
        <v>0</v>
      </c>
      <c r="E131">
        <f>SUM(V36)</f>
        <v>0</v>
      </c>
      <c r="F131">
        <f>SUM(W36)</f>
        <v>0</v>
      </c>
      <c r="G131">
        <f>SUM(X36)</f>
        <v>11.462499999999999</v>
      </c>
      <c r="H131">
        <f>SUM(Y36)</f>
        <v>188.0775</v>
      </c>
      <c r="I131">
        <f>SUM(Z36)</f>
        <v>1188.2625</v>
      </c>
      <c r="J131">
        <f>I131-SUM(B131:H131)*2</f>
        <v>-98.07749999999987</v>
      </c>
      <c r="K131">
        <f>SUM(AA36)</f>
        <v>0</v>
      </c>
      <c r="L131">
        <f>SUM(AC36)</f>
        <v>100.33999999999999</v>
      </c>
      <c r="M131">
        <f>SUM(AD36)</f>
        <v>19.4745</v>
      </c>
    </row>
    <row r="132">
      <c r="A132" t="str">
        <v>Lantai 2</v>
      </c>
      <c r="B132">
        <f>SUM(S71)</f>
        <v>294.87749999999994</v>
      </c>
      <c r="C132">
        <f>SUM(T71)</f>
        <v>195.74599999999998</v>
      </c>
      <c r="D132">
        <f>SUM(U71)</f>
        <v>0</v>
      </c>
      <c r="E132">
        <f>SUM(V71)</f>
        <v>0</v>
      </c>
      <c r="F132">
        <f>SUM(W71)</f>
        <v>0</v>
      </c>
      <c r="G132">
        <f>SUM(X71)</f>
        <v>0</v>
      </c>
      <c r="H132">
        <f>SUM(Y71)</f>
        <v>108</v>
      </c>
      <c r="I132">
        <f>SUM(Z71)</f>
        <v>1129.747</v>
      </c>
      <c r="J132">
        <f>I132-SUM(B132:H132)*2</f>
        <v>-67.49999999999977</v>
      </c>
      <c r="K132">
        <f>SUM(AA71)</f>
        <v>0</v>
      </c>
      <c r="L132">
        <f>SUM(AC71)</f>
        <v>100.35500000000002</v>
      </c>
      <c r="M132">
        <f>SUM(AD37)</f>
        <v>0.03027893092028546</v>
      </c>
    </row>
    <row r="133">
      <c r="A133" t="str">
        <v>Lantai 3</v>
      </c>
      <c r="B133">
        <f>SUM(S109)</f>
        <v>280.168</v>
      </c>
      <c r="C133">
        <f>SUM(T109)</f>
        <v>16.585</v>
      </c>
      <c r="D133">
        <f>SUM(U109)</f>
        <v>0</v>
      </c>
      <c r="E133">
        <f>SUM(V109)</f>
        <v>0</v>
      </c>
      <c r="F133">
        <f>SUM(W109)</f>
        <v>0</v>
      </c>
      <c r="G133">
        <f>SUM(X109)</f>
        <v>0</v>
      </c>
      <c r="H133">
        <f>SUM(Y109)</f>
        <v>0</v>
      </c>
      <c r="I133">
        <f>SUM(Z109)</f>
        <v>593.5060000000001</v>
      </c>
      <c r="J133">
        <f>I133-SUM(B133:H133)*2</f>
        <v>0</v>
      </c>
      <c r="K133">
        <f>SUM(AA109)</f>
        <v>0</v>
      </c>
      <c r="L133">
        <f>SUM(AC109)</f>
        <v>76.03</v>
      </c>
      <c r="M133">
        <f>SUM(AD38)</f>
        <v>0</v>
      </c>
    </row>
    <row r="134">
      <c r="A134" t="str">
        <v>Lantai Atap</v>
      </c>
      <c r="B134">
        <f>SUM(S121)</f>
        <v>0</v>
      </c>
      <c r="C134">
        <f>SUM(T121)</f>
        <v>0</v>
      </c>
      <c r="D134">
        <f>SUM(U121)</f>
        <v>0</v>
      </c>
      <c r="E134">
        <f>SUM(V121)</f>
        <v>0</v>
      </c>
      <c r="F134">
        <f>SUM(W121)</f>
        <v>0</v>
      </c>
      <c r="G134">
        <f>SUM(X121)</f>
        <v>0</v>
      </c>
      <c r="H134">
        <f>SUM(Y121)</f>
        <v>0</v>
      </c>
      <c r="I134">
        <f>SUM(Z121)</f>
        <v>0</v>
      </c>
      <c r="J134">
        <f>I134-SUM(B134:H134)*2</f>
        <v>0</v>
      </c>
      <c r="K134">
        <f>SUM(AA121)</f>
        <v>0</v>
      </c>
      <c r="L134">
        <f>SUM(AC121)</f>
        <v>0</v>
      </c>
      <c r="M134">
        <f>SUM(AD39)</f>
        <v>0</v>
      </c>
    </row>
    <row r="136">
      <c r="A136" t="str">
        <v>Total</v>
      </c>
      <c r="B136">
        <f>SUM(B130:B135)</f>
        <v>723.7154999999999</v>
      </c>
      <c r="C136">
        <f>SUM(C130:C135)</f>
        <v>507.291</v>
      </c>
      <c r="D136">
        <f>SUM(D130:D135)</f>
        <v>0</v>
      </c>
      <c r="E136">
        <f>SUM(E130:E135)</f>
        <v>0</v>
      </c>
      <c r="F136">
        <f>SUM(F130:F135)</f>
        <v>0</v>
      </c>
      <c r="G136">
        <f>SUM(G130:G135)</f>
        <v>11.462499999999999</v>
      </c>
      <c r="H136">
        <f>SUM(H130:H135)</f>
        <v>296.0775</v>
      </c>
      <c r="I136">
        <f>SUM(I130:I135)</f>
        <v>2911.5155000000004</v>
      </c>
      <c r="J136" t="str">
        <v>total</v>
      </c>
      <c r="K136">
        <f>SUM(K130:K135)</f>
        <v>0</v>
      </c>
      <c r="L136">
        <f>SUM(L130:L135)</f>
        <v>276.725</v>
      </c>
      <c r="M136">
        <f>SUM(M130:M135)</f>
        <v>19.504778930920285</v>
      </c>
    </row>
    <row r="137">
      <c r="I137">
        <f>I136-SUM(Z8:Z124)/2</f>
        <v>0</v>
      </c>
      <c r="J137" t="str">
        <v>rasio</v>
      </c>
      <c r="K137">
        <f>K136/I136</f>
        <v>0</v>
      </c>
    </row>
  </sheetData>
  <mergeCells count="100">
    <mergeCell ref="A121:E121"/>
    <mergeCell ref="G121:J121"/>
    <mergeCell ref="AA111:AA112"/>
    <mergeCell ref="F112:G112"/>
    <mergeCell ref="H112:J112"/>
    <mergeCell ref="K112:L112"/>
    <mergeCell ref="M112:N112"/>
    <mergeCell ref="P112:P113"/>
    <mergeCell ref="V111:V112"/>
    <mergeCell ref="W111:W112"/>
    <mergeCell ref="X111:X112"/>
    <mergeCell ref="Y111:Y112"/>
    <mergeCell ref="Z111:Z112"/>
    <mergeCell ref="Q111:Q112"/>
    <mergeCell ref="R111:R112"/>
    <mergeCell ref="S111:S112"/>
    <mergeCell ref="AA73:AA74"/>
    <mergeCell ref="F74:G74"/>
    <mergeCell ref="H74:J74"/>
    <mergeCell ref="K74:L74"/>
    <mergeCell ref="M74:N74"/>
    <mergeCell ref="P74:P75"/>
    <mergeCell ref="V73:V74"/>
    <mergeCell ref="W73:W74"/>
    <mergeCell ref="X73:X74"/>
    <mergeCell ref="Y73:Y74"/>
    <mergeCell ref="Z73:Z74"/>
    <mergeCell ref="Q73:Q74"/>
    <mergeCell ref="R73:R74"/>
    <mergeCell ref="S73:S74"/>
    <mergeCell ref="T73:T74"/>
    <mergeCell ref="U73:U74"/>
    <mergeCell ref="T111:T112"/>
    <mergeCell ref="U111:U112"/>
    <mergeCell ref="A71:E71"/>
    <mergeCell ref="G71:J71"/>
    <mergeCell ref="A73:B74"/>
    <mergeCell ref="C73:C75"/>
    <mergeCell ref="D73:D75"/>
    <mergeCell ref="E73:P73"/>
    <mergeCell ref="A109:E109"/>
    <mergeCell ref="G109:J109"/>
    <mergeCell ref="A111:B112"/>
    <mergeCell ref="C111:C113"/>
    <mergeCell ref="D111:D113"/>
    <mergeCell ref="E111:P111"/>
    <mergeCell ref="A38:B39"/>
    <mergeCell ref="C38:C40"/>
    <mergeCell ref="D38:D40"/>
    <mergeCell ref="E38:P38"/>
    <mergeCell ref="Q38:Q39"/>
    <mergeCell ref="F39:G39"/>
    <mergeCell ref="H39:J39"/>
    <mergeCell ref="K39:L39"/>
    <mergeCell ref="M39:N39"/>
    <mergeCell ref="P39:P40"/>
    <mergeCell ref="Z38:Z39"/>
    <mergeCell ref="AA38:AA39"/>
    <mergeCell ref="R38:R39"/>
    <mergeCell ref="S38:S39"/>
    <mergeCell ref="T38:T39"/>
    <mergeCell ref="U38:U39"/>
    <mergeCell ref="V38:V39"/>
    <mergeCell ref="W38:W39"/>
    <mergeCell ref="X38:X39"/>
    <mergeCell ref="Y38:Y39"/>
    <mergeCell ref="I128:I129"/>
    <mergeCell ref="K128:K129"/>
    <mergeCell ref="L128:L129"/>
    <mergeCell ref="M128:M129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Z5:Z6"/>
    <mergeCell ref="AA5:AA6"/>
    <mergeCell ref="F6:G6"/>
    <mergeCell ref="H6:J6"/>
    <mergeCell ref="K6:L6"/>
    <mergeCell ref="M6:N6"/>
    <mergeCell ref="P6:P7"/>
    <mergeCell ref="T5:T6"/>
    <mergeCell ref="Q5:Q6"/>
    <mergeCell ref="R5:R6"/>
    <mergeCell ref="U5:U6"/>
    <mergeCell ref="V5:V6"/>
    <mergeCell ref="W5:W6"/>
    <mergeCell ref="X5:X6"/>
    <mergeCell ref="E5:P5"/>
    <mergeCell ref="A36:E36"/>
    <mergeCell ref="G36:J36"/>
    <mergeCell ref="Y5:Y6"/>
    <mergeCell ref="A5:B6"/>
    <mergeCell ref="C5:C7"/>
    <mergeCell ref="D5:D7"/>
    <mergeCell ref="S6:S7"/>
  </mergeCells>
  <pageMargins left="0.7" right="0.7" top="0.75" bottom="0.75" header="0.3" footer="0.3"/>
  <ignoredErrors>
    <ignoredError numberStoredAsText="1" sqref="A1:AF13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49"/>
  <sheetViews>
    <sheetView workbookViewId="0" rightToLeft="0"/>
  </sheetViews>
  <sheetData>
    <row r="2">
      <c r="A2" t="str">
        <v>PROJECT</v>
      </c>
      <c r="D2" t="str">
        <v>: PAKUWON INDAH AH1 27</v>
      </c>
    </row>
    <row r="3">
      <c r="A3" t="str">
        <v>LOCATION</v>
      </c>
      <c r="G3">
        <v>0.006165</v>
      </c>
    </row>
    <row r="4">
      <c r="A4" t="str">
        <v>SUBJECT TO MEASUREMENT</v>
      </c>
      <c r="D4" t="str">
        <v>: PEKERJAAN STRUKTUR BAJA</v>
      </c>
    </row>
    <row r="5">
      <c r="A5" t="str">
        <v>DATE OF MEASUREMENT</v>
      </c>
    </row>
    <row r="6">
      <c r="A6" t="str">
        <v>MEASURE BY</v>
      </c>
      <c r="B6" t="str">
        <v>KK1</v>
      </c>
      <c r="D6" t="str">
        <v>: JULIUS</v>
      </c>
    </row>
    <row r="7">
      <c r="A7" t="str">
        <v>AREA</v>
      </c>
      <c r="B7" t="str">
        <v>KK2</v>
      </c>
    </row>
    <row r="8">
      <c r="B8" t="str">
        <v>Gording</v>
      </c>
      <c r="P8" t="str">
        <v>Ref :</v>
      </c>
    </row>
    <row r="9">
      <c r="A9" t="str">
        <v>NO</v>
      </c>
      <c r="B9" t="str">
        <v>Lantai</v>
      </c>
      <c r="D9" t="str">
        <v>PROFIL</v>
      </c>
      <c r="E9" t="str">
        <v>ITEM MATERIAL</v>
      </c>
      <c r="F9" t="str">
        <v>KETERANGAN</v>
      </c>
      <c r="G9" t="str">
        <v>koef</v>
      </c>
      <c r="H9" t="str">
        <v>kg/(m'/m2)</v>
      </c>
      <c r="I9" t="str">
        <v>DIMENSI (mm)</v>
      </c>
      <c r="L9" t="str">
        <v>Σ /titik</v>
      </c>
      <c r="M9" t="str">
        <v>Σ layer</v>
      </c>
      <c r="N9" t="str">
        <v>Σ TIPIKAL</v>
      </c>
      <c r="O9" t="str">
        <v>QTY</v>
      </c>
      <c r="P9" t="str">
        <v>TOTAL VOL</v>
      </c>
    </row>
    <row r="10">
      <c r="G10" t="str">
        <v>berat</v>
      </c>
      <c r="I10" t="str">
        <v>P</v>
      </c>
      <c r="J10" t="str">
        <v>L</v>
      </c>
      <c r="K10" t="str">
        <v>T</v>
      </c>
      <c r="P10" t="str">
        <v>Kg</v>
      </c>
      <c r="Q10" t="str">
        <v>m'</v>
      </c>
      <c r="R10" t="str">
        <v>m3</v>
      </c>
      <c r="S10" t="str">
        <v>Buah</v>
      </c>
    </row>
    <row r="12">
      <c r="A12" t="str">
        <v>RANGKA ATAP UTAMA</v>
      </c>
    </row>
    <row r="14">
      <c r="B14" t="str">
        <v>Atap Baja</v>
      </c>
      <c r="D14" t="str">
        <v>WF.150.75</v>
      </c>
      <c r="E14" t="str">
        <f>VLOOKUP(D14,'DATA BAJA'!$B$5:$D$27,2,FALSE)</f>
        <v>WF 150x75x5x7</v>
      </c>
      <c r="F14" t="str">
        <v>BALOK BAJA</v>
      </c>
      <c r="G14">
        <v>1</v>
      </c>
      <c r="H14">
        <f>VLOOKUP(D14,'DATA BAJA'!$B$5:$D$27,3,FALSE)*G14</f>
        <v>14</v>
      </c>
      <c r="I14">
        <f>(3655+2600+3655+2585+2565+3675+2575+3655+2600+2600+3655+2570+2680+2570+2680+2570+3785+2670+2670+3760+3760+2730+3730)*1.2</f>
        <v>83994</v>
      </c>
      <c r="L14">
        <v>1</v>
      </c>
      <c r="M14">
        <v>1</v>
      </c>
      <c r="N14">
        <v>1</v>
      </c>
      <c r="O14">
        <f>L14*M14*N14</f>
        <v>1</v>
      </c>
      <c r="P14">
        <f>H14*I14/1000*O14</f>
        <v>1175.916</v>
      </c>
    </row>
    <row r="15">
      <c r="B15" t="str">
        <v>Atap Baja</v>
      </c>
      <c r="D15" t="str">
        <v>WF.200.100</v>
      </c>
      <c r="E15" t="str">
        <f>VLOOKUP(D15,'DATA BAJA'!$B$5:$D$27,2,FALSE)</f>
        <v>WF 200x100x5,5x8</v>
      </c>
      <c r="F15" t="str">
        <v>BALOK LIFT</v>
      </c>
      <c r="G15">
        <v>1</v>
      </c>
      <c r="H15">
        <f>VLOOKUP(D15,'DATA BAJA'!$B$5:$D$27,3,FALSE)*G15</f>
        <v>21.33</v>
      </c>
      <c r="I15">
        <f>2200</f>
        <v>2200</v>
      </c>
      <c r="L15">
        <v>1</v>
      </c>
      <c r="M15">
        <v>4</v>
      </c>
      <c r="N15">
        <v>6</v>
      </c>
      <c r="P15">
        <f>H15*I15/1000*O15</f>
        <v>0</v>
      </c>
    </row>
    <row r="16">
      <c r="B16" t="str">
        <v>Atap Baja</v>
      </c>
      <c r="D16" t="str">
        <v>CNP.150</v>
      </c>
      <c r="E16" t="str">
        <f>VLOOKUP(D16,'DATA BAJA'!$B$5:$D$27,2,FALSE)</f>
        <v>CNP 150x65x20x2,3</v>
      </c>
      <c r="F16" t="str">
        <v>GORDING</v>
      </c>
      <c r="G16">
        <v>1</v>
      </c>
      <c r="H16">
        <f>VLOOKUP(D16,'DATA BAJA'!$B$5:$D$27,3,FALSE)*G16</f>
        <v>5.5</v>
      </c>
      <c r="I16">
        <f>32550+38550+44550+50550</f>
        <v>166200</v>
      </c>
      <c r="L16">
        <v>1</v>
      </c>
      <c r="M16">
        <v>1</v>
      </c>
      <c r="N16">
        <v>1</v>
      </c>
      <c r="O16">
        <f>L16*M16*N16</f>
        <v>1</v>
      </c>
      <c r="P16">
        <f>H16*I16/1000*O16</f>
        <v>914.1</v>
      </c>
    </row>
    <row r="17">
      <c r="B17" t="str">
        <v>Atap Baja</v>
      </c>
      <c r="D17" t="str">
        <v>2D16</v>
      </c>
      <c r="E17" t="e">
        <f>VLOOKUP(D17,'DATA BAJA'!$B$5:$D$27,2,FALSE)</f>
        <v>#N/A</v>
      </c>
      <c r="F17" t="str">
        <v>DETAIL ANGKUR</v>
      </c>
      <c r="G17">
        <v>1</v>
      </c>
      <c r="H17">
        <f>0.006165*16^2</f>
        <v>1.57824</v>
      </c>
      <c r="I17">
        <v>400</v>
      </c>
      <c r="L17">
        <v>22</v>
      </c>
      <c r="M17">
        <v>4</v>
      </c>
      <c r="N17">
        <v>1</v>
      </c>
      <c r="O17">
        <f>L17*M17*N17</f>
        <v>88</v>
      </c>
      <c r="S17">
        <f>O17</f>
        <v>88</v>
      </c>
    </row>
    <row r="20">
      <c r="O20" t="str">
        <v>TOTAL</v>
      </c>
      <c r="P20">
        <f>SUM(P11:P18)</f>
        <v>2090.016</v>
      </c>
      <c r="Q20" t="str">
        <v>kg</v>
      </c>
    </row>
    <row r="21">
      <c r="O21" t="str">
        <v>LUAS</v>
      </c>
      <c r="Q21" t="str">
        <v>m2</v>
      </c>
    </row>
    <row r="22">
      <c r="D22" t="str">
        <v>REKAPITULASI VOLUME</v>
      </c>
      <c r="O22" t="str">
        <v>RASIO</v>
      </c>
      <c r="P22" t="e">
        <f>P20/P21</f>
        <v>#DIV/0!</v>
      </c>
      <c r="Q22" t="str">
        <v>kg/m2</v>
      </c>
    </row>
    <row r="24">
      <c r="D24" t="str">
        <f>A12</f>
        <v>RANGKA ATAP UTAMA</v>
      </c>
      <c r="F24" t="str">
        <v>kg</v>
      </c>
      <c r="G24" t="str">
        <v>m'</v>
      </c>
      <c r="H24" t="str">
        <v>bh</v>
      </c>
    </row>
    <row r="25">
      <c r="D25" t="str">
        <v>WF.150.75</v>
      </c>
      <c r="E25" t="str">
        <f>VLOOKUP(D25,'DATA BAJA'!$B$5:$D$27,2,FALSE)</f>
        <v>WF 150x75x5x7</v>
      </c>
      <c r="F25">
        <f>SUMIF($D$13:$D$18,D25,$P$13:$P$18)</f>
        <v>1175.916</v>
      </c>
      <c r="G25">
        <f>SUMIF($D$13:$D$18,D25,$Q$13:$Q$18)</f>
        <v>0</v>
      </c>
      <c r="H25">
        <f>SUMIF($D$13:$D$18,D25,$S$13:$S$18)</f>
        <v>0</v>
      </c>
    </row>
    <row r="26">
      <c r="D26" t="str">
        <v>WF.200.100</v>
      </c>
      <c r="E26" t="str">
        <f>VLOOKUP(D26,'DATA BAJA'!$B$5:$D$27,2,FALSE)</f>
        <v>WF 200x100x5,5x8</v>
      </c>
      <c r="F26">
        <f>SUMIF($D$13:$D$18,D26,$P$13:$P$18)</f>
        <v>0</v>
      </c>
      <c r="G26">
        <f>SUMIF($D$13:$D$18,D26,$Q$13:$Q$18)</f>
        <v>0</v>
      </c>
      <c r="H26">
        <f>SUMIF($D$13:$D$18,D26,$S$13:$S$18)</f>
        <v>0</v>
      </c>
    </row>
    <row r="27">
      <c r="D27" t="str">
        <v>CNP.150</v>
      </c>
      <c r="E27" t="str">
        <f>VLOOKUP(D27,'DATA BAJA'!$B$5:$D$27,2,FALSE)</f>
        <v>CNP 150x65x20x2,3</v>
      </c>
      <c r="F27">
        <f>SUMIF($D$13:$D$18,D27,$P$13:$P$18)</f>
        <v>914.1</v>
      </c>
      <c r="G27">
        <f>SUMIF($D$13:$D$18,D27,$Q$13:$Q$18)</f>
        <v>0</v>
      </c>
      <c r="H27">
        <f>SUMIF($D$13:$D$18,D27,$S$13:$S$18)</f>
        <v>0</v>
      </c>
    </row>
    <row r="28">
      <c r="D28" t="str">
        <v>2D16</v>
      </c>
      <c r="E28" t="e">
        <f>VLOOKUP(D28,'DATA BAJA'!$B$5:$D$27,2,FALSE)</f>
        <v>#N/A</v>
      </c>
      <c r="F28">
        <f>SUMIF($D$13:$D$18,D28,$P$13:$P$18)</f>
        <v>0</v>
      </c>
      <c r="G28">
        <f>SUMIF($D$13:$D$18,D28,$Q$13:$Q$18)</f>
        <v>0</v>
      </c>
      <c r="H28">
        <f>SUMIF($D$13:$D$18,D28,$S$13:$S$18)</f>
        <v>88</v>
      </c>
    </row>
    <row r="29">
      <c r="D29" t="str">
        <v>SUBTOTAL</v>
      </c>
      <c r="F29">
        <f>SUM(F25:F28)</f>
        <v>2090.016</v>
      </c>
      <c r="G29">
        <f>SUM(G28:G28)</f>
        <v>0</v>
      </c>
      <c r="H29">
        <f>SUM(H28:H28)</f>
        <v>88</v>
      </c>
    </row>
    <row r="30">
      <c r="E30" t="str">
        <v>TOTAL</v>
      </c>
      <c r="F30">
        <f>SUM(F24:F29)/2</f>
        <v>2090.016</v>
      </c>
    </row>
    <row r="31">
      <c r="E31" t="str">
        <v>cek</v>
      </c>
      <c r="F31">
        <f>SUM(F24:F29)/2-SUM(P12:P18)</f>
        <v>0</v>
      </c>
      <c r="G31">
        <f>SUM(G24:G29)/2-SUM(Q12:Q18)</f>
        <v>0</v>
      </c>
      <c r="H31">
        <f>SUM(H24:H29)/2-SUM(S12:S18)</f>
        <v>0</v>
      </c>
    </row>
  </sheetData>
  <autoFilter ref="A11:S49"/>
  <mergeCells count="14">
    <mergeCell ref="D29:E29"/>
    <mergeCell ref="P9:S9"/>
    <mergeCell ref="N9:N10"/>
    <mergeCell ref="O9:O10"/>
    <mergeCell ref="H9:H10"/>
    <mergeCell ref="I9:K9"/>
    <mergeCell ref="L9:L10"/>
    <mergeCell ref="M9:M10"/>
    <mergeCell ref="F9:F10"/>
    <mergeCell ref="A9:A10"/>
    <mergeCell ref="B9:B10"/>
    <mergeCell ref="C9:C10"/>
    <mergeCell ref="D9:D10"/>
    <mergeCell ref="E9:E10"/>
  </mergeCells>
  <pageMargins left="0.7" right="0.7" top="0.75" bottom="0.75" header="0.3" footer="0.3"/>
  <ignoredErrors>
    <ignoredError numberStoredAsText="1" sqref="A1:S4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B4:P1048397"/>
  <sheetViews>
    <sheetView workbookViewId="0" rightToLeft="0"/>
  </sheetViews>
  <sheetData>
    <row r="4">
      <c r="B4" t="str">
        <v>NAMA</v>
      </c>
      <c r="C4" t="str">
        <v>TYPE</v>
      </c>
      <c r="D4" t="str">
        <v>BERAT</v>
      </c>
    </row>
    <row r="6">
      <c r="B6" t="str">
        <v>WF.150.75</v>
      </c>
      <c r="C6" t="str">
        <v>WF 150x75x5x7</v>
      </c>
      <c r="D6">
        <f>VLOOKUP(C6,'TABEL BAJA'!$C$8:$Q$906,13,FALSE)</f>
        <v>14</v>
      </c>
    </row>
    <row r="7">
      <c r="B7" t="str">
        <v>WF.250.125</v>
      </c>
      <c r="C7" t="str">
        <v>WF 250x125x6x9</v>
      </c>
      <c r="D7">
        <f>VLOOKUP(C7,'TABEL BAJA'!$C$8:$Q$906,13,FALSE)</f>
        <v>29.6</v>
      </c>
    </row>
    <row r="8">
      <c r="B8" t="str">
        <v>WF.200.100</v>
      </c>
      <c r="C8" t="str">
        <v>WF 200x100x5,5x8</v>
      </c>
      <c r="D8">
        <f>VLOOKUP(C8,'TABEL BAJA'!$C$8:$Q$906,13,FALSE)</f>
        <v>21.33</v>
      </c>
    </row>
    <row r="10">
      <c r="B10" t="str">
        <v>PL.6</v>
      </c>
      <c r="C10" t="str">
        <v>PL 6</v>
      </c>
      <c r="D10">
        <f>VLOOKUP(C10,'TABEL BAJA'!$C$8:$Q$906,13,FALSE)</f>
        <v>48.611111111111114</v>
      </c>
    </row>
    <row r="11">
      <c r="B11" t="str">
        <v>PL.8</v>
      </c>
      <c r="C11" t="str">
        <v>PL 8</v>
      </c>
      <c r="D11">
        <f>VLOOKUP(C11,'TABEL BAJA'!$C$8:$Q$906,13,FALSE)</f>
        <v>64.93055555555556</v>
      </c>
    </row>
    <row r="12">
      <c r="B12" t="str">
        <v>PL.10</v>
      </c>
      <c r="C12" t="str">
        <v>PL 10</v>
      </c>
      <c r="D12">
        <f>VLOOKUP(C12,'TABEL BAJA'!$C$8:$Q$906,13,FALSE)</f>
        <v>81.00694444444446</v>
      </c>
    </row>
    <row r="13">
      <c r="B13" t="str">
        <v>PL.12</v>
      </c>
      <c r="C13" t="str">
        <v>PL 12</v>
      </c>
      <c r="D13">
        <f>VLOOKUP(C13,'TABEL BAJA'!$C$8:$Q$906,13,FALSE)</f>
        <v>97.22222222222223</v>
      </c>
    </row>
    <row r="14">
      <c r="B14" t="str">
        <v>PL.14</v>
      </c>
      <c r="C14" t="str">
        <v>PL 14</v>
      </c>
      <c r="D14">
        <f>VLOOKUP(C14,'TABEL BAJA'!$C$8:$Q$906,13,FALSE)</f>
        <v>113.42592592592592</v>
      </c>
    </row>
    <row r="15">
      <c r="B15" t="str">
        <v>PL.16</v>
      </c>
      <c r="C15" t="str">
        <v>PL 16</v>
      </c>
      <c r="D15">
        <f>VLOOKUP(C15,'TABEL BAJA'!$C$8:$Q$906,13,FALSE)</f>
        <v>129.51388888888889</v>
      </c>
    </row>
    <row r="16">
      <c r="B16" t="str">
        <v>PL.25</v>
      </c>
      <c r="C16" t="str">
        <v>PL 25</v>
      </c>
      <c r="D16">
        <f>VLOOKUP(C16,'TABEL BAJA'!$C$8:$Q$906,13,FALSE)</f>
        <v>202.43055555555557</v>
      </c>
    </row>
    <row r="18">
      <c r="B18" t="str">
        <v>HL.95.45</v>
      </c>
      <c r="C18" t="str">
        <v>HL 100x50x3,2</v>
      </c>
      <c r="D18">
        <f>VLOOKUP(C18,'TABEL BAJA'!$C$8:$Q$906,13,FALSE)</f>
        <v>7.01</v>
      </c>
    </row>
    <row r="19">
      <c r="B19" t="str">
        <v>HL.40.40</v>
      </c>
      <c r="C19" t="str">
        <v>HL 40X40X3,2</v>
      </c>
      <c r="D19">
        <f>VLOOKUP(C19,'TABEL BAJA'!$C$8:$Q$906,13,FALSE)</f>
        <v>3.8</v>
      </c>
    </row>
    <row r="21">
      <c r="B21" t="str">
        <v>UNP.80.45</v>
      </c>
      <c r="C21" t="str">
        <v>UNP 80x45x6 ks</v>
      </c>
      <c r="D21">
        <f>VLOOKUP(C21,'TABEL BAJA'!$C$8:$Q$906,13,FALSE)</f>
        <v>8.64</v>
      </c>
    </row>
    <row r="23">
      <c r="B23" t="str">
        <v>L.40.40</v>
      </c>
      <c r="C23" t="str">
        <v>L 40x40x4</v>
      </c>
      <c r="D23">
        <f>VLOOKUP(C23,'TABEL BAJA'!$C$8:$Q$906,13,FALSE)</f>
        <v>2.74</v>
      </c>
    </row>
    <row r="25">
      <c r="B25" t="str">
        <v>CNP.150</v>
      </c>
      <c r="C25" t="str">
        <v>CNP 150x65x20x2,3</v>
      </c>
      <c r="D25">
        <f>VLOOKUP(C25,'TABEL BAJA'!$C$8:$Q$906,13,FALSE)</f>
        <v>5.5</v>
      </c>
    </row>
    <row r="86">
      <c r="J86">
        <f>136+152</f>
        <v>288</v>
      </c>
      <c r="K86">
        <v>150</v>
      </c>
      <c r="P86">
        <f>H86*K86*O86*J86/1000000</f>
        <v>0</v>
      </c>
    </row>
    <row r="91">
      <c r="J91">
        <f>136+136+136+116+541+534+136+136+136+171</f>
        <v>2178</v>
      </c>
      <c r="K91">
        <v>150</v>
      </c>
      <c r="P91">
        <f>H91*K91*O91*J91/1000000</f>
        <v>0</v>
      </c>
    </row>
    <row r="92">
      <c r="J92">
        <v>200</v>
      </c>
      <c r="K92">
        <v>150</v>
      </c>
      <c r="P92">
        <f>H92*K92*O92*J92/1000000</f>
        <v>0</v>
      </c>
    </row>
    <row r="94">
      <c r="J94">
        <f>136+136</f>
        <v>272</v>
      </c>
      <c r="K94">
        <v>150</v>
      </c>
      <c r="P94">
        <f>H94*K94*O94*J94/1000000</f>
        <v>0</v>
      </c>
    </row>
    <row r="95">
      <c r="J95">
        <f>264+300</f>
        <v>564</v>
      </c>
      <c r="K95">
        <v>150</v>
      </c>
      <c r="P95">
        <f>H95*K95*O95*J95/1000000</f>
        <v>0</v>
      </c>
    </row>
    <row r="104">
      <c r="J104">
        <f>100*5+264+114*2+112*2+170</f>
        <v>1386</v>
      </c>
      <c r="K104">
        <v>300</v>
      </c>
      <c r="P104">
        <f>H104*K104*O104*J104/1000000</f>
        <v>0</v>
      </c>
    </row>
    <row r="118">
      <c r="J118">
        <f>136+152</f>
        <v>288</v>
      </c>
      <c r="K118">
        <v>150</v>
      </c>
      <c r="P118">
        <f>H118*K118*O118*J118/1000000</f>
        <v>0</v>
      </c>
    </row>
    <row r="122">
      <c r="J122">
        <f>136+136+136+116+541+534+136+136+136+171</f>
        <v>2178</v>
      </c>
      <c r="K122">
        <v>150</v>
      </c>
      <c r="P122">
        <f>H122*K122*O122*J122/1000000</f>
        <v>0</v>
      </c>
    </row>
    <row r="123">
      <c r="J123">
        <v>200</v>
      </c>
      <c r="K123">
        <v>150</v>
      </c>
      <c r="P123">
        <f>H123*K123*O123*J123/1000000</f>
        <v>0</v>
      </c>
    </row>
    <row r="125">
      <c r="J125">
        <f>136</f>
        <v>136</v>
      </c>
      <c r="K125">
        <v>150</v>
      </c>
      <c r="P125">
        <f>H125*K125*O125*J125/1000000</f>
        <v>0</v>
      </c>
    </row>
    <row r="126">
      <c r="J126">
        <f>264+300</f>
        <v>564</v>
      </c>
      <c r="K126">
        <v>150</v>
      </c>
      <c r="P126">
        <f>H126*K126*O126*J126/1000000</f>
        <v>0</v>
      </c>
    </row>
    <row r="127">
      <c r="J127">
        <f>100*5+264+114*2+112*2+170</f>
        <v>1386</v>
      </c>
      <c r="K127">
        <v>300</v>
      </c>
      <c r="P127">
        <f>H127*K127*O127*J127/1000000</f>
        <v>0</v>
      </c>
    </row>
    <row r="134">
      <c r="J134">
        <f>136+136+136+116+541+534+136+136+136+171</f>
        <v>2178</v>
      </c>
      <c r="K134">
        <v>150</v>
      </c>
      <c r="P134">
        <f>H134*K134*O134*J134/1000000</f>
        <v>0</v>
      </c>
    </row>
    <row r="135">
      <c r="J135">
        <v>200</v>
      </c>
      <c r="K135">
        <v>150</v>
      </c>
      <c r="P135">
        <f>H135*K135*O135*J135/1000000</f>
        <v>0</v>
      </c>
    </row>
    <row r="137">
      <c r="J137">
        <f>136+136</f>
        <v>272</v>
      </c>
      <c r="K137">
        <v>150</v>
      </c>
      <c r="P137">
        <f>H137*K137*O137*J137/1000000</f>
        <v>0</v>
      </c>
    </row>
    <row r="138">
      <c r="J138">
        <f>264+300</f>
        <v>564</v>
      </c>
      <c r="K138">
        <v>150</v>
      </c>
      <c r="P138">
        <f>H138*K138*O138*J138/1000000</f>
        <v>0</v>
      </c>
    </row>
    <row r="149">
      <c r="J149">
        <f>136+136+136+116+541+534+136+136+136+171</f>
        <v>2178</v>
      </c>
      <c r="K149">
        <v>150</v>
      </c>
      <c r="P149">
        <f>H149*K149*O149*J149/1000000</f>
        <v>0</v>
      </c>
    </row>
    <row r="150">
      <c r="J150">
        <v>200</v>
      </c>
      <c r="K150">
        <v>150</v>
      </c>
      <c r="P150">
        <f>H150*K150*O150*J150/1000000</f>
        <v>0</v>
      </c>
    </row>
    <row r="152">
      <c r="J152">
        <f>136+136+75+128</f>
        <v>475</v>
      </c>
      <c r="K152">
        <v>150</v>
      </c>
      <c r="P152">
        <f>H152*K152*O152*J152/1000000</f>
        <v>0</v>
      </c>
    </row>
    <row r="153">
      <c r="J153">
        <v>300</v>
      </c>
      <c r="K153">
        <v>150</v>
      </c>
      <c r="P153">
        <f>H153*K153*O153*J153/1000000</f>
        <v>0</v>
      </c>
    </row>
    <row r="158">
      <c r="J158">
        <f>136+136+136+116+541+534+136+136+136+171</f>
        <v>2178</v>
      </c>
      <c r="K158">
        <v>150</v>
      </c>
      <c r="P158">
        <f>H158*K158*O158*J158/1000000</f>
        <v>0</v>
      </c>
    </row>
    <row r="159">
      <c r="J159">
        <v>200</v>
      </c>
      <c r="K159">
        <v>150</v>
      </c>
      <c r="P159">
        <f>H159*K159*O159*J159/1000000</f>
        <v>0</v>
      </c>
    </row>
    <row r="161">
      <c r="J161">
        <f>136+136</f>
        <v>272</v>
      </c>
      <c r="K161">
        <v>150</v>
      </c>
      <c r="P161">
        <f>H161*K161*O161*J161/1000000</f>
        <v>0</v>
      </c>
    </row>
    <row r="162">
      <c r="J162">
        <f>264+300</f>
        <v>564</v>
      </c>
      <c r="K162">
        <v>150</v>
      </c>
      <c r="P162">
        <f>H162*K162*O162*J162/1000000</f>
        <v>0</v>
      </c>
    </row>
    <row r="167">
      <c r="J167">
        <f>136+136+136+116+541+534+136+136+136+171</f>
        <v>2178</v>
      </c>
      <c r="K167">
        <v>150</v>
      </c>
      <c r="P167">
        <f>H167*K167*O167*J167/1000000</f>
        <v>0</v>
      </c>
    </row>
    <row r="168">
      <c r="J168">
        <v>200</v>
      </c>
      <c r="K168">
        <v>150</v>
      </c>
      <c r="P168">
        <f>H168*K168*O168*J168/1000000</f>
        <v>0</v>
      </c>
    </row>
    <row r="174">
      <c r="J174">
        <f>136+136+136+116+541+534+136+136+136+171</f>
        <v>2178</v>
      </c>
      <c r="K174">
        <v>150</v>
      </c>
      <c r="P174">
        <f>H174*K174*O174*J174/1000000</f>
        <v>0</v>
      </c>
    </row>
    <row r="175">
      <c r="J175">
        <v>200</v>
      </c>
      <c r="K175">
        <v>150</v>
      </c>
      <c r="P175">
        <f>H175*K175*O175*J175/1000000</f>
        <v>0</v>
      </c>
    </row>
    <row r="219">
      <c r="P219">
        <f>H219*(0.25*22/7*I219^2)*O219/1000000</f>
        <v>0</v>
      </c>
    </row>
    <row r="220">
      <c r="P220">
        <f>H220*(0.25*22/7*I220^2)*O220/1000000</f>
        <v>0</v>
      </c>
    </row>
    <row r="222">
      <c r="P222">
        <f>H222*(0.25*22/7*I222^2)*O222/1000000</f>
        <v>0</v>
      </c>
    </row>
    <row r="224">
      <c r="P224">
        <f>H224*(0.25*22/7*I224^2)*O224/1000000</f>
        <v>0</v>
      </c>
    </row>
    <row r="226">
      <c r="P226">
        <f>H226*(0.25*22/7*I226^2)*O226/1000000</f>
        <v>0</v>
      </c>
    </row>
    <row r="228">
      <c r="P228">
        <f>H228*(0.25*22/7*I228^2)*O228/1000000</f>
        <v>0</v>
      </c>
    </row>
    <row r="230">
      <c r="P230">
        <f>H230*(0.25*22/7*I230^2)*O230/1000000</f>
        <v>0</v>
      </c>
    </row>
    <row r="232">
      <c r="P232">
        <f>H232*(0.25*22/7*I232^2)*O232/1000000</f>
        <v>0</v>
      </c>
    </row>
    <row r="234">
      <c r="P234">
        <f>H234*(0.25*22/7*I234^2)*O234/1000000</f>
        <v>0</v>
      </c>
    </row>
    <row r="239">
      <c r="P239" t="e">
        <f>P237/P238</f>
        <v>#DIV/0!</v>
      </c>
    </row>
    <row r="382">
      <c r="F382">
        <f>SUM(F356:F381)</f>
        <v>0</v>
      </c>
    </row>
  </sheetData>
  <autoFilter ref="C5:C27"/>
  <pageMargins left="0.7" right="0.7" top="0.75" bottom="0.75" header="0.3" footer="0.3"/>
  <ignoredErrors>
    <ignoredError numberStoredAsText="1" sqref="B4:P104839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2:U1055"/>
  <sheetViews>
    <sheetView workbookViewId="0" rightToLeft="0"/>
  </sheetViews>
  <sheetData>
    <row r="2">
      <c r="B2" t="str">
        <v>KATALOG BAJA KONSTRUKSI</v>
      </c>
    </row>
    <row r="4">
      <c r="B4" t="str">
        <v>Produk</v>
      </c>
      <c r="C4" t="str">
        <v>Profil</v>
      </c>
      <c r="D4" t="str">
        <v>Produsen</v>
      </c>
      <c r="E4" t="str">
        <v>Suplayer</v>
      </c>
      <c r="F4" t="str">
        <v>Ex</v>
      </c>
      <c r="G4" t="str">
        <v>Stok</v>
      </c>
      <c r="H4" t="str">
        <v>Ukuran</v>
      </c>
      <c r="I4" t="str">
        <v>Berat</v>
      </c>
      <c r="J4" t="str">
        <v>Ukuran</v>
      </c>
      <c r="O4" t="str">
        <v>Berat</v>
      </c>
      <c r="P4" t="str">
        <v>Luas</v>
      </c>
      <c r="Q4" t="str">
        <v>Catatan</v>
      </c>
    </row>
    <row r="5">
      <c r="H5" t="str">
        <v>/unit</v>
      </c>
      <c r="I5" t="str">
        <v>/unit</v>
      </c>
      <c r="J5" t="str">
        <v>A</v>
      </c>
      <c r="K5" t="str">
        <v>B</v>
      </c>
      <c r="L5" t="str">
        <v>C</v>
      </c>
      <c r="M5" t="str">
        <v>D</v>
      </c>
      <c r="N5" t="str">
        <v>E</v>
      </c>
      <c r="O5" t="str">
        <v>/m atau /m2</v>
      </c>
      <c r="P5" t="str">
        <v>/m atau /m2</v>
      </c>
    </row>
    <row r="6">
      <c r="H6" t="str">
        <v>m atau m2</v>
      </c>
      <c r="I6" t="str">
        <v>kg</v>
      </c>
      <c r="J6" t="str">
        <v>mm</v>
      </c>
      <c r="K6" t="str">
        <v>mm</v>
      </c>
      <c r="L6" t="str">
        <v>mm</v>
      </c>
      <c r="M6" t="str">
        <v>mm</v>
      </c>
      <c r="N6" t="str">
        <v>mm</v>
      </c>
      <c r="O6" t="str">
        <v>kg</v>
      </c>
      <c r="P6" t="str">
        <v>m2</v>
      </c>
    </row>
    <row r="7">
      <c r="B7">
        <v>1</v>
      </c>
      <c r="C7">
        <f>1+B7</f>
        <v>2</v>
      </c>
      <c r="D7">
        <f>1+C7</f>
        <v>3</v>
      </c>
      <c r="E7">
        <f>1+D7</f>
        <v>4</v>
      </c>
      <c r="F7">
        <f>1+E7</f>
        <v>5</v>
      </c>
      <c r="G7">
        <f>1+F7</f>
        <v>6</v>
      </c>
      <c r="H7">
        <f>1+G7</f>
        <v>7</v>
      </c>
      <c r="I7">
        <f>1+H7</f>
        <v>8</v>
      </c>
      <c r="J7">
        <f>1+I7</f>
        <v>9</v>
      </c>
      <c r="K7">
        <f>1+J7</f>
        <v>10</v>
      </c>
      <c r="L7">
        <f>1+K7</f>
        <v>11</v>
      </c>
      <c r="M7">
        <f>1+L7</f>
        <v>12</v>
      </c>
      <c r="N7">
        <f>1+M7</f>
        <v>13</v>
      </c>
      <c r="O7">
        <f>1+N7</f>
        <v>14</v>
      </c>
      <c r="P7">
        <f>1+O7</f>
        <v>15</v>
      </c>
      <c r="Q7">
        <f>1+P7</f>
        <v>16</v>
      </c>
    </row>
    <row r="8">
      <c r="B8" t="str">
        <v>Wide Flange (WF)</v>
      </c>
      <c r="C8" t="str">
        <v>WF 150x50x5x7</v>
      </c>
      <c r="E8" t="str">
        <v>SHC</v>
      </c>
      <c r="H8">
        <v>12</v>
      </c>
      <c r="I8">
        <v>112</v>
      </c>
      <c r="J8">
        <v>100</v>
      </c>
      <c r="K8">
        <v>50</v>
      </c>
      <c r="L8">
        <v>5</v>
      </c>
      <c r="M8">
        <v>7</v>
      </c>
      <c r="O8">
        <f>I8/H8</f>
        <v>9.333333333333334</v>
      </c>
      <c r="P8">
        <f>((J8-2*M8)+(2*K8-L8))*2/1000</f>
        <v>0.362</v>
      </c>
    </row>
    <row r="9">
      <c r="C9" t="str">
        <v>WF 100x59x4x7</v>
      </c>
      <c r="E9" t="str">
        <v>SGJ</v>
      </c>
      <c r="F9" t="str">
        <v>Japan</v>
      </c>
      <c r="H9">
        <v>12</v>
      </c>
      <c r="I9">
        <v>112</v>
      </c>
      <c r="J9">
        <v>100</v>
      </c>
      <c r="K9">
        <v>59</v>
      </c>
      <c r="L9">
        <v>4</v>
      </c>
      <c r="M9">
        <v>7</v>
      </c>
      <c r="O9">
        <f>I9/H9</f>
        <v>9.333333333333334</v>
      </c>
      <c r="P9">
        <f>((J9-2*M9)+(2*K9-L9))*2/1000</f>
        <v>0.4</v>
      </c>
    </row>
    <row r="10">
      <c r="C10" t="str">
        <v>WF 100x100x6x8</v>
      </c>
      <c r="D10" t="str">
        <v>GG</v>
      </c>
      <c r="E10" t="str">
        <v>SGJ, SHC</v>
      </c>
      <c r="H10">
        <v>12</v>
      </c>
      <c r="I10">
        <f>O10*H10</f>
        <v>206.39999999999998</v>
      </c>
      <c r="J10">
        <v>100</v>
      </c>
      <c r="K10">
        <v>100</v>
      </c>
      <c r="L10">
        <v>6</v>
      </c>
      <c r="M10">
        <v>8</v>
      </c>
      <c r="O10">
        <v>17.2</v>
      </c>
      <c r="P10">
        <f>((J10-2*M10)+(2*K10-L10))*2/1000</f>
        <v>0.556</v>
      </c>
    </row>
    <row r="11">
      <c r="C11" t="str">
        <v>WF 125x60x6x8</v>
      </c>
      <c r="E11" t="str">
        <v>SHC</v>
      </c>
      <c r="F11" t="str">
        <v>Japan</v>
      </c>
      <c r="H11">
        <v>12</v>
      </c>
      <c r="I11">
        <v>158.4</v>
      </c>
      <c r="J11">
        <v>125</v>
      </c>
      <c r="K11">
        <v>60</v>
      </c>
      <c r="L11">
        <v>6</v>
      </c>
      <c r="M11">
        <v>8</v>
      </c>
      <c r="O11">
        <f>I11/H11</f>
        <v>13.200000000000001</v>
      </c>
      <c r="P11">
        <f>((J11-2*M11)+(2*K11-L11))*2/1000</f>
        <v>0.446</v>
      </c>
    </row>
    <row r="12">
      <c r="C12" t="str">
        <v>WF 125x125x5x7</v>
      </c>
      <c r="E12" t="str">
        <v>SGJ, SHC</v>
      </c>
      <c r="H12">
        <v>12</v>
      </c>
      <c r="I12">
        <v>222</v>
      </c>
      <c r="J12">
        <v>125</v>
      </c>
      <c r="K12">
        <v>125</v>
      </c>
      <c r="L12">
        <v>5</v>
      </c>
      <c r="M12">
        <v>7</v>
      </c>
      <c r="O12">
        <f>I12/H12</f>
        <v>18.5</v>
      </c>
      <c r="P12">
        <f>((J12-2*M12)+(2*K12-L12))*2/1000</f>
        <v>0.712</v>
      </c>
    </row>
    <row r="13">
      <c r="C13" t="str">
        <v>WF 125x125x6,5x9</v>
      </c>
      <c r="D13" t="str">
        <v>GG</v>
      </c>
      <c r="E13" t="str">
        <v>SGJ</v>
      </c>
      <c r="H13">
        <v>12</v>
      </c>
      <c r="I13">
        <v>286</v>
      </c>
      <c r="J13">
        <v>125</v>
      </c>
      <c r="K13">
        <v>125</v>
      </c>
      <c r="L13">
        <v>6.5</v>
      </c>
      <c r="M13">
        <v>9</v>
      </c>
      <c r="O13">
        <f>I13/H13</f>
        <v>23.833333333333332</v>
      </c>
      <c r="P13">
        <f>((J13-2*M13)+(2*K13-L13))*2/1000</f>
        <v>0.701</v>
      </c>
    </row>
    <row r="14">
      <c r="C14" t="str">
        <v>WF 148x100x6x9</v>
      </c>
      <c r="E14" t="str">
        <v>SGJ</v>
      </c>
      <c r="F14" t="str">
        <v>Japan</v>
      </c>
      <c r="H14">
        <v>12</v>
      </c>
      <c r="I14">
        <v>253.2</v>
      </c>
      <c r="J14">
        <v>148</v>
      </c>
      <c r="K14">
        <v>100</v>
      </c>
      <c r="L14">
        <v>6</v>
      </c>
      <c r="M14">
        <v>9</v>
      </c>
      <c r="O14">
        <f>I14/H14</f>
        <v>21.099999999999998</v>
      </c>
      <c r="P14">
        <f>((J14-2*M14)+(2*K14-L14))*2/1000</f>
        <v>0.648</v>
      </c>
    </row>
    <row r="15">
      <c r="C15" t="str">
        <v>WF 150x75x5x7</v>
      </c>
      <c r="D15" t="str">
        <v>GG</v>
      </c>
      <c r="E15" t="str">
        <v>SGJ, SHC</v>
      </c>
      <c r="F15" t="str">
        <v>Japan</v>
      </c>
      <c r="H15">
        <v>12</v>
      </c>
      <c r="I15">
        <f>O15*H15</f>
        <v>168</v>
      </c>
      <c r="J15">
        <v>150</v>
      </c>
      <c r="K15">
        <v>75</v>
      </c>
      <c r="L15">
        <v>5</v>
      </c>
      <c r="M15">
        <v>7</v>
      </c>
      <c r="O15">
        <v>14</v>
      </c>
      <c r="P15">
        <f>((J15-2*M15)+(2*K15-L15))*2/1000</f>
        <v>0.562</v>
      </c>
    </row>
    <row r="16">
      <c r="C16" t="str">
        <v>WF 150x100x6x9</v>
      </c>
      <c r="D16" t="str">
        <v>GG</v>
      </c>
      <c r="H16">
        <v>12</v>
      </c>
      <c r="I16">
        <f>O16*H16</f>
        <v>253.20000000000002</v>
      </c>
      <c r="J16">
        <v>150</v>
      </c>
      <c r="K16">
        <v>100</v>
      </c>
      <c r="L16">
        <v>6</v>
      </c>
      <c r="M16">
        <v>9</v>
      </c>
      <c r="O16">
        <v>21.1</v>
      </c>
      <c r="P16">
        <f>((J16-2*M16)+(2*K16-L16))*2/1000</f>
        <v>0.652</v>
      </c>
    </row>
    <row r="17">
      <c r="C17" t="str">
        <v>WF 150x150x7x10</v>
      </c>
      <c r="D17" t="str">
        <v>GG</v>
      </c>
      <c r="E17" t="str">
        <v>SGJ, SHC</v>
      </c>
      <c r="H17">
        <v>12</v>
      </c>
      <c r="I17">
        <f>O17*H17</f>
        <v>378</v>
      </c>
      <c r="J17">
        <v>150</v>
      </c>
      <c r="K17">
        <v>150</v>
      </c>
      <c r="L17">
        <v>7</v>
      </c>
      <c r="M17">
        <v>10</v>
      </c>
      <c r="O17">
        <v>31.5</v>
      </c>
      <c r="P17">
        <f>((J17-2*M17)+(2*K17-L17))*2/1000</f>
        <v>0.846</v>
      </c>
    </row>
    <row r="18">
      <c r="C18" t="str">
        <v>WF 175x90x5x8</v>
      </c>
      <c r="E18" t="str">
        <v>SGJ, SHC</v>
      </c>
      <c r="F18" t="str">
        <v>Japan</v>
      </c>
      <c r="H18">
        <v>12</v>
      </c>
      <c r="I18">
        <v>217.2</v>
      </c>
      <c r="J18">
        <v>175</v>
      </c>
      <c r="K18">
        <v>90</v>
      </c>
      <c r="L18">
        <v>5</v>
      </c>
      <c r="M18">
        <v>8</v>
      </c>
      <c r="O18">
        <f>I18/H18</f>
        <v>18.099999999999998</v>
      </c>
      <c r="P18">
        <f>((J18-2*M18)+(2*K18-L18))*2/1000</f>
        <v>0.668</v>
      </c>
    </row>
    <row r="19">
      <c r="C19" t="str">
        <v>WF 175x175x7,5x11</v>
      </c>
      <c r="D19" t="str">
        <v>GG</v>
      </c>
      <c r="E19" t="str">
        <v>SGJ, SHC</v>
      </c>
      <c r="H19">
        <v>12</v>
      </c>
      <c r="I19">
        <f>O19*H19</f>
        <v>482.40000000000003</v>
      </c>
      <c r="J19">
        <v>175</v>
      </c>
      <c r="K19">
        <v>175</v>
      </c>
      <c r="L19">
        <v>7.5</v>
      </c>
      <c r="M19">
        <v>11</v>
      </c>
      <c r="O19">
        <v>40.2</v>
      </c>
      <c r="P19">
        <f>((J19-2*M19)+(2*K19-L19))*2/1000</f>
        <v>0.991</v>
      </c>
    </row>
    <row r="20">
      <c r="C20" t="str">
        <v>WF 198x99x4,5x7</v>
      </c>
      <c r="D20" t="str">
        <v>GG</v>
      </c>
      <c r="E20" t="str">
        <v>SHC</v>
      </c>
      <c r="H20">
        <v>12</v>
      </c>
      <c r="I20">
        <f>O20*H20</f>
        <v>218.39999999999998</v>
      </c>
      <c r="J20">
        <v>198</v>
      </c>
      <c r="K20">
        <v>99</v>
      </c>
      <c r="L20">
        <v>4.5</v>
      </c>
      <c r="M20">
        <v>7</v>
      </c>
      <c r="O20">
        <v>18.2</v>
      </c>
      <c r="P20">
        <f>((J20-2*M20)+(2*K20-L20))*2/1000</f>
        <v>0.755</v>
      </c>
    </row>
    <row r="21">
      <c r="C21" t="str">
        <v>WF 200x100x3,2x4,5</v>
      </c>
      <c r="E21" t="str">
        <v>SGJ</v>
      </c>
      <c r="F21" t="str">
        <v>Japan</v>
      </c>
      <c r="H21">
        <v>12</v>
      </c>
      <c r="I21">
        <v>143</v>
      </c>
      <c r="J21">
        <v>200</v>
      </c>
      <c r="K21">
        <v>100</v>
      </c>
      <c r="L21">
        <v>3.2</v>
      </c>
      <c r="M21">
        <v>4.5</v>
      </c>
      <c r="O21">
        <f>I21/H21</f>
        <v>11.916666666666666</v>
      </c>
      <c r="P21">
        <f>((J21-2*M21)+(2*K21-L21))*2/1000</f>
        <v>0.7756000000000001</v>
      </c>
    </row>
    <row r="22">
      <c r="C22" t="str">
        <v>WF 200x100x5,5x8</v>
      </c>
      <c r="D22" t="str">
        <v>GG</v>
      </c>
      <c r="E22" t="str">
        <v>SGJ, SHC</v>
      </c>
      <c r="F22" t="str">
        <v>Japan</v>
      </c>
      <c r="H22">
        <v>12</v>
      </c>
      <c r="I22">
        <f>O22*H22</f>
        <v>255.95999999999998</v>
      </c>
      <c r="J22">
        <v>200</v>
      </c>
      <c r="K22">
        <v>100</v>
      </c>
      <c r="L22">
        <v>5.5</v>
      </c>
      <c r="M22">
        <v>8</v>
      </c>
      <c r="O22">
        <v>21.33</v>
      </c>
      <c r="P22">
        <f>((J22-2*M22)+(2*K22-L22))*2/1000</f>
        <v>0.757</v>
      </c>
    </row>
    <row r="23">
      <c r="C23" t="str">
        <v>WF 200x200x8x12</v>
      </c>
      <c r="D23" t="str">
        <v>GG</v>
      </c>
      <c r="E23" t="str">
        <v>SGJ, SHC</v>
      </c>
      <c r="H23">
        <v>12</v>
      </c>
      <c r="I23">
        <v>599</v>
      </c>
      <c r="J23">
        <v>200</v>
      </c>
      <c r="K23">
        <v>200</v>
      </c>
      <c r="L23">
        <v>8</v>
      </c>
      <c r="M23">
        <v>12</v>
      </c>
      <c r="O23">
        <f>I23/H23</f>
        <v>49.916666666666664</v>
      </c>
      <c r="P23">
        <f>((J23-2*M23)+(2*K23-L23))*2/1000</f>
        <v>1.136</v>
      </c>
    </row>
    <row r="24">
      <c r="C24" t="str">
        <v>WF 248x124x5x8</v>
      </c>
      <c r="D24" t="str">
        <v>GG</v>
      </c>
      <c r="E24" t="str">
        <v>SGJ, SHC</v>
      </c>
      <c r="F24" t="str">
        <v>Japan</v>
      </c>
      <c r="H24">
        <v>12</v>
      </c>
      <c r="I24">
        <f>O24*H24</f>
        <v>308.4</v>
      </c>
      <c r="J24">
        <v>248</v>
      </c>
      <c r="K24">
        <v>124</v>
      </c>
      <c r="L24">
        <v>5</v>
      </c>
      <c r="M24">
        <v>8</v>
      </c>
      <c r="O24">
        <v>25.7</v>
      </c>
      <c r="P24">
        <f>((J24-2*M24)+(2*K24-L24))*2/1000</f>
        <v>0.95</v>
      </c>
    </row>
    <row r="25">
      <c r="C25" t="str">
        <v>WF 250x125x6x9</v>
      </c>
      <c r="D25" t="str">
        <v>GG</v>
      </c>
      <c r="E25" t="str">
        <v>SGJ, SHC</v>
      </c>
      <c r="F25" t="str">
        <v>Japan</v>
      </c>
      <c r="H25">
        <v>12</v>
      </c>
      <c r="I25">
        <f>O25*H25</f>
        <v>355.20000000000005</v>
      </c>
      <c r="J25">
        <v>250</v>
      </c>
      <c r="K25">
        <v>125</v>
      </c>
      <c r="L25">
        <v>6</v>
      </c>
      <c r="M25">
        <v>9</v>
      </c>
      <c r="O25">
        <v>29.6</v>
      </c>
      <c r="P25">
        <f>((J25-2*M25)+(2*K25-L25))*2/1000</f>
        <v>0.952</v>
      </c>
    </row>
    <row r="26">
      <c r="C26" t="str">
        <v>WF 250x250x9x14</v>
      </c>
      <c r="D26" t="str">
        <v>GG</v>
      </c>
      <c r="E26" t="str">
        <v>SGJ, SHC</v>
      </c>
      <c r="H26">
        <v>12</v>
      </c>
      <c r="I26">
        <v>869</v>
      </c>
      <c r="J26">
        <v>250</v>
      </c>
      <c r="K26">
        <v>250</v>
      </c>
      <c r="L26">
        <v>9</v>
      </c>
      <c r="M26">
        <v>14</v>
      </c>
      <c r="O26">
        <f>I26/H26</f>
        <v>72.41666666666667</v>
      </c>
      <c r="P26">
        <f>((J26-2*M26)+(2*K26-L26))*2/1000</f>
        <v>1.426</v>
      </c>
    </row>
    <row r="27">
      <c r="C27" t="str">
        <v>WF 298x149x5,5x8</v>
      </c>
      <c r="D27" t="str">
        <v>GG</v>
      </c>
      <c r="E27" t="str">
        <v>SGJ, SHC</v>
      </c>
      <c r="F27" t="str">
        <v>Japan</v>
      </c>
      <c r="H27">
        <v>12</v>
      </c>
      <c r="I27">
        <f>O27*H27</f>
        <v>384</v>
      </c>
      <c r="J27">
        <v>298</v>
      </c>
      <c r="K27">
        <v>149</v>
      </c>
      <c r="L27">
        <v>5.5</v>
      </c>
      <c r="M27">
        <v>8</v>
      </c>
      <c r="O27">
        <v>32</v>
      </c>
      <c r="P27">
        <f>((J27-2*M27)+(2*K27-L27))*2/1000</f>
        <v>1.149</v>
      </c>
    </row>
    <row r="28">
      <c r="C28" t="str">
        <v>WF 300x150x6,5x9</v>
      </c>
      <c r="D28" t="str">
        <v>GG</v>
      </c>
      <c r="E28" t="str">
        <v>SGJ, SHC</v>
      </c>
      <c r="F28" t="str">
        <v>Japan</v>
      </c>
      <c r="H28">
        <v>12</v>
      </c>
      <c r="I28">
        <f>O28*H28</f>
        <v>440.40000000000003</v>
      </c>
      <c r="J28">
        <v>200</v>
      </c>
      <c r="K28">
        <v>150</v>
      </c>
      <c r="L28">
        <v>6.5</v>
      </c>
      <c r="M28">
        <v>9</v>
      </c>
      <c r="O28">
        <v>36.7</v>
      </c>
      <c r="P28">
        <f>((J28-2*M28)+(2*K28-L28))*2/1000</f>
        <v>0.951</v>
      </c>
    </row>
    <row r="29">
      <c r="C29" t="str">
        <v>WF 300x300x10x15</v>
      </c>
      <c r="D29" t="str">
        <v>GG</v>
      </c>
      <c r="E29" t="str">
        <v>SGJ, SHC</v>
      </c>
      <c r="H29">
        <v>12</v>
      </c>
      <c r="I29">
        <f>O29*H29</f>
        <v>1128</v>
      </c>
      <c r="J29">
        <v>300</v>
      </c>
      <c r="K29">
        <v>300</v>
      </c>
      <c r="L29">
        <v>10</v>
      </c>
      <c r="M29">
        <v>15</v>
      </c>
      <c r="O29">
        <v>94</v>
      </c>
      <c r="P29">
        <f>((J29-2*M29)+(2*K29-L29))*2/1000</f>
        <v>1.72</v>
      </c>
    </row>
    <row r="30">
      <c r="C30" t="str">
        <v>WF 346x174x6x9</v>
      </c>
      <c r="D30" t="str">
        <v>GG</v>
      </c>
      <c r="E30" t="str">
        <v>SGJ, SHC</v>
      </c>
      <c r="F30" t="str">
        <v>Japan</v>
      </c>
      <c r="H30">
        <v>12</v>
      </c>
      <c r="I30">
        <v>497</v>
      </c>
      <c r="J30">
        <v>346</v>
      </c>
      <c r="K30">
        <v>174</v>
      </c>
      <c r="L30">
        <v>6</v>
      </c>
      <c r="M30">
        <v>9</v>
      </c>
      <c r="O30">
        <f>I30/H30</f>
        <v>41.416666666666664</v>
      </c>
      <c r="P30">
        <f>((J30-2*M30)+(2*K30-L30))*2/1000</f>
        <v>1.34</v>
      </c>
    </row>
    <row r="31">
      <c r="C31" t="str">
        <v>WF 350x175x7x11</v>
      </c>
      <c r="D31" t="str">
        <v>GG</v>
      </c>
      <c r="E31" t="str">
        <v>SGJ, SHC</v>
      </c>
      <c r="F31" t="str">
        <v>Japan</v>
      </c>
      <c r="H31">
        <v>12</v>
      </c>
      <c r="J31">
        <f>100*5+264+114*2+112*2+170</f>
        <v>1386</v>
      </c>
      <c r="K31">
        <v>300</v>
      </c>
      <c r="L31">
        <v>7</v>
      </c>
      <c r="M31">
        <v>11</v>
      </c>
      <c r="O31">
        <v>49.6</v>
      </c>
      <c r="P31">
        <f>H31*K31*O31*J31/1000000</f>
        <v>247.48416</v>
      </c>
    </row>
    <row r="32">
      <c r="C32" t="str">
        <v>WF 350x350x12x19</v>
      </c>
      <c r="D32" t="str">
        <v>GG</v>
      </c>
      <c r="E32" t="str">
        <v>SGJ, SHC</v>
      </c>
      <c r="H32">
        <v>12</v>
      </c>
      <c r="I32">
        <f>O32*H32</f>
        <v>1644</v>
      </c>
      <c r="J32">
        <v>350</v>
      </c>
      <c r="K32">
        <v>350</v>
      </c>
      <c r="L32">
        <v>12</v>
      </c>
      <c r="M32">
        <v>19</v>
      </c>
      <c r="O32">
        <v>137</v>
      </c>
      <c r="P32">
        <f>((J32-2*M32)+(2*K32-L32))*2/1000</f>
        <v>2</v>
      </c>
    </row>
    <row r="33">
      <c r="C33" t="str">
        <v>WF 396x199x7x11</v>
      </c>
      <c r="D33" t="str">
        <v>GG</v>
      </c>
      <c r="E33" t="str">
        <v>SGJ, SHC</v>
      </c>
      <c r="F33" t="str">
        <v>Japan</v>
      </c>
      <c r="H33">
        <v>12</v>
      </c>
      <c r="I33">
        <v>679.5</v>
      </c>
      <c r="J33">
        <v>396</v>
      </c>
      <c r="K33">
        <v>199</v>
      </c>
      <c r="L33">
        <v>7</v>
      </c>
      <c r="M33">
        <v>11</v>
      </c>
      <c r="O33">
        <f>I33/H33</f>
        <v>56.625</v>
      </c>
      <c r="P33">
        <f>((J33-2*M33)+(2*K33-L33))*2/1000</f>
        <v>1.53</v>
      </c>
    </row>
    <row r="34">
      <c r="C34" t="str">
        <v>WF 400x200x8x13</v>
      </c>
      <c r="D34" t="str">
        <v>GG</v>
      </c>
      <c r="E34" t="str">
        <v>SGJ, SHC</v>
      </c>
      <c r="F34" t="str">
        <v>Japan</v>
      </c>
      <c r="H34">
        <v>12</v>
      </c>
      <c r="I34">
        <f>O34*H34</f>
        <v>792</v>
      </c>
      <c r="J34">
        <v>400</v>
      </c>
      <c r="K34">
        <v>200</v>
      </c>
      <c r="L34">
        <v>8</v>
      </c>
      <c r="M34">
        <v>13</v>
      </c>
      <c r="O34">
        <v>66</v>
      </c>
      <c r="P34">
        <f>((J34-2*M34)+(2*K34-L34))*2/1000</f>
        <v>1.532</v>
      </c>
    </row>
    <row r="35">
      <c r="C35" t="str">
        <v>WF 400x400x13x21</v>
      </c>
      <c r="D35" t="str">
        <v>GG</v>
      </c>
      <c r="E35" t="str">
        <v>SGJ, SHC</v>
      </c>
      <c r="F35" t="str">
        <v>Import</v>
      </c>
      <c r="H35">
        <v>12</v>
      </c>
      <c r="I35">
        <f>O35*H35</f>
        <v>2064</v>
      </c>
      <c r="J35">
        <v>400</v>
      </c>
      <c r="K35">
        <v>400</v>
      </c>
      <c r="L35">
        <v>13</v>
      </c>
      <c r="M35">
        <v>21</v>
      </c>
      <c r="O35">
        <v>172</v>
      </c>
      <c r="P35">
        <f>((J35-2*M35)+(2*K35-L35))*2/1000</f>
        <v>2.29</v>
      </c>
    </row>
    <row r="36">
      <c r="C36" t="str">
        <v>WF 446x199x8x12</v>
      </c>
      <c r="E36" t="str">
        <v>SGJ, SHC</v>
      </c>
      <c r="F36" t="str">
        <v>Japan</v>
      </c>
      <c r="H36">
        <v>12</v>
      </c>
      <c r="I36">
        <v>794.4</v>
      </c>
      <c r="J36">
        <v>446</v>
      </c>
      <c r="K36">
        <v>199</v>
      </c>
      <c r="L36">
        <v>8</v>
      </c>
      <c r="M36">
        <v>12</v>
      </c>
      <c r="O36">
        <f>I36/H36</f>
        <v>66.2</v>
      </c>
      <c r="P36">
        <f>((J36-2*M36)+(2*K36-L36))*2/1000</f>
        <v>1.624</v>
      </c>
    </row>
    <row r="37">
      <c r="C37" t="str">
        <v>WF 450x200x9x14</v>
      </c>
      <c r="D37" t="str">
        <v>GG</v>
      </c>
      <c r="E37" t="str">
        <v>SGJ, SHC</v>
      </c>
      <c r="F37" t="str">
        <v>Japan</v>
      </c>
      <c r="H37">
        <v>12</v>
      </c>
      <c r="I37">
        <f>O37*H37</f>
        <v>912</v>
      </c>
      <c r="J37">
        <v>450</v>
      </c>
      <c r="K37">
        <v>200</v>
      </c>
      <c r="L37">
        <v>9</v>
      </c>
      <c r="M37">
        <v>14</v>
      </c>
      <c r="O37">
        <v>76</v>
      </c>
      <c r="P37">
        <f>((J37-2*M37)+(2*K37-L37))*2/1000</f>
        <v>1.626</v>
      </c>
    </row>
    <row r="38">
      <c r="C38" t="str">
        <v>WF 496x199x9x14</v>
      </c>
      <c r="E38" t="str">
        <v>SHC</v>
      </c>
      <c r="H38">
        <v>12</v>
      </c>
      <c r="I38">
        <v>954</v>
      </c>
      <c r="J38">
        <v>496</v>
      </c>
      <c r="K38">
        <v>199</v>
      </c>
      <c r="L38">
        <v>9</v>
      </c>
      <c r="M38">
        <v>14</v>
      </c>
      <c r="O38">
        <f>I38/H38</f>
        <v>79.5</v>
      </c>
      <c r="P38">
        <f>((J38-2*M38)+(2*K38-L38))*2/1000</f>
        <v>1.714</v>
      </c>
    </row>
    <row r="39">
      <c r="C39" t="str">
        <v>WF 500x200x10x16</v>
      </c>
      <c r="D39" t="str">
        <v>GG</v>
      </c>
      <c r="E39" t="str">
        <v>SGJ, SHC</v>
      </c>
      <c r="F39" t="str">
        <v>Japan</v>
      </c>
      <c r="H39">
        <v>12</v>
      </c>
      <c r="I39">
        <f>O39*H39</f>
        <v>1075.1999999999998</v>
      </c>
      <c r="J39">
        <v>500</v>
      </c>
      <c r="K39">
        <v>200</v>
      </c>
      <c r="L39">
        <v>10</v>
      </c>
      <c r="M39">
        <v>16</v>
      </c>
      <c r="O39">
        <v>89.6</v>
      </c>
      <c r="P39">
        <f>((J39-2*M39)+(2*K39-L39))*2/1000</f>
        <v>1.716</v>
      </c>
    </row>
    <row r="40">
      <c r="C40" t="str">
        <v>WF 588x300x12x20</v>
      </c>
      <c r="D40" t="str">
        <v>GG</v>
      </c>
      <c r="E40" t="str">
        <v>SGJ, SHC</v>
      </c>
      <c r="F40" t="str">
        <v>Japan</v>
      </c>
      <c r="H40">
        <v>12</v>
      </c>
      <c r="I40">
        <f>O40*H40</f>
        <v>1812</v>
      </c>
      <c r="J40">
        <v>588</v>
      </c>
      <c r="K40">
        <v>300</v>
      </c>
      <c r="L40">
        <v>12</v>
      </c>
      <c r="M40">
        <v>20</v>
      </c>
      <c r="O40">
        <v>151</v>
      </c>
      <c r="P40">
        <f>((J40-2*M40)+(2*K40-L40))*2/1000</f>
        <v>2.272</v>
      </c>
    </row>
    <row r="41">
      <c r="C41" t="str">
        <v>WF 600x200x11x17</v>
      </c>
      <c r="D41" t="str">
        <v>GG</v>
      </c>
      <c r="E41" t="str">
        <v>SGJ, SHC</v>
      </c>
      <c r="F41" t="str">
        <v>Japan</v>
      </c>
      <c r="H41">
        <v>12</v>
      </c>
      <c r="I41">
        <f>O41*H41</f>
        <v>1272</v>
      </c>
      <c r="J41">
        <v>600</v>
      </c>
      <c r="K41">
        <v>200</v>
      </c>
      <c r="L41">
        <v>11</v>
      </c>
      <c r="M41">
        <v>17</v>
      </c>
      <c r="O41">
        <v>106</v>
      </c>
      <c r="P41">
        <f>((J41-2*M41)+(2*K41-L41))*2/1000</f>
        <v>1.91</v>
      </c>
    </row>
    <row r="42">
      <c r="C42" t="str">
        <v>WF 692x300x13x20</v>
      </c>
      <c r="E42" t="str">
        <v>SHC</v>
      </c>
      <c r="H42">
        <v>12</v>
      </c>
      <c r="I42">
        <v>1992</v>
      </c>
      <c r="J42">
        <v>692</v>
      </c>
      <c r="K42">
        <v>300</v>
      </c>
      <c r="L42">
        <v>13</v>
      </c>
      <c r="M42">
        <v>20</v>
      </c>
      <c r="O42">
        <f>I42/H42</f>
        <v>166</v>
      </c>
      <c r="P42">
        <f>((J42-2*M42)+(2*K42-L42))*2/1000</f>
        <v>2.478</v>
      </c>
    </row>
    <row r="43">
      <c r="C43" t="str">
        <v>WF 700x300x13x24</v>
      </c>
      <c r="D43" t="str">
        <v>GG</v>
      </c>
      <c r="E43" t="str">
        <v>SGJ, SHC</v>
      </c>
      <c r="F43" t="str">
        <v>Japan</v>
      </c>
      <c r="H43">
        <v>12</v>
      </c>
      <c r="I43">
        <f>O43*H43</f>
        <v>2220</v>
      </c>
      <c r="J43">
        <v>700</v>
      </c>
      <c r="K43">
        <v>300</v>
      </c>
      <c r="L43">
        <v>13</v>
      </c>
      <c r="M43">
        <v>24</v>
      </c>
      <c r="O43">
        <v>185</v>
      </c>
      <c r="P43">
        <f>((J43-2*M43)+(2*K43-L43))*2/1000</f>
        <v>2.478</v>
      </c>
    </row>
    <row r="44">
      <c r="C44" t="str">
        <v>WF 800x300x14x26</v>
      </c>
      <c r="D44" t="str">
        <v>GG</v>
      </c>
      <c r="E44" t="str">
        <v>SGJ, SHC</v>
      </c>
      <c r="F44" t="str">
        <v>Japan</v>
      </c>
      <c r="H44">
        <v>12</v>
      </c>
      <c r="I44">
        <f>O44*H44</f>
        <v>2520</v>
      </c>
      <c r="J44">
        <v>800</v>
      </c>
      <c r="K44">
        <v>300</v>
      </c>
      <c r="L44">
        <v>14</v>
      </c>
      <c r="M44">
        <v>26</v>
      </c>
      <c r="O44">
        <v>210</v>
      </c>
      <c r="P44">
        <f>((J44-2*M44)+(2*K44-L44))*2/1000</f>
        <v>2.668</v>
      </c>
    </row>
    <row r="45">
      <c r="B45" t="str">
        <v>Wide Flange (WF)</v>
      </c>
      <c r="C45" t="str">
        <v>WF 6"x6" 15,5 lbs</v>
      </c>
      <c r="E45" t="str">
        <v>SGJ</v>
      </c>
      <c r="F45" t="str">
        <v>Japan</v>
      </c>
      <c r="H45">
        <v>12</v>
      </c>
      <c r="I45">
        <v>277</v>
      </c>
      <c r="J45">
        <v>152</v>
      </c>
      <c r="K45">
        <v>152</v>
      </c>
      <c r="L45">
        <v>6</v>
      </c>
      <c r="O45">
        <f>I45/H45</f>
        <v>23.083333333333332</v>
      </c>
      <c r="P45">
        <f>((J45-2*M45)+(2*K45-L45))*2/1000</f>
        <v>0.9</v>
      </c>
    </row>
    <row r="46">
      <c r="C46" t="str">
        <v>WF 8"x5 1/4" 17 lbs</v>
      </c>
      <c r="E46" t="str">
        <v>SGJ</v>
      </c>
      <c r="F46" t="str">
        <v>Japan</v>
      </c>
      <c r="H46">
        <v>12</v>
      </c>
      <c r="I46">
        <v>304</v>
      </c>
      <c r="J46">
        <v>203</v>
      </c>
      <c r="K46">
        <v>133</v>
      </c>
      <c r="L46">
        <v>5.84</v>
      </c>
      <c r="M46">
        <v>7.82</v>
      </c>
      <c r="O46">
        <f>I46/H46</f>
        <v>25.333333333333332</v>
      </c>
      <c r="P46">
        <f>((J46-2*M46)+(2*K46-L46))*2/1000</f>
        <v>0.8950400000000001</v>
      </c>
    </row>
    <row r="47">
      <c r="C47" t="str">
        <v>WF 8"x8" 31 lbs</v>
      </c>
      <c r="E47" t="str">
        <v>SGJ</v>
      </c>
      <c r="F47" t="str">
        <v>Japan</v>
      </c>
      <c r="H47">
        <v>12</v>
      </c>
      <c r="I47">
        <v>556</v>
      </c>
      <c r="J47">
        <v>203</v>
      </c>
      <c r="K47">
        <v>203</v>
      </c>
      <c r="L47">
        <v>7.32</v>
      </c>
      <c r="M47">
        <v>11</v>
      </c>
      <c r="O47">
        <f>I47/H47</f>
        <v>46.333333333333336</v>
      </c>
      <c r="P47">
        <f>((J47-2*M47)+(2*K47-L47))*2/1000</f>
        <v>1.1593600000000002</v>
      </c>
    </row>
    <row r="48">
      <c r="C48" t="str">
        <v>WF 8"x8" 35 lbs</v>
      </c>
      <c r="E48" t="str">
        <v>SGJ</v>
      </c>
      <c r="F48" t="str">
        <v>Japan</v>
      </c>
      <c r="H48">
        <v>12</v>
      </c>
      <c r="I48">
        <v>625</v>
      </c>
      <c r="J48">
        <v>204</v>
      </c>
      <c r="K48">
        <v>206</v>
      </c>
      <c r="L48">
        <v>8</v>
      </c>
      <c r="M48">
        <v>12.52</v>
      </c>
      <c r="O48">
        <f>I48/H48</f>
        <v>52.083333333333336</v>
      </c>
      <c r="P48">
        <f>((J48-2*M48)+(2*K48-L48))*2/1000</f>
        <v>1.16592</v>
      </c>
    </row>
    <row r="49">
      <c r="C49" t="str">
        <v>WF 10"x4" 17 lbs</v>
      </c>
      <c r="E49" t="str">
        <v>SGJ</v>
      </c>
      <c r="F49" t="str">
        <v>Japan</v>
      </c>
      <c r="H49">
        <v>12</v>
      </c>
      <c r="I49">
        <v>304</v>
      </c>
      <c r="J49">
        <v>257</v>
      </c>
      <c r="K49">
        <v>102</v>
      </c>
      <c r="L49">
        <v>6.1</v>
      </c>
      <c r="M49">
        <v>8.36</v>
      </c>
      <c r="O49">
        <f>I49/H49</f>
        <v>25.333333333333332</v>
      </c>
      <c r="P49">
        <f>((J49-2*M49)+(2*K49-L49))*2/1000</f>
        <v>0.87636</v>
      </c>
    </row>
    <row r="50">
      <c r="C50" t="str">
        <v>WF 10"x5 3/4" 21 lbs</v>
      </c>
      <c r="E50" t="str">
        <v>SGJ</v>
      </c>
      <c r="F50" t="str">
        <v>Japan</v>
      </c>
      <c r="H50">
        <v>12</v>
      </c>
      <c r="I50">
        <v>375</v>
      </c>
      <c r="J50">
        <v>251</v>
      </c>
      <c r="K50">
        <v>146</v>
      </c>
      <c r="L50">
        <v>6.1</v>
      </c>
      <c r="M50">
        <v>8.64</v>
      </c>
      <c r="O50">
        <f>I50/H50</f>
        <v>31.25</v>
      </c>
      <c r="P50">
        <f>((J50-2*M50)+(2*K50-L50))*2/1000</f>
        <v>1.03924</v>
      </c>
    </row>
    <row r="51">
      <c r="C51" t="str">
        <v>WF 10"x5 3/4" 25 lbs</v>
      </c>
      <c r="E51" t="str">
        <v>SGJ</v>
      </c>
      <c r="F51" t="str">
        <v>Japan</v>
      </c>
      <c r="H51">
        <v>12</v>
      </c>
      <c r="I51">
        <v>446</v>
      </c>
      <c r="J51">
        <v>256</v>
      </c>
      <c r="K51">
        <v>146</v>
      </c>
      <c r="L51">
        <v>6.4</v>
      </c>
      <c r="M51">
        <v>10.92</v>
      </c>
      <c r="O51">
        <f>I51/H51</f>
        <v>37.166666666666664</v>
      </c>
      <c r="P51">
        <f>((J51-2*M51)+(2*K51-L51))*2/1000</f>
        <v>1.03952</v>
      </c>
    </row>
    <row r="52">
      <c r="C52" t="str">
        <v>WF 10"x10" 42 lbs</v>
      </c>
      <c r="E52" t="str">
        <v>SGJ</v>
      </c>
      <c r="F52" t="str">
        <v>Japan</v>
      </c>
      <c r="H52">
        <v>12</v>
      </c>
      <c r="I52">
        <v>750</v>
      </c>
      <c r="J52">
        <v>247</v>
      </c>
      <c r="K52">
        <v>256</v>
      </c>
      <c r="L52">
        <v>10.62</v>
      </c>
      <c r="M52">
        <v>10.62</v>
      </c>
      <c r="O52">
        <f>I52/H52</f>
        <v>62.5</v>
      </c>
      <c r="P52">
        <f>((J52-2*M52)+(2*K52-L52))*2/1000</f>
        <v>1.45428</v>
      </c>
    </row>
    <row r="53">
      <c r="C53" t="str">
        <v>WF 10"x10" 49 lbs</v>
      </c>
      <c r="E53" t="str">
        <v>SGJ</v>
      </c>
      <c r="F53" t="str">
        <v>Japan</v>
      </c>
      <c r="H53">
        <v>12</v>
      </c>
      <c r="I53">
        <v>875</v>
      </c>
      <c r="J53">
        <v>254</v>
      </c>
      <c r="K53">
        <v>254</v>
      </c>
      <c r="L53">
        <v>8.64</v>
      </c>
      <c r="M53">
        <v>14.17</v>
      </c>
      <c r="O53">
        <f>I53/H53</f>
        <v>72.91666666666667</v>
      </c>
      <c r="P53">
        <f>((J53-2*M53)+(2*K53-L53))*2/1000</f>
        <v>1.45004</v>
      </c>
    </row>
    <row r="54">
      <c r="C54" t="str">
        <v>WF 12"x6 1/2" 27 lbs</v>
      </c>
      <c r="E54" t="str">
        <v>SGJ</v>
      </c>
      <c r="F54" t="str">
        <v>Japan</v>
      </c>
      <c r="H54">
        <v>12</v>
      </c>
      <c r="I54">
        <v>482</v>
      </c>
      <c r="J54">
        <v>304</v>
      </c>
      <c r="K54">
        <v>105</v>
      </c>
      <c r="L54">
        <v>6.1</v>
      </c>
      <c r="M54">
        <v>10.16</v>
      </c>
      <c r="O54">
        <f>I54/H54</f>
        <v>40.166666666666664</v>
      </c>
      <c r="P54">
        <f>((J54-2*M54)+(2*K54-L54))*2/1000</f>
        <v>0.97516</v>
      </c>
    </row>
    <row r="55">
      <c r="C55" t="str">
        <v>WF 12"x6 1/2" 31 lbs</v>
      </c>
      <c r="E55" t="str">
        <v>SGJ</v>
      </c>
      <c r="F55" t="str">
        <v>Japan</v>
      </c>
      <c r="H55">
        <v>12</v>
      </c>
      <c r="I55">
        <v>554</v>
      </c>
      <c r="J55">
        <v>307</v>
      </c>
      <c r="K55">
        <v>116</v>
      </c>
      <c r="L55">
        <v>6.73</v>
      </c>
      <c r="M55">
        <v>11.81</v>
      </c>
      <c r="O55">
        <f>I55/H55</f>
        <v>46.166666666666664</v>
      </c>
      <c r="P55">
        <f>((J55-2*M55)+(2*K55-L55))*2/1000</f>
        <v>1.0172999999999999</v>
      </c>
    </row>
    <row r="56">
      <c r="C56" t="str">
        <v>WF 12"x12" 53 lbs</v>
      </c>
      <c r="E56" t="str">
        <v>SGJ</v>
      </c>
      <c r="F56" t="str">
        <v>Japan</v>
      </c>
      <c r="H56">
        <v>12</v>
      </c>
      <c r="I56">
        <v>947</v>
      </c>
      <c r="J56">
        <v>299</v>
      </c>
      <c r="K56">
        <v>306</v>
      </c>
      <c r="L56">
        <v>11.07</v>
      </c>
      <c r="M56">
        <v>11.07</v>
      </c>
      <c r="O56">
        <f>I56/H56</f>
        <v>78.91666666666667</v>
      </c>
      <c r="P56">
        <f>((J56-2*M56)+(2*K56-L56))*2/1000</f>
        <v>1.75558</v>
      </c>
    </row>
    <row r="57">
      <c r="C57" t="str">
        <v>WF 12"x12" 65 lbs</v>
      </c>
      <c r="E57" t="str">
        <v>SGJ</v>
      </c>
      <c r="F57" t="str">
        <v>Japan</v>
      </c>
      <c r="H57">
        <v>12</v>
      </c>
      <c r="I57">
        <v>1161</v>
      </c>
      <c r="J57">
        <v>308</v>
      </c>
      <c r="K57">
        <v>305</v>
      </c>
      <c r="L57">
        <v>9.91</v>
      </c>
      <c r="M57">
        <v>15.39</v>
      </c>
      <c r="O57">
        <f>I57/H57</f>
        <v>96.75</v>
      </c>
      <c r="P57">
        <f>((J57-2*M57)+(2*K57-L57))*2/1000</f>
        <v>1.75462</v>
      </c>
    </row>
    <row r="58">
      <c r="C58" t="str">
        <v>WF 14"x6 3/4" 30 lbs</v>
      </c>
      <c r="E58" t="str">
        <v>SGJ</v>
      </c>
      <c r="F58" t="str">
        <v>Japan</v>
      </c>
      <c r="H58">
        <v>12</v>
      </c>
      <c r="I58">
        <v>536</v>
      </c>
      <c r="J58">
        <v>352</v>
      </c>
      <c r="K58">
        <v>171</v>
      </c>
      <c r="L58">
        <v>6.86</v>
      </c>
      <c r="M58">
        <v>9.73</v>
      </c>
      <c r="O58">
        <f>I58/H58</f>
        <v>44.666666666666664</v>
      </c>
      <c r="P58">
        <f>((J58-2*M58)+(2*K58-L58))*2/1000</f>
        <v>1.33536</v>
      </c>
    </row>
    <row r="59">
      <c r="C59" t="str">
        <v>WF 14"x14 1/2" 73 lbs</v>
      </c>
      <c r="E59" t="str">
        <v>SGJ</v>
      </c>
      <c r="F59" t="str">
        <v>Japan</v>
      </c>
      <c r="H59">
        <v>12</v>
      </c>
      <c r="I59">
        <v>1303</v>
      </c>
      <c r="J59">
        <v>346</v>
      </c>
      <c r="K59">
        <v>370</v>
      </c>
      <c r="L59">
        <v>12.85</v>
      </c>
      <c r="M59">
        <v>12.85</v>
      </c>
      <c r="O59">
        <f>I59/H59</f>
        <v>108.58333333333333</v>
      </c>
      <c r="P59">
        <f>((J59-2*M59)+(2*K59-L59))*2/1000</f>
        <v>2.0949</v>
      </c>
    </row>
    <row r="60">
      <c r="C60" t="str">
        <v>WF 16"x7" 36 lbs</v>
      </c>
      <c r="E60" t="str">
        <v>SGJ</v>
      </c>
      <c r="F60" t="str">
        <v>Japan</v>
      </c>
      <c r="H60">
        <v>12</v>
      </c>
      <c r="I60">
        <v>643</v>
      </c>
      <c r="J60">
        <v>403</v>
      </c>
      <c r="K60">
        <v>178</v>
      </c>
      <c r="L60">
        <v>7.59</v>
      </c>
      <c r="M60">
        <v>10.87</v>
      </c>
      <c r="O60">
        <f>I60/H60</f>
        <v>53.583333333333336</v>
      </c>
      <c r="P60">
        <f>((J60-2*M60)+(2*K60-L60))*2/1000</f>
        <v>1.45934</v>
      </c>
    </row>
    <row r="61">
      <c r="C61" t="str">
        <v>WF 16"x7" 40 lbs</v>
      </c>
      <c r="E61" t="str">
        <v>SGJ</v>
      </c>
      <c r="F61" t="str">
        <v>Japan</v>
      </c>
      <c r="H61">
        <v>12</v>
      </c>
      <c r="I61">
        <v>714</v>
      </c>
      <c r="J61">
        <v>406</v>
      </c>
      <c r="K61">
        <v>178</v>
      </c>
      <c r="L61">
        <v>7.8</v>
      </c>
      <c r="M61">
        <v>12.78</v>
      </c>
      <c r="O61">
        <f>I61/H61</f>
        <v>59.5</v>
      </c>
      <c r="P61">
        <f>((J61-2*M61)+(2*K61-L61))*2/1000</f>
        <v>1.45728</v>
      </c>
    </row>
    <row r="62">
      <c r="C62" t="str">
        <v>WF 16"x7" 50 lbs</v>
      </c>
      <c r="E62" t="str">
        <v>SGJ</v>
      </c>
      <c r="F62" t="str">
        <v>Japan</v>
      </c>
      <c r="H62">
        <v>12</v>
      </c>
      <c r="I62">
        <v>893</v>
      </c>
      <c r="J62">
        <v>413</v>
      </c>
      <c r="K62">
        <v>180</v>
      </c>
      <c r="L62">
        <v>9.65</v>
      </c>
      <c r="M62">
        <v>15.95</v>
      </c>
      <c r="O62">
        <f>I62/H62</f>
        <v>74.41666666666667</v>
      </c>
      <c r="P62">
        <f>((J62-2*M62)+(2*K62-L62))*2/1000</f>
        <v>1.4629</v>
      </c>
    </row>
    <row r="63">
      <c r="C63" t="str">
        <v>WF 18"x7 1/2" 45 lbs</v>
      </c>
      <c r="E63" t="str">
        <v>SGJ</v>
      </c>
      <c r="F63" t="str">
        <v>Japan</v>
      </c>
      <c r="H63">
        <v>12</v>
      </c>
      <c r="I63">
        <v>804</v>
      </c>
      <c r="J63">
        <v>454</v>
      </c>
      <c r="K63">
        <v>190</v>
      </c>
      <c r="L63">
        <v>8.51</v>
      </c>
      <c r="M63">
        <v>12.67</v>
      </c>
      <c r="O63">
        <f>I63/H63</f>
        <v>67</v>
      </c>
      <c r="P63">
        <f>((J63-2*M63)+(2*K63-L63))*2/1000</f>
        <v>1.6003000000000003</v>
      </c>
    </row>
    <row r="64">
      <c r="B64" t="str">
        <v>IPE</v>
      </c>
      <c r="C64" t="str">
        <v>IPE 80x46x3,8x5,2</v>
      </c>
      <c r="E64" t="str">
        <v>SHC</v>
      </c>
      <c r="F64" t="str">
        <v>German</v>
      </c>
      <c r="H64">
        <v>12</v>
      </c>
      <c r="I64">
        <v>72</v>
      </c>
      <c r="J64">
        <v>80</v>
      </c>
      <c r="K64">
        <v>46</v>
      </c>
      <c r="L64">
        <v>3.8</v>
      </c>
      <c r="M64">
        <v>5.2</v>
      </c>
      <c r="O64">
        <f>I64/H64</f>
        <v>6</v>
      </c>
      <c r="P64">
        <f>((J64-2*M64)+(2*K64-L64))*2/1000</f>
        <v>0.31560000000000005</v>
      </c>
    </row>
    <row r="65">
      <c r="C65" t="str">
        <v>IPE 100x55x4,1x5,7</v>
      </c>
      <c r="E65" t="str">
        <v>SHC</v>
      </c>
      <c r="F65" t="str">
        <v>German</v>
      </c>
      <c r="H65">
        <v>12</v>
      </c>
      <c r="I65">
        <v>97.2</v>
      </c>
      <c r="J65">
        <v>100</v>
      </c>
      <c r="K65">
        <v>55</v>
      </c>
      <c r="L65">
        <v>4.1</v>
      </c>
      <c r="M65">
        <v>5.7</v>
      </c>
      <c r="O65">
        <f>I65/H65</f>
        <v>8.1</v>
      </c>
      <c r="P65">
        <f>((J65-2*M65)+(2*K65-L65))*2/1000</f>
        <v>0.389</v>
      </c>
    </row>
    <row r="66">
      <c r="C66" t="str">
        <v>IPE 120x64x4,4x6,3</v>
      </c>
      <c r="E66" t="str">
        <v>SHC</v>
      </c>
      <c r="F66" t="str">
        <v>German</v>
      </c>
      <c r="H66">
        <v>12</v>
      </c>
      <c r="I66">
        <v>124.8</v>
      </c>
      <c r="J66">
        <v>120</v>
      </c>
      <c r="K66">
        <v>64</v>
      </c>
      <c r="L66">
        <v>4.4</v>
      </c>
      <c r="M66">
        <v>6.3</v>
      </c>
      <c r="O66">
        <f>I66/H66</f>
        <v>10.4</v>
      </c>
      <c r="P66">
        <f>((J66-2*M66)+(2*K66-L66))*2/1000</f>
        <v>0.462</v>
      </c>
    </row>
    <row r="67">
      <c r="C67" t="str">
        <v>IPE 140x73x4,7x6,9</v>
      </c>
      <c r="E67" t="str">
        <v>SHC</v>
      </c>
      <c r="F67" t="str">
        <v>German</v>
      </c>
      <c r="H67">
        <v>12</v>
      </c>
      <c r="I67">
        <v>154.8</v>
      </c>
      <c r="J67">
        <v>140</v>
      </c>
      <c r="K67">
        <v>73</v>
      </c>
      <c r="L67">
        <v>4.7</v>
      </c>
      <c r="M67">
        <v>6.9</v>
      </c>
      <c r="O67">
        <f>I67/H67</f>
        <v>12.9</v>
      </c>
      <c r="P67">
        <f>((J67-2*M67)+(2*K67-L67))*2/1000</f>
        <v>0.535</v>
      </c>
    </row>
    <row r="68">
      <c r="C68" t="str">
        <v>IPE 160x82x5x7,4</v>
      </c>
      <c r="E68" t="str">
        <v>SHC</v>
      </c>
      <c r="F68" t="str">
        <v>German</v>
      </c>
      <c r="H68">
        <v>12</v>
      </c>
      <c r="I68">
        <v>189.6</v>
      </c>
      <c r="J68">
        <v>160</v>
      </c>
      <c r="K68">
        <v>82</v>
      </c>
      <c r="L68">
        <v>5</v>
      </c>
      <c r="M68">
        <v>7.4</v>
      </c>
      <c r="O68">
        <f>I68/H68</f>
        <v>15.799999999999999</v>
      </c>
      <c r="P68">
        <f>((J68-2*M68)+(2*K68-L68))*2/1000</f>
        <v>0.6083999999999999</v>
      </c>
    </row>
    <row r="69">
      <c r="C69" t="str">
        <v>IPE 180x91x5,3x8</v>
      </c>
      <c r="E69" t="str">
        <v>SHC</v>
      </c>
      <c r="F69" t="str">
        <v>German</v>
      </c>
      <c r="H69">
        <v>12</v>
      </c>
      <c r="I69">
        <v>225.6</v>
      </c>
      <c r="J69">
        <v>180</v>
      </c>
      <c r="K69">
        <v>91</v>
      </c>
      <c r="L69">
        <v>5.3</v>
      </c>
      <c r="M69">
        <v>8</v>
      </c>
      <c r="O69">
        <f>I69/H69</f>
        <v>18.8</v>
      </c>
      <c r="P69">
        <f>((J69-2*M69)+(2*K69-L69))*2/1000</f>
        <v>0.6814</v>
      </c>
    </row>
    <row r="70">
      <c r="C70" t="str">
        <v>IPE 200x100x5,6x8,5</v>
      </c>
      <c r="E70" t="str">
        <v>SHC</v>
      </c>
      <c r="F70" t="str">
        <v>German</v>
      </c>
      <c r="H70">
        <v>12</v>
      </c>
      <c r="I70">
        <v>268.8</v>
      </c>
      <c r="J70">
        <v>200</v>
      </c>
      <c r="K70">
        <v>100</v>
      </c>
      <c r="L70">
        <v>5.6</v>
      </c>
      <c r="M70">
        <v>8.5</v>
      </c>
      <c r="O70">
        <f>I70/H70</f>
        <v>22.400000000000002</v>
      </c>
      <c r="P70">
        <f>((J70-2*M70)+(2*K70-L70))*2/1000</f>
        <v>0.7547999999999999</v>
      </c>
    </row>
    <row r="71">
      <c r="C71" t="str">
        <v>IPE 220x110x5,9x9,2</v>
      </c>
      <c r="E71" t="str">
        <v>SHC</v>
      </c>
      <c r="F71" t="str">
        <v>German</v>
      </c>
      <c r="H71">
        <v>12</v>
      </c>
      <c r="I71">
        <v>314.4</v>
      </c>
      <c r="J71">
        <v>220</v>
      </c>
      <c r="K71">
        <v>110</v>
      </c>
      <c r="L71">
        <v>5.9</v>
      </c>
      <c r="M71">
        <v>9.2</v>
      </c>
      <c r="O71">
        <f>I71/H71</f>
        <v>26.2</v>
      </c>
      <c r="P71">
        <f>((J71-2*M71)+(2*K71-L71))*2/1000</f>
        <v>0.8314</v>
      </c>
    </row>
    <row r="72">
      <c r="C72" t="str">
        <v>IPE 240x120x6,2x9,8</v>
      </c>
      <c r="E72" t="str">
        <v>SHC</v>
      </c>
      <c r="F72" t="str">
        <v>German</v>
      </c>
      <c r="H72">
        <v>12</v>
      </c>
      <c r="I72">
        <v>368.4</v>
      </c>
      <c r="J72">
        <v>240</v>
      </c>
      <c r="K72">
        <v>120</v>
      </c>
      <c r="L72">
        <v>6.2</v>
      </c>
      <c r="M72">
        <v>9.8</v>
      </c>
      <c r="O72">
        <f>I72/H72</f>
        <v>30.7</v>
      </c>
      <c r="P72">
        <f>((J72-2*M72)+(2*K72-L72))*2/1000</f>
        <v>0.9084000000000001</v>
      </c>
    </row>
    <row r="73">
      <c r="C73" t="str">
        <v>IPE 270x135x6,6x10,2</v>
      </c>
      <c r="E73" t="str">
        <v>SHC</v>
      </c>
      <c r="F73" t="str">
        <v>German</v>
      </c>
      <c r="H73">
        <v>12</v>
      </c>
      <c r="I73">
        <v>433.2</v>
      </c>
      <c r="J73">
        <v>270</v>
      </c>
      <c r="K73">
        <v>135</v>
      </c>
      <c r="L73">
        <v>6.6</v>
      </c>
      <c r="M73">
        <v>10.2</v>
      </c>
      <c r="O73">
        <f>I73/H73</f>
        <v>36.1</v>
      </c>
      <c r="P73">
        <f>((J73-2*M73)+(2*K73-L73))*2/1000</f>
        <v>1.026</v>
      </c>
    </row>
    <row r="74">
      <c r="C74" t="str">
        <v>IPE 300x150x7,1x10,7</v>
      </c>
      <c r="E74" t="str">
        <v>SHC</v>
      </c>
      <c r="F74" t="str">
        <v>German</v>
      </c>
      <c r="H74">
        <v>12</v>
      </c>
      <c r="I74">
        <v>506.4</v>
      </c>
      <c r="J74">
        <v>300</v>
      </c>
      <c r="K74">
        <v>150</v>
      </c>
      <c r="L74">
        <v>7.1</v>
      </c>
      <c r="M74">
        <v>10.7</v>
      </c>
      <c r="O74">
        <f>I74/H74</f>
        <v>42.199999999999996</v>
      </c>
      <c r="P74">
        <f>((J74-2*M74)+(2*K74-L74))*2/1000</f>
        <v>1.143</v>
      </c>
    </row>
    <row r="75">
      <c r="C75" t="str">
        <v>IPE 330x160x7,5x11,5</v>
      </c>
      <c r="E75" t="str">
        <v>SHC</v>
      </c>
      <c r="F75" t="str">
        <v>German</v>
      </c>
      <c r="H75">
        <v>12</v>
      </c>
      <c r="I75">
        <v>589.2</v>
      </c>
      <c r="J75">
        <v>330</v>
      </c>
      <c r="K75">
        <v>160</v>
      </c>
      <c r="L75">
        <v>7.5</v>
      </c>
      <c r="M75">
        <v>11.5</v>
      </c>
      <c r="O75">
        <f>I75/H75</f>
        <v>49.1</v>
      </c>
      <c r="P75">
        <f>((J75-2*M75)+(2*K75-L75))*2/1000</f>
        <v>1.239</v>
      </c>
    </row>
    <row r="76">
      <c r="C76" t="str">
        <v>IPE 360x170x8x12,7</v>
      </c>
      <c r="E76" t="str">
        <v>SHC</v>
      </c>
      <c r="F76" t="str">
        <v>German</v>
      </c>
      <c r="H76">
        <v>12</v>
      </c>
      <c r="I76">
        <v>685.2</v>
      </c>
      <c r="J76">
        <v>360</v>
      </c>
      <c r="K76">
        <v>170</v>
      </c>
      <c r="L76">
        <v>8</v>
      </c>
      <c r="M76">
        <v>12.7</v>
      </c>
      <c r="O76">
        <f>I76/H76</f>
        <v>57.1</v>
      </c>
      <c r="P76">
        <f>((J76-2*M76)+(2*K76-L76))*2/1000</f>
        <v>1.3332</v>
      </c>
    </row>
    <row r="77">
      <c r="C77" t="str">
        <v>IPE 400x180x8,6x13,5</v>
      </c>
      <c r="E77" t="str">
        <v>SHC</v>
      </c>
      <c r="F77" t="str">
        <v>German</v>
      </c>
      <c r="H77">
        <v>12</v>
      </c>
      <c r="I77">
        <v>795.6</v>
      </c>
      <c r="J77">
        <v>400</v>
      </c>
      <c r="K77">
        <v>180</v>
      </c>
      <c r="L77">
        <v>8.6</v>
      </c>
      <c r="M77">
        <v>13.5</v>
      </c>
      <c r="O77">
        <f>I77/H77</f>
        <v>66.3</v>
      </c>
      <c r="P77">
        <f>((J77-2*M77)+(2*K77-L77))*2/1000</f>
        <v>1.4487999999999999</v>
      </c>
    </row>
    <row r="78">
      <c r="C78" t="str">
        <v>IPE 450x190x9,4x14,6</v>
      </c>
      <c r="E78" t="str">
        <v>SHC</v>
      </c>
      <c r="F78" t="str">
        <v>German</v>
      </c>
      <c r="H78">
        <v>12</v>
      </c>
      <c r="I78">
        <v>931.2</v>
      </c>
      <c r="J78">
        <v>450</v>
      </c>
      <c r="K78">
        <v>190</v>
      </c>
      <c r="L78">
        <v>9.4</v>
      </c>
      <c r="M78">
        <v>14.6</v>
      </c>
      <c r="O78">
        <f>I78/H78</f>
        <v>77.60000000000001</v>
      </c>
      <c r="P78">
        <f>((J78-2*M78)+(2*K78-L78))*2/1000</f>
        <v>1.5828000000000002</v>
      </c>
    </row>
    <row r="79">
      <c r="C79" t="str">
        <v>IPE 500x200x10,2x16</v>
      </c>
      <c r="E79" t="str">
        <v>SHC</v>
      </c>
      <c r="F79" t="str">
        <v>German</v>
      </c>
      <c r="H79">
        <v>12</v>
      </c>
      <c r="I79">
        <v>1088.4</v>
      </c>
      <c r="J79">
        <v>500</v>
      </c>
      <c r="K79">
        <v>200</v>
      </c>
      <c r="L79">
        <v>10.2</v>
      </c>
      <c r="M79">
        <v>16</v>
      </c>
      <c r="O79">
        <f>I79/H79</f>
        <v>90.7</v>
      </c>
      <c r="P79">
        <f>((J79-2*M79)+(2*K79-L79))*2/1000</f>
        <v>1.7156</v>
      </c>
    </row>
    <row r="80">
      <c r="C80" t="str">
        <v>IPE 550x210x11,1x17,2</v>
      </c>
      <c r="E80" t="str">
        <v>SHC</v>
      </c>
      <c r="F80" t="str">
        <v>German</v>
      </c>
      <c r="H80">
        <v>12</v>
      </c>
      <c r="I80">
        <v>1272</v>
      </c>
      <c r="J80">
        <v>550</v>
      </c>
      <c r="K80">
        <v>210</v>
      </c>
      <c r="L80">
        <v>11.1</v>
      </c>
      <c r="M80">
        <v>17.2</v>
      </c>
      <c r="O80">
        <f>I80/H80</f>
        <v>106</v>
      </c>
      <c r="P80">
        <f>((J80-2*M80)+(2*K80-L80))*2/1000</f>
        <v>1.849</v>
      </c>
    </row>
    <row r="81">
      <c r="C81" t="str">
        <v>IPE 600x220x12x19</v>
      </c>
      <c r="E81" t="str">
        <v>SHC</v>
      </c>
      <c r="F81" t="str">
        <v>German</v>
      </c>
      <c r="H81">
        <v>12</v>
      </c>
      <c r="I81">
        <v>1464</v>
      </c>
      <c r="J81">
        <v>600</v>
      </c>
      <c r="K81">
        <v>220</v>
      </c>
      <c r="L81">
        <v>12</v>
      </c>
      <c r="M81">
        <v>19</v>
      </c>
      <c r="O81">
        <f>I81/H81</f>
        <v>122</v>
      </c>
      <c r="P81">
        <f>((J81-2*M81)+(2*K81-L81))*2/1000</f>
        <v>1.98</v>
      </c>
    </row>
    <row r="82">
      <c r="B82" t="str">
        <v>INP</v>
      </c>
      <c r="C82" t="str">
        <v>INP 80x42x3,9x5,9x2,3</v>
      </c>
      <c r="E82" t="str">
        <v>SGJ, SHC</v>
      </c>
      <c r="F82" t="str">
        <v>German</v>
      </c>
      <c r="H82">
        <v>6</v>
      </c>
      <c r="I82">
        <v>38.5</v>
      </c>
      <c r="J82">
        <v>80</v>
      </c>
      <c r="K82">
        <v>42</v>
      </c>
      <c r="L82">
        <v>3.9</v>
      </c>
      <c r="M82">
        <v>5.9</v>
      </c>
      <c r="N82">
        <v>2.3</v>
      </c>
      <c r="O82">
        <f>I82/H82</f>
        <v>6.416666666666667</v>
      </c>
      <c r="P82">
        <f>((J82-2*M82)+(2*K82-L82))*2/1000</f>
        <v>0.29660000000000003</v>
      </c>
    </row>
    <row r="83">
      <c r="C83" t="str">
        <v>INP 100x50x4,5x6,8x2,7</v>
      </c>
      <c r="E83" t="str">
        <v>SGJ, SHC</v>
      </c>
      <c r="F83" t="str">
        <v>German</v>
      </c>
      <c r="H83">
        <v>6</v>
      </c>
      <c r="I83">
        <v>50.6</v>
      </c>
      <c r="J83">
        <v>100</v>
      </c>
      <c r="K83">
        <v>50</v>
      </c>
      <c r="L83">
        <v>4.5</v>
      </c>
      <c r="M83">
        <v>6.8</v>
      </c>
      <c r="N83">
        <v>2.7</v>
      </c>
      <c r="O83">
        <f>I83/H83</f>
        <v>8.433333333333334</v>
      </c>
      <c r="P83">
        <f>((J83-2*M83)+(2*K83-L83))*2/1000</f>
        <v>0.3638</v>
      </c>
    </row>
    <row r="84">
      <c r="C84" t="str">
        <v>INP 120x58x5,1x7,7x3,1</v>
      </c>
      <c r="E84" t="str">
        <v>SGJ, SHC</v>
      </c>
      <c r="F84" t="str">
        <v>German</v>
      </c>
      <c r="H84">
        <v>6</v>
      </c>
      <c r="I84">
        <v>67.5</v>
      </c>
      <c r="J84">
        <v>120</v>
      </c>
      <c r="K84">
        <v>58</v>
      </c>
      <c r="L84">
        <v>5.1</v>
      </c>
      <c r="M84">
        <v>7.7</v>
      </c>
      <c r="N84">
        <v>3.1</v>
      </c>
      <c r="O84">
        <f>I84/H84</f>
        <v>11.25</v>
      </c>
      <c r="P84">
        <f>((J84-2*M84)+(2*K84-L84))*2/1000</f>
        <v>0.431</v>
      </c>
    </row>
    <row r="85">
      <c r="C85" t="str">
        <v>INP 140x66x5,7x8,6x3,4</v>
      </c>
      <c r="E85" t="str">
        <v>SGJ, SHC</v>
      </c>
      <c r="F85" t="str">
        <v>German</v>
      </c>
      <c r="H85">
        <v>6</v>
      </c>
      <c r="I85">
        <v>87.5</v>
      </c>
      <c r="J85">
        <v>140</v>
      </c>
      <c r="K85">
        <v>66</v>
      </c>
      <c r="L85">
        <v>5.7</v>
      </c>
      <c r="M85">
        <v>8.6</v>
      </c>
      <c r="N85">
        <v>3.4</v>
      </c>
      <c r="O85">
        <f>I85/H85</f>
        <v>14.583333333333334</v>
      </c>
      <c r="P85">
        <f>((J85-2*M85)+(2*K85-L85))*2/1000</f>
        <v>0.4982</v>
      </c>
    </row>
    <row r="86">
      <c r="C86" t="str">
        <v>INP 160x74x6,5x9,5x3,8</v>
      </c>
      <c r="E86" t="str">
        <v>SGJ, SHC</v>
      </c>
      <c r="F86" t="str">
        <v>German</v>
      </c>
      <c r="H86">
        <v>6</v>
      </c>
      <c r="I86">
        <v>108.5</v>
      </c>
      <c r="J86">
        <v>160</v>
      </c>
      <c r="K86">
        <v>74</v>
      </c>
      <c r="L86">
        <v>6.5</v>
      </c>
      <c r="M86">
        <v>9.5</v>
      </c>
      <c r="N86">
        <v>3.8</v>
      </c>
      <c r="O86">
        <f>I86/H86</f>
        <v>18.083333333333332</v>
      </c>
      <c r="P86">
        <f>((J86-2*M86)+(2*K86-L86))*2/1000</f>
        <v>0.565</v>
      </c>
    </row>
    <row r="87">
      <c r="C87" t="str">
        <v>INP 180x82x6,9x10,4x4,1</v>
      </c>
      <c r="E87" t="str">
        <v>SGJ, SHC</v>
      </c>
      <c r="F87" t="str">
        <v>German</v>
      </c>
      <c r="H87">
        <v>12</v>
      </c>
      <c r="I87">
        <v>270</v>
      </c>
      <c r="J87">
        <v>180</v>
      </c>
      <c r="K87">
        <v>82</v>
      </c>
      <c r="L87">
        <v>6.9</v>
      </c>
      <c r="M87">
        <v>10.4</v>
      </c>
      <c r="N87">
        <v>4.1</v>
      </c>
      <c r="O87">
        <f>I87/H87</f>
        <v>22.5</v>
      </c>
      <c r="P87">
        <f>((J87-2*M87)+(2*K87-L87))*2/1000</f>
        <v>0.6325999999999999</v>
      </c>
    </row>
    <row r="88">
      <c r="C88" t="str">
        <v>INP 200x90x7,5x11,3x4,5</v>
      </c>
      <c r="E88" t="str">
        <v>SGJ, SHC</v>
      </c>
      <c r="F88" t="str">
        <v>German</v>
      </c>
      <c r="H88">
        <v>12</v>
      </c>
      <c r="I88">
        <v>316</v>
      </c>
      <c r="J88">
        <v>200</v>
      </c>
      <c r="K88">
        <v>90</v>
      </c>
      <c r="L88">
        <v>7.5</v>
      </c>
      <c r="M88">
        <v>11.3</v>
      </c>
      <c r="N88">
        <v>4.5</v>
      </c>
      <c r="O88">
        <f>I88/H88</f>
        <v>26.333333333333332</v>
      </c>
      <c r="P88">
        <f>((J88-2*M88)+(2*K88-L88))*2/1000</f>
        <v>0.6998</v>
      </c>
    </row>
    <row r="89">
      <c r="C89" t="str">
        <v>INP 220x98x8,1x12,2x4,9</v>
      </c>
      <c r="E89" t="str">
        <v>SGJ, SHC</v>
      </c>
      <c r="F89" t="str">
        <v>German</v>
      </c>
      <c r="H89">
        <v>12</v>
      </c>
      <c r="I89">
        <v>375</v>
      </c>
      <c r="J89">
        <v>220</v>
      </c>
      <c r="K89">
        <v>98</v>
      </c>
      <c r="L89">
        <v>8.1</v>
      </c>
      <c r="M89">
        <v>12.2</v>
      </c>
      <c r="N89">
        <v>4.9</v>
      </c>
      <c r="O89">
        <f>I89/H89</f>
        <v>31.25</v>
      </c>
      <c r="P89">
        <f>((J89-2*M89)+(2*K89-L89))*2/1000</f>
        <v>0.767</v>
      </c>
    </row>
    <row r="90">
      <c r="C90" t="str">
        <v>INP 240x106x8,7x13,1x5,2</v>
      </c>
      <c r="E90" t="str">
        <v>SGJ, SHC</v>
      </c>
      <c r="F90" t="str">
        <v>German</v>
      </c>
      <c r="H90">
        <v>12</v>
      </c>
      <c r="I90">
        <v>436</v>
      </c>
      <c r="J90">
        <v>240</v>
      </c>
      <c r="K90">
        <v>106</v>
      </c>
      <c r="L90">
        <v>8.7</v>
      </c>
      <c r="M90">
        <v>13.1</v>
      </c>
      <c r="N90">
        <v>5.2</v>
      </c>
      <c r="O90">
        <f>I90/H90</f>
        <v>36.333333333333336</v>
      </c>
      <c r="P90">
        <f>((J90-2*M90)+(2*K90-L90))*2/1000</f>
        <v>0.8342</v>
      </c>
    </row>
    <row r="91">
      <c r="C91" t="str">
        <v>INP 250x125x7,5x12,5</v>
      </c>
      <c r="E91" t="str">
        <v>SGJ</v>
      </c>
      <c r="F91" t="str">
        <v>German</v>
      </c>
      <c r="H91">
        <v>12</v>
      </c>
      <c r="J91">
        <f>136+152</f>
        <v>288</v>
      </c>
      <c r="K91">
        <v>150</v>
      </c>
      <c r="L91">
        <v>7.5</v>
      </c>
      <c r="M91">
        <v>12.5</v>
      </c>
      <c r="O91">
        <f>I91/H91</f>
        <v>0</v>
      </c>
      <c r="P91">
        <f>H91*K91*O91*J91/1000000</f>
        <v>0</v>
      </c>
    </row>
    <row r="92">
      <c r="C92" t="str">
        <v>INP 260x113x9,4x14,1x5,6</v>
      </c>
      <c r="E92" t="str">
        <v>SGJ, SHC</v>
      </c>
      <c r="F92" t="str">
        <v>German</v>
      </c>
      <c r="H92">
        <v>12</v>
      </c>
      <c r="I92">
        <v>505</v>
      </c>
      <c r="J92">
        <v>260</v>
      </c>
      <c r="K92">
        <v>113</v>
      </c>
      <c r="L92">
        <v>9.4</v>
      </c>
      <c r="M92">
        <v>14.1</v>
      </c>
      <c r="N92">
        <v>5.6</v>
      </c>
      <c r="O92">
        <f>I92/H92</f>
        <v>42.083333333333336</v>
      </c>
      <c r="P92">
        <f>((J92-2*M92)+(2*K92-L92))*2/1000</f>
        <v>0.8967999999999999</v>
      </c>
    </row>
    <row r="93">
      <c r="C93" t="str">
        <v>INP 280x119x10,1x15,2x6,1</v>
      </c>
      <c r="E93" t="str">
        <v>SGJ, SHC</v>
      </c>
      <c r="F93" t="str">
        <v>German</v>
      </c>
      <c r="H93">
        <v>12</v>
      </c>
      <c r="I93">
        <v>580</v>
      </c>
      <c r="J93">
        <v>280</v>
      </c>
      <c r="K93">
        <v>119</v>
      </c>
      <c r="L93">
        <v>10.1</v>
      </c>
      <c r="M93">
        <v>15.2</v>
      </c>
      <c r="N93">
        <v>6.1</v>
      </c>
      <c r="O93">
        <f>I93/H93</f>
        <v>48.333333333333336</v>
      </c>
      <c r="P93">
        <f>((J93-2*M93)+(2*K93-L93))*2/1000</f>
        <v>0.955</v>
      </c>
    </row>
    <row r="94">
      <c r="C94" t="str">
        <v>INP 300x125x10,8x16,2x5</v>
      </c>
      <c r="E94" t="str">
        <v>SGJ, SHC</v>
      </c>
      <c r="F94" t="str">
        <v>German</v>
      </c>
      <c r="H94">
        <v>12</v>
      </c>
      <c r="I94">
        <v>661</v>
      </c>
      <c r="J94">
        <v>300</v>
      </c>
      <c r="K94">
        <v>125</v>
      </c>
      <c r="L94">
        <v>10.8</v>
      </c>
      <c r="M94">
        <v>16.2</v>
      </c>
      <c r="N94">
        <v>5</v>
      </c>
      <c r="O94">
        <f>I94/H94</f>
        <v>55.083333333333336</v>
      </c>
      <c r="P94">
        <f>((J94-2*M94)+(2*K94-L94))*2/1000</f>
        <v>1.0136</v>
      </c>
    </row>
    <row r="95">
      <c r="C95" t="str">
        <v>INP 320x131x11,5x17,3x6,9</v>
      </c>
      <c r="E95" t="str">
        <v>SGJ, SHC</v>
      </c>
      <c r="F95" t="str">
        <v>German</v>
      </c>
      <c r="H95">
        <v>12</v>
      </c>
      <c r="I95">
        <v>750</v>
      </c>
      <c r="J95">
        <v>320</v>
      </c>
      <c r="K95">
        <v>131</v>
      </c>
      <c r="L95">
        <v>11.5</v>
      </c>
      <c r="M95">
        <v>17.3</v>
      </c>
      <c r="N95">
        <v>6.9</v>
      </c>
      <c r="O95">
        <f>I95/H95</f>
        <v>62.5</v>
      </c>
      <c r="P95">
        <f>((J95-2*M95)+(2*K95-L95))*2/1000</f>
        <v>1.0717999999999999</v>
      </c>
    </row>
    <row r="96">
      <c r="C96" t="str">
        <v>INP 340x137x12,2x18,3x7,3</v>
      </c>
      <c r="E96" t="str">
        <v>SGJ, SHC</v>
      </c>
      <c r="F96" t="str">
        <v>German</v>
      </c>
      <c r="H96">
        <v>12</v>
      </c>
      <c r="J96">
        <f>136+136+136+116+541+534+136+136+136+171</f>
        <v>2178</v>
      </c>
      <c r="K96">
        <v>150</v>
      </c>
      <c r="L96">
        <v>12.2</v>
      </c>
      <c r="M96">
        <v>18.3</v>
      </c>
      <c r="N96">
        <v>7.3</v>
      </c>
      <c r="O96">
        <f>I96/H96</f>
        <v>0</v>
      </c>
      <c r="P96">
        <f>H96*K96*O96*J96/1000000</f>
        <v>0</v>
      </c>
    </row>
    <row r="97">
      <c r="C97" t="str">
        <v>INP 360x143x13x19,5x7,8</v>
      </c>
      <c r="E97" t="str">
        <v>SGJ, SHC</v>
      </c>
      <c r="F97" t="str">
        <v>German</v>
      </c>
      <c r="H97">
        <v>12</v>
      </c>
      <c r="J97">
        <v>200</v>
      </c>
      <c r="K97">
        <v>150</v>
      </c>
      <c r="L97">
        <v>13</v>
      </c>
      <c r="M97">
        <v>19.5</v>
      </c>
      <c r="N97">
        <v>7.8</v>
      </c>
      <c r="O97">
        <f>I97/H97</f>
        <v>0</v>
      </c>
      <c r="P97">
        <f>H97*K97*O97*J97/1000000</f>
        <v>0</v>
      </c>
    </row>
    <row r="98">
      <c r="C98" t="str">
        <v>INP 380x149x13,7x20,5x7,8</v>
      </c>
      <c r="E98" t="str">
        <v>SGJ, SHC</v>
      </c>
      <c r="F98" t="str">
        <v>German</v>
      </c>
      <c r="H98">
        <v>12</v>
      </c>
      <c r="I98">
        <v>1026</v>
      </c>
      <c r="J98">
        <v>380</v>
      </c>
      <c r="K98">
        <v>149</v>
      </c>
      <c r="L98">
        <v>13.7</v>
      </c>
      <c r="M98">
        <v>20.5</v>
      </c>
      <c r="N98">
        <v>7.8</v>
      </c>
      <c r="O98">
        <f>I98/H98</f>
        <v>85.5</v>
      </c>
      <c r="P98">
        <f>((J98-2*M98)+(2*K98-L98))*2/1000</f>
        <v>1.2466</v>
      </c>
    </row>
    <row r="99">
      <c r="C99" t="str">
        <v>INP 400x155x14,4x21,6x8,6</v>
      </c>
      <c r="E99" t="str">
        <v>SGJ, SHC</v>
      </c>
      <c r="F99" t="str">
        <v>German</v>
      </c>
      <c r="H99">
        <v>12</v>
      </c>
      <c r="J99">
        <f>136+136</f>
        <v>272</v>
      </c>
      <c r="K99">
        <v>150</v>
      </c>
      <c r="L99">
        <v>14.4</v>
      </c>
      <c r="M99">
        <v>21.6</v>
      </c>
      <c r="N99">
        <v>8.6</v>
      </c>
      <c r="O99">
        <f>I99/H99</f>
        <v>0</v>
      </c>
      <c r="P99">
        <f>H99*K99*O99*J99/1000000</f>
        <v>0</v>
      </c>
    </row>
    <row r="100">
      <c r="C100" t="str">
        <v>INP 425x163x15,3x23x9,2</v>
      </c>
      <c r="E100" t="str">
        <v>SHC</v>
      </c>
      <c r="F100" t="str">
        <v>German</v>
      </c>
      <c r="H100">
        <v>12</v>
      </c>
      <c r="J100">
        <f>264+300</f>
        <v>564</v>
      </c>
      <c r="K100">
        <v>150</v>
      </c>
      <c r="L100">
        <v>15.3</v>
      </c>
      <c r="M100">
        <v>23</v>
      </c>
      <c r="N100">
        <v>9.2</v>
      </c>
      <c r="O100">
        <f>I100/H100</f>
        <v>0</v>
      </c>
      <c r="P100">
        <f>H100*K100*O100*J100/1000000</f>
        <v>0</v>
      </c>
    </row>
    <row r="101">
      <c r="C101" t="str">
        <v>INP 450x170x16,2x21,3x9,7</v>
      </c>
      <c r="E101" t="str">
        <v>SGJ, SHC</v>
      </c>
      <c r="F101" t="str">
        <v>German</v>
      </c>
      <c r="H101">
        <v>12</v>
      </c>
      <c r="I101">
        <v>1400</v>
      </c>
      <c r="J101">
        <v>450</v>
      </c>
      <c r="K101">
        <v>170</v>
      </c>
      <c r="L101">
        <v>16.2</v>
      </c>
      <c r="M101">
        <v>21.3</v>
      </c>
      <c r="N101">
        <v>9.7</v>
      </c>
      <c r="O101">
        <f>I101/H101</f>
        <v>116.66666666666667</v>
      </c>
      <c r="P101">
        <f>((J101-2*M101)+(2*K101-L101))*2/1000</f>
        <v>1.4624000000000001</v>
      </c>
    </row>
    <row r="102">
      <c r="C102" t="str">
        <v>INP 475x178x17,1x25,6x10,3</v>
      </c>
      <c r="E102" t="str">
        <v>SHC</v>
      </c>
      <c r="F102" t="str">
        <v>German</v>
      </c>
      <c r="H102">
        <v>12</v>
      </c>
      <c r="I102">
        <v>1536</v>
      </c>
      <c r="J102">
        <v>475</v>
      </c>
      <c r="K102">
        <v>178</v>
      </c>
      <c r="L102">
        <v>17.1</v>
      </c>
      <c r="M102">
        <v>25.6</v>
      </c>
      <c r="N102">
        <v>10.3</v>
      </c>
      <c r="O102">
        <f>I102/H102</f>
        <v>128</v>
      </c>
      <c r="P102">
        <f>((J102-2*M102)+(2*K102-L102))*2/1000</f>
        <v>1.5254</v>
      </c>
    </row>
    <row r="103">
      <c r="C103" t="str">
        <v>INP 500x185x18x27x10,8</v>
      </c>
      <c r="E103" t="str">
        <v>SGJ</v>
      </c>
      <c r="F103" t="str">
        <v>German</v>
      </c>
      <c r="H103">
        <v>12</v>
      </c>
      <c r="I103">
        <v>1707</v>
      </c>
      <c r="J103">
        <v>500</v>
      </c>
      <c r="K103">
        <v>185</v>
      </c>
      <c r="L103">
        <v>18</v>
      </c>
      <c r="M103">
        <v>27</v>
      </c>
      <c r="N103">
        <v>10.8</v>
      </c>
      <c r="O103">
        <f>I103/H103</f>
        <v>142.25</v>
      </c>
      <c r="P103">
        <f>((J103-2*M103)+(2*K103-L103))*2/1000</f>
        <v>1.596</v>
      </c>
    </row>
    <row r="104">
      <c r="C104" t="str">
        <v>INP 550x200x19x30x11,9</v>
      </c>
      <c r="E104" t="str">
        <v>SHC</v>
      </c>
      <c r="F104" t="str">
        <v>German</v>
      </c>
      <c r="H104">
        <v>12</v>
      </c>
      <c r="I104">
        <v>1992</v>
      </c>
      <c r="J104">
        <v>550</v>
      </c>
      <c r="K104">
        <v>200</v>
      </c>
      <c r="L104">
        <v>19</v>
      </c>
      <c r="M104">
        <v>30</v>
      </c>
      <c r="N104">
        <v>11.9</v>
      </c>
      <c r="O104">
        <f>I104/H104</f>
        <v>166</v>
      </c>
      <c r="P104">
        <f>((J104-2*M104)+(2*K104-L104))*2/1000</f>
        <v>1.742</v>
      </c>
    </row>
    <row r="105">
      <c r="C105" t="str">
        <v>INP 600x215x21,6x32,4x13</v>
      </c>
      <c r="E105" t="str">
        <v>SHC</v>
      </c>
      <c r="F105" t="str">
        <v>German</v>
      </c>
      <c r="H105">
        <v>12</v>
      </c>
      <c r="I105">
        <v>2388</v>
      </c>
      <c r="J105">
        <v>600</v>
      </c>
      <c r="K105">
        <v>215</v>
      </c>
      <c r="L105">
        <v>21.6</v>
      </c>
      <c r="M105">
        <v>32.4</v>
      </c>
      <c r="N105">
        <v>13</v>
      </c>
      <c r="O105">
        <f>I105/H105</f>
        <v>199</v>
      </c>
      <c r="P105">
        <f>((J105-2*M105)+(2*K105-L105))*2/1000</f>
        <v>1.8872</v>
      </c>
    </row>
    <row r="106">
      <c r="B106" t="str">
        <v>Equal Angle (L)</v>
      </c>
      <c r="C106" t="str">
        <v>L 20x20x3</v>
      </c>
      <c r="E106" t="str">
        <v>SGJ, SHC</v>
      </c>
      <c r="H106">
        <v>6</v>
      </c>
      <c r="I106">
        <v>5.31</v>
      </c>
      <c r="J106">
        <v>20</v>
      </c>
      <c r="K106">
        <v>20</v>
      </c>
      <c r="L106">
        <v>3</v>
      </c>
      <c r="O106">
        <f>I106/H106</f>
        <v>0.8849999999999999</v>
      </c>
      <c r="P106">
        <f>J106*4/1000</f>
        <v>0.08</v>
      </c>
    </row>
    <row r="107">
      <c r="C107" t="str">
        <v>L 25x25x3</v>
      </c>
      <c r="D107" t="str">
        <v>GG</v>
      </c>
      <c r="E107" t="str">
        <v>SGJ, SHC</v>
      </c>
      <c r="H107">
        <v>6</v>
      </c>
      <c r="I107">
        <f>O107*H107</f>
        <v>6.720000000000001</v>
      </c>
      <c r="J107">
        <v>25</v>
      </c>
      <c r="K107">
        <v>25</v>
      </c>
      <c r="L107">
        <v>3</v>
      </c>
      <c r="O107">
        <v>1.12</v>
      </c>
      <c r="P107">
        <f>J107*4/1000</f>
        <v>0.1</v>
      </c>
    </row>
    <row r="108">
      <c r="C108" t="str">
        <v>L 25x25x5</v>
      </c>
      <c r="E108" t="str">
        <v>SGJ, SHC</v>
      </c>
      <c r="H108">
        <v>6</v>
      </c>
      <c r="I108">
        <v>10.6</v>
      </c>
      <c r="J108">
        <v>25</v>
      </c>
      <c r="K108">
        <v>25</v>
      </c>
      <c r="L108">
        <v>5</v>
      </c>
      <c r="O108">
        <f>I108/H108</f>
        <v>1.7666666666666666</v>
      </c>
      <c r="P108">
        <f>J108*4/1000</f>
        <v>0.1</v>
      </c>
    </row>
    <row r="109">
      <c r="C109" t="str">
        <v>L 30x30x3</v>
      </c>
      <c r="D109" t="str">
        <v>GG</v>
      </c>
      <c r="E109" t="str">
        <v>SGJ, SHC</v>
      </c>
      <c r="H109">
        <v>6</v>
      </c>
      <c r="J109">
        <f>100*5+264+114*2+112*2+170</f>
        <v>1386</v>
      </c>
      <c r="K109">
        <v>300</v>
      </c>
      <c r="L109">
        <v>3</v>
      </c>
      <c r="O109">
        <v>1.36</v>
      </c>
      <c r="P109">
        <f>H109*K109*O109*J109/1000000</f>
        <v>3.392928</v>
      </c>
    </row>
    <row r="110">
      <c r="C110" t="str">
        <v>L 40x40x3</v>
      </c>
      <c r="E110" t="str">
        <v>SGJ, SHC</v>
      </c>
      <c r="H110">
        <v>6</v>
      </c>
      <c r="I110">
        <v>11</v>
      </c>
      <c r="J110">
        <v>40</v>
      </c>
      <c r="K110">
        <v>40</v>
      </c>
      <c r="L110">
        <v>3</v>
      </c>
      <c r="O110">
        <f>I110/H110</f>
        <v>1.8333333333333333</v>
      </c>
      <c r="P110">
        <f>J110*4/1000</f>
        <v>0.16</v>
      </c>
    </row>
    <row r="111">
      <c r="C111" t="str">
        <v>L 40x40x4 m</v>
      </c>
      <c r="E111" t="str">
        <v>SGJ, SHC</v>
      </c>
      <c r="H111">
        <v>6</v>
      </c>
      <c r="I111">
        <v>14.5</v>
      </c>
      <c r="J111">
        <v>40</v>
      </c>
      <c r="K111">
        <v>40</v>
      </c>
      <c r="L111">
        <v>4</v>
      </c>
      <c r="O111">
        <f>I111/H111</f>
        <v>2.4166666666666665</v>
      </c>
      <c r="P111">
        <f>J111*4/1000</f>
        <v>0.16</v>
      </c>
    </row>
    <row r="112">
      <c r="C112" t="str">
        <v>L 40x40x4</v>
      </c>
      <c r="D112" t="str">
        <v>KS</v>
      </c>
      <c r="E112" t="str">
        <v>SHC</v>
      </c>
      <c r="H112">
        <v>6</v>
      </c>
      <c r="I112">
        <v>16.44</v>
      </c>
      <c r="J112">
        <v>40</v>
      </c>
      <c r="K112">
        <v>40</v>
      </c>
      <c r="L112">
        <v>4</v>
      </c>
      <c r="O112">
        <f>I112/H112</f>
        <v>2.74</v>
      </c>
      <c r="P112">
        <f>J112*4/1000</f>
        <v>0.16</v>
      </c>
    </row>
    <row r="113">
      <c r="C113" t="str">
        <v>L 40x40x5</v>
      </c>
      <c r="E113" t="str">
        <v>SGJ, SHC</v>
      </c>
      <c r="H113">
        <v>6</v>
      </c>
      <c r="I113">
        <v>18</v>
      </c>
      <c r="J113">
        <v>40</v>
      </c>
      <c r="K113">
        <v>40</v>
      </c>
      <c r="L113">
        <v>5</v>
      </c>
      <c r="O113">
        <f>I113/H113</f>
        <v>3</v>
      </c>
      <c r="P113">
        <f>J113*4/1000</f>
        <v>0.16</v>
      </c>
    </row>
    <row r="114">
      <c r="C114" t="str">
        <v>L 45x45x4</v>
      </c>
      <c r="D114" t="str">
        <v>GG</v>
      </c>
      <c r="E114" t="str">
        <v>SGJ, SHC</v>
      </c>
      <c r="H114">
        <v>6</v>
      </c>
      <c r="I114">
        <f>O114*H114</f>
        <v>16.44</v>
      </c>
      <c r="J114">
        <v>45</v>
      </c>
      <c r="K114">
        <v>45</v>
      </c>
      <c r="L114">
        <v>4</v>
      </c>
      <c r="O114">
        <v>2.74</v>
      </c>
      <c r="P114">
        <f>J114*4/1000</f>
        <v>0.18</v>
      </c>
    </row>
    <row r="115">
      <c r="C115" t="str">
        <v>L 45x45x5</v>
      </c>
      <c r="E115" t="str">
        <v>SGJ, SHC</v>
      </c>
      <c r="H115">
        <v>6</v>
      </c>
      <c r="I115">
        <v>20.5</v>
      </c>
      <c r="J115">
        <v>45</v>
      </c>
      <c r="K115">
        <v>45</v>
      </c>
      <c r="L115">
        <v>5</v>
      </c>
      <c r="O115">
        <f>I115/H115</f>
        <v>3.4166666666666665</v>
      </c>
      <c r="P115">
        <f>J115*4/1000</f>
        <v>0.18</v>
      </c>
    </row>
    <row r="116">
      <c r="C116" t="str">
        <v>L 50x50x4</v>
      </c>
      <c r="E116" t="str">
        <v>SGJ, SHC</v>
      </c>
      <c r="H116">
        <v>6</v>
      </c>
      <c r="I116">
        <v>18.4</v>
      </c>
      <c r="J116">
        <v>50</v>
      </c>
      <c r="K116">
        <v>50</v>
      </c>
      <c r="L116">
        <v>4</v>
      </c>
      <c r="O116">
        <f>I116/H116</f>
        <v>3.0666666666666664</v>
      </c>
      <c r="P116">
        <f>J116*4/1000</f>
        <v>0.2</v>
      </c>
    </row>
    <row r="117">
      <c r="C117" t="str">
        <v>L 50x50x5 m</v>
      </c>
      <c r="D117" t="str">
        <v>GG</v>
      </c>
      <c r="E117" t="str">
        <v>SHC</v>
      </c>
      <c r="H117">
        <v>6</v>
      </c>
      <c r="I117">
        <f>O117*H117</f>
        <v>22.62</v>
      </c>
      <c r="J117">
        <v>50</v>
      </c>
      <c r="K117">
        <v>50</v>
      </c>
      <c r="L117">
        <v>5</v>
      </c>
      <c r="O117">
        <v>3.77</v>
      </c>
      <c r="P117">
        <f>J117*4/1000</f>
        <v>0.2</v>
      </c>
    </row>
    <row r="118">
      <c r="C118" t="str">
        <v>L 50x50x5</v>
      </c>
      <c r="D118" t="str">
        <v>KS</v>
      </c>
      <c r="E118" t="str">
        <v>SHC</v>
      </c>
      <c r="H118">
        <v>6</v>
      </c>
      <c r="I118">
        <v>25.08</v>
      </c>
      <c r="J118">
        <v>50</v>
      </c>
      <c r="K118">
        <v>50</v>
      </c>
      <c r="L118">
        <v>5</v>
      </c>
      <c r="O118">
        <f>I118/H118</f>
        <v>4.18</v>
      </c>
      <c r="P118">
        <f>J118*4/1000</f>
        <v>0.2</v>
      </c>
    </row>
    <row r="119">
      <c r="C119" t="str">
        <v>L 50x50x6</v>
      </c>
      <c r="D119" t="str">
        <v>GG</v>
      </c>
      <c r="E119" t="str">
        <v>SGJ, SHC</v>
      </c>
      <c r="H119">
        <v>6</v>
      </c>
      <c r="I119">
        <v>27.58</v>
      </c>
      <c r="J119">
        <v>50</v>
      </c>
      <c r="K119">
        <v>50</v>
      </c>
      <c r="L119">
        <v>6</v>
      </c>
      <c r="O119">
        <f>I119/H119</f>
        <v>4.596666666666667</v>
      </c>
      <c r="P119">
        <f>J119*4/1000</f>
        <v>0.2</v>
      </c>
    </row>
    <row r="120">
      <c r="C120" t="str">
        <v>L 60x60x4</v>
      </c>
      <c r="D120" t="str">
        <v>GG</v>
      </c>
      <c r="H120">
        <v>6</v>
      </c>
      <c r="I120">
        <f>O120*H120</f>
        <v>22.080000000000002</v>
      </c>
      <c r="J120">
        <v>60</v>
      </c>
      <c r="K120">
        <v>60</v>
      </c>
      <c r="L120">
        <v>4</v>
      </c>
      <c r="O120">
        <v>3.68</v>
      </c>
      <c r="P120">
        <f>J120*4/1000</f>
        <v>0.24</v>
      </c>
    </row>
    <row r="121">
      <c r="C121" t="str">
        <v>L 60x60x5 m</v>
      </c>
      <c r="D121" t="str">
        <v>GG</v>
      </c>
      <c r="E121" t="str">
        <v>SGJ, SHC</v>
      </c>
      <c r="H121">
        <v>6</v>
      </c>
      <c r="I121">
        <f>O121*H121</f>
        <v>27.299999999999997</v>
      </c>
      <c r="J121">
        <v>60</v>
      </c>
      <c r="K121">
        <v>60</v>
      </c>
      <c r="L121">
        <v>5</v>
      </c>
      <c r="O121">
        <v>4.55</v>
      </c>
      <c r="P121">
        <f>J121*4/1000</f>
        <v>0.24</v>
      </c>
    </row>
    <row r="122">
      <c r="C122" t="str">
        <v>L 60x60x5</v>
      </c>
      <c r="D122" t="str">
        <v>KS</v>
      </c>
      <c r="E122" t="str">
        <v>SHC</v>
      </c>
      <c r="H122">
        <v>6</v>
      </c>
      <c r="I122">
        <v>27.42</v>
      </c>
      <c r="J122">
        <v>60</v>
      </c>
      <c r="K122">
        <v>60</v>
      </c>
      <c r="L122">
        <v>6</v>
      </c>
      <c r="O122">
        <f>I122/H122</f>
        <v>4.57</v>
      </c>
      <c r="P122">
        <f>J122*4/1000</f>
        <v>0.24</v>
      </c>
    </row>
    <row r="123">
      <c r="C123" t="str">
        <v>L 60x60x6 m</v>
      </c>
      <c r="D123" t="str">
        <v>GG</v>
      </c>
      <c r="E123" t="str">
        <v>SGJ, SHC</v>
      </c>
      <c r="H123">
        <v>6</v>
      </c>
      <c r="J123">
        <f>136+152</f>
        <v>288</v>
      </c>
      <c r="K123">
        <v>150</v>
      </c>
      <c r="L123">
        <v>6</v>
      </c>
      <c r="O123">
        <f>I123/H123</f>
        <v>0</v>
      </c>
      <c r="P123">
        <f>H123*K123*O123*J123/1000000</f>
        <v>0</v>
      </c>
    </row>
    <row r="124">
      <c r="C124" t="str">
        <v>L 60x60x6</v>
      </c>
      <c r="D124" t="str">
        <v>KS</v>
      </c>
      <c r="E124" t="str">
        <v>SHC</v>
      </c>
      <c r="H124">
        <v>6</v>
      </c>
      <c r="I124">
        <v>32.52</v>
      </c>
      <c r="J124">
        <v>60</v>
      </c>
      <c r="K124">
        <v>60</v>
      </c>
      <c r="L124">
        <v>6</v>
      </c>
      <c r="O124">
        <f>I124/H124</f>
        <v>5.420000000000001</v>
      </c>
      <c r="P124">
        <f>J124*4/1000</f>
        <v>0.24</v>
      </c>
    </row>
    <row r="125">
      <c r="C125" t="str">
        <v>L 60x60x8</v>
      </c>
      <c r="D125" t="str">
        <v>KS</v>
      </c>
      <c r="E125" t="str">
        <v>SHC</v>
      </c>
      <c r="H125">
        <v>6</v>
      </c>
      <c r="I125">
        <v>42.54</v>
      </c>
      <c r="J125">
        <v>60</v>
      </c>
      <c r="K125">
        <v>60</v>
      </c>
      <c r="L125">
        <v>8</v>
      </c>
      <c r="O125">
        <f>I125/H125</f>
        <v>7.09</v>
      </c>
      <c r="P125">
        <f>J125*4/1000</f>
        <v>0.24</v>
      </c>
    </row>
    <row r="126">
      <c r="C126" t="str">
        <v>L 60x60x10</v>
      </c>
      <c r="D126" t="str">
        <v>KS</v>
      </c>
      <c r="E126" t="str">
        <v>SHC</v>
      </c>
      <c r="H126">
        <v>6</v>
      </c>
      <c r="I126">
        <v>52.14</v>
      </c>
      <c r="J126">
        <v>60</v>
      </c>
      <c r="K126">
        <v>60</v>
      </c>
      <c r="L126">
        <v>10</v>
      </c>
      <c r="O126">
        <f>I126/H126</f>
        <v>8.69</v>
      </c>
      <c r="P126">
        <f>J126*4/1000</f>
        <v>0.24</v>
      </c>
    </row>
    <row r="127">
      <c r="C127" t="str">
        <v>L 65x65x5</v>
      </c>
      <c r="D127" t="str">
        <v>GG</v>
      </c>
      <c r="H127">
        <v>6</v>
      </c>
      <c r="J127">
        <f>136+136+136+116+541+534+136+136+136+171</f>
        <v>2178</v>
      </c>
      <c r="K127">
        <v>150</v>
      </c>
      <c r="L127">
        <v>5</v>
      </c>
      <c r="O127">
        <v>5</v>
      </c>
      <c r="P127">
        <f>H127*K127*O127*J127/1000000</f>
        <v>9.801</v>
      </c>
    </row>
    <row r="128">
      <c r="C128" t="str">
        <v>L 65x65x5,5</v>
      </c>
      <c r="D128" t="str">
        <v>KS</v>
      </c>
      <c r="E128" t="str">
        <v>SHC</v>
      </c>
      <c r="H128">
        <v>6</v>
      </c>
      <c r="J128">
        <v>200</v>
      </c>
      <c r="K128">
        <v>150</v>
      </c>
      <c r="L128">
        <v>5.5</v>
      </c>
      <c r="O128">
        <f>I128/H128</f>
        <v>0</v>
      </c>
      <c r="P128">
        <f>H128*K128*O128*J128/1000000</f>
        <v>0</v>
      </c>
    </row>
    <row r="129">
      <c r="C129" t="str">
        <v>L 65x65x6</v>
      </c>
      <c r="D129" t="str">
        <v>GG, KS</v>
      </c>
      <c r="E129" t="str">
        <v>SGJ, SHC</v>
      </c>
      <c r="H129">
        <v>6</v>
      </c>
      <c r="I129">
        <v>35.5</v>
      </c>
      <c r="J129">
        <v>65</v>
      </c>
      <c r="K129">
        <v>65</v>
      </c>
      <c r="L129">
        <v>6</v>
      </c>
      <c r="O129">
        <f>I129/H129</f>
        <v>5.916666666666667</v>
      </c>
      <c r="P129">
        <f>J129*4/1000</f>
        <v>0.26</v>
      </c>
    </row>
    <row r="130">
      <c r="C130" t="str">
        <v>L 65x65x7</v>
      </c>
      <c r="D130" t="str">
        <v>KS</v>
      </c>
      <c r="E130" t="str">
        <v>SHC</v>
      </c>
      <c r="H130">
        <v>6</v>
      </c>
      <c r="J130">
        <f>136</f>
        <v>136</v>
      </c>
      <c r="K130">
        <v>150</v>
      </c>
      <c r="L130">
        <v>7</v>
      </c>
      <c r="O130">
        <f>I130/H130</f>
        <v>0</v>
      </c>
      <c r="P130">
        <f>H130*K130*O130*J130/1000000</f>
        <v>0</v>
      </c>
    </row>
    <row r="131">
      <c r="C131" t="str">
        <v>L 65x65x8 m</v>
      </c>
      <c r="D131" t="str">
        <v>GG</v>
      </c>
      <c r="H131">
        <v>6</v>
      </c>
      <c r="J131">
        <f>264+300</f>
        <v>564</v>
      </c>
      <c r="K131">
        <v>150</v>
      </c>
      <c r="L131">
        <v>8</v>
      </c>
      <c r="O131">
        <v>7.66</v>
      </c>
      <c r="P131">
        <f>H131*K131*O131*J131/1000000</f>
        <v>3.888216</v>
      </c>
    </row>
    <row r="132">
      <c r="C132" t="str">
        <v>L 65x65x8</v>
      </c>
      <c r="D132" t="str">
        <v>KS</v>
      </c>
      <c r="E132" t="str">
        <v>SHC</v>
      </c>
      <c r="H132">
        <v>6</v>
      </c>
      <c r="J132">
        <f>100*5+264+114*2+112*2+170</f>
        <v>1386</v>
      </c>
      <c r="K132">
        <v>300</v>
      </c>
      <c r="L132">
        <v>8</v>
      </c>
      <c r="O132">
        <f>I132/H132</f>
        <v>0</v>
      </c>
      <c r="P132">
        <f>H132*K132*O132*J132/1000000</f>
        <v>0</v>
      </c>
    </row>
    <row r="133">
      <c r="C133" t="str">
        <v>L 65x65x9</v>
      </c>
      <c r="D133" t="str">
        <v>KS</v>
      </c>
      <c r="E133" t="str">
        <v>SHC</v>
      </c>
      <c r="H133">
        <v>6</v>
      </c>
      <c r="I133">
        <v>51.72</v>
      </c>
      <c r="J133">
        <v>65</v>
      </c>
      <c r="K133">
        <v>65</v>
      </c>
      <c r="L133">
        <v>9</v>
      </c>
      <c r="O133">
        <f>I133/H133</f>
        <v>8.62</v>
      </c>
      <c r="P133">
        <f>J133*4/1000</f>
        <v>0.26</v>
      </c>
    </row>
    <row r="134">
      <c r="C134" t="str">
        <v>L 65x65x11</v>
      </c>
      <c r="D134" t="str">
        <v>KS</v>
      </c>
      <c r="E134" t="str">
        <v>SHC</v>
      </c>
      <c r="H134">
        <v>6</v>
      </c>
      <c r="I134">
        <v>61.8</v>
      </c>
      <c r="J134">
        <v>65</v>
      </c>
      <c r="K134">
        <v>65</v>
      </c>
      <c r="L134">
        <v>10</v>
      </c>
      <c r="O134">
        <f>I134/H134</f>
        <v>10.299999999999999</v>
      </c>
      <c r="P134">
        <f>J134*4/1000</f>
        <v>0.26</v>
      </c>
    </row>
    <row r="135">
      <c r="C135" t="str">
        <v>L 70x70x6</v>
      </c>
      <c r="D135" t="str">
        <v>GG, KS</v>
      </c>
      <c r="E135" t="str">
        <v>SHC</v>
      </c>
      <c r="H135">
        <v>6</v>
      </c>
      <c r="I135">
        <f>O135*H135</f>
        <v>38.28</v>
      </c>
      <c r="J135">
        <v>70</v>
      </c>
      <c r="K135">
        <v>70</v>
      </c>
      <c r="L135">
        <v>6</v>
      </c>
      <c r="O135">
        <v>6.38</v>
      </c>
      <c r="P135">
        <f>J135*4/1000</f>
        <v>0.28</v>
      </c>
    </row>
    <row r="136">
      <c r="C136" t="str">
        <v>L 70x70x6,5</v>
      </c>
      <c r="D136" t="str">
        <v>KS</v>
      </c>
      <c r="E136" t="str">
        <v>SHC</v>
      </c>
      <c r="H136">
        <v>6</v>
      </c>
      <c r="I136">
        <v>38.52</v>
      </c>
      <c r="J136">
        <v>70</v>
      </c>
      <c r="K136">
        <v>70</v>
      </c>
      <c r="L136">
        <v>6.5</v>
      </c>
      <c r="O136">
        <f>I136/H136</f>
        <v>6.420000000000001</v>
      </c>
      <c r="P136">
        <f>J136*4/1000</f>
        <v>0.28</v>
      </c>
    </row>
    <row r="137">
      <c r="C137" t="str">
        <v>L 70x70x7</v>
      </c>
      <c r="D137" t="str">
        <v>KS</v>
      </c>
      <c r="E137" t="str">
        <v>SGJ, SHC</v>
      </c>
      <c r="H137">
        <v>6</v>
      </c>
      <c r="I137">
        <v>44.3</v>
      </c>
      <c r="J137">
        <v>70</v>
      </c>
      <c r="K137">
        <v>70</v>
      </c>
      <c r="L137">
        <v>7</v>
      </c>
      <c r="O137">
        <f>I137/H137</f>
        <v>7.383333333333333</v>
      </c>
      <c r="P137">
        <f>J137*4/1000</f>
        <v>0.28</v>
      </c>
    </row>
    <row r="138">
      <c r="C138" t="str">
        <v>L 70x70x9</v>
      </c>
      <c r="D138" t="str">
        <v>KS</v>
      </c>
      <c r="E138" t="str">
        <v>SHC</v>
      </c>
      <c r="H138">
        <v>6</v>
      </c>
      <c r="I138">
        <v>56.4</v>
      </c>
      <c r="J138">
        <v>70</v>
      </c>
      <c r="K138">
        <v>70</v>
      </c>
      <c r="L138">
        <v>9</v>
      </c>
      <c r="O138">
        <f>I138/H138</f>
        <v>9.4</v>
      </c>
      <c r="P138">
        <f>J138*4/1000</f>
        <v>0.28</v>
      </c>
    </row>
    <row r="139">
      <c r="C139" t="str">
        <v>L 70x70x11</v>
      </c>
      <c r="D139" t="str">
        <v>KS</v>
      </c>
      <c r="E139" t="str">
        <v>SHC</v>
      </c>
      <c r="H139">
        <v>6</v>
      </c>
      <c r="J139">
        <f>136+136+136+116+541+534+136+136+136+171</f>
        <v>2178</v>
      </c>
      <c r="K139">
        <v>150</v>
      </c>
      <c r="L139">
        <v>11</v>
      </c>
      <c r="O139">
        <f>I139/H139</f>
        <v>0</v>
      </c>
      <c r="P139">
        <f>H139*K139*O139*J139/1000000</f>
        <v>0</v>
      </c>
    </row>
    <row r="140">
      <c r="C140" t="str">
        <v>L 70x70x5,5</v>
      </c>
      <c r="D140" t="str">
        <v>KS</v>
      </c>
      <c r="E140" t="str">
        <v>SHC</v>
      </c>
      <c r="H140">
        <v>6</v>
      </c>
      <c r="J140">
        <v>200</v>
      </c>
      <c r="K140">
        <v>150</v>
      </c>
      <c r="L140">
        <v>5.5</v>
      </c>
      <c r="O140">
        <f>I140/H140</f>
        <v>0</v>
      </c>
      <c r="P140">
        <f>H140*K140*O140*J140/1000000</f>
        <v>0</v>
      </c>
    </row>
    <row r="141">
      <c r="C141" t="str">
        <v>L 75x75x6</v>
      </c>
      <c r="D141" t="str">
        <v>KS</v>
      </c>
      <c r="E141" t="str">
        <v>SHC</v>
      </c>
      <c r="H141">
        <v>6</v>
      </c>
      <c r="I141">
        <v>41.22</v>
      </c>
      <c r="J141">
        <v>75</v>
      </c>
      <c r="K141">
        <v>75</v>
      </c>
      <c r="L141">
        <v>6</v>
      </c>
      <c r="O141">
        <f>I141/H141</f>
        <v>6.87</v>
      </c>
      <c r="P141">
        <f>J141*4/1000</f>
        <v>0.3</v>
      </c>
    </row>
    <row r="142">
      <c r="C142" t="str">
        <v>L 75x75x6 m</v>
      </c>
      <c r="D142" t="str">
        <v>GG</v>
      </c>
      <c r="E142" t="str">
        <v>SGJ, SHC</v>
      </c>
      <c r="H142">
        <v>6</v>
      </c>
      <c r="J142">
        <f>136+136</f>
        <v>272</v>
      </c>
      <c r="K142">
        <v>150</v>
      </c>
      <c r="L142">
        <v>6</v>
      </c>
      <c r="O142">
        <v>6.85</v>
      </c>
      <c r="P142">
        <f>H142*K142*O142*J142/1000000</f>
        <v>1.67688</v>
      </c>
    </row>
    <row r="143">
      <c r="C143" t="str">
        <v>L 75x75x7</v>
      </c>
      <c r="D143" t="str">
        <v>KS</v>
      </c>
      <c r="E143" t="str">
        <v>SGJ, SHC</v>
      </c>
      <c r="H143">
        <v>6</v>
      </c>
      <c r="J143">
        <f>264+300</f>
        <v>564</v>
      </c>
      <c r="K143">
        <v>150</v>
      </c>
      <c r="L143">
        <v>7</v>
      </c>
      <c r="O143">
        <f>I143/H143</f>
        <v>0</v>
      </c>
      <c r="P143">
        <f>H143*K143*O143*J143/1000000</f>
        <v>0</v>
      </c>
    </row>
    <row r="144">
      <c r="C144" t="str">
        <v>L 75x75x8</v>
      </c>
      <c r="D144" t="str">
        <v>KS</v>
      </c>
      <c r="E144" t="str">
        <v>SGJ, SHC</v>
      </c>
      <c r="H144">
        <v>6</v>
      </c>
      <c r="I144">
        <v>54.18</v>
      </c>
      <c r="J144">
        <v>75</v>
      </c>
      <c r="K144">
        <v>75</v>
      </c>
      <c r="L144">
        <v>8</v>
      </c>
      <c r="O144">
        <f>I144/H144</f>
        <v>9.03</v>
      </c>
      <c r="P144">
        <f>J144*4/1000</f>
        <v>0.3</v>
      </c>
    </row>
    <row r="145">
      <c r="C145" t="str">
        <v>L 75x75x9</v>
      </c>
      <c r="D145" t="str">
        <v>GG</v>
      </c>
      <c r="E145" t="str">
        <v>SGJ, SHC</v>
      </c>
      <c r="H145">
        <v>6</v>
      </c>
      <c r="I145">
        <v>59.8</v>
      </c>
      <c r="J145">
        <v>75</v>
      </c>
      <c r="K145">
        <v>75</v>
      </c>
      <c r="L145">
        <v>9</v>
      </c>
      <c r="O145">
        <f>I145/H145</f>
        <v>9.966666666666667</v>
      </c>
      <c r="P145">
        <f>J145*4/1000</f>
        <v>0.3</v>
      </c>
    </row>
    <row r="146">
      <c r="C146" t="str">
        <v>L 75x75x10</v>
      </c>
      <c r="D146" t="str">
        <v>KS</v>
      </c>
      <c r="E146" t="str">
        <v>SHC</v>
      </c>
      <c r="H146">
        <v>6</v>
      </c>
      <c r="I146">
        <v>66.6</v>
      </c>
      <c r="J146">
        <v>75</v>
      </c>
      <c r="K146">
        <v>75</v>
      </c>
      <c r="L146">
        <v>10</v>
      </c>
      <c r="O146">
        <f>I146/H146</f>
        <v>11.1</v>
      </c>
      <c r="P146">
        <f>J146*4/1000</f>
        <v>0.3</v>
      </c>
    </row>
    <row r="147">
      <c r="C147" t="str">
        <v>L 75x75x12</v>
      </c>
      <c r="D147" t="str">
        <v>GG, KS</v>
      </c>
      <c r="H147">
        <v>6</v>
      </c>
      <c r="I147">
        <v>78.6</v>
      </c>
      <c r="J147">
        <v>75</v>
      </c>
      <c r="K147">
        <v>75</v>
      </c>
      <c r="L147">
        <v>12</v>
      </c>
      <c r="O147">
        <f>I147/H147</f>
        <v>13.1</v>
      </c>
      <c r="P147">
        <f>J147*4/1000</f>
        <v>0.3</v>
      </c>
    </row>
    <row r="148">
      <c r="C148" t="str">
        <v>L 80x80x6</v>
      </c>
      <c r="D148" t="str">
        <v>GG</v>
      </c>
      <c r="H148">
        <v>6</v>
      </c>
      <c r="I148">
        <f>O148*H148</f>
        <v>43.92</v>
      </c>
      <c r="J148">
        <v>80</v>
      </c>
      <c r="K148">
        <v>80</v>
      </c>
      <c r="L148">
        <v>6</v>
      </c>
      <c r="O148">
        <v>7.32</v>
      </c>
      <c r="P148">
        <f>J148*4/1000</f>
        <v>0.32</v>
      </c>
    </row>
    <row r="149">
      <c r="C149" t="str">
        <v>L 80x80x7</v>
      </c>
      <c r="D149" t="str">
        <v>KS</v>
      </c>
      <c r="E149" t="str">
        <v>SHC</v>
      </c>
      <c r="H149">
        <v>6</v>
      </c>
      <c r="I149">
        <v>50.94</v>
      </c>
      <c r="J149">
        <v>80</v>
      </c>
      <c r="K149">
        <v>80</v>
      </c>
      <c r="L149">
        <v>7</v>
      </c>
      <c r="O149">
        <f>I149/H149</f>
        <v>8.49</v>
      </c>
      <c r="P149">
        <f>J149*4/1000</f>
        <v>0.32</v>
      </c>
    </row>
    <row r="150">
      <c r="C150" t="str">
        <v>L 80x80x7,5</v>
      </c>
      <c r="D150" t="str">
        <v>KS</v>
      </c>
      <c r="E150" t="str">
        <v>SHC</v>
      </c>
      <c r="H150">
        <v>6</v>
      </c>
      <c r="I150">
        <v>51.3</v>
      </c>
      <c r="J150">
        <v>80</v>
      </c>
      <c r="K150">
        <v>80</v>
      </c>
      <c r="L150">
        <v>7.5</v>
      </c>
      <c r="O150">
        <f>I150/H150</f>
        <v>8.549999999999999</v>
      </c>
      <c r="P150">
        <f>J150*4/1000</f>
        <v>0.32</v>
      </c>
    </row>
    <row r="151">
      <c r="C151" t="str">
        <v>L 80x80x8</v>
      </c>
      <c r="D151" t="str">
        <v>KS</v>
      </c>
      <c r="E151" t="str">
        <v>SGJ, SHC</v>
      </c>
      <c r="H151">
        <v>6</v>
      </c>
      <c r="I151">
        <v>57.96</v>
      </c>
      <c r="J151">
        <v>80</v>
      </c>
      <c r="K151">
        <v>80</v>
      </c>
      <c r="L151">
        <v>8</v>
      </c>
      <c r="O151">
        <f>I151/H151</f>
        <v>9.66</v>
      </c>
      <c r="P151">
        <f>J151*4/1000</f>
        <v>0.32</v>
      </c>
    </row>
    <row r="152">
      <c r="C152" t="str">
        <v>L 80x80x10</v>
      </c>
      <c r="D152" t="str">
        <v>KS</v>
      </c>
      <c r="E152" t="str">
        <v>SHC</v>
      </c>
      <c r="H152">
        <v>6</v>
      </c>
      <c r="I152">
        <v>71.4</v>
      </c>
      <c r="J152">
        <v>80</v>
      </c>
      <c r="K152">
        <v>80</v>
      </c>
      <c r="L152">
        <v>10</v>
      </c>
      <c r="O152">
        <f>I152/H152</f>
        <v>11.9</v>
      </c>
      <c r="P152">
        <f>J152*4/1000</f>
        <v>0.32</v>
      </c>
    </row>
    <row r="153">
      <c r="C153" t="str">
        <v>L 80x80x12</v>
      </c>
      <c r="D153" t="str">
        <v>KS</v>
      </c>
      <c r="E153" t="str">
        <v>SHC</v>
      </c>
      <c r="H153">
        <v>6</v>
      </c>
      <c r="I153">
        <v>84.6</v>
      </c>
      <c r="J153">
        <v>80</v>
      </c>
      <c r="K153">
        <v>80</v>
      </c>
      <c r="L153">
        <v>12</v>
      </c>
      <c r="O153">
        <f>I153/H153</f>
        <v>14.1</v>
      </c>
      <c r="P153">
        <f>J153*4/1000</f>
        <v>0.32</v>
      </c>
    </row>
    <row r="154">
      <c r="C154" t="str">
        <v>L 80x80x14</v>
      </c>
      <c r="D154" t="str">
        <v>KS</v>
      </c>
      <c r="E154" t="str">
        <v>SHC</v>
      </c>
      <c r="H154">
        <v>6</v>
      </c>
      <c r="J154">
        <f>136+136+136+116+541+534+136+136+136+171</f>
        <v>2178</v>
      </c>
      <c r="K154">
        <v>150</v>
      </c>
      <c r="L154">
        <v>14</v>
      </c>
      <c r="O154">
        <f>I154/H154</f>
        <v>0</v>
      </c>
      <c r="P154">
        <f>H154*K154*O154*J154/1000000</f>
        <v>0</v>
      </c>
    </row>
    <row r="155">
      <c r="C155" t="str">
        <v>L 90x90x6</v>
      </c>
      <c r="D155" t="str">
        <v>GG</v>
      </c>
      <c r="H155">
        <v>6</v>
      </c>
      <c r="J155">
        <v>200</v>
      </c>
      <c r="K155">
        <v>150</v>
      </c>
      <c r="L155">
        <v>6</v>
      </c>
      <c r="O155">
        <v>8.28</v>
      </c>
      <c r="P155">
        <f>H155*K155*O155*J155/1000000</f>
        <v>1.4903999999999997</v>
      </c>
    </row>
    <row r="156">
      <c r="C156" t="str">
        <v>L 90x90x7</v>
      </c>
      <c r="D156" t="str">
        <v>GG</v>
      </c>
      <c r="E156" t="str">
        <v>SGJ, SHC</v>
      </c>
      <c r="H156">
        <v>6</v>
      </c>
      <c r="I156">
        <f>O156*H156</f>
        <v>57.54</v>
      </c>
      <c r="J156">
        <v>90</v>
      </c>
      <c r="K156">
        <v>90</v>
      </c>
      <c r="L156">
        <v>7</v>
      </c>
      <c r="O156">
        <v>9.59</v>
      </c>
      <c r="P156">
        <f>J156*4/1000</f>
        <v>0.36</v>
      </c>
    </row>
    <row r="157">
      <c r="C157" t="str">
        <v>L 90x90x8</v>
      </c>
      <c r="D157" t="str">
        <v>KS</v>
      </c>
      <c r="E157" t="str">
        <v>SHC</v>
      </c>
      <c r="H157">
        <v>6</v>
      </c>
      <c r="J157">
        <f>136+136+75+128</f>
        <v>475</v>
      </c>
      <c r="K157">
        <v>150</v>
      </c>
      <c r="L157">
        <v>8</v>
      </c>
      <c r="O157">
        <f>I157/H157</f>
        <v>0</v>
      </c>
      <c r="P157">
        <f>H157*K157*O157*J157/1000000</f>
        <v>0</v>
      </c>
    </row>
    <row r="158">
      <c r="C158" t="str">
        <v>L 90x90x8,5</v>
      </c>
      <c r="D158" t="str">
        <v>KS</v>
      </c>
      <c r="E158" t="str">
        <v>SHC</v>
      </c>
      <c r="H158">
        <v>6</v>
      </c>
      <c r="J158">
        <v>300</v>
      </c>
      <c r="K158">
        <v>150</v>
      </c>
      <c r="L158">
        <v>8.5</v>
      </c>
      <c r="O158">
        <f>I158/H158</f>
        <v>0</v>
      </c>
      <c r="P158">
        <f>H158*K158*O158*J158/1000000</f>
        <v>0</v>
      </c>
    </row>
    <row r="159">
      <c r="C159" t="str">
        <v>L 90x90x9</v>
      </c>
      <c r="D159" t="str">
        <v>KS</v>
      </c>
      <c r="E159" t="str">
        <v>SGJ, SHC</v>
      </c>
      <c r="H159">
        <v>6</v>
      </c>
      <c r="I159">
        <v>73.2</v>
      </c>
      <c r="J159">
        <v>90</v>
      </c>
      <c r="K159">
        <v>90</v>
      </c>
      <c r="L159">
        <v>9</v>
      </c>
      <c r="O159">
        <f>I159/H159</f>
        <v>12.200000000000001</v>
      </c>
      <c r="P159">
        <f>J159*4/1000</f>
        <v>0.36</v>
      </c>
    </row>
    <row r="160">
      <c r="C160" t="str">
        <v>L 90x90x10</v>
      </c>
      <c r="D160" t="str">
        <v>GG</v>
      </c>
      <c r="E160" t="str">
        <v>SGJ, SHC</v>
      </c>
      <c r="H160">
        <v>6</v>
      </c>
      <c r="I160">
        <f>O160*H160</f>
        <v>79.80000000000001</v>
      </c>
      <c r="J160">
        <v>90</v>
      </c>
      <c r="K160">
        <v>90</v>
      </c>
      <c r="L160">
        <v>10</v>
      </c>
      <c r="O160">
        <v>13.3</v>
      </c>
      <c r="P160">
        <f>J160*4/1000</f>
        <v>0.36</v>
      </c>
    </row>
    <row r="161">
      <c r="C161" t="str">
        <v>L 90x90x11</v>
      </c>
      <c r="D161" t="str">
        <v>KS</v>
      </c>
      <c r="E161" t="str">
        <v>SHC</v>
      </c>
      <c r="H161">
        <v>6</v>
      </c>
      <c r="I161">
        <v>88.2</v>
      </c>
      <c r="J161">
        <v>90</v>
      </c>
      <c r="K161">
        <v>90</v>
      </c>
      <c r="L161">
        <v>11</v>
      </c>
      <c r="O161">
        <f>I161/H161</f>
        <v>14.700000000000001</v>
      </c>
      <c r="P161">
        <f>J161*4/1000</f>
        <v>0.36</v>
      </c>
    </row>
    <row r="162">
      <c r="C162" t="str">
        <v>L 90x90x13</v>
      </c>
      <c r="D162" t="str">
        <v>GG, KS</v>
      </c>
      <c r="E162" t="str">
        <v>SHC</v>
      </c>
      <c r="H162">
        <v>6</v>
      </c>
      <c r="I162">
        <v>102.6</v>
      </c>
      <c r="J162">
        <v>90</v>
      </c>
      <c r="K162">
        <v>90</v>
      </c>
      <c r="L162">
        <v>13</v>
      </c>
      <c r="O162">
        <f>I162/H162</f>
        <v>17.099999999999998</v>
      </c>
      <c r="P162">
        <f>J162*4/1000</f>
        <v>0.36</v>
      </c>
    </row>
    <row r="163">
      <c r="C163" t="str">
        <v>L 90x90x16</v>
      </c>
      <c r="D163" t="str">
        <v>KS</v>
      </c>
      <c r="E163" t="str">
        <v>SHC</v>
      </c>
      <c r="H163">
        <v>6</v>
      </c>
      <c r="J163">
        <f>136+136+136+116+541+534+136+136+136+171</f>
        <v>2178</v>
      </c>
      <c r="K163">
        <v>150</v>
      </c>
      <c r="L163">
        <v>16</v>
      </c>
      <c r="O163">
        <f>I163/H163</f>
        <v>0</v>
      </c>
      <c r="P163">
        <f>H163*K163*O163*J163/1000000</f>
        <v>0</v>
      </c>
    </row>
    <row r="164">
      <c r="C164" t="str">
        <v>L 100x100x7</v>
      </c>
      <c r="D164" t="str">
        <v>GG</v>
      </c>
      <c r="E164" t="str">
        <v>SGJ</v>
      </c>
      <c r="H164">
        <v>6</v>
      </c>
      <c r="J164">
        <v>200</v>
      </c>
      <c r="K164">
        <v>150</v>
      </c>
      <c r="L164">
        <v>7</v>
      </c>
      <c r="O164">
        <f>I164/H164</f>
        <v>0</v>
      </c>
      <c r="P164">
        <f>H164*K164*O164*J164/1000000</f>
        <v>0</v>
      </c>
    </row>
    <row r="165">
      <c r="C165" t="str">
        <v>L 100x100x8</v>
      </c>
      <c r="D165" t="str">
        <v>KS</v>
      </c>
      <c r="E165" t="str">
        <v>SHC</v>
      </c>
      <c r="H165">
        <v>6</v>
      </c>
      <c r="I165">
        <v>73.2</v>
      </c>
      <c r="J165">
        <v>100</v>
      </c>
      <c r="K165">
        <v>100</v>
      </c>
      <c r="L165">
        <v>8</v>
      </c>
      <c r="O165">
        <f>I165/H165</f>
        <v>12.200000000000001</v>
      </c>
      <c r="P165">
        <f>J165*4/1000</f>
        <v>0.4</v>
      </c>
    </row>
    <row r="166">
      <c r="C166" t="str">
        <v>L 100x100x9,5</v>
      </c>
      <c r="D166" t="str">
        <v>KS</v>
      </c>
      <c r="E166" t="str">
        <v>SHC</v>
      </c>
      <c r="H166">
        <v>6</v>
      </c>
      <c r="J166">
        <f>136+136</f>
        <v>272</v>
      </c>
      <c r="K166">
        <v>150</v>
      </c>
      <c r="L166">
        <v>9.5</v>
      </c>
      <c r="O166">
        <f>I166/H166</f>
        <v>0</v>
      </c>
      <c r="P166">
        <f>H166*K166*O166*J166/1000000</f>
        <v>0</v>
      </c>
    </row>
    <row r="167">
      <c r="C167" t="str">
        <v>L 100x100x10</v>
      </c>
      <c r="D167" t="str">
        <v>GG, KS</v>
      </c>
      <c r="E167" t="str">
        <v>SGJ, SHC</v>
      </c>
      <c r="H167">
        <v>6</v>
      </c>
      <c r="J167">
        <f>264+300</f>
        <v>564</v>
      </c>
      <c r="K167">
        <v>150</v>
      </c>
      <c r="L167">
        <v>10</v>
      </c>
      <c r="O167">
        <f>I167/H167</f>
        <v>0</v>
      </c>
      <c r="P167">
        <f>H167*K167*O167*J167/1000000</f>
        <v>0</v>
      </c>
    </row>
    <row r="168">
      <c r="C168" t="str">
        <v>L 100x100x12</v>
      </c>
      <c r="D168" t="str">
        <v>KS</v>
      </c>
      <c r="E168" t="str">
        <v>SHC</v>
      </c>
      <c r="H168">
        <v>6</v>
      </c>
      <c r="I168">
        <v>106.8</v>
      </c>
      <c r="J168">
        <v>100</v>
      </c>
      <c r="K168">
        <v>100</v>
      </c>
      <c r="L168">
        <v>12</v>
      </c>
      <c r="O168">
        <f>I168/H168</f>
        <v>17.8</v>
      </c>
      <c r="P168">
        <f>J168*4/1000</f>
        <v>0.4</v>
      </c>
    </row>
    <row r="169">
      <c r="C169" t="str">
        <v>L 100x100x13</v>
      </c>
      <c r="D169" t="str">
        <v>GG</v>
      </c>
      <c r="E169" t="str">
        <v>SGJ</v>
      </c>
      <c r="H169">
        <v>6</v>
      </c>
      <c r="I169">
        <f>O169*H169</f>
        <v>114.60000000000001</v>
      </c>
      <c r="J169">
        <v>100</v>
      </c>
      <c r="K169">
        <v>100</v>
      </c>
      <c r="L169">
        <v>13</v>
      </c>
      <c r="O169">
        <v>19.1</v>
      </c>
      <c r="P169">
        <f>J169*4/1000</f>
        <v>0.4</v>
      </c>
    </row>
    <row r="170">
      <c r="C170" t="str">
        <v>L 100x100x14</v>
      </c>
      <c r="D170" t="str">
        <v>KS</v>
      </c>
      <c r="E170" t="str">
        <v>SHC</v>
      </c>
      <c r="H170">
        <v>6</v>
      </c>
      <c r="I170">
        <v>123.6</v>
      </c>
      <c r="J170">
        <v>100</v>
      </c>
      <c r="K170">
        <v>100</v>
      </c>
      <c r="L170">
        <v>14</v>
      </c>
      <c r="O170">
        <f>I170/H170</f>
        <v>20.599999999999998</v>
      </c>
      <c r="P170">
        <f>J170*4/1000</f>
        <v>0.4</v>
      </c>
    </row>
    <row r="171">
      <c r="C171" t="str">
        <v>L 120x120x8</v>
      </c>
      <c r="D171" t="str">
        <v>GG</v>
      </c>
      <c r="H171">
        <v>6</v>
      </c>
      <c r="I171">
        <f>O171*H171</f>
        <v>88.19999999999999</v>
      </c>
      <c r="J171">
        <v>100</v>
      </c>
      <c r="K171">
        <v>100</v>
      </c>
      <c r="L171">
        <v>8</v>
      </c>
      <c r="O171">
        <v>14.7</v>
      </c>
      <c r="P171">
        <f>J171*4/1000</f>
        <v>0.4</v>
      </c>
    </row>
    <row r="172">
      <c r="C172" t="str">
        <v>L 120x120x11</v>
      </c>
      <c r="D172" t="str">
        <v>GG</v>
      </c>
      <c r="E172" t="str">
        <v>SHC</v>
      </c>
      <c r="H172">
        <v>6</v>
      </c>
      <c r="J172">
        <f>136+136+136+116+541+534+136+136+136+171</f>
        <v>2178</v>
      </c>
      <c r="K172">
        <v>150</v>
      </c>
      <c r="L172">
        <v>11</v>
      </c>
      <c r="O172">
        <f>I172/H172</f>
        <v>0</v>
      </c>
      <c r="P172">
        <f>H172*K172*O172*J172/1000000</f>
        <v>0</v>
      </c>
    </row>
    <row r="173">
      <c r="C173" t="str">
        <v>L 120x120x12</v>
      </c>
      <c r="D173" t="str">
        <v>GG</v>
      </c>
      <c r="E173" t="str">
        <v>SGJ</v>
      </c>
      <c r="H173">
        <v>6</v>
      </c>
      <c r="J173">
        <v>200</v>
      </c>
      <c r="K173">
        <v>150</v>
      </c>
      <c r="L173">
        <v>12</v>
      </c>
      <c r="O173">
        <f>I173/H173</f>
        <v>0</v>
      </c>
      <c r="P173">
        <f>H173*K173*O173*J173/1000000</f>
        <v>0</v>
      </c>
    </row>
    <row r="174">
      <c r="C174" t="str">
        <v>L 125x125x12</v>
      </c>
      <c r="E174" t="str">
        <v>SGJ, SHC</v>
      </c>
      <c r="H174">
        <v>6</v>
      </c>
      <c r="I174">
        <v>140</v>
      </c>
      <c r="J174">
        <v>125</v>
      </c>
      <c r="K174">
        <v>125</v>
      </c>
      <c r="L174">
        <v>12</v>
      </c>
      <c r="O174">
        <f>I174/H174</f>
        <v>23.333333333333332</v>
      </c>
      <c r="P174">
        <f>J174*4/1000</f>
        <v>0.5</v>
      </c>
    </row>
    <row r="175">
      <c r="C175" t="str">
        <v>L 130x130x9</v>
      </c>
      <c r="D175" t="str">
        <v>GG</v>
      </c>
      <c r="E175" t="str">
        <v>SGJ, SHC</v>
      </c>
      <c r="H175">
        <v>6</v>
      </c>
      <c r="I175">
        <f>O175*H175</f>
        <v>107.39999999999999</v>
      </c>
      <c r="J175">
        <v>130</v>
      </c>
      <c r="K175">
        <v>130</v>
      </c>
      <c r="L175">
        <v>9</v>
      </c>
      <c r="O175">
        <v>17.9</v>
      </c>
      <c r="P175">
        <f>J175*4/1000</f>
        <v>0.52</v>
      </c>
    </row>
    <row r="176">
      <c r="C176" t="str">
        <v>L 130x130x12</v>
      </c>
      <c r="D176" t="str">
        <v>GG</v>
      </c>
      <c r="E176" t="str">
        <v>SGJ, SHC</v>
      </c>
      <c r="H176">
        <v>6</v>
      </c>
      <c r="I176">
        <v>142</v>
      </c>
      <c r="J176">
        <v>130</v>
      </c>
      <c r="K176">
        <v>130</v>
      </c>
      <c r="L176">
        <v>12</v>
      </c>
      <c r="O176">
        <f>I176/H176</f>
        <v>23.666666666666668</v>
      </c>
      <c r="P176">
        <f>J176*4/1000</f>
        <v>0.52</v>
      </c>
    </row>
    <row r="177">
      <c r="C177" t="str">
        <v>L 130x130x15</v>
      </c>
      <c r="D177" t="str">
        <v>GG</v>
      </c>
      <c r="H177">
        <v>6</v>
      </c>
      <c r="I177">
        <f>O177*H177</f>
        <v>172.8</v>
      </c>
      <c r="J177">
        <v>130</v>
      </c>
      <c r="K177">
        <v>130</v>
      </c>
      <c r="L177">
        <v>15</v>
      </c>
      <c r="O177">
        <v>28.8</v>
      </c>
      <c r="P177">
        <f>J177*4/1000</f>
        <v>0.52</v>
      </c>
    </row>
    <row r="178">
      <c r="C178" t="str">
        <v>L 150x150x12</v>
      </c>
      <c r="D178" t="str">
        <v>GG</v>
      </c>
      <c r="E178" t="str">
        <v>SGJ, SHC</v>
      </c>
      <c r="H178">
        <v>6</v>
      </c>
      <c r="I178">
        <v>164</v>
      </c>
      <c r="J178">
        <v>150</v>
      </c>
      <c r="K178">
        <v>150</v>
      </c>
      <c r="L178">
        <v>12</v>
      </c>
      <c r="O178">
        <f>I178/H178</f>
        <v>27.333333333333332</v>
      </c>
      <c r="P178">
        <f>J178*4/1000</f>
        <v>0.6</v>
      </c>
    </row>
    <row r="179">
      <c r="C179" t="str">
        <v>L 150x150x15</v>
      </c>
      <c r="D179" t="str">
        <v>GG</v>
      </c>
      <c r="E179" t="str">
        <v>SGJ, SHC</v>
      </c>
      <c r="H179">
        <v>6</v>
      </c>
      <c r="J179">
        <f>136+136+136+116+541+534+136+136+136+171</f>
        <v>2178</v>
      </c>
      <c r="K179">
        <v>150</v>
      </c>
      <c r="L179">
        <v>15</v>
      </c>
      <c r="O179">
        <f>I179/H179</f>
        <v>0</v>
      </c>
      <c r="P179">
        <f>H179*K179*O179*J179/1000000</f>
        <v>0</v>
      </c>
    </row>
    <row r="180">
      <c r="C180" t="str">
        <v>L 150x150x19</v>
      </c>
      <c r="D180" t="str">
        <v>GG</v>
      </c>
      <c r="H180">
        <v>6</v>
      </c>
      <c r="J180">
        <v>200</v>
      </c>
      <c r="K180">
        <v>150</v>
      </c>
      <c r="L180">
        <v>19</v>
      </c>
      <c r="O180">
        <v>41.9</v>
      </c>
      <c r="P180">
        <f>H180*K180*O180*J180/1000000</f>
        <v>7.542</v>
      </c>
    </row>
    <row r="181">
      <c r="C181" t="str">
        <v>L 175x175x12</v>
      </c>
      <c r="D181" t="str">
        <v>GG</v>
      </c>
      <c r="H181">
        <v>6</v>
      </c>
      <c r="I181">
        <f>O181*H181</f>
        <v>190.8</v>
      </c>
      <c r="J181">
        <v>175</v>
      </c>
      <c r="K181">
        <v>175</v>
      </c>
      <c r="L181">
        <v>12</v>
      </c>
      <c r="O181">
        <v>31.8</v>
      </c>
      <c r="P181">
        <f>J181*4/1000</f>
        <v>0.7</v>
      </c>
    </row>
    <row r="182">
      <c r="C182" t="str">
        <v>L 175x175x15</v>
      </c>
      <c r="D182" t="str">
        <v>GG</v>
      </c>
      <c r="H182">
        <v>6</v>
      </c>
      <c r="I182">
        <f>O182*H182</f>
        <v>236.39999999999998</v>
      </c>
      <c r="J182">
        <v>175</v>
      </c>
      <c r="K182">
        <v>175</v>
      </c>
      <c r="L182">
        <v>15</v>
      </c>
      <c r="O182">
        <v>39.4</v>
      </c>
      <c r="P182">
        <f>J182*4/1000</f>
        <v>0.7</v>
      </c>
    </row>
    <row r="183">
      <c r="C183" t="str">
        <v>L 200x200x15</v>
      </c>
      <c r="D183" t="str">
        <v>GG</v>
      </c>
      <c r="E183" t="str">
        <v>SGJ, SHC</v>
      </c>
      <c r="H183">
        <v>6</v>
      </c>
      <c r="I183">
        <v>272</v>
      </c>
      <c r="J183">
        <v>200</v>
      </c>
      <c r="K183">
        <v>200</v>
      </c>
      <c r="L183">
        <v>15</v>
      </c>
      <c r="O183">
        <f>I183/H183</f>
        <v>45.333333333333336</v>
      </c>
      <c r="P183">
        <f>J183*4/1000</f>
        <v>0.8</v>
      </c>
    </row>
    <row r="184">
      <c r="C184" t="str">
        <v>L 200x200x20</v>
      </c>
      <c r="D184" t="str">
        <v>GG</v>
      </c>
      <c r="E184" t="str">
        <v>SHC</v>
      </c>
      <c r="H184">
        <v>6</v>
      </c>
      <c r="I184">
        <f>O184*H184</f>
        <v>358.20000000000005</v>
      </c>
      <c r="J184">
        <v>200</v>
      </c>
      <c r="K184">
        <v>200</v>
      </c>
      <c r="L184">
        <v>20</v>
      </c>
      <c r="O184">
        <v>59.7</v>
      </c>
      <c r="P184">
        <f>J184*4/1000</f>
        <v>0.8</v>
      </c>
    </row>
    <row r="185">
      <c r="C185" t="str">
        <v>L 200x200x25</v>
      </c>
      <c r="D185" t="str">
        <v>GG</v>
      </c>
      <c r="E185" t="str">
        <v>SGJ, SHC</v>
      </c>
      <c r="H185">
        <v>6</v>
      </c>
      <c r="I185">
        <v>442</v>
      </c>
      <c r="J185">
        <v>200</v>
      </c>
      <c r="K185">
        <v>200</v>
      </c>
      <c r="L185">
        <v>25</v>
      </c>
      <c r="O185">
        <f>I185/H185</f>
        <v>73.66666666666667</v>
      </c>
      <c r="P185">
        <f>J185*4/1000</f>
        <v>0.8</v>
      </c>
    </row>
    <row r="186">
      <c r="C186" t="str">
        <v>L 250x250x25</v>
      </c>
      <c r="D186" t="str">
        <v>GG</v>
      </c>
      <c r="E186" t="str">
        <v>SGJ, SHC</v>
      </c>
      <c r="H186">
        <v>6</v>
      </c>
      <c r="I186">
        <f>O186*H186</f>
        <v>562.2</v>
      </c>
      <c r="J186">
        <v>250</v>
      </c>
      <c r="K186">
        <v>250</v>
      </c>
      <c r="L186">
        <v>25</v>
      </c>
      <c r="O186">
        <v>93.7</v>
      </c>
      <c r="P186">
        <f>J186*4/1000</f>
        <v>1</v>
      </c>
    </row>
    <row r="187">
      <c r="C187" t="str">
        <v>L 250x250x35</v>
      </c>
      <c r="D187" t="str">
        <v>GG</v>
      </c>
      <c r="H187">
        <v>6</v>
      </c>
      <c r="I187">
        <f>O187*H187</f>
        <v>768</v>
      </c>
      <c r="J187">
        <v>250</v>
      </c>
      <c r="K187">
        <v>250</v>
      </c>
      <c r="L187">
        <v>35</v>
      </c>
      <c r="O187">
        <v>128</v>
      </c>
      <c r="P187">
        <f>J187*4/1000</f>
        <v>1</v>
      </c>
    </row>
    <row r="188">
      <c r="B188" t="str">
        <v>Round Bar (RB)</v>
      </c>
      <c r="C188" t="str">
        <v>RB 6</v>
      </c>
      <c r="E188" t="str">
        <v>SGJ, SHC</v>
      </c>
      <c r="H188">
        <v>12</v>
      </c>
      <c r="I188">
        <f>O188*H188</f>
        <v>2.66</v>
      </c>
      <c r="J188">
        <v>6</v>
      </c>
      <c r="O188">
        <f>2.66/12</f>
        <v>0.22166666666666668</v>
      </c>
      <c r="P188">
        <f>PI()*J188*1/1000</f>
        <v>0.01884955592153876</v>
      </c>
    </row>
    <row r="189">
      <c r="C189" t="str">
        <v>RB 6,5</v>
      </c>
      <c r="E189" t="str">
        <v>SGJ, SHC</v>
      </c>
      <c r="H189">
        <v>12</v>
      </c>
      <c r="I189">
        <f>O189*H189</f>
        <v>3.2</v>
      </c>
      <c r="J189">
        <v>6.5</v>
      </c>
      <c r="O189">
        <f>3.2/12</f>
        <v>0.26666666666666666</v>
      </c>
      <c r="P189">
        <f>PI()*J189*1/1000</f>
        <v>0.02042035224833366</v>
      </c>
    </row>
    <row r="190">
      <c r="C190" t="str">
        <v>RB 7</v>
      </c>
      <c r="D190" t="str">
        <v>GG</v>
      </c>
      <c r="H190">
        <v>12</v>
      </c>
      <c r="I190">
        <f>O190*H190</f>
        <v>3.5999999999999996</v>
      </c>
      <c r="J190">
        <v>7</v>
      </c>
      <c r="O190">
        <v>0.3</v>
      </c>
      <c r="P190">
        <f>PI()*J190*1/1000</f>
        <v>0.02199114857512855</v>
      </c>
    </row>
    <row r="191">
      <c r="C191" t="str">
        <v>RB 8</v>
      </c>
      <c r="D191" t="str">
        <v>GG</v>
      </c>
      <c r="E191" t="str">
        <v>SGJ, SHC</v>
      </c>
      <c r="H191">
        <v>12</v>
      </c>
      <c r="I191">
        <f>O191*H191</f>
        <v>4.800000000000001</v>
      </c>
      <c r="J191">
        <v>8</v>
      </c>
      <c r="O191">
        <v>0.4</v>
      </c>
      <c r="P191">
        <f>PI()*J191*1/1000</f>
        <v>0.025132741228718346</v>
      </c>
    </row>
    <row r="192">
      <c r="C192" t="str">
        <v>RB 9</v>
      </c>
      <c r="E192" t="str">
        <v>SGJ, SHC</v>
      </c>
      <c r="H192">
        <v>12</v>
      </c>
      <c r="I192">
        <f>O192*H192</f>
        <v>6</v>
      </c>
      <c r="J192">
        <v>9</v>
      </c>
      <c r="O192">
        <f>6/12</f>
        <v>0.5</v>
      </c>
      <c r="P192">
        <f>PI()*J192*1/1000</f>
        <v>0.02827433388230814</v>
      </c>
    </row>
    <row r="193">
      <c r="C193" t="str">
        <v>RB 10</v>
      </c>
      <c r="D193" t="str">
        <v>GG</v>
      </c>
      <c r="E193" t="str">
        <v>SGJ, SHC</v>
      </c>
      <c r="H193">
        <v>12</v>
      </c>
      <c r="I193">
        <f>O193*H193</f>
        <v>7.4399999999999995</v>
      </c>
      <c r="J193">
        <v>10</v>
      </c>
      <c r="O193">
        <v>0.62</v>
      </c>
      <c r="P193">
        <f>PI()*J193*1/1000</f>
        <v>0.031415926535897934</v>
      </c>
    </row>
    <row r="194">
      <c r="C194" t="str">
        <v>RB 12</v>
      </c>
      <c r="D194" t="str">
        <v>GG</v>
      </c>
      <c r="E194" t="str">
        <v>SGJ, SHC</v>
      </c>
      <c r="H194">
        <v>12</v>
      </c>
      <c r="I194">
        <v>10.7</v>
      </c>
      <c r="J194">
        <v>12</v>
      </c>
      <c r="O194">
        <v>0.89</v>
      </c>
      <c r="P194">
        <f>PI()*J194*1/1000</f>
        <v>0.03769911184307752</v>
      </c>
    </row>
    <row r="195">
      <c r="C195" t="str">
        <v>RB 13</v>
      </c>
      <c r="E195" t="str">
        <v>SGJ, SHC</v>
      </c>
      <c r="H195">
        <v>12</v>
      </c>
      <c r="I195">
        <f>O195*H195</f>
        <v>12.5</v>
      </c>
      <c r="J195">
        <v>13</v>
      </c>
      <c r="O195">
        <f>12.5/12</f>
        <v>1.0416666666666667</v>
      </c>
      <c r="P195">
        <f>PI()*J195*1/1000</f>
        <v>0.04084070449666732</v>
      </c>
    </row>
    <row r="196">
      <c r="C196" t="str">
        <v>RB 14</v>
      </c>
      <c r="E196" t="str">
        <v>SGJ, SHC</v>
      </c>
      <c r="H196">
        <v>12</v>
      </c>
      <c r="I196">
        <f>O196*H196</f>
        <v>14.5</v>
      </c>
      <c r="J196">
        <v>14</v>
      </c>
      <c r="O196">
        <f>14.5/12</f>
        <v>1.2083333333333333</v>
      </c>
      <c r="P196">
        <f>PI()*J196*1/1000</f>
        <v>0.0439822971502571</v>
      </c>
    </row>
    <row r="197">
      <c r="C197" t="str">
        <v>RB 16</v>
      </c>
      <c r="D197" t="str">
        <v>GG</v>
      </c>
      <c r="E197" t="str">
        <v>SGJ, SHC</v>
      </c>
      <c r="H197">
        <v>12</v>
      </c>
      <c r="I197">
        <v>19</v>
      </c>
      <c r="J197">
        <v>16</v>
      </c>
      <c r="O197">
        <v>1.58</v>
      </c>
      <c r="P197">
        <f>PI()*J197*1/1000</f>
        <v>0.05026548245743669</v>
      </c>
    </row>
    <row r="198">
      <c r="C198" t="str">
        <v>RB 19</v>
      </c>
      <c r="D198" t="str">
        <v>GG</v>
      </c>
      <c r="E198" t="str">
        <v>SGJ, SHC</v>
      </c>
      <c r="H198">
        <v>12</v>
      </c>
      <c r="I198">
        <v>26.8</v>
      </c>
      <c r="J198">
        <v>19</v>
      </c>
      <c r="O198">
        <v>2.23</v>
      </c>
      <c r="P198">
        <f>PI()*J198*1/1000</f>
        <v>0.05969026041820607</v>
      </c>
    </row>
    <row r="199">
      <c r="C199" t="str">
        <v>RB 22</v>
      </c>
      <c r="D199" t="str">
        <v>GG</v>
      </c>
      <c r="E199" t="str">
        <v>SGJ, SHC</v>
      </c>
      <c r="H199">
        <v>12</v>
      </c>
      <c r="I199">
        <f>O199*H199</f>
        <v>35.88</v>
      </c>
      <c r="J199">
        <v>22</v>
      </c>
      <c r="O199">
        <v>2.99</v>
      </c>
      <c r="P199">
        <f>PI()*J199*1/1000</f>
        <v>0.06911503837897544</v>
      </c>
    </row>
    <row r="200">
      <c r="C200" t="str">
        <v>RB 23</v>
      </c>
      <c r="E200" t="str">
        <v>SGJ, SHC</v>
      </c>
      <c r="H200">
        <v>12</v>
      </c>
      <c r="I200">
        <f>O200*H200</f>
        <v>39.1</v>
      </c>
      <c r="J200">
        <v>23</v>
      </c>
      <c r="O200">
        <f>39.1/12</f>
        <v>3.2583333333333333</v>
      </c>
      <c r="P200">
        <f>PI()*J200*1/1000</f>
        <v>0.07225663103256524</v>
      </c>
    </row>
    <row r="201">
      <c r="C201" t="str">
        <v>RB 25</v>
      </c>
      <c r="D201" t="str">
        <v>GG</v>
      </c>
      <c r="E201" t="str">
        <v>SGJ, SHC</v>
      </c>
      <c r="H201">
        <v>12</v>
      </c>
      <c r="I201">
        <f>O201*H201</f>
        <v>46.2</v>
      </c>
      <c r="J201">
        <v>25</v>
      </c>
      <c r="O201">
        <v>3.85</v>
      </c>
      <c r="P201">
        <f>PI()*J201*1/1000</f>
        <v>0.07853981633974483</v>
      </c>
    </row>
    <row r="202">
      <c r="C202" t="str">
        <v>RB 28</v>
      </c>
      <c r="E202" t="str">
        <v>SGJ, SHC</v>
      </c>
      <c r="H202">
        <v>12</v>
      </c>
      <c r="I202">
        <f>O202*H202</f>
        <v>58</v>
      </c>
      <c r="J202">
        <v>28</v>
      </c>
      <c r="O202">
        <f>58/12</f>
        <v>4.833333333333333</v>
      </c>
      <c r="P202">
        <f>PI()*J202*1/1000</f>
        <v>0.0879645943005142</v>
      </c>
    </row>
    <row r="203">
      <c r="C203" t="str">
        <v>RB 31</v>
      </c>
      <c r="E203" t="str">
        <v>SGJ, SHC</v>
      </c>
      <c r="H203">
        <v>12</v>
      </c>
      <c r="I203">
        <f>O203*H203</f>
        <v>71.1</v>
      </c>
      <c r="J203">
        <v>31</v>
      </c>
      <c r="O203">
        <f>71.1/12</f>
        <v>5.925</v>
      </c>
      <c r="P203">
        <f>PI()*J203*1/1000</f>
        <v>0.09738937226128358</v>
      </c>
    </row>
    <row r="204">
      <c r="C204" t="str">
        <v>RB 32</v>
      </c>
      <c r="E204" t="str">
        <v>SGJ, SHC</v>
      </c>
      <c r="H204">
        <v>12</v>
      </c>
      <c r="I204">
        <f>O204*H204</f>
        <v>75.77</v>
      </c>
      <c r="J204">
        <v>32</v>
      </c>
      <c r="O204">
        <f>75.77/12</f>
        <v>6.314166666666666</v>
      </c>
      <c r="P204">
        <f>PI()*J204*1/1000</f>
        <v>0.10053096491487339</v>
      </c>
    </row>
    <row r="205">
      <c r="B205" t="str">
        <v>Deformed Bar (DB)</v>
      </c>
      <c r="C205" t="str">
        <v>DB 6</v>
      </c>
      <c r="E205" t="str">
        <v>SGJ, SHC</v>
      </c>
      <c r="H205">
        <v>12</v>
      </c>
      <c r="I205">
        <v>2.99</v>
      </c>
      <c r="J205">
        <v>6</v>
      </c>
      <c r="O205">
        <f>I205/H205</f>
        <v>0.24916666666666668</v>
      </c>
      <c r="P205">
        <f>PI()*J205*1/1000</f>
        <v>0.01884955592153876</v>
      </c>
    </row>
    <row r="206">
      <c r="C206" t="str">
        <v>DB 10</v>
      </c>
      <c r="E206" t="str">
        <v>SGJ, SHC</v>
      </c>
      <c r="H206">
        <v>12</v>
      </c>
      <c r="I206">
        <v>7.4</v>
      </c>
      <c r="J206">
        <v>10</v>
      </c>
      <c r="O206">
        <f>I206/H206</f>
        <v>0.6166666666666667</v>
      </c>
      <c r="P206">
        <f>PI()*J206*1/1000</f>
        <v>0.031415926535897934</v>
      </c>
    </row>
    <row r="207">
      <c r="C207" t="str">
        <v>DB 13</v>
      </c>
      <c r="E207" t="str">
        <v>SGJ, SHC</v>
      </c>
      <c r="H207">
        <v>12</v>
      </c>
      <c r="I207">
        <v>12.48</v>
      </c>
      <c r="J207">
        <v>13</v>
      </c>
      <c r="O207">
        <f>I207/H207</f>
        <v>1.04</v>
      </c>
      <c r="P207">
        <f>PI()*J207*1/1000</f>
        <v>0.04084070449666732</v>
      </c>
    </row>
    <row r="208">
      <c r="C208" t="str">
        <v>DB 16</v>
      </c>
      <c r="E208" t="str">
        <v>SGJ, SHC</v>
      </c>
      <c r="H208">
        <v>12</v>
      </c>
      <c r="I208">
        <v>18.96</v>
      </c>
      <c r="J208">
        <v>16</v>
      </c>
      <c r="O208">
        <f>I208/H208</f>
        <v>1.58</v>
      </c>
      <c r="P208">
        <f>PI()*J208*1/1000</f>
        <v>0.05026548245743669</v>
      </c>
    </row>
    <row r="209">
      <c r="C209" t="str">
        <v>DB 19</v>
      </c>
      <c r="E209" t="str">
        <v>SGJ, SHC</v>
      </c>
      <c r="H209">
        <v>12</v>
      </c>
      <c r="I209">
        <v>27</v>
      </c>
      <c r="J209">
        <v>19</v>
      </c>
      <c r="O209">
        <f>I209/H209</f>
        <v>2.25</v>
      </c>
      <c r="P209">
        <f>PI()*J209*1/1000</f>
        <v>0.05969026041820607</v>
      </c>
    </row>
    <row r="210">
      <c r="C210" t="str">
        <v>DB 22</v>
      </c>
      <c r="E210" t="str">
        <v>SGJ, SHC</v>
      </c>
      <c r="H210">
        <v>12</v>
      </c>
      <c r="I210">
        <v>36.5</v>
      </c>
      <c r="J210">
        <v>22</v>
      </c>
      <c r="O210">
        <f>I210/H210</f>
        <v>3.0416666666666665</v>
      </c>
      <c r="P210">
        <f>PI()*J210*1/1000</f>
        <v>0.06911503837897544</v>
      </c>
    </row>
    <row r="211">
      <c r="C211" t="str">
        <v>DB 25</v>
      </c>
      <c r="E211" t="str">
        <v>SGJ, SHC</v>
      </c>
      <c r="H211">
        <v>12</v>
      </c>
      <c r="I211">
        <v>47.8</v>
      </c>
      <c r="J211">
        <v>25</v>
      </c>
      <c r="O211">
        <f>I211/H211</f>
        <v>3.983333333333333</v>
      </c>
      <c r="P211">
        <f>PI()*J211*1/1000</f>
        <v>0.07853981633974483</v>
      </c>
    </row>
    <row r="212">
      <c r="C212" t="str">
        <v>DB 29</v>
      </c>
      <c r="E212" t="str">
        <v>SGJ, SHC</v>
      </c>
      <c r="H212">
        <v>12</v>
      </c>
      <c r="I212">
        <v>62.28</v>
      </c>
      <c r="J212">
        <v>29</v>
      </c>
      <c r="O212">
        <f>I212/H212</f>
        <v>5.19</v>
      </c>
      <c r="P212">
        <f>PI()*J212*1/1000</f>
        <v>0.09110618695410401</v>
      </c>
    </row>
    <row r="213">
      <c r="C213" t="str">
        <v>DB 32</v>
      </c>
      <c r="E213" t="str">
        <v>SGJ, SHC</v>
      </c>
      <c r="H213">
        <v>12</v>
      </c>
      <c r="I213">
        <v>75.72</v>
      </c>
      <c r="J213">
        <v>32</v>
      </c>
      <c r="O213">
        <f>I213/H213</f>
        <v>6.31</v>
      </c>
      <c r="P213">
        <f>PI()*J213*1/1000</f>
        <v>0.10053096491487339</v>
      </c>
    </row>
    <row r="214">
      <c r="C214" t="str">
        <v>DB 35</v>
      </c>
      <c r="E214" t="str">
        <v>SGJ, SHC</v>
      </c>
      <c r="H214">
        <v>12</v>
      </c>
      <c r="I214">
        <v>90.1</v>
      </c>
      <c r="J214">
        <v>35</v>
      </c>
      <c r="O214">
        <f>I214/H214</f>
        <v>7.508333333333333</v>
      </c>
      <c r="P214">
        <f>PI()*J214*1/1000</f>
        <v>0.10995574287564276</v>
      </c>
    </row>
    <row r="215">
      <c r="C215" t="str">
        <v>DB 36</v>
      </c>
      <c r="E215" t="str">
        <v>SHC</v>
      </c>
      <c r="H215">
        <v>12</v>
      </c>
      <c r="I215">
        <v>95.88</v>
      </c>
      <c r="J215">
        <v>36</v>
      </c>
      <c r="O215">
        <f>I215/H215</f>
        <v>7.989999999999999</v>
      </c>
      <c r="P215">
        <f>PI()*J215*1/1000</f>
        <v>0.11309733552923255</v>
      </c>
    </row>
    <row r="216">
      <c r="C216" t="str">
        <v>DB 38</v>
      </c>
      <c r="E216" t="str">
        <v>SGJ, SHC</v>
      </c>
      <c r="H216">
        <v>12</v>
      </c>
      <c r="I216">
        <v>107</v>
      </c>
      <c r="J216">
        <v>38</v>
      </c>
      <c r="O216">
        <f>I216/H216</f>
        <v>8.916666666666666</v>
      </c>
      <c r="P216">
        <f>PI()*J216*1/1000</f>
        <v>0.11938052083641214</v>
      </c>
    </row>
    <row r="217">
      <c r="C217" t="str">
        <v>DB 41</v>
      </c>
      <c r="E217" t="str">
        <v>SGJ, SHC</v>
      </c>
      <c r="H217">
        <v>12</v>
      </c>
      <c r="I217">
        <v>126</v>
      </c>
      <c r="J217">
        <v>41</v>
      </c>
      <c r="O217">
        <f>I217/H217</f>
        <v>10.5</v>
      </c>
      <c r="P217">
        <f>PI()*J217*1/1000</f>
        <v>0.1288052987971815</v>
      </c>
    </row>
    <row r="218">
      <c r="B218" t="str">
        <v>Lipped Channel (CNP)</v>
      </c>
      <c r="C218" t="str">
        <v>CNP 60x30x10x1,6</v>
      </c>
      <c r="D218" t="str">
        <v>ALIM</v>
      </c>
      <c r="H218">
        <v>6</v>
      </c>
      <c r="I218">
        <f>O218*H218</f>
        <v>9.756</v>
      </c>
      <c r="J218">
        <v>60</v>
      </c>
      <c r="K218">
        <v>30</v>
      </c>
      <c r="L218">
        <v>10</v>
      </c>
      <c r="M218">
        <v>1.6</v>
      </c>
      <c r="O218">
        <v>1.626</v>
      </c>
      <c r="P218">
        <f>(2*J218+4*K218+4*L218-4*M218)*1/1000</f>
        <v>0.2736</v>
      </c>
    </row>
    <row r="219">
      <c r="C219" t="str">
        <v>CNP 60x30x10x2</v>
      </c>
      <c r="D219" t="str">
        <v>ALIM</v>
      </c>
      <c r="H219">
        <v>6</v>
      </c>
      <c r="I219">
        <f>O219*H219</f>
        <v>11.952</v>
      </c>
      <c r="J219">
        <v>60</v>
      </c>
      <c r="K219">
        <v>30</v>
      </c>
      <c r="L219">
        <v>10</v>
      </c>
      <c r="M219">
        <v>2</v>
      </c>
      <c r="O219">
        <v>1.992</v>
      </c>
      <c r="P219">
        <f>(2*J219+4*K219+4*L219-4*M219)*1/1000</f>
        <v>0.272</v>
      </c>
    </row>
    <row r="220">
      <c r="C220" t="str">
        <v>CNP 60x30x10x2,3</v>
      </c>
      <c r="D220" t="str">
        <v>ALIM</v>
      </c>
      <c r="H220">
        <v>6</v>
      </c>
      <c r="I220">
        <f>O220*H220</f>
        <v>13.53</v>
      </c>
      <c r="J220">
        <v>60</v>
      </c>
      <c r="K220">
        <v>30</v>
      </c>
      <c r="L220">
        <v>10</v>
      </c>
      <c r="M220">
        <v>2.3</v>
      </c>
      <c r="O220">
        <v>2.255</v>
      </c>
      <c r="P220">
        <f>(2*J220+4*K220+4*L220-4*M220)*1/1000</f>
        <v>0.2708</v>
      </c>
    </row>
    <row r="221">
      <c r="C221" t="str">
        <v>CNP 75x35x15x1,6</v>
      </c>
      <c r="D221" t="str">
        <v>ALIM</v>
      </c>
      <c r="H221">
        <v>6</v>
      </c>
      <c r="I221">
        <f>O221*H221</f>
        <v>12.395999999999999</v>
      </c>
      <c r="J221">
        <v>75</v>
      </c>
      <c r="K221">
        <v>35</v>
      </c>
      <c r="L221">
        <v>15</v>
      </c>
      <c r="M221">
        <v>1.6</v>
      </c>
      <c r="O221">
        <v>2.066</v>
      </c>
      <c r="P221">
        <f>(2*J221+4*K221+4*L221-4*M221)*1/1000</f>
        <v>0.3436</v>
      </c>
    </row>
    <row r="222">
      <c r="C222" t="str">
        <v>CNP 75x35x15x2</v>
      </c>
      <c r="D222" t="str">
        <v>UNION, ALIM</v>
      </c>
      <c r="H222">
        <v>6</v>
      </c>
      <c r="I222">
        <f>O222*H222</f>
        <v>15.245999999999999</v>
      </c>
      <c r="J222">
        <v>75</v>
      </c>
      <c r="K222">
        <v>35</v>
      </c>
      <c r="L222">
        <v>15</v>
      </c>
      <c r="M222">
        <v>2</v>
      </c>
      <c r="O222">
        <v>2.541</v>
      </c>
      <c r="P222">
        <f>(2*J222+4*K222+4*L222-4*M222)*1/1000</f>
        <v>0.342</v>
      </c>
    </row>
    <row r="223">
      <c r="C223" t="str">
        <v>CNP 75x35x15x2,3</v>
      </c>
      <c r="D223" t="str">
        <v>ALIM</v>
      </c>
      <c r="H223">
        <v>6</v>
      </c>
      <c r="I223">
        <f>O223*H223</f>
        <v>17.322</v>
      </c>
      <c r="J223">
        <v>75</v>
      </c>
      <c r="K223">
        <v>35</v>
      </c>
      <c r="L223">
        <v>15</v>
      </c>
      <c r="M223">
        <v>2.3</v>
      </c>
      <c r="O223">
        <v>2.887</v>
      </c>
      <c r="P223">
        <f>(2*J223+4*K223+4*L223-4*M223)*1/1000</f>
        <v>0.3408</v>
      </c>
    </row>
    <row r="224">
      <c r="C224" t="str">
        <v>CNP 75x45x15x1,6</v>
      </c>
      <c r="D224" t="str">
        <v>ALIM</v>
      </c>
      <c r="E224" t="str">
        <v>SGJ</v>
      </c>
      <c r="H224">
        <v>6</v>
      </c>
      <c r="I224">
        <v>13.92</v>
      </c>
      <c r="J224">
        <v>75</v>
      </c>
      <c r="K224">
        <v>45</v>
      </c>
      <c r="L224">
        <v>15</v>
      </c>
      <c r="M224">
        <v>1.6</v>
      </c>
      <c r="O224">
        <f>I224/H224</f>
        <v>2.32</v>
      </c>
      <c r="P224">
        <f>H224*(0.25*22/7*I224^2)*O224/1000000</f>
        <v>0.0021192507977142853</v>
      </c>
    </row>
    <row r="225">
      <c r="C225" t="str">
        <v>CNP 75x45x15x2</v>
      </c>
      <c r="D225" t="str">
        <v>UNION, ALIM</v>
      </c>
      <c r="H225">
        <v>6</v>
      </c>
      <c r="I225">
        <f>O225*H225</f>
        <v>17.31</v>
      </c>
      <c r="J225">
        <v>75</v>
      </c>
      <c r="K225">
        <v>45</v>
      </c>
      <c r="L225">
        <v>15</v>
      </c>
      <c r="M225">
        <v>2</v>
      </c>
      <c r="O225">
        <v>2.885</v>
      </c>
      <c r="P225">
        <f>H225*(0.25*22/7*I225^2)*O225/1000000</f>
        <v>0.004075264985785713</v>
      </c>
    </row>
    <row r="226">
      <c r="C226" t="str">
        <v>CNP 75x45x15x2,3</v>
      </c>
      <c r="D226" t="str">
        <v>UNION, ALIM</v>
      </c>
      <c r="E226" t="str">
        <v>SGJ</v>
      </c>
      <c r="H226">
        <v>6</v>
      </c>
      <c r="I226">
        <v>19.5</v>
      </c>
      <c r="J226">
        <v>75</v>
      </c>
      <c r="K226">
        <v>45</v>
      </c>
      <c r="L226">
        <v>15</v>
      </c>
      <c r="M226">
        <v>2.3</v>
      </c>
      <c r="O226">
        <f>I226/H226</f>
        <v>3.25</v>
      </c>
      <c r="P226">
        <f>(2*J226+4*K226+4*L226-4*M226)*1/1000</f>
        <v>0.3808</v>
      </c>
    </row>
    <row r="227">
      <c r="C227" t="str">
        <v>CNP 100x50x20x1,6</v>
      </c>
      <c r="D227" t="str">
        <v>ALIM</v>
      </c>
      <c r="E227" t="str">
        <v>SGJ</v>
      </c>
      <c r="H227">
        <v>6</v>
      </c>
      <c r="I227">
        <v>17.5</v>
      </c>
      <c r="J227">
        <v>100</v>
      </c>
      <c r="K227">
        <v>50</v>
      </c>
      <c r="L227">
        <v>20</v>
      </c>
      <c r="M227">
        <v>1.6</v>
      </c>
      <c r="O227">
        <f>I227/H227</f>
        <v>2.9166666666666665</v>
      </c>
      <c r="P227">
        <f>H227*(0.25*22/7*I227^2)*O227/1000000</f>
        <v>0.0042109375</v>
      </c>
    </row>
    <row r="228">
      <c r="C228" t="str">
        <v>CNP 100x50x20x2</v>
      </c>
      <c r="D228" t="str">
        <v>UNION, ALIM</v>
      </c>
      <c r="H228">
        <v>6</v>
      </c>
      <c r="I228">
        <f>O228*H228</f>
        <v>21.372</v>
      </c>
      <c r="J228">
        <v>100</v>
      </c>
      <c r="K228">
        <v>50</v>
      </c>
      <c r="L228">
        <v>20</v>
      </c>
      <c r="M228">
        <v>2</v>
      </c>
      <c r="O228">
        <v>3.562</v>
      </c>
      <c r="P228">
        <f>(2*J228+4*K228+4*L228-4*M228)*1/1000</f>
        <v>0.472</v>
      </c>
    </row>
    <row r="229">
      <c r="C229" t="str">
        <v>CNP 100x50x20x2,3</v>
      </c>
      <c r="D229" t="str">
        <v>GG, UNION, ALIM</v>
      </c>
      <c r="E229" t="str">
        <v>SGJ</v>
      </c>
      <c r="H229">
        <v>6</v>
      </c>
      <c r="I229">
        <v>24.4</v>
      </c>
      <c r="J229">
        <v>100</v>
      </c>
      <c r="K229">
        <v>50</v>
      </c>
      <c r="L229">
        <v>20</v>
      </c>
      <c r="M229">
        <v>2.3</v>
      </c>
      <c r="O229">
        <f>I229/H229</f>
        <v>4.066666666666666</v>
      </c>
      <c r="P229">
        <f>H229*(0.25*22/7*I229^2)*O229/1000000</f>
        <v>0.011413901714285713</v>
      </c>
    </row>
    <row r="230">
      <c r="C230" t="str">
        <v>CNP 100x50x20x2,8</v>
      </c>
      <c r="D230" t="str">
        <v>GG, ALIM</v>
      </c>
      <c r="H230">
        <v>6</v>
      </c>
      <c r="I230">
        <f>O230*H230</f>
        <v>29.22</v>
      </c>
      <c r="J230">
        <v>100</v>
      </c>
      <c r="K230">
        <v>50</v>
      </c>
      <c r="L230">
        <v>20</v>
      </c>
      <c r="M230">
        <v>2.8</v>
      </c>
      <c r="O230">
        <v>4.87</v>
      </c>
      <c r="P230">
        <f>(2*J230+4*K230+4*L230-4*M230)*1/1000</f>
        <v>0.4688</v>
      </c>
    </row>
    <row r="231">
      <c r="C231" t="str">
        <v>CNP 100x50x20x3</v>
      </c>
      <c r="D231" t="str">
        <v>UNION</v>
      </c>
      <c r="H231">
        <v>6</v>
      </c>
      <c r="I231">
        <f>O231*H231</f>
        <v>31.08</v>
      </c>
      <c r="J231">
        <v>100</v>
      </c>
      <c r="K231">
        <v>50</v>
      </c>
      <c r="L231">
        <v>20</v>
      </c>
      <c r="M231">
        <v>3</v>
      </c>
      <c r="O231">
        <v>5.18</v>
      </c>
      <c r="P231">
        <f>H231*(0.25*22/7*I231^2)*O231/1000000</f>
        <v>0.023588899487999998</v>
      </c>
    </row>
    <row r="232">
      <c r="C232" t="str">
        <v>CNP 100x50x20x3,2</v>
      </c>
      <c r="D232" t="str">
        <v>GG, UNION, ALIM</v>
      </c>
      <c r="E232" t="str">
        <v>SGJ</v>
      </c>
      <c r="H232">
        <v>6</v>
      </c>
      <c r="I232">
        <f>O232*H232</f>
        <v>33</v>
      </c>
      <c r="J232">
        <v>100</v>
      </c>
      <c r="K232">
        <v>50</v>
      </c>
      <c r="L232">
        <v>20</v>
      </c>
      <c r="M232">
        <v>3.2</v>
      </c>
      <c r="O232">
        <v>5.5</v>
      </c>
      <c r="P232">
        <f>(2*J232+4*K232+4*L232-4*M232)*1/1000</f>
        <v>0.4672</v>
      </c>
    </row>
    <row r="233">
      <c r="C233" t="str">
        <v>CNP 125x50x20x2</v>
      </c>
      <c r="D233" t="str">
        <v>UNION</v>
      </c>
      <c r="H233">
        <v>6</v>
      </c>
      <c r="I233">
        <f>O233*H233</f>
        <v>23.700000000000003</v>
      </c>
      <c r="J233">
        <v>125</v>
      </c>
      <c r="K233">
        <v>50</v>
      </c>
      <c r="L233">
        <v>20</v>
      </c>
      <c r="M233">
        <v>2</v>
      </c>
      <c r="O233">
        <v>3.95</v>
      </c>
      <c r="P233">
        <f>H233*(0.25*22/7*I233^2)*O233/1000000</f>
        <v>0.010459470214285718</v>
      </c>
    </row>
    <row r="234">
      <c r="C234" t="str">
        <v>CNP 125x50x20x2,3</v>
      </c>
      <c r="D234" t="str">
        <v>GG, UNION, ALIM</v>
      </c>
      <c r="E234" t="str">
        <v>SGJ</v>
      </c>
      <c r="H234">
        <v>6</v>
      </c>
      <c r="I234">
        <f>O234*H234</f>
        <v>27.06</v>
      </c>
      <c r="J234">
        <v>125</v>
      </c>
      <c r="K234">
        <v>50</v>
      </c>
      <c r="L234">
        <v>20</v>
      </c>
      <c r="M234">
        <v>2.3</v>
      </c>
      <c r="O234">
        <v>4.51</v>
      </c>
      <c r="P234">
        <f>(2*J234+4*K234+4*L234-4*M234)*1/1000</f>
        <v>0.5207999999999999</v>
      </c>
    </row>
    <row r="235">
      <c r="C235" t="str">
        <v>CNP 125x50x20x3</v>
      </c>
      <c r="D235" t="str">
        <v>UNION</v>
      </c>
      <c r="H235">
        <v>6</v>
      </c>
      <c r="I235">
        <f>O235*H235</f>
        <v>34.62</v>
      </c>
      <c r="J235">
        <v>125</v>
      </c>
      <c r="K235">
        <v>50</v>
      </c>
      <c r="L235">
        <v>20</v>
      </c>
      <c r="M235">
        <v>3</v>
      </c>
      <c r="O235">
        <v>5.77</v>
      </c>
      <c r="P235">
        <f>H235*(0.25*22/7*I235^2)*O235/1000000</f>
        <v>0.0326021198862857</v>
      </c>
    </row>
    <row r="236">
      <c r="C236" t="str">
        <v>CNP 125x50x20x3,2</v>
      </c>
      <c r="D236" t="str">
        <v>GG, UNION, ALIM</v>
      </c>
      <c r="E236" t="str">
        <v>SGJ</v>
      </c>
      <c r="H236">
        <v>6</v>
      </c>
      <c r="I236">
        <f>O236*H236</f>
        <v>36.78</v>
      </c>
      <c r="J236">
        <v>125</v>
      </c>
      <c r="K236">
        <v>50</v>
      </c>
      <c r="L236">
        <v>20</v>
      </c>
      <c r="M236">
        <v>3.2</v>
      </c>
      <c r="O236">
        <v>6.13</v>
      </c>
      <c r="P236">
        <f>(2*J236+4*K236+4*L236-4*M236)*1/1000</f>
        <v>0.5172</v>
      </c>
    </row>
    <row r="237">
      <c r="C237" t="str">
        <v>CNP 150x50x20x2</v>
      </c>
      <c r="D237" t="str">
        <v>UNION</v>
      </c>
      <c r="H237">
        <v>6</v>
      </c>
      <c r="I237">
        <f>O237*H237</f>
        <v>26.04</v>
      </c>
      <c r="J237">
        <v>150</v>
      </c>
      <c r="K237">
        <v>50</v>
      </c>
      <c r="L237">
        <v>20</v>
      </c>
      <c r="M237">
        <v>2</v>
      </c>
      <c r="O237">
        <v>4.34</v>
      </c>
      <c r="P237">
        <f>H237*(0.25*22/7*I237^2)*O237/1000000</f>
        <v>0.013873549535999997</v>
      </c>
    </row>
    <row r="238">
      <c r="C238" t="str">
        <v>CNP 150x50x20x2,3</v>
      </c>
      <c r="D238" t="str">
        <v>GG, UNION, ALIM</v>
      </c>
      <c r="E238" t="str">
        <v>SGJ</v>
      </c>
      <c r="H238">
        <v>6</v>
      </c>
      <c r="I238">
        <f>O238*H238</f>
        <v>29.759999999999998</v>
      </c>
      <c r="J238">
        <v>150</v>
      </c>
      <c r="K238">
        <v>50</v>
      </c>
      <c r="L238">
        <v>20</v>
      </c>
      <c r="M238">
        <v>2.3</v>
      </c>
      <c r="O238">
        <v>4.96</v>
      </c>
      <c r="P238">
        <f>(2*J238+4*K238+4*L238-4*M238)*1/1000</f>
        <v>0.5708</v>
      </c>
    </row>
    <row r="239">
      <c r="C239" t="str">
        <v>CNP 150x50x20x3</v>
      </c>
      <c r="D239" t="str">
        <v>UNION</v>
      </c>
      <c r="H239">
        <v>6</v>
      </c>
      <c r="I239">
        <f>O239*H239</f>
        <v>38.160000000000004</v>
      </c>
      <c r="J239">
        <v>150</v>
      </c>
      <c r="K239">
        <v>50</v>
      </c>
      <c r="L239">
        <v>20</v>
      </c>
      <c r="M239">
        <v>3</v>
      </c>
      <c r="O239">
        <v>6.36</v>
      </c>
      <c r="P239">
        <f>H239*(0.25*22/7*I239^2)*O239/1000000</f>
        <v>0.04366060481828572</v>
      </c>
    </row>
    <row r="240">
      <c r="C240" t="str">
        <v>CNP 150x50x20x3,2</v>
      </c>
      <c r="D240" t="str">
        <v>GG, UNION, ALIM</v>
      </c>
      <c r="E240" t="str">
        <v>SGJ</v>
      </c>
      <c r="H240">
        <v>6</v>
      </c>
      <c r="I240">
        <f>O240*H240</f>
        <v>40.56</v>
      </c>
      <c r="J240">
        <v>150</v>
      </c>
      <c r="K240">
        <v>50</v>
      </c>
      <c r="L240">
        <v>20</v>
      </c>
      <c r="M240">
        <v>3.2</v>
      </c>
      <c r="O240">
        <v>6.76</v>
      </c>
    </row>
    <row r="241">
      <c r="C241" t="str">
        <v>CNP 150x65x20x2</v>
      </c>
      <c r="D241" t="str">
        <v>UNION</v>
      </c>
      <c r="H241">
        <v>6</v>
      </c>
      <c r="I241">
        <f>O241*H241</f>
        <v>28.86</v>
      </c>
      <c r="J241">
        <v>150</v>
      </c>
      <c r="K241">
        <v>65</v>
      </c>
      <c r="L241">
        <v>20</v>
      </c>
      <c r="M241">
        <v>2</v>
      </c>
      <c r="O241">
        <v>4.81</v>
      </c>
      <c r="P241">
        <f>(2*J241+4*K241+4*L241-4*M241)*1/1000</f>
        <v>0.632</v>
      </c>
    </row>
    <row r="242">
      <c r="C242" t="str">
        <v>CNP 150x65x20x2,3</v>
      </c>
      <c r="D242" t="str">
        <v>GG, UNION, ALIM</v>
      </c>
      <c r="E242" t="str">
        <v>SGJ</v>
      </c>
      <c r="H242">
        <v>6</v>
      </c>
      <c r="I242">
        <f>O242*H242</f>
        <v>33</v>
      </c>
      <c r="J242">
        <v>150</v>
      </c>
      <c r="K242">
        <v>65</v>
      </c>
      <c r="L242">
        <v>20</v>
      </c>
      <c r="M242">
        <v>2.3</v>
      </c>
      <c r="O242">
        <v>5.5</v>
      </c>
      <c r="P242">
        <f>(2*J242+4*K242+4*L242-4*M242)*1/1000</f>
        <v>0.6307999999999999</v>
      </c>
    </row>
    <row r="243">
      <c r="C243" t="str">
        <v>CNP 150x65x20x3</v>
      </c>
      <c r="D243" t="str">
        <v>UNION</v>
      </c>
      <c r="H243">
        <v>6</v>
      </c>
      <c r="I243">
        <f>O243*H243</f>
        <v>42.42</v>
      </c>
      <c r="J243">
        <v>150</v>
      </c>
      <c r="K243">
        <v>65</v>
      </c>
      <c r="L243">
        <v>20</v>
      </c>
      <c r="M243">
        <v>3</v>
      </c>
      <c r="O243">
        <v>7.07</v>
      </c>
      <c r="P243">
        <f>(2*J243+4*K243+4*L243-4*M243)*1/1000</f>
        <v>0.628</v>
      </c>
    </row>
    <row r="244">
      <c r="C244" t="str">
        <v>CNP 150x65x20x3,2</v>
      </c>
      <c r="D244" t="str">
        <v>GG, UNION, ALIM</v>
      </c>
      <c r="E244" t="str">
        <v>SGJ</v>
      </c>
      <c r="H244">
        <v>6</v>
      </c>
      <c r="I244">
        <f>O244*H244</f>
        <v>45.06</v>
      </c>
      <c r="J244">
        <v>150</v>
      </c>
      <c r="K244">
        <v>65</v>
      </c>
      <c r="L244">
        <v>20</v>
      </c>
      <c r="M244">
        <v>3.2</v>
      </c>
      <c r="O244">
        <v>7.51</v>
      </c>
      <c r="P244">
        <f>P242/P243</f>
        <v>1.0044585987261145</v>
      </c>
    </row>
    <row r="245">
      <c r="C245" t="str">
        <v>CNP 200x75x20x2,3</v>
      </c>
      <c r="D245" t="str">
        <v>UNION</v>
      </c>
      <c r="H245">
        <v>6</v>
      </c>
      <c r="I245">
        <f>O245*H245</f>
        <v>40.56</v>
      </c>
      <c r="J245">
        <v>200</v>
      </c>
      <c r="K245">
        <v>75</v>
      </c>
      <c r="L245">
        <v>20</v>
      </c>
      <c r="M245">
        <v>2.3</v>
      </c>
      <c r="O245">
        <v>6.76</v>
      </c>
      <c r="P245">
        <f>(2*J245+4*K245+4*L245-4*M245)*1/1000</f>
        <v>0.7707999999999999</v>
      </c>
    </row>
    <row r="246">
      <c r="C246" t="str">
        <v>CNP 200x75x20x3</v>
      </c>
      <c r="D246" t="str">
        <v>UNION</v>
      </c>
      <c r="H246">
        <v>6</v>
      </c>
      <c r="I246">
        <f>O246*H246</f>
        <v>52.32000000000001</v>
      </c>
      <c r="J246">
        <v>200</v>
      </c>
      <c r="K246">
        <v>75</v>
      </c>
      <c r="L246">
        <v>20</v>
      </c>
      <c r="M246">
        <v>3</v>
      </c>
      <c r="O246">
        <v>8.72</v>
      </c>
      <c r="P246">
        <f>(2*J246+4*K246+4*L246-4*M246)*1/1000</f>
        <v>0.768</v>
      </c>
    </row>
    <row r="247">
      <c r="C247" t="str">
        <v>CNP 200x75x20x3,2</v>
      </c>
      <c r="D247" t="str">
        <v>GG, UNION</v>
      </c>
      <c r="E247" t="str">
        <v>SGJ</v>
      </c>
      <c r="H247">
        <v>6</v>
      </c>
      <c r="I247">
        <f>O247*H247</f>
        <v>55.62</v>
      </c>
      <c r="J247">
        <v>200</v>
      </c>
      <c r="K247">
        <v>75</v>
      </c>
      <c r="L247">
        <v>20</v>
      </c>
      <c r="M247">
        <v>3.2</v>
      </c>
      <c r="O247">
        <v>9.27</v>
      </c>
      <c r="P247">
        <f>(2*J247+4*K247+4*L247-4*M247)*1/1000</f>
        <v>0.7672</v>
      </c>
    </row>
    <row r="248">
      <c r="C248" t="str">
        <v>CNP 200x75x20x4</v>
      </c>
      <c r="D248" t="str">
        <v>GG</v>
      </c>
      <c r="H248">
        <v>6</v>
      </c>
      <c r="I248">
        <f>O248*H248</f>
        <v>68.4</v>
      </c>
      <c r="J248">
        <v>200</v>
      </c>
      <c r="K248">
        <v>75</v>
      </c>
      <c r="L248">
        <v>20</v>
      </c>
      <c r="M248">
        <v>4</v>
      </c>
      <c r="O248">
        <v>11.4</v>
      </c>
      <c r="P248">
        <f>(2*J248+4*K248+4*L248-4*M248)*1/1000</f>
        <v>0.764</v>
      </c>
    </row>
    <row r="249">
      <c r="B249" t="str">
        <v>C Channel</v>
      </c>
      <c r="C249" t="str">
        <v>C 50x25x1,2</v>
      </c>
      <c r="E249" t="str">
        <v>SHC</v>
      </c>
      <c r="H249">
        <v>6</v>
      </c>
      <c r="I249">
        <v>5.8</v>
      </c>
      <c r="J249">
        <v>50</v>
      </c>
      <c r="K249">
        <v>25</v>
      </c>
      <c r="L249">
        <v>10</v>
      </c>
      <c r="M249">
        <v>1.2</v>
      </c>
      <c r="O249">
        <f>I249/H249</f>
        <v>0.9666666666666667</v>
      </c>
      <c r="P249">
        <f>(2*J249+4*K249+4*L249-4*M249)*1/1000</f>
        <v>0.2352</v>
      </c>
    </row>
    <row r="250">
      <c r="C250" t="str">
        <v>C 50x25x1,4</v>
      </c>
      <c r="E250" t="str">
        <v>SHC</v>
      </c>
      <c r="H250">
        <v>6</v>
      </c>
      <c r="I250">
        <v>7.5</v>
      </c>
      <c r="J250">
        <v>50</v>
      </c>
      <c r="K250">
        <v>25</v>
      </c>
      <c r="L250">
        <v>10</v>
      </c>
      <c r="M250">
        <v>1.4</v>
      </c>
      <c r="O250">
        <f>I250/H250</f>
        <v>1.25</v>
      </c>
      <c r="P250">
        <f>(2*J250+4*K250+4*L250-4*M250)*1/1000</f>
        <v>0.2344</v>
      </c>
    </row>
    <row r="251">
      <c r="C251" t="str">
        <v>C 50x25x1,6</v>
      </c>
      <c r="E251" t="str">
        <v>SHC</v>
      </c>
      <c r="H251">
        <v>6</v>
      </c>
      <c r="I251">
        <v>8.7</v>
      </c>
      <c r="J251">
        <v>50</v>
      </c>
      <c r="K251">
        <v>25</v>
      </c>
      <c r="L251">
        <v>10</v>
      </c>
      <c r="M251">
        <v>1.6</v>
      </c>
      <c r="O251">
        <f>I251/H251</f>
        <v>1.45</v>
      </c>
      <c r="P251">
        <f>(2*J251+4*K251+4*L251-4*M251)*1/1000</f>
        <v>0.2336</v>
      </c>
    </row>
    <row r="252">
      <c r="C252" t="str">
        <v>C 50x25x1,8</v>
      </c>
      <c r="E252" t="str">
        <v>SHC</v>
      </c>
      <c r="H252">
        <v>6</v>
      </c>
      <c r="I252">
        <v>9.9</v>
      </c>
      <c r="J252">
        <v>50</v>
      </c>
      <c r="K252">
        <v>25</v>
      </c>
      <c r="L252">
        <v>10</v>
      </c>
      <c r="M252">
        <v>1.8</v>
      </c>
      <c r="O252">
        <f>I252/H252</f>
        <v>1.6500000000000001</v>
      </c>
      <c r="P252">
        <f>(2*J252+4*K252+4*L252-4*M252)*1/1000</f>
        <v>0.2328</v>
      </c>
    </row>
    <row r="253">
      <c r="C253" t="str">
        <v>C 60x30x1,2</v>
      </c>
      <c r="E253" t="str">
        <v>SHC</v>
      </c>
      <c r="H253">
        <v>6</v>
      </c>
      <c r="I253">
        <v>6.95</v>
      </c>
      <c r="J253">
        <v>60</v>
      </c>
      <c r="K253">
        <v>30</v>
      </c>
      <c r="L253">
        <v>10</v>
      </c>
      <c r="M253">
        <v>1.2</v>
      </c>
      <c r="O253">
        <f>I253/H253</f>
        <v>1.1583333333333334</v>
      </c>
      <c r="P253">
        <f>(2*J253+4*K253+4*L253-4*M253)*1/1000</f>
        <v>0.2752</v>
      </c>
    </row>
    <row r="254">
      <c r="C254" t="str">
        <v>C 60x30x1,4</v>
      </c>
      <c r="E254" t="str">
        <v>SHC</v>
      </c>
      <c r="H254">
        <v>6</v>
      </c>
      <c r="I254">
        <v>8.1</v>
      </c>
      <c r="J254">
        <v>60</v>
      </c>
      <c r="K254">
        <v>30</v>
      </c>
      <c r="L254">
        <v>10</v>
      </c>
      <c r="M254">
        <v>1.4</v>
      </c>
      <c r="O254">
        <f>I254/H254</f>
        <v>1.3499999999999999</v>
      </c>
      <c r="P254">
        <f>(2*J254+4*K254+4*L254-4*M254)*1/1000</f>
        <v>0.2744</v>
      </c>
    </row>
    <row r="255">
      <c r="C255" t="str">
        <v>C 60x30x1,6</v>
      </c>
      <c r="E255" t="str">
        <v>SHC</v>
      </c>
      <c r="H255">
        <v>6</v>
      </c>
      <c r="I255">
        <v>9.27</v>
      </c>
      <c r="J255">
        <v>60</v>
      </c>
      <c r="K255">
        <v>30</v>
      </c>
      <c r="L255">
        <v>10</v>
      </c>
      <c r="M255">
        <v>1.6</v>
      </c>
      <c r="O255">
        <f>I255/H255</f>
        <v>1.545</v>
      </c>
      <c r="P255">
        <f>(2*J255+4*K255+4*L255-4*M255)*1/1000</f>
        <v>0.2736</v>
      </c>
    </row>
    <row r="256">
      <c r="C256" t="str">
        <v>C 60x30x1,8</v>
      </c>
      <c r="E256" t="str">
        <v>SHC</v>
      </c>
      <c r="H256">
        <v>6</v>
      </c>
      <c r="I256">
        <v>10.5</v>
      </c>
      <c r="J256">
        <v>60</v>
      </c>
      <c r="K256">
        <v>30</v>
      </c>
      <c r="L256">
        <v>10</v>
      </c>
      <c r="M256">
        <v>1.8</v>
      </c>
      <c r="O256">
        <f>I256/H256</f>
        <v>1.75</v>
      </c>
      <c r="P256">
        <f>(2*J256+4*K256+4*L256-4*M256)*1/1000</f>
        <v>0.2728</v>
      </c>
    </row>
    <row r="257">
      <c r="C257" t="str">
        <v>C 60x30x2</v>
      </c>
      <c r="E257" t="str">
        <v>SHC</v>
      </c>
      <c r="H257">
        <v>6</v>
      </c>
      <c r="I257">
        <v>11.6</v>
      </c>
      <c r="J257">
        <v>60</v>
      </c>
      <c r="K257">
        <v>30</v>
      </c>
      <c r="L257">
        <v>10</v>
      </c>
      <c r="M257">
        <v>2</v>
      </c>
      <c r="O257">
        <f>I257/H257</f>
        <v>1.9333333333333333</v>
      </c>
      <c r="P257">
        <f>(2*J257+4*K257+4*L257-4*M257)*1/1000</f>
        <v>0.272</v>
      </c>
    </row>
    <row r="258">
      <c r="C258" t="str">
        <v>C 70x30x1,2</v>
      </c>
      <c r="E258" t="str">
        <v>SHC</v>
      </c>
      <c r="H258">
        <v>6</v>
      </c>
      <c r="I258">
        <v>7.86</v>
      </c>
      <c r="J258">
        <v>70</v>
      </c>
      <c r="K258">
        <v>30</v>
      </c>
      <c r="L258">
        <v>15</v>
      </c>
      <c r="M258">
        <v>1.2</v>
      </c>
      <c r="O258">
        <f>I258/H258</f>
        <v>1.31</v>
      </c>
      <c r="P258">
        <f>(2*J258+4*K258+4*L258-4*M258)*1/1000</f>
        <v>0.3152</v>
      </c>
    </row>
    <row r="259">
      <c r="C259" t="str">
        <v>C 70x30x1,4</v>
      </c>
      <c r="E259" t="str">
        <v>SHC</v>
      </c>
      <c r="H259">
        <v>6</v>
      </c>
      <c r="I259">
        <v>9.17</v>
      </c>
      <c r="J259">
        <v>70</v>
      </c>
      <c r="K259">
        <v>30</v>
      </c>
      <c r="L259">
        <v>15</v>
      </c>
      <c r="M259">
        <v>1.4</v>
      </c>
      <c r="O259">
        <f>I259/H259</f>
        <v>1.5283333333333333</v>
      </c>
      <c r="P259">
        <f>(2*J259+4*K259+4*L259-4*M259)*1/1000</f>
        <v>0.31439999999999996</v>
      </c>
    </row>
    <row r="260">
      <c r="C260" t="str">
        <v>C 70x30x1,6</v>
      </c>
      <c r="E260" t="str">
        <v>SHC</v>
      </c>
      <c r="H260">
        <v>6</v>
      </c>
      <c r="I260">
        <v>10.5</v>
      </c>
      <c r="J260">
        <v>70</v>
      </c>
      <c r="K260">
        <v>30</v>
      </c>
      <c r="L260">
        <v>15</v>
      </c>
      <c r="M260">
        <v>1.6</v>
      </c>
      <c r="O260">
        <f>I260/H260</f>
        <v>1.75</v>
      </c>
      <c r="P260">
        <f>(2*J260+4*K260+4*L260-4*M260)*1/1000</f>
        <v>0.31360000000000005</v>
      </c>
    </row>
    <row r="261">
      <c r="C261" t="str">
        <v>C 70x30x1,8</v>
      </c>
      <c r="E261" t="str">
        <v>SHC</v>
      </c>
      <c r="H261">
        <v>6</v>
      </c>
      <c r="I261">
        <v>11.8</v>
      </c>
      <c r="J261">
        <v>70</v>
      </c>
      <c r="K261">
        <v>30</v>
      </c>
      <c r="L261">
        <v>15</v>
      </c>
      <c r="M261">
        <v>1.8</v>
      </c>
      <c r="O261">
        <f>I261/H261</f>
        <v>1.9666666666666668</v>
      </c>
      <c r="P261">
        <f>(2*J261+4*K261+4*L261-4*M261)*1/1000</f>
        <v>0.3128</v>
      </c>
    </row>
    <row r="262">
      <c r="C262" t="str">
        <v>C 70x30x2</v>
      </c>
      <c r="E262" t="str">
        <v>SHC</v>
      </c>
      <c r="H262">
        <v>6</v>
      </c>
      <c r="I262">
        <v>13</v>
      </c>
      <c r="J262">
        <v>70</v>
      </c>
      <c r="K262">
        <v>30</v>
      </c>
      <c r="L262">
        <v>15</v>
      </c>
      <c r="M262">
        <v>2</v>
      </c>
      <c r="O262">
        <f>I262/H262</f>
        <v>2.1666666666666665</v>
      </c>
      <c r="P262">
        <f>(2*J262+4*K262+4*L262-4*M262)*1/1000</f>
        <v>0.312</v>
      </c>
    </row>
    <row r="263">
      <c r="C263" t="str">
        <v>C 75x35x1,2</v>
      </c>
      <c r="E263" t="str">
        <v>SHC</v>
      </c>
      <c r="H263">
        <v>6</v>
      </c>
      <c r="I263">
        <v>8.66</v>
      </c>
      <c r="J263">
        <v>75</v>
      </c>
      <c r="K263">
        <v>35</v>
      </c>
      <c r="L263">
        <v>15</v>
      </c>
      <c r="M263">
        <v>1.2</v>
      </c>
      <c r="O263">
        <f>I263/H263</f>
        <v>1.4433333333333334</v>
      </c>
      <c r="P263">
        <f>(2*J263+4*K263+4*L263-4*M263)*1/1000</f>
        <v>0.3452</v>
      </c>
    </row>
    <row r="264">
      <c r="C264" t="str">
        <v>C 75x35x1,4</v>
      </c>
      <c r="E264" t="str">
        <v>SHC</v>
      </c>
      <c r="H264">
        <v>6</v>
      </c>
      <c r="I264">
        <v>10.1</v>
      </c>
      <c r="J264">
        <v>75</v>
      </c>
      <c r="K264">
        <v>35</v>
      </c>
      <c r="L264">
        <v>15</v>
      </c>
      <c r="M264">
        <v>1.4</v>
      </c>
      <c r="O264">
        <f>I264/H264</f>
        <v>1.6833333333333333</v>
      </c>
      <c r="P264">
        <f>(2*J264+4*K264+4*L264-4*M264)*1/1000</f>
        <v>0.3444</v>
      </c>
    </row>
    <row r="265">
      <c r="C265" t="str">
        <v>C 75x35x1,6</v>
      </c>
      <c r="E265" t="str">
        <v>SHC</v>
      </c>
      <c r="H265">
        <v>6</v>
      </c>
      <c r="I265">
        <v>11.6</v>
      </c>
      <c r="J265">
        <v>75</v>
      </c>
      <c r="K265">
        <v>35</v>
      </c>
      <c r="L265">
        <v>15</v>
      </c>
      <c r="M265">
        <v>1.6</v>
      </c>
      <c r="O265">
        <f>I265/H265</f>
        <v>1.9333333333333333</v>
      </c>
      <c r="P265">
        <f>(2*J265+4*K265+4*L265-4*M265)*1/1000</f>
        <v>0.3436</v>
      </c>
    </row>
    <row r="266">
      <c r="C266" t="str">
        <v>C 75x35x1,8</v>
      </c>
      <c r="E266" t="str">
        <v>SHC</v>
      </c>
      <c r="H266">
        <v>6</v>
      </c>
      <c r="I266">
        <v>13</v>
      </c>
      <c r="J266">
        <v>75</v>
      </c>
      <c r="K266">
        <v>35</v>
      </c>
      <c r="L266">
        <v>15</v>
      </c>
      <c r="M266">
        <v>1.8</v>
      </c>
      <c r="O266">
        <f>I266/H266</f>
        <v>2.1666666666666665</v>
      </c>
      <c r="P266">
        <f>(2*J266+4*K266+4*L266-4*M266)*1/1000</f>
        <v>0.3428</v>
      </c>
    </row>
    <row r="267">
      <c r="C267" t="str">
        <v>C 75x35x2</v>
      </c>
      <c r="E267" t="str">
        <v>SHC</v>
      </c>
      <c r="H267">
        <v>6</v>
      </c>
      <c r="I267">
        <v>14.4</v>
      </c>
      <c r="J267">
        <v>75</v>
      </c>
      <c r="K267">
        <v>35</v>
      </c>
      <c r="L267">
        <v>15</v>
      </c>
      <c r="M267">
        <v>2</v>
      </c>
      <c r="O267">
        <f>I267/H267</f>
        <v>2.4</v>
      </c>
      <c r="P267">
        <f>(2*J267+4*K267+4*L267-4*M267)*1/1000</f>
        <v>0.342</v>
      </c>
    </row>
    <row r="268">
      <c r="C268" t="str">
        <v>C 75x45x1,2</v>
      </c>
      <c r="E268" t="str">
        <v>SHC</v>
      </c>
      <c r="H268">
        <v>6</v>
      </c>
      <c r="I268">
        <v>9.8</v>
      </c>
      <c r="J268">
        <v>75</v>
      </c>
      <c r="K268">
        <v>45</v>
      </c>
      <c r="L268">
        <v>15</v>
      </c>
      <c r="M268">
        <v>1.2</v>
      </c>
      <c r="O268">
        <f>I268/H268</f>
        <v>1.6333333333333335</v>
      </c>
      <c r="P268">
        <f>(2*J268+4*K268+4*L268-4*M268)*1/1000</f>
        <v>0.3852</v>
      </c>
    </row>
    <row r="269">
      <c r="C269" t="str">
        <v>C 75x45x1,4</v>
      </c>
      <c r="E269" t="str">
        <v>SHC</v>
      </c>
      <c r="H269">
        <v>6</v>
      </c>
      <c r="I269">
        <v>11.5</v>
      </c>
      <c r="J269">
        <v>75</v>
      </c>
      <c r="K269">
        <v>45</v>
      </c>
      <c r="L269">
        <v>15</v>
      </c>
      <c r="M269">
        <v>1.4</v>
      </c>
      <c r="O269">
        <f>I269/H269</f>
        <v>1.9166666666666667</v>
      </c>
      <c r="P269">
        <f>(2*J269+4*K269+4*L269-4*M269)*1/1000</f>
        <v>0.38439999999999996</v>
      </c>
    </row>
    <row r="270">
      <c r="C270" t="str">
        <v>C 75x45x1,6</v>
      </c>
      <c r="E270" t="str">
        <v>SHC</v>
      </c>
      <c r="H270">
        <v>6</v>
      </c>
      <c r="I270">
        <v>13.3</v>
      </c>
      <c r="J270">
        <v>75</v>
      </c>
      <c r="K270">
        <v>45</v>
      </c>
      <c r="L270">
        <v>15</v>
      </c>
      <c r="M270">
        <v>1.6</v>
      </c>
      <c r="O270">
        <f>I270/H270</f>
        <v>2.216666666666667</v>
      </c>
      <c r="P270">
        <f>(2*J270+4*K270+4*L270-4*M270)*1/1000</f>
        <v>0.3836</v>
      </c>
    </row>
    <row r="271">
      <c r="C271" t="str">
        <v>C 75x45x1,8</v>
      </c>
      <c r="E271" t="str">
        <v>SHC</v>
      </c>
      <c r="H271">
        <v>6</v>
      </c>
      <c r="I271">
        <v>15</v>
      </c>
      <c r="J271">
        <v>75</v>
      </c>
      <c r="K271">
        <v>45</v>
      </c>
      <c r="L271">
        <v>15</v>
      </c>
      <c r="M271">
        <v>1.8</v>
      </c>
      <c r="O271">
        <f>I271/H271</f>
        <v>2.5</v>
      </c>
      <c r="P271">
        <f>(2*J271+4*K271+4*L271-4*M271)*1/1000</f>
        <v>0.38280000000000003</v>
      </c>
    </row>
    <row r="272">
      <c r="C272" t="str">
        <v>C 75x45x2</v>
      </c>
      <c r="E272" t="str">
        <v>SHC</v>
      </c>
      <c r="H272">
        <v>6</v>
      </c>
      <c r="I272">
        <v>16.6</v>
      </c>
      <c r="J272">
        <v>75</v>
      </c>
      <c r="K272">
        <v>45</v>
      </c>
      <c r="L272">
        <v>15</v>
      </c>
      <c r="M272">
        <v>2</v>
      </c>
      <c r="O272">
        <f>I272/H272</f>
        <v>2.766666666666667</v>
      </c>
      <c r="P272">
        <f>(2*J272+4*K272+4*L272-4*M272)*1/1000</f>
        <v>0.382</v>
      </c>
    </row>
    <row r="273">
      <c r="C273" t="str">
        <v>C 75x45x2,2</v>
      </c>
      <c r="E273" t="str">
        <v>SHC</v>
      </c>
      <c r="H273">
        <v>6</v>
      </c>
      <c r="I273">
        <v>18.2</v>
      </c>
      <c r="J273">
        <v>75</v>
      </c>
      <c r="K273">
        <v>45</v>
      </c>
      <c r="L273">
        <v>15</v>
      </c>
      <c r="M273">
        <v>2.2</v>
      </c>
      <c r="O273">
        <f>I273/H273</f>
        <v>3.033333333333333</v>
      </c>
      <c r="P273">
        <f>(2*J273+4*K273+4*L273-4*M273)*1/1000</f>
        <v>0.3812</v>
      </c>
    </row>
    <row r="274">
      <c r="C274" t="str">
        <v>C 95x45x1,2</v>
      </c>
      <c r="E274" t="str">
        <v>SHC</v>
      </c>
      <c r="H274">
        <v>6</v>
      </c>
      <c r="I274">
        <v>11</v>
      </c>
      <c r="J274">
        <v>95</v>
      </c>
      <c r="K274">
        <v>45</v>
      </c>
      <c r="L274">
        <v>20</v>
      </c>
      <c r="M274">
        <v>1.2</v>
      </c>
      <c r="O274">
        <f>I274/H274</f>
        <v>1.8333333333333333</v>
      </c>
      <c r="P274">
        <f>(2*J274+4*K274+4*L274-4*M274)*1/1000</f>
        <v>0.4452</v>
      </c>
    </row>
    <row r="275">
      <c r="C275" t="str">
        <v>C 95x45x1,4</v>
      </c>
      <c r="E275" t="str">
        <v>SHC</v>
      </c>
      <c r="H275">
        <v>6</v>
      </c>
      <c r="I275">
        <v>12.8</v>
      </c>
      <c r="J275">
        <v>95</v>
      </c>
      <c r="K275">
        <v>45</v>
      </c>
      <c r="L275">
        <v>20</v>
      </c>
      <c r="M275">
        <v>1.4</v>
      </c>
      <c r="O275">
        <f>I275/H275</f>
        <v>2.1333333333333333</v>
      </c>
      <c r="P275">
        <f>(2*J275+4*K275+4*L275-4*M275)*1/1000</f>
        <v>0.44439999999999996</v>
      </c>
    </row>
    <row r="276">
      <c r="C276" t="str">
        <v>C 95x45x1,6</v>
      </c>
      <c r="E276" t="str">
        <v>SHC</v>
      </c>
      <c r="H276">
        <v>6</v>
      </c>
      <c r="I276">
        <v>14.6</v>
      </c>
      <c r="J276">
        <v>95</v>
      </c>
      <c r="K276">
        <v>45</v>
      </c>
      <c r="L276">
        <v>20</v>
      </c>
      <c r="M276">
        <v>1.6</v>
      </c>
      <c r="O276">
        <f>I276/H276</f>
        <v>2.433333333333333</v>
      </c>
      <c r="P276">
        <f>(2*J276+4*K276+4*L276-4*M276)*1/1000</f>
        <v>0.44360000000000005</v>
      </c>
    </row>
    <row r="277">
      <c r="C277" t="str">
        <v>C 95x45x1,8</v>
      </c>
      <c r="E277" t="str">
        <v>SHC</v>
      </c>
      <c r="H277">
        <v>6</v>
      </c>
      <c r="I277">
        <v>16.7</v>
      </c>
      <c r="J277">
        <v>95</v>
      </c>
      <c r="K277">
        <v>45</v>
      </c>
      <c r="L277">
        <v>20</v>
      </c>
      <c r="M277">
        <v>1.8</v>
      </c>
      <c r="O277">
        <f>I277/H277</f>
        <v>2.783333333333333</v>
      </c>
      <c r="P277">
        <f>(2*J277+4*K277+4*L277-4*M277)*1/1000</f>
        <v>0.4428</v>
      </c>
    </row>
    <row r="278">
      <c r="C278" t="str">
        <v>C 95x45x1</v>
      </c>
      <c r="E278" t="str">
        <v>SHC</v>
      </c>
      <c r="H278">
        <v>6</v>
      </c>
      <c r="I278">
        <v>18.5</v>
      </c>
      <c r="J278">
        <v>95</v>
      </c>
      <c r="K278">
        <v>45</v>
      </c>
      <c r="L278">
        <v>20</v>
      </c>
      <c r="M278">
        <v>2</v>
      </c>
      <c r="O278">
        <f>I278/H278</f>
        <v>3.0833333333333335</v>
      </c>
      <c r="P278">
        <f>(2*J278+4*K278+4*L278-4*M278)*1/1000</f>
        <v>0.442</v>
      </c>
    </row>
    <row r="279">
      <c r="C279" t="str">
        <v>C 95x45x2,2</v>
      </c>
      <c r="E279" t="str">
        <v>SHC</v>
      </c>
      <c r="H279">
        <v>6</v>
      </c>
      <c r="I279">
        <v>20.3</v>
      </c>
      <c r="J279">
        <v>95</v>
      </c>
      <c r="K279">
        <v>45</v>
      </c>
      <c r="L279">
        <v>20</v>
      </c>
      <c r="M279">
        <v>2.2</v>
      </c>
      <c r="O279">
        <f>I279/H279</f>
        <v>3.3833333333333333</v>
      </c>
      <c r="P279">
        <f>(2*J279+4*K279+4*L279-4*M279)*1/1000</f>
        <v>0.4412</v>
      </c>
    </row>
    <row r="280">
      <c r="C280" t="str">
        <v>C 100x50x1,2</v>
      </c>
      <c r="E280" t="str">
        <v>SHC</v>
      </c>
      <c r="H280">
        <v>6</v>
      </c>
      <c r="I280">
        <v>11.8</v>
      </c>
      <c r="J280">
        <v>100</v>
      </c>
      <c r="K280">
        <v>50</v>
      </c>
      <c r="L280">
        <v>20</v>
      </c>
      <c r="M280">
        <v>1.2</v>
      </c>
      <c r="O280">
        <f>I280/H280</f>
        <v>1.9666666666666668</v>
      </c>
      <c r="P280">
        <f>(2*J280+4*K280+4*L280-4*M280)*1/1000</f>
        <v>0.4752</v>
      </c>
    </row>
    <row r="281">
      <c r="C281" t="str">
        <v>C 100x50x1,4</v>
      </c>
      <c r="E281" t="str">
        <v>SHC</v>
      </c>
      <c r="H281">
        <v>6</v>
      </c>
      <c r="I281">
        <v>13.7</v>
      </c>
      <c r="J281">
        <v>100</v>
      </c>
      <c r="K281">
        <v>50</v>
      </c>
      <c r="L281">
        <v>20</v>
      </c>
      <c r="M281">
        <v>1.4</v>
      </c>
      <c r="O281">
        <f>I281/H281</f>
        <v>2.283333333333333</v>
      </c>
      <c r="P281">
        <f>(2*J281+4*K281+4*L281-4*M281)*1/1000</f>
        <v>0.4744</v>
      </c>
    </row>
    <row r="282">
      <c r="C282" t="str">
        <v>C 100x50x1,6</v>
      </c>
      <c r="E282" t="str">
        <v>SHC</v>
      </c>
      <c r="H282">
        <v>6</v>
      </c>
      <c r="I282">
        <v>15.7</v>
      </c>
      <c r="J282">
        <v>100</v>
      </c>
      <c r="K282">
        <v>50</v>
      </c>
      <c r="L282">
        <v>20</v>
      </c>
      <c r="M282">
        <v>1.6</v>
      </c>
      <c r="O282">
        <f>I282/H282</f>
        <v>2.6166666666666667</v>
      </c>
      <c r="P282">
        <f>(2*J282+4*K282+4*L282-4*M282)*1/1000</f>
        <v>0.4736</v>
      </c>
    </row>
    <row r="283">
      <c r="C283" t="str">
        <v>C 100x50x1,8</v>
      </c>
      <c r="E283" t="str">
        <v>SHC</v>
      </c>
      <c r="H283">
        <v>6</v>
      </c>
      <c r="I283">
        <v>17.7</v>
      </c>
      <c r="J283">
        <v>100</v>
      </c>
      <c r="K283">
        <v>50</v>
      </c>
      <c r="L283">
        <v>20</v>
      </c>
      <c r="M283">
        <v>1.8</v>
      </c>
      <c r="O283">
        <f>I283/H283</f>
        <v>2.9499999999999997</v>
      </c>
      <c r="P283">
        <f>(2*J283+4*K283+4*L283-4*M283)*1/1000</f>
        <v>0.4728</v>
      </c>
    </row>
    <row r="284">
      <c r="C284" t="str">
        <v>C 100x50x2</v>
      </c>
      <c r="E284" t="str">
        <v>SHC</v>
      </c>
      <c r="H284">
        <v>6</v>
      </c>
      <c r="I284">
        <v>19.7</v>
      </c>
      <c r="J284">
        <v>100</v>
      </c>
      <c r="K284">
        <v>50</v>
      </c>
      <c r="L284">
        <v>20</v>
      </c>
      <c r="M284">
        <v>2</v>
      </c>
      <c r="O284">
        <f>I284/H284</f>
        <v>3.283333333333333</v>
      </c>
      <c r="P284">
        <f>(2*J284+4*K284+4*L284-4*M284)*1/1000</f>
        <v>0.472</v>
      </c>
    </row>
    <row r="285">
      <c r="C285" t="str">
        <v>C 100x50x2,2</v>
      </c>
      <c r="E285" t="str">
        <v>SHC</v>
      </c>
      <c r="H285">
        <v>6</v>
      </c>
      <c r="I285">
        <v>21.7</v>
      </c>
      <c r="J285">
        <v>100</v>
      </c>
      <c r="K285">
        <v>50</v>
      </c>
      <c r="L285">
        <v>20</v>
      </c>
      <c r="M285">
        <v>2.2</v>
      </c>
      <c r="O285">
        <f>I285/H285</f>
        <v>3.6166666666666667</v>
      </c>
      <c r="P285">
        <f>(2*J285+4*K285+4*L285-4*M285)*1/1000</f>
        <v>0.4712</v>
      </c>
    </row>
    <row r="286">
      <c r="C286" t="str">
        <v>C 100x50x2,7</v>
      </c>
      <c r="E286" t="str">
        <v>SHC</v>
      </c>
      <c r="H286">
        <v>6</v>
      </c>
      <c r="I286">
        <v>26.4</v>
      </c>
      <c r="J286">
        <v>100</v>
      </c>
      <c r="K286">
        <v>50</v>
      </c>
      <c r="L286">
        <v>20</v>
      </c>
      <c r="M286">
        <v>2.7</v>
      </c>
      <c r="O286">
        <f>I286/H286</f>
        <v>4.3999999999999995</v>
      </c>
      <c r="P286">
        <f>(2*J286+4*K286+4*L286-4*M286)*1/1000</f>
        <v>0.4692</v>
      </c>
    </row>
    <row r="287">
      <c r="C287" t="str">
        <v>C 100x50x2,8</v>
      </c>
      <c r="E287" t="str">
        <v>SHC</v>
      </c>
      <c r="H287">
        <v>6</v>
      </c>
      <c r="I287">
        <v>27.6</v>
      </c>
      <c r="J287">
        <v>100</v>
      </c>
      <c r="K287">
        <v>50</v>
      </c>
      <c r="L287">
        <v>20</v>
      </c>
      <c r="M287">
        <v>2.8</v>
      </c>
      <c r="O287">
        <f>I287/H287</f>
        <v>4.6000000000000005</v>
      </c>
      <c r="P287">
        <f>(2*J287+4*K287+4*L287-4*M287)*1/1000</f>
        <v>0.4688</v>
      </c>
    </row>
    <row r="288">
      <c r="C288" t="str">
        <v>C 100x50x3</v>
      </c>
      <c r="E288" t="str">
        <v>SHC</v>
      </c>
      <c r="H288">
        <v>6</v>
      </c>
      <c r="I288">
        <v>29.5</v>
      </c>
      <c r="J288">
        <v>100</v>
      </c>
      <c r="K288">
        <v>50</v>
      </c>
      <c r="L288">
        <v>20</v>
      </c>
      <c r="M288">
        <v>3</v>
      </c>
      <c r="O288">
        <f>I288/H288</f>
        <v>4.916666666666667</v>
      </c>
      <c r="P288">
        <f>(2*J288+4*K288+4*L288-4*M288)*1/1000</f>
        <v>0.468</v>
      </c>
    </row>
    <row r="289">
      <c r="C289" t="str">
        <v>C 120x45x1,2</v>
      </c>
      <c r="E289" t="str">
        <v>SHC</v>
      </c>
      <c r="H289">
        <v>6</v>
      </c>
      <c r="I289">
        <v>12.4</v>
      </c>
      <c r="J289">
        <v>120</v>
      </c>
      <c r="K289">
        <v>45</v>
      </c>
      <c r="L289">
        <v>20</v>
      </c>
      <c r="M289">
        <v>1.2</v>
      </c>
      <c r="O289">
        <f>I289/H289</f>
        <v>2.066666666666667</v>
      </c>
      <c r="P289">
        <f>(2*J289+4*K289+4*L289-4*M289)*1/1000</f>
        <v>0.4952</v>
      </c>
    </row>
    <row r="290">
      <c r="C290" t="str">
        <v>C 120x45x1,4</v>
      </c>
      <c r="E290" t="str">
        <v>SHC</v>
      </c>
      <c r="H290">
        <v>6</v>
      </c>
      <c r="I290">
        <v>14.4</v>
      </c>
      <c r="J290">
        <v>120</v>
      </c>
      <c r="K290">
        <v>45</v>
      </c>
      <c r="L290">
        <v>20</v>
      </c>
      <c r="M290">
        <v>1.4</v>
      </c>
      <c r="O290">
        <f>I290/H290</f>
        <v>2.4</v>
      </c>
      <c r="P290">
        <f>(2*J290+4*K290+4*L290-4*M290)*1/1000</f>
        <v>0.49439999999999995</v>
      </c>
    </row>
    <row r="291">
      <c r="C291" t="str">
        <v>C 120x45x1,6</v>
      </c>
      <c r="E291" t="str">
        <v>SHC</v>
      </c>
      <c r="H291">
        <v>6</v>
      </c>
      <c r="I291">
        <v>16.5</v>
      </c>
      <c r="J291">
        <v>120</v>
      </c>
      <c r="K291">
        <v>45</v>
      </c>
      <c r="L291">
        <v>20</v>
      </c>
      <c r="M291">
        <v>1.6</v>
      </c>
      <c r="O291">
        <f>I291/H291</f>
        <v>2.75</v>
      </c>
      <c r="P291">
        <f>(2*J291+4*K291+4*L291-4*M291)*1/1000</f>
        <v>0.49360000000000004</v>
      </c>
    </row>
    <row r="292">
      <c r="C292" t="str">
        <v>C 120x45x1,8</v>
      </c>
      <c r="E292" t="str">
        <v>SHC</v>
      </c>
      <c r="H292">
        <v>6</v>
      </c>
      <c r="I292">
        <v>18.7</v>
      </c>
      <c r="J292">
        <v>120</v>
      </c>
      <c r="K292">
        <v>45</v>
      </c>
      <c r="L292">
        <v>20</v>
      </c>
      <c r="M292">
        <v>1.8</v>
      </c>
      <c r="O292">
        <f>I292/H292</f>
        <v>3.1166666666666667</v>
      </c>
      <c r="P292">
        <f>(2*J292+4*K292+4*L292-4*M292)*1/1000</f>
        <v>0.4928</v>
      </c>
    </row>
    <row r="293">
      <c r="C293" t="str">
        <v>C 120x45x2</v>
      </c>
      <c r="E293" t="str">
        <v>SHC</v>
      </c>
      <c r="H293">
        <v>6</v>
      </c>
      <c r="I293">
        <v>20.7</v>
      </c>
      <c r="J293">
        <v>120</v>
      </c>
      <c r="K293">
        <v>45</v>
      </c>
      <c r="L293">
        <v>20</v>
      </c>
      <c r="M293">
        <v>2</v>
      </c>
      <c r="O293">
        <f>I293/H293</f>
        <v>3.4499999999999997</v>
      </c>
      <c r="P293">
        <f>(2*J293+4*K293+4*L293-4*M293)*1/1000</f>
        <v>0.492</v>
      </c>
    </row>
    <row r="294">
      <c r="C294" t="str">
        <v>C 120x45x2,2</v>
      </c>
      <c r="E294" t="str">
        <v>SHC</v>
      </c>
      <c r="H294">
        <v>6</v>
      </c>
      <c r="I294">
        <v>22.7</v>
      </c>
      <c r="J294">
        <v>120</v>
      </c>
      <c r="K294">
        <v>45</v>
      </c>
      <c r="L294">
        <v>20</v>
      </c>
      <c r="M294">
        <v>2.2</v>
      </c>
      <c r="O294">
        <f>I294/H294</f>
        <v>3.783333333333333</v>
      </c>
      <c r="P294">
        <f>(2*J294+4*K294+4*L294-4*M294)*1/1000</f>
        <v>0.49119999999999997</v>
      </c>
    </row>
    <row r="295">
      <c r="C295" t="str">
        <v>C 125x50x1,2</v>
      </c>
      <c r="E295" t="str">
        <v>SHC</v>
      </c>
      <c r="H295">
        <v>6</v>
      </c>
      <c r="I295">
        <v>13.7</v>
      </c>
      <c r="J295">
        <v>125</v>
      </c>
      <c r="K295">
        <v>50</v>
      </c>
      <c r="L295">
        <v>20</v>
      </c>
      <c r="M295">
        <v>1.2</v>
      </c>
      <c r="O295">
        <f>I295/H295</f>
        <v>2.283333333333333</v>
      </c>
      <c r="P295">
        <f>(2*J295+4*K295+4*L295-4*M295)*1/1000</f>
        <v>0.5252</v>
      </c>
    </row>
    <row r="296">
      <c r="C296" t="str">
        <v>C 125x50x1,4</v>
      </c>
      <c r="E296" t="str">
        <v>SHC</v>
      </c>
      <c r="H296">
        <v>6</v>
      </c>
      <c r="I296">
        <v>15.9</v>
      </c>
      <c r="J296">
        <v>125</v>
      </c>
      <c r="K296">
        <v>50</v>
      </c>
      <c r="L296">
        <v>20</v>
      </c>
      <c r="M296">
        <v>1.4</v>
      </c>
      <c r="O296">
        <f>I296/H296</f>
        <v>2.65</v>
      </c>
      <c r="P296">
        <f>(2*J296+4*K296+4*L296-4*M296)*1/1000</f>
        <v>0.5244</v>
      </c>
    </row>
    <row r="297">
      <c r="C297" t="str">
        <v>C 125x50x1,6</v>
      </c>
      <c r="E297" t="str">
        <v>SHC</v>
      </c>
      <c r="H297">
        <v>6</v>
      </c>
      <c r="I297">
        <v>18.2</v>
      </c>
      <c r="J297">
        <v>125</v>
      </c>
      <c r="K297">
        <v>50</v>
      </c>
      <c r="L297">
        <v>20</v>
      </c>
      <c r="M297">
        <v>1.6</v>
      </c>
      <c r="O297">
        <f>I297/H297</f>
        <v>3.033333333333333</v>
      </c>
      <c r="P297">
        <f>(2*J297+4*K297+4*L297-4*M297)*1/1000</f>
        <v>0.5236000000000001</v>
      </c>
    </row>
    <row r="298">
      <c r="C298" t="str">
        <v>C 125x50x1,8</v>
      </c>
      <c r="E298" t="str">
        <v>SHC</v>
      </c>
      <c r="H298">
        <v>6</v>
      </c>
      <c r="I298">
        <v>20.4</v>
      </c>
      <c r="J298">
        <v>125</v>
      </c>
      <c r="K298">
        <v>50</v>
      </c>
      <c r="L298">
        <v>20</v>
      </c>
      <c r="M298">
        <v>1.8</v>
      </c>
      <c r="O298">
        <f>I298/H298</f>
        <v>3.4</v>
      </c>
      <c r="P298">
        <f>(2*J298+4*K298+4*L298-4*M298)*1/1000</f>
        <v>0.5227999999999999</v>
      </c>
    </row>
    <row r="299">
      <c r="C299" t="str">
        <v>C 125x50x2</v>
      </c>
      <c r="E299" t="str">
        <v>SHC</v>
      </c>
      <c r="H299">
        <v>6</v>
      </c>
      <c r="I299">
        <v>22.7</v>
      </c>
      <c r="J299">
        <v>125</v>
      </c>
      <c r="K299">
        <v>50</v>
      </c>
      <c r="L299">
        <v>20</v>
      </c>
      <c r="M299">
        <v>2</v>
      </c>
      <c r="O299">
        <f>I299/H299</f>
        <v>3.783333333333333</v>
      </c>
      <c r="P299">
        <f>(2*J299+4*K299+4*L299-4*M299)*1/1000</f>
        <v>0.522</v>
      </c>
    </row>
    <row r="300">
      <c r="C300" t="str">
        <v>C 125x50x2,2</v>
      </c>
      <c r="E300" t="str">
        <v>SHC</v>
      </c>
      <c r="H300">
        <v>6</v>
      </c>
      <c r="I300">
        <v>24.9</v>
      </c>
      <c r="J300">
        <v>125</v>
      </c>
      <c r="K300">
        <v>50</v>
      </c>
      <c r="L300">
        <v>20</v>
      </c>
      <c r="M300">
        <v>2.2</v>
      </c>
      <c r="O300">
        <f>I300/H300</f>
        <v>4.1499999999999995</v>
      </c>
      <c r="P300">
        <f>(2*J300+4*K300+4*L300-4*M300)*1/1000</f>
        <v>0.5212</v>
      </c>
    </row>
    <row r="301">
      <c r="C301" t="str">
        <v>C 125x50x2,7</v>
      </c>
      <c r="E301" t="str">
        <v>SHC</v>
      </c>
      <c r="H301">
        <v>6</v>
      </c>
      <c r="I301">
        <v>30.5</v>
      </c>
      <c r="J301">
        <v>125</v>
      </c>
      <c r="K301">
        <v>50</v>
      </c>
      <c r="L301">
        <v>20</v>
      </c>
      <c r="M301">
        <v>2.7</v>
      </c>
      <c r="O301">
        <f>I301/H301</f>
        <v>5.083333333333333</v>
      </c>
      <c r="P301">
        <f>(2*J301+4*K301+4*L301-4*M301)*1/1000</f>
        <v>0.5192</v>
      </c>
    </row>
    <row r="302">
      <c r="C302" t="str">
        <v>C 125x50x2,8</v>
      </c>
      <c r="E302" t="str">
        <v>SHC</v>
      </c>
      <c r="H302">
        <v>6</v>
      </c>
      <c r="I302">
        <v>31.6</v>
      </c>
      <c r="J302">
        <v>125</v>
      </c>
      <c r="K302">
        <v>50</v>
      </c>
      <c r="L302">
        <v>20</v>
      </c>
      <c r="M302">
        <v>2.8</v>
      </c>
      <c r="O302">
        <f>I302/H302</f>
        <v>5.266666666666667</v>
      </c>
      <c r="P302">
        <f>(2*J302+4*K302+4*L302-4*M302)*1/1000</f>
        <v>0.5187999999999999</v>
      </c>
    </row>
    <row r="303">
      <c r="C303" t="str">
        <v>C 125x50x3</v>
      </c>
      <c r="E303" t="str">
        <v>SHC</v>
      </c>
      <c r="H303">
        <v>6</v>
      </c>
      <c r="I303">
        <v>33.85</v>
      </c>
      <c r="J303">
        <v>125</v>
      </c>
      <c r="K303">
        <v>50</v>
      </c>
      <c r="L303">
        <v>20</v>
      </c>
      <c r="M303">
        <v>3</v>
      </c>
      <c r="O303">
        <f>I303/H303</f>
        <v>5.641666666666667</v>
      </c>
      <c r="P303">
        <f>(2*J303+4*K303+4*L303-4*M303)*1/1000</f>
        <v>0.518</v>
      </c>
    </row>
    <row r="304">
      <c r="C304" t="str">
        <v>C 150x50x1,2</v>
      </c>
      <c r="E304" t="str">
        <v>SHC</v>
      </c>
      <c r="H304">
        <v>6</v>
      </c>
      <c r="I304">
        <v>14.9</v>
      </c>
      <c r="J304">
        <v>150</v>
      </c>
      <c r="K304">
        <v>50</v>
      </c>
      <c r="L304">
        <v>20</v>
      </c>
      <c r="M304">
        <v>1.2</v>
      </c>
      <c r="O304">
        <f>I304/H304</f>
        <v>2.4833333333333334</v>
      </c>
      <c r="P304">
        <f>(2*J304+4*K304+4*L304-4*M304)*1/1000</f>
        <v>0.5752</v>
      </c>
    </row>
    <row r="305">
      <c r="C305" t="str">
        <v>C 150x50x1,4</v>
      </c>
      <c r="E305" t="str">
        <v>SHC</v>
      </c>
      <c r="H305">
        <v>6</v>
      </c>
      <c r="I305">
        <v>17.5</v>
      </c>
      <c r="J305">
        <v>150</v>
      </c>
      <c r="K305">
        <v>50</v>
      </c>
      <c r="L305">
        <v>20</v>
      </c>
      <c r="M305">
        <v>1.4</v>
      </c>
      <c r="O305">
        <f>I305/H305</f>
        <v>2.9166666666666665</v>
      </c>
      <c r="P305">
        <f>(2*J305+4*K305+4*L305-4*M305)*1/1000</f>
        <v>0.5744</v>
      </c>
    </row>
    <row r="306">
      <c r="C306" t="str">
        <v>C 150x50x1,6</v>
      </c>
      <c r="E306" t="str">
        <v>SHC</v>
      </c>
      <c r="H306">
        <v>6</v>
      </c>
      <c r="I306">
        <v>19.9</v>
      </c>
      <c r="J306">
        <v>150</v>
      </c>
      <c r="K306">
        <v>50</v>
      </c>
      <c r="L306">
        <v>20</v>
      </c>
      <c r="M306">
        <v>1.6</v>
      </c>
      <c r="O306">
        <f>I306/H306</f>
        <v>3.3166666666666664</v>
      </c>
      <c r="P306">
        <f>(2*J306+4*K306+4*L306-4*M306)*1/1000</f>
        <v>0.5736</v>
      </c>
    </row>
    <row r="307">
      <c r="C307" t="str">
        <v>C 150x50x1,8</v>
      </c>
      <c r="E307" t="str">
        <v>SHC</v>
      </c>
      <c r="H307">
        <v>6</v>
      </c>
      <c r="I307">
        <v>22.4</v>
      </c>
      <c r="J307">
        <v>150</v>
      </c>
      <c r="K307">
        <v>50</v>
      </c>
      <c r="L307">
        <v>20</v>
      </c>
      <c r="M307">
        <v>1.8</v>
      </c>
      <c r="O307">
        <f>I307/H307</f>
        <v>3.733333333333333</v>
      </c>
      <c r="P307">
        <f>(2*J307+4*K307+4*L307-4*M307)*1/1000</f>
        <v>0.5728</v>
      </c>
    </row>
    <row r="308">
      <c r="C308" t="str">
        <v>C 150x50x2</v>
      </c>
      <c r="E308" t="str">
        <v>SHC</v>
      </c>
      <c r="H308">
        <v>6</v>
      </c>
      <c r="I308">
        <v>24.9</v>
      </c>
      <c r="J308">
        <v>150</v>
      </c>
      <c r="K308">
        <v>50</v>
      </c>
      <c r="L308">
        <v>20</v>
      </c>
      <c r="M308">
        <v>2</v>
      </c>
      <c r="O308">
        <f>I308/H308</f>
        <v>4.1499999999999995</v>
      </c>
      <c r="P308">
        <f>(2*J308+4*K308+4*L308-4*M308)*1/1000</f>
        <v>0.572</v>
      </c>
    </row>
    <row r="309">
      <c r="C309" t="str">
        <v>C 150x50x2,2</v>
      </c>
      <c r="E309" t="str">
        <v>SHC</v>
      </c>
      <c r="H309">
        <v>6</v>
      </c>
      <c r="I309">
        <v>27.3</v>
      </c>
      <c r="J309">
        <v>150</v>
      </c>
      <c r="K309">
        <v>50</v>
      </c>
      <c r="L309">
        <v>20</v>
      </c>
      <c r="M309">
        <v>2.2</v>
      </c>
      <c r="O309">
        <f>I309/H309</f>
        <v>4.55</v>
      </c>
      <c r="P309">
        <f>(2*J309+4*K309+4*L309-4*M309)*1/1000</f>
        <v>0.5712</v>
      </c>
    </row>
    <row r="310">
      <c r="C310" t="str">
        <v>C 150x50x2,7</v>
      </c>
      <c r="E310" t="str">
        <v>SHC</v>
      </c>
      <c r="H310">
        <v>6</v>
      </c>
      <c r="I310">
        <v>33.4</v>
      </c>
      <c r="J310">
        <v>150</v>
      </c>
      <c r="K310">
        <v>50</v>
      </c>
      <c r="L310">
        <v>20</v>
      </c>
      <c r="M310">
        <v>2.7</v>
      </c>
      <c r="O310">
        <f>I310/H310</f>
        <v>5.566666666666666</v>
      </c>
      <c r="P310">
        <f>(2*J310+4*K310+4*L310-4*M310)*1/1000</f>
        <v>0.5692</v>
      </c>
    </row>
    <row r="311">
      <c r="C311" t="str">
        <v>C 150x50x2,8</v>
      </c>
      <c r="E311" t="str">
        <v>SHC</v>
      </c>
      <c r="H311">
        <v>6</v>
      </c>
      <c r="I311">
        <v>34.8</v>
      </c>
      <c r="J311">
        <v>150</v>
      </c>
      <c r="K311">
        <v>50</v>
      </c>
      <c r="L311">
        <v>20</v>
      </c>
      <c r="M311">
        <v>2.8</v>
      </c>
      <c r="O311">
        <f>I311/H311</f>
        <v>5.8</v>
      </c>
      <c r="P311">
        <f>(2*J311+4*K311+4*L311-4*M311)*1/1000</f>
        <v>0.5688</v>
      </c>
    </row>
    <row r="312">
      <c r="C312" t="str">
        <v>C 150x50x3</v>
      </c>
      <c r="E312" t="str">
        <v>SHC</v>
      </c>
      <c r="H312">
        <v>6</v>
      </c>
      <c r="I312">
        <v>37.3</v>
      </c>
      <c r="J312">
        <v>150</v>
      </c>
      <c r="K312">
        <v>50</v>
      </c>
      <c r="L312">
        <v>20</v>
      </c>
      <c r="M312">
        <v>3</v>
      </c>
      <c r="O312">
        <f>I312/H312</f>
        <v>6.216666666666666</v>
      </c>
      <c r="P312">
        <f>(2*J312+4*K312+4*L312-4*M312)*1/1000</f>
        <v>0.568</v>
      </c>
    </row>
    <row r="313">
      <c r="C313" t="str">
        <v>C 150x65x1,6</v>
      </c>
      <c r="E313" t="str">
        <v>SHC</v>
      </c>
      <c r="H313">
        <v>6</v>
      </c>
      <c r="I313">
        <v>23.8</v>
      </c>
      <c r="J313">
        <v>150</v>
      </c>
      <c r="K313">
        <v>65</v>
      </c>
      <c r="L313">
        <v>20</v>
      </c>
      <c r="M313">
        <v>1.6</v>
      </c>
      <c r="O313">
        <f>I313/H313</f>
        <v>3.966666666666667</v>
      </c>
      <c r="P313">
        <f>(2*J313+4*K313+4*L313-4*M313)*1/1000</f>
        <v>0.6336</v>
      </c>
    </row>
    <row r="314">
      <c r="C314" t="str">
        <v>C 150x65x1,8</v>
      </c>
      <c r="H314">
        <v>6</v>
      </c>
      <c r="I314">
        <v>23.8</v>
      </c>
      <c r="J314">
        <v>150</v>
      </c>
      <c r="K314">
        <v>65</v>
      </c>
      <c r="L314">
        <v>20</v>
      </c>
      <c r="M314">
        <v>1.8</v>
      </c>
      <c r="O314">
        <f>I314/H314</f>
        <v>3.966666666666667</v>
      </c>
      <c r="P314">
        <f>(2*J314+4*K314+4*L314-4*M314)*1/1000</f>
        <v>0.6327999999999999</v>
      </c>
    </row>
    <row r="315">
      <c r="C315" t="str">
        <v>C 150x65x2</v>
      </c>
      <c r="E315" t="str">
        <v>SHC</v>
      </c>
      <c r="H315">
        <v>6</v>
      </c>
      <c r="I315">
        <v>27.8</v>
      </c>
      <c r="J315">
        <v>150</v>
      </c>
      <c r="K315">
        <v>65</v>
      </c>
      <c r="L315">
        <v>20</v>
      </c>
      <c r="M315">
        <v>2</v>
      </c>
      <c r="O315">
        <f>I315/H315</f>
        <v>4.633333333333334</v>
      </c>
      <c r="P315">
        <f>(2*J315+4*K315+4*L315-4*M315)*1/1000</f>
        <v>0.632</v>
      </c>
    </row>
    <row r="316">
      <c r="C316" t="str">
        <v>C 150x65x2,2</v>
      </c>
      <c r="E316" t="str">
        <v>SHC</v>
      </c>
      <c r="H316">
        <v>6</v>
      </c>
      <c r="I316">
        <v>30.4</v>
      </c>
      <c r="J316">
        <v>150</v>
      </c>
      <c r="K316">
        <v>65</v>
      </c>
      <c r="L316">
        <v>20</v>
      </c>
      <c r="M316">
        <v>2.2</v>
      </c>
      <c r="O316">
        <f>I316/H316</f>
        <v>5.066666666666666</v>
      </c>
      <c r="P316">
        <f>(2*J316+4*K316+4*L316-4*M316)*1/1000</f>
        <v>0.6312000000000001</v>
      </c>
    </row>
    <row r="317">
      <c r="C317" t="str">
        <v>C 150x65x2,7</v>
      </c>
      <c r="E317" t="str">
        <v>SHC</v>
      </c>
      <c r="H317">
        <v>6</v>
      </c>
      <c r="I317">
        <v>37.2</v>
      </c>
      <c r="J317">
        <v>150</v>
      </c>
      <c r="K317">
        <v>65</v>
      </c>
      <c r="L317">
        <v>20</v>
      </c>
      <c r="M317">
        <v>2.7</v>
      </c>
      <c r="O317">
        <f>I317/H317</f>
        <v>6.2</v>
      </c>
      <c r="P317">
        <f>(2*J317+4*K317+4*L317-4*M317)*1/1000</f>
        <v>0.6292000000000001</v>
      </c>
    </row>
    <row r="318">
      <c r="C318" t="str">
        <v>C 150x65x2,8</v>
      </c>
      <c r="E318" t="str">
        <v>SHC</v>
      </c>
      <c r="H318">
        <v>6</v>
      </c>
      <c r="I318">
        <v>38.6</v>
      </c>
      <c r="J318">
        <v>150</v>
      </c>
      <c r="K318">
        <v>65</v>
      </c>
      <c r="L318">
        <v>20</v>
      </c>
      <c r="M318">
        <v>2.8</v>
      </c>
      <c r="O318">
        <f>I318/H318</f>
        <v>6.433333333333334</v>
      </c>
      <c r="P318">
        <f>(2*J318+4*K318+4*L318-4*M318)*1/1000</f>
        <v>0.6287999999999999</v>
      </c>
    </row>
    <row r="319">
      <c r="C319" t="str">
        <v>C 150x65x3</v>
      </c>
      <c r="E319" t="str">
        <v>SHC</v>
      </c>
      <c r="H319">
        <v>6</v>
      </c>
      <c r="I319">
        <v>41.4</v>
      </c>
      <c r="J319">
        <v>150</v>
      </c>
      <c r="K319">
        <v>65</v>
      </c>
      <c r="L319">
        <v>20</v>
      </c>
      <c r="M319">
        <v>3</v>
      </c>
      <c r="O319">
        <f>I319/H319</f>
        <v>6.8999999999999995</v>
      </c>
      <c r="P319">
        <f>(2*J319+4*K319+4*L319-4*M319)*1/1000</f>
        <v>0.628</v>
      </c>
    </row>
    <row r="320">
      <c r="C320" t="str">
        <v>C 200x75x2</v>
      </c>
      <c r="E320" t="str">
        <v>SHC</v>
      </c>
      <c r="H320">
        <v>6</v>
      </c>
      <c r="I320">
        <v>35.6</v>
      </c>
      <c r="J320">
        <v>200</v>
      </c>
      <c r="K320">
        <v>75</v>
      </c>
      <c r="L320">
        <v>20</v>
      </c>
      <c r="M320">
        <v>2</v>
      </c>
      <c r="O320">
        <f>I320/H320</f>
        <v>5.933333333333334</v>
      </c>
      <c r="P320">
        <f>(2*J320+4*K320+4*L320-4*M320)*1/1000</f>
        <v>0.772</v>
      </c>
    </row>
    <row r="321">
      <c r="C321" t="str">
        <v>C 200x75x3</v>
      </c>
      <c r="E321" t="str">
        <v>SHC</v>
      </c>
      <c r="H321">
        <v>6</v>
      </c>
      <c r="I321">
        <v>53.4</v>
      </c>
      <c r="J321">
        <v>200</v>
      </c>
      <c r="K321">
        <v>75</v>
      </c>
      <c r="L321">
        <v>20</v>
      </c>
      <c r="M321">
        <v>3</v>
      </c>
      <c r="O321">
        <f>I321/H321</f>
        <v>8.9</v>
      </c>
      <c r="P321">
        <f>(2*J321+4*K321+4*L321-4*M321)*1/1000</f>
        <v>0.768</v>
      </c>
    </row>
    <row r="322">
      <c r="B322" t="str">
        <v>U Channel (UNP)</v>
      </c>
      <c r="C322" t="str">
        <v>UNP 50x38x5</v>
      </c>
      <c r="E322" t="str">
        <v>SGJ, SHC</v>
      </c>
      <c r="F322" t="str">
        <v>Taiwan</v>
      </c>
      <c r="H322">
        <v>6</v>
      </c>
      <c r="I322">
        <v>31</v>
      </c>
      <c r="J322">
        <v>50</v>
      </c>
      <c r="K322">
        <v>38</v>
      </c>
      <c r="L322">
        <v>5</v>
      </c>
      <c r="O322">
        <f>I322/H322</f>
        <v>5.166666666666667</v>
      </c>
      <c r="P322">
        <f>(2*J322+4*K322-2*L322)*1/1000</f>
        <v>0.242</v>
      </c>
    </row>
    <row r="323">
      <c r="C323" t="str">
        <v>UNP 65x42x5</v>
      </c>
      <c r="E323" t="str">
        <v>SGJ, SHC</v>
      </c>
      <c r="F323" t="str">
        <v>Taiwan</v>
      </c>
      <c r="H323">
        <v>6</v>
      </c>
      <c r="I323">
        <v>42</v>
      </c>
      <c r="J323">
        <v>65</v>
      </c>
      <c r="K323">
        <v>42</v>
      </c>
      <c r="L323">
        <v>5</v>
      </c>
      <c r="O323">
        <f>I323/H323</f>
        <v>7</v>
      </c>
      <c r="P323">
        <f>(2*J323+4*K323-2*L323)*1/1000</f>
        <v>0.288</v>
      </c>
    </row>
    <row r="324">
      <c r="C324" t="str">
        <v>UNP 75x40x5</v>
      </c>
      <c r="E324" t="str">
        <v>SGJ, SHC</v>
      </c>
      <c r="F324" t="str">
        <v>Taiwan</v>
      </c>
      <c r="H324">
        <v>6</v>
      </c>
      <c r="I324">
        <v>45.52</v>
      </c>
      <c r="J324">
        <v>75</v>
      </c>
      <c r="K324">
        <v>40</v>
      </c>
      <c r="L324">
        <v>5</v>
      </c>
      <c r="O324">
        <f>I324/H324</f>
        <v>7.586666666666667</v>
      </c>
      <c r="P324">
        <f>(2*J324+4*K324-2*L324)*1/1000</f>
        <v>0.3</v>
      </c>
    </row>
    <row r="325">
      <c r="C325" t="str">
        <v>UNP 80x45x5 ks</v>
      </c>
      <c r="D325" t="str">
        <v>KS</v>
      </c>
      <c r="E325" t="str">
        <v>SHC</v>
      </c>
      <c r="H325">
        <v>6</v>
      </c>
      <c r="I325">
        <v>47.76</v>
      </c>
      <c r="J325">
        <v>80</v>
      </c>
      <c r="K325">
        <v>45</v>
      </c>
      <c r="L325">
        <v>5</v>
      </c>
      <c r="O325">
        <f>I325/H325</f>
        <v>7.96</v>
      </c>
      <c r="P325">
        <f>(2*J325+4*K325-2*L325)*1/1000</f>
        <v>0.33</v>
      </c>
    </row>
    <row r="326">
      <c r="C326" t="str">
        <v>UNP 80x45x5</v>
      </c>
      <c r="E326" t="str">
        <v>SGJ</v>
      </c>
      <c r="F326" t="str">
        <v>Taiwan</v>
      </c>
      <c r="H326">
        <v>6</v>
      </c>
      <c r="I326">
        <v>47</v>
      </c>
      <c r="J326">
        <v>80</v>
      </c>
      <c r="K326">
        <v>45</v>
      </c>
      <c r="L326">
        <v>5</v>
      </c>
      <c r="O326">
        <f>I326/H326</f>
        <v>7.833333333333333</v>
      </c>
      <c r="P326">
        <f>(2*J326+4*K326-2*L326)*1/1000</f>
        <v>0.33</v>
      </c>
    </row>
    <row r="327">
      <c r="C327" t="str">
        <v>UNP 80x45x6 ks</v>
      </c>
      <c r="D327" t="str">
        <v>KS</v>
      </c>
      <c r="E327" t="str">
        <v>SHC</v>
      </c>
      <c r="H327">
        <v>6</v>
      </c>
      <c r="I327">
        <v>51.84</v>
      </c>
      <c r="J327">
        <v>80</v>
      </c>
      <c r="K327">
        <v>45</v>
      </c>
      <c r="L327">
        <v>6</v>
      </c>
      <c r="O327">
        <f>I327/H327</f>
        <v>8.64</v>
      </c>
      <c r="P327">
        <f>(2*J327+4*K327-2*L327)*1/1000</f>
        <v>0.328</v>
      </c>
    </row>
    <row r="328">
      <c r="C328" t="str">
        <v>UNP 80x45x6</v>
      </c>
      <c r="E328" t="str">
        <v>SGJ, SHC</v>
      </c>
      <c r="H328">
        <v>6</v>
      </c>
      <c r="I328">
        <v>49</v>
      </c>
      <c r="J328">
        <v>80</v>
      </c>
      <c r="K328">
        <v>45</v>
      </c>
      <c r="L328">
        <v>6</v>
      </c>
      <c r="O328">
        <f>I328/H328</f>
        <v>8.166666666666666</v>
      </c>
      <c r="P328">
        <f>(2*J328+4*K328-2*L328)*1/1000</f>
        <v>0.328</v>
      </c>
    </row>
    <row r="329">
      <c r="C329" t="str">
        <v>UNP 100x50x5</v>
      </c>
      <c r="D329" t="str">
        <v>KS</v>
      </c>
      <c r="E329" t="str">
        <v>SGJ, SHC</v>
      </c>
      <c r="F329" t="str">
        <v>Taiwan</v>
      </c>
      <c r="H329">
        <v>6</v>
      </c>
      <c r="I329">
        <v>56.2</v>
      </c>
      <c r="J329">
        <v>100</v>
      </c>
      <c r="K329">
        <v>50</v>
      </c>
      <c r="L329">
        <v>5</v>
      </c>
      <c r="O329">
        <f>I329/H329</f>
        <v>9.366666666666667</v>
      </c>
      <c r="P329">
        <f>(2*J329+4*K329-2*L329)*1/1000</f>
        <v>0.39</v>
      </c>
    </row>
    <row r="330">
      <c r="C330" t="str">
        <v>UNP 100x50x6</v>
      </c>
      <c r="D330" t="str">
        <v>KS</v>
      </c>
      <c r="E330" t="str">
        <v>SHC</v>
      </c>
      <c r="H330">
        <v>6</v>
      </c>
      <c r="I330">
        <v>63.6</v>
      </c>
      <c r="J330">
        <v>100</v>
      </c>
      <c r="K330">
        <v>50</v>
      </c>
      <c r="L330">
        <v>6</v>
      </c>
      <c r="O330">
        <f>I330/H330</f>
        <v>10.6</v>
      </c>
      <c r="P330">
        <f>(2*J330+4*K330-2*L330)*1/1000</f>
        <v>0.388</v>
      </c>
    </row>
    <row r="331">
      <c r="C331" t="str">
        <v>UNP 120x55x6</v>
      </c>
      <c r="E331" t="str">
        <v>SGJ</v>
      </c>
      <c r="F331" t="str">
        <v>Taiwan</v>
      </c>
      <c r="H331">
        <v>6</v>
      </c>
      <c r="I331">
        <v>75</v>
      </c>
      <c r="J331">
        <v>120</v>
      </c>
      <c r="K331">
        <v>55</v>
      </c>
      <c r="L331">
        <v>6</v>
      </c>
      <c r="O331">
        <f>I331/H331</f>
        <v>12.5</v>
      </c>
      <c r="P331">
        <f>(2*J331+4*K331-2*L331)*1/1000</f>
        <v>0.448</v>
      </c>
    </row>
    <row r="332">
      <c r="C332" t="str">
        <v>UNP 120x55x7</v>
      </c>
      <c r="D332" t="str">
        <v>KS</v>
      </c>
      <c r="E332" t="str">
        <v>SGJ, SHC</v>
      </c>
      <c r="F332" t="str">
        <v>German</v>
      </c>
      <c r="H332">
        <v>6</v>
      </c>
      <c r="I332">
        <v>80.4</v>
      </c>
      <c r="J332">
        <v>120</v>
      </c>
      <c r="K332">
        <v>55</v>
      </c>
      <c r="L332">
        <v>7</v>
      </c>
      <c r="O332">
        <f>I332/H332</f>
        <v>13.4</v>
      </c>
      <c r="P332">
        <f>(2*J332+4*K332-2*L332)*1/1000</f>
        <v>0.446</v>
      </c>
    </row>
    <row r="333">
      <c r="C333" t="str">
        <v>UNP 125x65x6</v>
      </c>
      <c r="E333" t="str">
        <v>SGJ, SHC</v>
      </c>
      <c r="F333" t="str">
        <v>Japan</v>
      </c>
      <c r="H333">
        <v>6</v>
      </c>
      <c r="I333">
        <v>80.4</v>
      </c>
      <c r="J333">
        <v>125</v>
      </c>
      <c r="K333">
        <v>65</v>
      </c>
      <c r="L333">
        <v>6</v>
      </c>
      <c r="O333">
        <f>I333/H333</f>
        <v>13.4</v>
      </c>
      <c r="P333">
        <f>(2*J333+4*K333-2*L333)*1/1000</f>
        <v>0.498</v>
      </c>
    </row>
    <row r="334">
      <c r="C334" t="str">
        <v>UNP 140x60x7</v>
      </c>
      <c r="D334" t="str">
        <v>KS</v>
      </c>
      <c r="E334" t="str">
        <v>SGJ</v>
      </c>
      <c r="F334" t="str">
        <v>German</v>
      </c>
      <c r="H334">
        <v>6</v>
      </c>
      <c r="I334">
        <v>97</v>
      </c>
      <c r="J334">
        <v>140</v>
      </c>
      <c r="K334">
        <v>60</v>
      </c>
      <c r="L334">
        <v>7</v>
      </c>
      <c r="O334">
        <f>I334/H334</f>
        <v>16.166666666666668</v>
      </c>
      <c r="P334">
        <f>(2*J334+4*K334-2*L334)*1/1000</f>
        <v>0.506</v>
      </c>
    </row>
    <row r="335">
      <c r="C335" t="str">
        <v>UNP 150x75x6,5</v>
      </c>
      <c r="E335" t="str">
        <v>SGJ, SHC</v>
      </c>
      <c r="F335" t="str">
        <v>Japan</v>
      </c>
      <c r="H335">
        <v>6</v>
      </c>
      <c r="I335">
        <v>112</v>
      </c>
      <c r="J335">
        <v>150</v>
      </c>
      <c r="K335">
        <v>75</v>
      </c>
      <c r="L335">
        <v>6.5</v>
      </c>
      <c r="O335">
        <f>I335/H335</f>
        <v>18.666666666666668</v>
      </c>
      <c r="P335">
        <f>(2*J335+4*K335-2*L335)*1/1000</f>
        <v>0.587</v>
      </c>
    </row>
    <row r="336">
      <c r="C336" t="str">
        <v>UNP 160x65x7,5</v>
      </c>
      <c r="E336" t="str">
        <v>SGJ</v>
      </c>
      <c r="F336" t="str">
        <v>German</v>
      </c>
      <c r="H336">
        <v>6</v>
      </c>
      <c r="I336">
        <v>115.5</v>
      </c>
      <c r="J336">
        <v>160</v>
      </c>
      <c r="K336">
        <v>65</v>
      </c>
      <c r="L336">
        <v>7.5</v>
      </c>
      <c r="O336">
        <f>I336/H336</f>
        <v>19.25</v>
      </c>
      <c r="P336">
        <f>(2*J336+4*K336-2*L336)*1/1000</f>
        <v>0.565</v>
      </c>
    </row>
    <row r="337">
      <c r="C337" t="str">
        <v>UNP 180x70x8</v>
      </c>
      <c r="E337" t="str">
        <v>SGJ</v>
      </c>
      <c r="F337" t="str">
        <v>German</v>
      </c>
      <c r="H337">
        <v>12</v>
      </c>
      <c r="I337">
        <v>271</v>
      </c>
      <c r="J337">
        <v>180</v>
      </c>
      <c r="K337">
        <v>70</v>
      </c>
      <c r="L337">
        <v>8</v>
      </c>
      <c r="O337">
        <f>I337/H337</f>
        <v>22.583333333333332</v>
      </c>
      <c r="P337">
        <f>(2*J337+4*K337-2*L337)*1/1000</f>
        <v>0.624</v>
      </c>
    </row>
    <row r="338">
      <c r="C338" t="str">
        <v>UNP 180x70x8 J</v>
      </c>
      <c r="E338" t="str">
        <v>SGJ, SHC</v>
      </c>
      <c r="F338" t="str">
        <v>Japan</v>
      </c>
      <c r="H338">
        <v>6</v>
      </c>
      <c r="I338">
        <v>128</v>
      </c>
      <c r="J338">
        <v>180</v>
      </c>
      <c r="K338">
        <v>70</v>
      </c>
      <c r="L338">
        <v>8</v>
      </c>
      <c r="O338">
        <f>I338/H338</f>
        <v>21.333333333333332</v>
      </c>
      <c r="P338">
        <f>(2*J338+4*K338-2*L338)*1/1000</f>
        <v>0.624</v>
      </c>
    </row>
    <row r="339">
      <c r="C339" t="str">
        <v>UNP 180x75x7</v>
      </c>
      <c r="E339" t="str">
        <v>SGJ</v>
      </c>
      <c r="F339" t="str">
        <v>Japan</v>
      </c>
      <c r="H339">
        <v>6</v>
      </c>
      <c r="I339">
        <v>128</v>
      </c>
      <c r="J339">
        <v>180</v>
      </c>
      <c r="K339">
        <v>75</v>
      </c>
      <c r="L339">
        <v>7</v>
      </c>
      <c r="O339">
        <f>I339/H339</f>
        <v>21.333333333333332</v>
      </c>
      <c r="P339">
        <f>(2*J339+4*K339-2*L339)*1/1000</f>
        <v>0.646</v>
      </c>
    </row>
    <row r="340">
      <c r="C340" t="str">
        <v>UNP 200x75x8,5</v>
      </c>
      <c r="E340" t="str">
        <v>SGJ</v>
      </c>
      <c r="F340" t="str">
        <v>German</v>
      </c>
      <c r="H340">
        <v>12</v>
      </c>
      <c r="I340">
        <v>310</v>
      </c>
      <c r="J340">
        <v>200</v>
      </c>
      <c r="K340">
        <v>75</v>
      </c>
      <c r="L340">
        <v>8.5</v>
      </c>
      <c r="O340">
        <f>I340/H340</f>
        <v>25.833333333333332</v>
      </c>
      <c r="P340">
        <f>(2*J340+4*K340-2*L340)*1/1000</f>
        <v>0.683</v>
      </c>
    </row>
    <row r="341">
      <c r="C341" t="str">
        <v>UNP 200x75x8,5 J</v>
      </c>
      <c r="E341" t="str">
        <v>SGJ, SHC</v>
      </c>
      <c r="F341" t="str">
        <v>Japan</v>
      </c>
      <c r="H341">
        <v>6</v>
      </c>
      <c r="I341">
        <v>148</v>
      </c>
      <c r="J341">
        <v>200</v>
      </c>
      <c r="K341">
        <v>75</v>
      </c>
      <c r="L341">
        <v>8.5</v>
      </c>
      <c r="O341">
        <f>I341/H341</f>
        <v>24.666666666666668</v>
      </c>
      <c r="P341">
        <f>(2*J341+4*K341-2*L341)*1/1000</f>
        <v>0.683</v>
      </c>
    </row>
    <row r="342">
      <c r="C342" t="str">
        <v>UNP 200x80x7,5</v>
      </c>
      <c r="E342" t="str">
        <v>SGJ, SHC</v>
      </c>
      <c r="F342" t="str">
        <v>Japan</v>
      </c>
      <c r="H342">
        <v>6</v>
      </c>
      <c r="I342">
        <v>148</v>
      </c>
      <c r="J342">
        <v>200</v>
      </c>
      <c r="K342">
        <v>80</v>
      </c>
      <c r="L342">
        <v>7.5</v>
      </c>
      <c r="O342">
        <f>I342/H342</f>
        <v>24.666666666666668</v>
      </c>
      <c r="P342">
        <f>(2*J342+4*K342-2*L342)*1/1000</f>
        <v>0.705</v>
      </c>
    </row>
    <row r="343">
      <c r="C343" t="str">
        <v>UNP 220x80x9</v>
      </c>
      <c r="E343" t="str">
        <v>SGJ</v>
      </c>
      <c r="F343" t="str">
        <v>German</v>
      </c>
      <c r="H343">
        <v>12</v>
      </c>
      <c r="I343">
        <v>371</v>
      </c>
      <c r="J343">
        <v>220</v>
      </c>
      <c r="K343">
        <v>80</v>
      </c>
      <c r="L343">
        <v>9</v>
      </c>
      <c r="O343">
        <f>I343/H343</f>
        <v>30.916666666666668</v>
      </c>
      <c r="P343">
        <f>(2*J343+4*K343-2*L343)*1/1000</f>
        <v>0.742</v>
      </c>
    </row>
    <row r="344">
      <c r="C344" t="str">
        <v>UNP 240x85x9,5</v>
      </c>
      <c r="E344" t="str">
        <v>SGJ</v>
      </c>
      <c r="F344" t="str">
        <v>German</v>
      </c>
      <c r="H344">
        <v>12</v>
      </c>
      <c r="I344">
        <v>410</v>
      </c>
      <c r="J344">
        <v>240</v>
      </c>
      <c r="K344">
        <v>85</v>
      </c>
      <c r="L344">
        <v>9.5</v>
      </c>
      <c r="O344">
        <f>I344/H344</f>
        <v>34.166666666666664</v>
      </c>
      <c r="P344">
        <f>(2*J344+4*K344-2*L344)*1/1000</f>
        <v>0.801</v>
      </c>
    </row>
    <row r="345">
      <c r="C345" t="str">
        <v>UNP 250x90x9</v>
      </c>
      <c r="E345" t="str">
        <v>SGJ, SHC</v>
      </c>
      <c r="F345" t="str">
        <v>Japan</v>
      </c>
      <c r="H345">
        <v>6</v>
      </c>
      <c r="I345">
        <v>208</v>
      </c>
      <c r="J345">
        <v>250</v>
      </c>
      <c r="K345">
        <v>90</v>
      </c>
      <c r="L345">
        <v>9</v>
      </c>
      <c r="O345">
        <f>I345/H345</f>
        <v>34.666666666666664</v>
      </c>
      <c r="P345">
        <f>(2*J345+4*K345-2*L345)*1/1000</f>
        <v>0.842</v>
      </c>
    </row>
    <row r="346">
      <c r="C346" t="str">
        <v>UNP 260x90x10</v>
      </c>
      <c r="E346" t="str">
        <v>SGJ</v>
      </c>
      <c r="F346" t="str">
        <v>German</v>
      </c>
      <c r="H346">
        <v>12</v>
      </c>
      <c r="I346">
        <v>456</v>
      </c>
      <c r="J346">
        <v>260</v>
      </c>
      <c r="K346">
        <v>90</v>
      </c>
      <c r="L346">
        <v>10</v>
      </c>
      <c r="O346">
        <f>I346/H346</f>
        <v>38</v>
      </c>
      <c r="P346">
        <f>(2*J346+4*K346-2*L346)*1/1000</f>
        <v>0.86</v>
      </c>
    </row>
    <row r="347">
      <c r="C347" t="str">
        <v>UNP 280x95x10</v>
      </c>
      <c r="E347" t="str">
        <v>SGJ</v>
      </c>
      <c r="F347" t="str">
        <v>German</v>
      </c>
      <c r="H347">
        <v>12</v>
      </c>
      <c r="I347">
        <v>500</v>
      </c>
      <c r="J347">
        <v>280</v>
      </c>
      <c r="K347">
        <v>95</v>
      </c>
      <c r="L347">
        <v>10</v>
      </c>
      <c r="O347">
        <f>I347/H347</f>
        <v>41.666666666666664</v>
      </c>
      <c r="P347">
        <f>(2*J347+4*K347-2*L347)*1/1000</f>
        <v>0.92</v>
      </c>
    </row>
    <row r="348">
      <c r="C348" t="str">
        <v>UNP 300x90x9</v>
      </c>
      <c r="E348" t="str">
        <v>SGJ, SHC</v>
      </c>
      <c r="F348" t="str">
        <v>German</v>
      </c>
      <c r="H348">
        <v>6</v>
      </c>
      <c r="I348">
        <v>229</v>
      </c>
      <c r="J348">
        <v>300</v>
      </c>
      <c r="K348">
        <v>90</v>
      </c>
      <c r="L348">
        <v>9</v>
      </c>
      <c r="O348">
        <f>I348/H348</f>
        <v>38.166666666666664</v>
      </c>
      <c r="P348">
        <f>(2*J348+4*K348-2*L348)*1/1000</f>
        <v>0.942</v>
      </c>
    </row>
    <row r="349">
      <c r="C349" t="str">
        <v>UNP 300x100x10</v>
      </c>
      <c r="E349" t="str">
        <v>SGJ</v>
      </c>
      <c r="F349" t="str">
        <v>German</v>
      </c>
      <c r="H349">
        <v>12</v>
      </c>
      <c r="I349">
        <v>556</v>
      </c>
      <c r="J349">
        <v>300</v>
      </c>
      <c r="K349">
        <v>100</v>
      </c>
      <c r="L349">
        <v>10</v>
      </c>
      <c r="O349">
        <f>I349/H349</f>
        <v>46.333333333333336</v>
      </c>
      <c r="P349">
        <f>(2*J349+4*K349-2*L349)*1/1000</f>
        <v>0.98</v>
      </c>
    </row>
    <row r="350">
      <c r="C350" t="str">
        <v>UNP 300x100x10 J</v>
      </c>
      <c r="E350" t="str">
        <v>SGJ, SHC</v>
      </c>
      <c r="F350" t="str">
        <v>Japan</v>
      </c>
      <c r="H350">
        <v>12</v>
      </c>
      <c r="I350">
        <v>526</v>
      </c>
      <c r="J350">
        <v>300</v>
      </c>
      <c r="K350">
        <v>100</v>
      </c>
      <c r="L350">
        <v>10</v>
      </c>
      <c r="O350">
        <f>I350/H350</f>
        <v>43.833333333333336</v>
      </c>
      <c r="P350">
        <f>(2*J350+4*K350-2*L350)*1/1000</f>
        <v>0.98</v>
      </c>
    </row>
    <row r="351">
      <c r="C351" t="str">
        <v>UNP 320x100x14</v>
      </c>
      <c r="E351" t="str">
        <v>SGJ, SHC</v>
      </c>
      <c r="F351" t="str">
        <v>German</v>
      </c>
      <c r="H351">
        <v>12</v>
      </c>
      <c r="I351">
        <v>714</v>
      </c>
      <c r="J351">
        <v>320</v>
      </c>
      <c r="K351">
        <v>100</v>
      </c>
      <c r="L351">
        <v>14</v>
      </c>
      <c r="O351">
        <f>I351/H351</f>
        <v>59.5</v>
      </c>
      <c r="P351">
        <f>(2*J351+4*K351-2*L351)*1/1000</f>
        <v>1.012</v>
      </c>
    </row>
    <row r="352">
      <c r="C352" t="str">
        <v>UNP 350x100x14</v>
      </c>
      <c r="E352" t="str">
        <v>SGJ, SHC</v>
      </c>
      <c r="F352" t="str">
        <v>German</v>
      </c>
      <c r="H352">
        <v>12</v>
      </c>
      <c r="I352">
        <v>727.2</v>
      </c>
      <c r="J352">
        <v>350</v>
      </c>
      <c r="K352">
        <v>100</v>
      </c>
      <c r="L352">
        <v>14</v>
      </c>
      <c r="O352">
        <f>I352/H352</f>
        <v>60.6</v>
      </c>
      <c r="P352">
        <f>(2*J352+4*K352-2*L352)*1/1000</f>
        <v>1.072</v>
      </c>
    </row>
    <row r="353">
      <c r="C353" t="str">
        <v>UNP 380x102x13,5</v>
      </c>
      <c r="E353" t="str">
        <v>SGJ, SHC</v>
      </c>
      <c r="F353" t="str">
        <v>German</v>
      </c>
      <c r="H353">
        <v>12</v>
      </c>
      <c r="I353">
        <v>757.2</v>
      </c>
      <c r="J353">
        <v>380</v>
      </c>
      <c r="K353">
        <v>102</v>
      </c>
      <c r="L353">
        <v>13.5</v>
      </c>
      <c r="O353">
        <f>I353/H353</f>
        <v>63.1</v>
      </c>
      <c r="P353">
        <f>(2*J353+4*K353-2*L353)*1/1000</f>
        <v>1.141</v>
      </c>
    </row>
    <row r="354">
      <c r="C354" t="str">
        <v>UNP 400x110x14</v>
      </c>
      <c r="E354" t="str">
        <v>SGJ, SHC</v>
      </c>
      <c r="F354" t="str">
        <v>German</v>
      </c>
      <c r="H354">
        <v>12</v>
      </c>
      <c r="I354">
        <v>862</v>
      </c>
      <c r="J354">
        <v>400</v>
      </c>
      <c r="K354">
        <v>110</v>
      </c>
      <c r="L354">
        <v>14</v>
      </c>
      <c r="O354">
        <f>I354/H354</f>
        <v>71.83333333333333</v>
      </c>
      <c r="P354">
        <f>(2*J354+4*K354-2*L354)*1/1000</f>
        <v>1.212</v>
      </c>
    </row>
    <row r="355">
      <c r="B355" t="str">
        <v>U Channel (UNP)</v>
      </c>
      <c r="C355" t="str">
        <v>UNP 75x40x5x7</v>
      </c>
      <c r="D355" t="str">
        <v>GG</v>
      </c>
      <c r="H355">
        <v>6</v>
      </c>
      <c r="I355">
        <f>O355*H355</f>
        <v>41.519999999999996</v>
      </c>
      <c r="J355">
        <v>75</v>
      </c>
      <c r="K355">
        <v>40</v>
      </c>
      <c r="L355">
        <v>5</v>
      </c>
      <c r="M355">
        <v>7</v>
      </c>
      <c r="O355">
        <v>6.92</v>
      </c>
      <c r="P355">
        <f>(2*J355+4*K355-2*L355)*1/1000</f>
        <v>0.3</v>
      </c>
    </row>
    <row r="356">
      <c r="C356" t="str">
        <v>UNP 100x50x5x7,5</v>
      </c>
      <c r="D356" t="str">
        <v>GG</v>
      </c>
      <c r="H356">
        <v>6</v>
      </c>
      <c r="I356">
        <f>O356*H356</f>
        <v>56.16</v>
      </c>
      <c r="J356">
        <v>100</v>
      </c>
      <c r="K356">
        <v>50</v>
      </c>
      <c r="L356">
        <v>5</v>
      </c>
      <c r="M356">
        <v>7.5</v>
      </c>
      <c r="O356">
        <v>9.36</v>
      </c>
      <c r="P356">
        <f>(2*J356+4*K356-2*L356)*1/1000</f>
        <v>0.39</v>
      </c>
    </row>
    <row r="357">
      <c r="C357" t="str">
        <v>UNP 125x65x6x8</v>
      </c>
      <c r="D357" t="str">
        <v>GG</v>
      </c>
      <c r="H357">
        <v>6</v>
      </c>
      <c r="I357">
        <f>O357*H357</f>
        <v>80.4</v>
      </c>
      <c r="J357">
        <v>125</v>
      </c>
      <c r="K357">
        <v>65</v>
      </c>
      <c r="L357">
        <v>6</v>
      </c>
      <c r="M357">
        <v>8</v>
      </c>
      <c r="O357">
        <v>13.4</v>
      </c>
      <c r="P357">
        <f>(2*J357+4*K357-2*L357)*1/1000</f>
        <v>0.498</v>
      </c>
    </row>
    <row r="358">
      <c r="C358" t="str">
        <v>UNP 150x75x6,5x10</v>
      </c>
      <c r="D358" t="str">
        <v>GG</v>
      </c>
      <c r="H358">
        <v>6</v>
      </c>
      <c r="I358">
        <f>O358*H358</f>
        <v>111.60000000000001</v>
      </c>
      <c r="J358">
        <v>150</v>
      </c>
      <c r="K358">
        <v>75</v>
      </c>
      <c r="L358">
        <v>6.5</v>
      </c>
      <c r="M358">
        <v>10</v>
      </c>
      <c r="O358">
        <v>18.6</v>
      </c>
      <c r="P358">
        <f>(2*J358+4*K358-2*L358)*1/1000</f>
        <v>0.587</v>
      </c>
    </row>
    <row r="359">
      <c r="C359" t="str">
        <v>UNP 150x75x9x12,5</v>
      </c>
      <c r="D359" t="str">
        <v>GG</v>
      </c>
      <c r="H359">
        <v>6</v>
      </c>
      <c r="I359">
        <f>O359*H359</f>
        <v>144</v>
      </c>
      <c r="J359">
        <v>150</v>
      </c>
      <c r="K359">
        <v>75</v>
      </c>
      <c r="L359">
        <v>9</v>
      </c>
      <c r="M359">
        <v>12.5</v>
      </c>
      <c r="O359">
        <v>24</v>
      </c>
      <c r="P359">
        <f>(2*J359+4*K359-2*L359)*1/1000</f>
        <v>0.582</v>
      </c>
    </row>
    <row r="360">
      <c r="C360" t="str">
        <v>UNP 180x75x7x10,5</v>
      </c>
      <c r="D360" t="str">
        <v>GG</v>
      </c>
      <c r="H360">
        <v>6</v>
      </c>
      <c r="I360">
        <f>O360*H360</f>
        <v>128.39999999999998</v>
      </c>
      <c r="J360">
        <v>180</v>
      </c>
      <c r="K360">
        <v>75</v>
      </c>
      <c r="L360">
        <v>7</v>
      </c>
      <c r="M360">
        <v>10.5</v>
      </c>
      <c r="O360">
        <v>21.4</v>
      </c>
      <c r="P360">
        <f>(2*J360+4*K360-2*L360)*1/1000</f>
        <v>0.646</v>
      </c>
    </row>
    <row r="361">
      <c r="C361" t="str">
        <v>UNP 200x70x7x10</v>
      </c>
      <c r="D361" t="str">
        <v>GG</v>
      </c>
      <c r="H361">
        <v>6</v>
      </c>
      <c r="I361">
        <f>O361*H361</f>
        <v>126.60000000000001</v>
      </c>
      <c r="J361">
        <v>200</v>
      </c>
      <c r="K361">
        <v>70</v>
      </c>
      <c r="L361">
        <v>7</v>
      </c>
      <c r="M361">
        <v>10</v>
      </c>
      <c r="O361">
        <v>21.1</v>
      </c>
      <c r="P361">
        <f>(2*J361+4*K361-2*L361)*1/1000</f>
        <v>0.666</v>
      </c>
    </row>
    <row r="362">
      <c r="C362" t="str">
        <v>UNP 200x80x7,5x11</v>
      </c>
      <c r="D362" t="str">
        <v>GG</v>
      </c>
      <c r="H362">
        <v>6</v>
      </c>
      <c r="I362">
        <f>O362*H362</f>
        <v>147.60000000000002</v>
      </c>
      <c r="J362">
        <v>200</v>
      </c>
      <c r="K362">
        <v>80</v>
      </c>
      <c r="L362">
        <v>7.5</v>
      </c>
      <c r="M362">
        <v>11</v>
      </c>
      <c r="O362">
        <v>24.6</v>
      </c>
      <c r="P362">
        <f>(2*J362+4*K362-2*L362)*1/1000</f>
        <v>0.705</v>
      </c>
    </row>
    <row r="363">
      <c r="C363" t="str">
        <v>UNP 200x90x8x13,5</v>
      </c>
      <c r="D363" t="str">
        <v>GG</v>
      </c>
      <c r="H363">
        <v>6</v>
      </c>
      <c r="I363">
        <f>O363*H363</f>
        <v>181.8</v>
      </c>
      <c r="J363">
        <v>200</v>
      </c>
      <c r="K363">
        <v>90</v>
      </c>
      <c r="L363">
        <v>8</v>
      </c>
      <c r="M363">
        <v>13.5</v>
      </c>
      <c r="O363">
        <v>30.3</v>
      </c>
      <c r="P363">
        <f>(2*J363+4*K363-2*L363)*1/1000</f>
        <v>0.744</v>
      </c>
    </row>
    <row r="364">
      <c r="C364" t="str">
        <v>UNP 250x90x9x13</v>
      </c>
      <c r="D364" t="str">
        <v>GG</v>
      </c>
      <c r="H364">
        <v>6</v>
      </c>
      <c r="I364">
        <f>O364*H364</f>
        <v>264.42</v>
      </c>
      <c r="J364">
        <v>250</v>
      </c>
      <c r="K364">
        <v>90</v>
      </c>
      <c r="L364">
        <v>9</v>
      </c>
      <c r="M364">
        <v>13</v>
      </c>
      <c r="O364">
        <v>44.07</v>
      </c>
      <c r="P364">
        <f>(2*J364+4*K364-2*L364)*1/1000</f>
        <v>0.842</v>
      </c>
    </row>
    <row r="365">
      <c r="C365" t="str">
        <v>UNP 250x90x11x14,5</v>
      </c>
      <c r="D365" t="str">
        <v>GG</v>
      </c>
      <c r="H365">
        <v>6</v>
      </c>
      <c r="I365">
        <f>O365*H365</f>
        <v>241.20000000000002</v>
      </c>
      <c r="J365">
        <v>250</v>
      </c>
      <c r="K365">
        <v>90</v>
      </c>
      <c r="L365">
        <v>11</v>
      </c>
      <c r="M365">
        <v>14.5</v>
      </c>
      <c r="O365">
        <v>40.2</v>
      </c>
      <c r="P365">
        <f>(2*J365+4*K365-2*L365)*1/1000</f>
        <v>0.838</v>
      </c>
    </row>
    <row r="366">
      <c r="C366" t="str">
        <v>UNP 300x90x10x15,5</v>
      </c>
      <c r="D366" t="str">
        <v>GG</v>
      </c>
      <c r="H366">
        <v>6</v>
      </c>
      <c r="I366">
        <f>O366*H366</f>
        <v>262.79999999999995</v>
      </c>
      <c r="J366">
        <v>300</v>
      </c>
      <c r="K366">
        <v>90</v>
      </c>
      <c r="L366">
        <v>10</v>
      </c>
      <c r="M366">
        <v>15.5</v>
      </c>
      <c r="O366">
        <v>43.8</v>
      </c>
      <c r="P366">
        <f>(2*J366+4*K366-2*L366)*1/1000</f>
        <v>0.94</v>
      </c>
    </row>
    <row r="367">
      <c r="C367" t="str">
        <v>UNP 300x90x12x16</v>
      </c>
      <c r="D367" t="str">
        <v>GG</v>
      </c>
      <c r="H367">
        <v>6</v>
      </c>
      <c r="I367">
        <f>O367*H367</f>
        <v>291.6</v>
      </c>
      <c r="J367">
        <v>300</v>
      </c>
      <c r="K367">
        <v>90</v>
      </c>
      <c r="L367">
        <v>12</v>
      </c>
      <c r="M367">
        <v>16</v>
      </c>
      <c r="O367">
        <v>48.6</v>
      </c>
      <c r="P367">
        <f>(2*J367+4*K367-2*L367)*1/1000</f>
        <v>0.936</v>
      </c>
    </row>
    <row r="368">
      <c r="C368" t="str">
        <v>UNP 380x100x10,5x16</v>
      </c>
      <c r="D368" t="str">
        <v>GG</v>
      </c>
      <c r="H368">
        <v>6</v>
      </c>
      <c r="I368">
        <f>O368*H368</f>
        <v>327</v>
      </c>
      <c r="J368">
        <v>380</v>
      </c>
      <c r="K368">
        <v>100</v>
      </c>
      <c r="L368">
        <v>10.5</v>
      </c>
      <c r="M368">
        <v>16</v>
      </c>
      <c r="O368">
        <v>54.5</v>
      </c>
      <c r="P368">
        <f>(2*J368+4*K368-2*L368)*1/1000</f>
        <v>1.139</v>
      </c>
    </row>
    <row r="369">
      <c r="C369" t="str">
        <v>UNP 380x100x13x16,5</v>
      </c>
      <c r="D369" t="str">
        <v>GG</v>
      </c>
      <c r="H369">
        <v>6</v>
      </c>
      <c r="I369">
        <f>O369*H369</f>
        <v>372</v>
      </c>
      <c r="J369">
        <v>380</v>
      </c>
      <c r="K369">
        <v>100</v>
      </c>
      <c r="L369">
        <v>13</v>
      </c>
      <c r="M369">
        <v>16.5</v>
      </c>
      <c r="O369">
        <v>62</v>
      </c>
      <c r="P369">
        <f>(2*J369+4*K369-2*L369)*1/1000</f>
        <v>1.134</v>
      </c>
    </row>
    <row r="370">
      <c r="C370" t="str">
        <v>UNP 380x100x13x20</v>
      </c>
      <c r="D370" t="str">
        <v>GG</v>
      </c>
      <c r="H370">
        <v>6</v>
      </c>
      <c r="I370">
        <f>O370*H370</f>
        <v>403.79999999999995</v>
      </c>
      <c r="J370">
        <v>380</v>
      </c>
      <c r="K370">
        <v>100</v>
      </c>
      <c r="L370">
        <v>13</v>
      </c>
      <c r="M370">
        <v>20</v>
      </c>
      <c r="O370">
        <v>67.3</v>
      </c>
      <c r="P370">
        <f>(2*J370+4*K370-2*L370)*1/1000</f>
        <v>1.134</v>
      </c>
    </row>
    <row r="371">
      <c r="B371" t="str">
        <v>Square Hollow (HL)</v>
      </c>
      <c r="C371" t="str">
        <v>HL 12,5x12,5x0,9</v>
      </c>
      <c r="E371" t="str">
        <v>SGJ</v>
      </c>
      <c r="H371">
        <v>6</v>
      </c>
      <c r="I371">
        <f>O371*H371</f>
        <v>1.992</v>
      </c>
      <c r="J371">
        <v>12.5</v>
      </c>
      <c r="K371">
        <v>12.5</v>
      </c>
      <c r="L371">
        <v>0.9</v>
      </c>
      <c r="O371">
        <v>0.332</v>
      </c>
      <c r="P371">
        <f>(4*J371)*1/1000</f>
        <v>0.05</v>
      </c>
    </row>
    <row r="372">
      <c r="C372" t="str">
        <v>HL 15x15x0,9</v>
      </c>
      <c r="E372" t="str">
        <v>SGJ</v>
      </c>
      <c r="H372">
        <v>6</v>
      </c>
      <c r="I372">
        <f>O372*H372</f>
        <v>2.418</v>
      </c>
      <c r="J372">
        <v>15</v>
      </c>
      <c r="K372">
        <v>15</v>
      </c>
      <c r="L372">
        <v>0.9</v>
      </c>
      <c r="O372">
        <v>0.403</v>
      </c>
      <c r="P372">
        <f>(4*J372)*1/1000</f>
        <v>0.06</v>
      </c>
    </row>
    <row r="373">
      <c r="C373" t="str">
        <v>HL 20x20x0,9</v>
      </c>
      <c r="E373" t="str">
        <v>SGJ</v>
      </c>
      <c r="H373">
        <v>6</v>
      </c>
      <c r="I373">
        <f>O373*H373</f>
        <v>3.2640000000000002</v>
      </c>
      <c r="J373">
        <v>20</v>
      </c>
      <c r="K373">
        <v>20</v>
      </c>
      <c r="L373">
        <v>0.9</v>
      </c>
      <c r="O373">
        <v>0.544</v>
      </c>
      <c r="P373">
        <f>(4*J373)*1/1000</f>
        <v>0.08</v>
      </c>
    </row>
    <row r="374">
      <c r="C374" t="str">
        <v>HL 25x25x1</v>
      </c>
      <c r="E374" t="str">
        <v>SGJ</v>
      </c>
      <c r="H374">
        <v>6</v>
      </c>
      <c r="I374">
        <f>O374*H374</f>
        <v>4.554</v>
      </c>
      <c r="J374">
        <v>25</v>
      </c>
      <c r="K374">
        <v>25</v>
      </c>
      <c r="L374">
        <v>1</v>
      </c>
      <c r="O374">
        <v>0.759</v>
      </c>
      <c r="P374">
        <f>(4*J374)*1/1000</f>
        <v>0.1</v>
      </c>
    </row>
    <row r="375">
      <c r="C375" t="str">
        <v>HL 30x30x1</v>
      </c>
      <c r="E375" t="str">
        <v>SGJ</v>
      </c>
      <c r="H375">
        <v>6</v>
      </c>
      <c r="I375">
        <f>O375*H375</f>
        <v>5.49</v>
      </c>
      <c r="J375">
        <v>30</v>
      </c>
      <c r="K375">
        <v>30</v>
      </c>
      <c r="L375">
        <v>1</v>
      </c>
      <c r="O375">
        <v>0.915</v>
      </c>
      <c r="P375">
        <f>(4*J375)*1/1000</f>
        <v>0.12</v>
      </c>
    </row>
    <row r="376">
      <c r="C376" t="str">
        <v>HL 40x40x1,2</v>
      </c>
      <c r="E376" t="str">
        <v>SGJ</v>
      </c>
      <c r="H376">
        <v>6</v>
      </c>
      <c r="I376">
        <f>O376*H376</f>
        <v>8.808</v>
      </c>
      <c r="J376">
        <v>40</v>
      </c>
      <c r="K376">
        <v>40</v>
      </c>
      <c r="L376">
        <v>1.2</v>
      </c>
      <c r="O376">
        <v>1.468</v>
      </c>
      <c r="P376">
        <f>(4*J376)*1/1000</f>
        <v>0.16</v>
      </c>
    </row>
    <row r="377">
      <c r="C377" t="str">
        <v>HL 40x40x1,6</v>
      </c>
      <c r="D377" t="str">
        <v>ALIM, SPINDO</v>
      </c>
      <c r="H377">
        <v>6</v>
      </c>
      <c r="I377">
        <f>O377*H377</f>
        <v>11.28</v>
      </c>
      <c r="J377">
        <v>40</v>
      </c>
      <c r="K377">
        <v>40</v>
      </c>
      <c r="L377">
        <v>1.6</v>
      </c>
      <c r="O377">
        <v>1.88</v>
      </c>
      <c r="P377">
        <f>(4*J377)*1/1000</f>
        <v>0.16</v>
      </c>
    </row>
    <row r="378">
      <c r="C378" t="str">
        <v>HL 40x40x2,3</v>
      </c>
      <c r="D378" t="str">
        <v>ALIM, SPINDO</v>
      </c>
      <c r="H378">
        <v>6</v>
      </c>
      <c r="I378">
        <f>O378*H378</f>
        <v>15.72</v>
      </c>
      <c r="J378">
        <v>40</v>
      </c>
      <c r="K378">
        <v>40</v>
      </c>
      <c r="L378">
        <v>2.3</v>
      </c>
      <c r="O378">
        <v>2.62</v>
      </c>
      <c r="P378">
        <f>(4*J378)*1/1000</f>
        <v>0.16</v>
      </c>
    </row>
    <row r="379">
      <c r="C379" t="str">
        <v>HL 40x40x3,2</v>
      </c>
      <c r="D379" t="str">
        <v>SPINDO</v>
      </c>
      <c r="H379">
        <v>6</v>
      </c>
      <c r="I379">
        <f>O379*H379</f>
        <v>22.799999999999997</v>
      </c>
      <c r="J379">
        <v>40</v>
      </c>
      <c r="K379">
        <v>40</v>
      </c>
      <c r="L379">
        <v>3.2</v>
      </c>
      <c r="O379">
        <v>3.8</v>
      </c>
      <c r="P379">
        <f>(4*J379)*1/1000</f>
        <v>0.16</v>
      </c>
    </row>
    <row r="380">
      <c r="C380" t="str">
        <v>HL 50x50x1,6</v>
      </c>
      <c r="D380" t="str">
        <v>ALIM, SPINDO</v>
      </c>
      <c r="H380">
        <v>6</v>
      </c>
      <c r="I380">
        <f>O380*H380</f>
        <v>14.28</v>
      </c>
      <c r="J380">
        <v>50</v>
      </c>
      <c r="K380">
        <v>50</v>
      </c>
      <c r="L380">
        <v>1.6</v>
      </c>
      <c r="O380">
        <v>2.38</v>
      </c>
      <c r="P380">
        <f>(4*J380)*1/1000</f>
        <v>0.2</v>
      </c>
    </row>
    <row r="381">
      <c r="C381" t="str">
        <v>HL 50x50x2,3</v>
      </c>
      <c r="D381" t="str">
        <v>ALIM, SPINDO</v>
      </c>
      <c r="H381">
        <v>6</v>
      </c>
      <c r="I381">
        <f>O381*H381</f>
        <v>20.04</v>
      </c>
      <c r="J381">
        <v>50</v>
      </c>
      <c r="K381">
        <v>50</v>
      </c>
      <c r="L381">
        <v>2.3</v>
      </c>
      <c r="O381">
        <v>3.34</v>
      </c>
      <c r="P381">
        <f>(4*J381)*1/1000</f>
        <v>0.2</v>
      </c>
    </row>
    <row r="382">
      <c r="C382" t="str">
        <v>HL 50x50x3,2</v>
      </c>
      <c r="D382" t="str">
        <v>ALIM, SPINDO</v>
      </c>
      <c r="H382">
        <v>6</v>
      </c>
      <c r="I382">
        <f>O382*H382</f>
        <v>27</v>
      </c>
      <c r="J382">
        <v>50</v>
      </c>
      <c r="K382">
        <v>50</v>
      </c>
      <c r="L382">
        <v>3.2</v>
      </c>
      <c r="O382">
        <v>4.5</v>
      </c>
      <c r="P382">
        <f>(4*J382)*1/1000</f>
        <v>0.2</v>
      </c>
    </row>
    <row r="383">
      <c r="C383" t="str">
        <v>HL 60x60x1,6</v>
      </c>
      <c r="D383" t="str">
        <v>ALIM, SPINDO</v>
      </c>
      <c r="H383">
        <v>6</v>
      </c>
      <c r="I383">
        <f>O383*H383</f>
        <v>17.28</v>
      </c>
      <c r="J383">
        <v>60</v>
      </c>
      <c r="K383">
        <v>60</v>
      </c>
      <c r="L383">
        <v>1.6</v>
      </c>
      <c r="O383">
        <v>2.88</v>
      </c>
      <c r="P383">
        <f>(4*J383)*1/1000</f>
        <v>0.24</v>
      </c>
    </row>
    <row r="384">
      <c r="C384" t="str">
        <v>HL 60x60x2,3</v>
      </c>
      <c r="D384" t="str">
        <v>ALIM, SPINDO</v>
      </c>
      <c r="H384">
        <v>6</v>
      </c>
      <c r="I384">
        <f>O384*H384</f>
        <v>24.36</v>
      </c>
      <c r="J384">
        <v>60</v>
      </c>
      <c r="K384">
        <v>60</v>
      </c>
      <c r="L384">
        <v>2.3</v>
      </c>
      <c r="O384">
        <v>4.06</v>
      </c>
      <c r="P384">
        <f>(4*J384)*1/1000</f>
        <v>0.24</v>
      </c>
    </row>
    <row r="385">
      <c r="C385" t="str">
        <v>HL 60x60x3,2</v>
      </c>
      <c r="D385" t="str">
        <v>ALIM, SPINDO</v>
      </c>
      <c r="H385">
        <v>6</v>
      </c>
      <c r="I385">
        <f>O385*H385</f>
        <v>33</v>
      </c>
      <c r="J385">
        <v>60</v>
      </c>
      <c r="K385">
        <v>60</v>
      </c>
      <c r="L385">
        <v>3.2</v>
      </c>
      <c r="O385">
        <v>5.5</v>
      </c>
      <c r="P385">
        <f>(4*J385)*1/1000</f>
        <v>0.24</v>
      </c>
    </row>
    <row r="386">
      <c r="C386" t="str">
        <v>HL 70x70x2</v>
      </c>
      <c r="D386" t="str">
        <v>GG</v>
      </c>
      <c r="H386">
        <v>6</v>
      </c>
      <c r="I386">
        <f>O386*H386</f>
        <v>25.14</v>
      </c>
      <c r="J386">
        <v>70</v>
      </c>
      <c r="K386">
        <v>70</v>
      </c>
      <c r="L386">
        <v>2</v>
      </c>
      <c r="O386">
        <v>4.19</v>
      </c>
      <c r="P386">
        <f>(4*J386)*1/1000</f>
        <v>0.28</v>
      </c>
    </row>
    <row r="387">
      <c r="C387" t="str">
        <v>HL 70x70x2,5</v>
      </c>
      <c r="D387" t="str">
        <v>GG</v>
      </c>
      <c r="F387">
        <f>SUM(F361:F386)</f>
        <v>0</v>
      </c>
      <c r="H387">
        <v>6</v>
      </c>
      <c r="I387">
        <f>O387*H387</f>
        <v>31.02</v>
      </c>
      <c r="J387">
        <v>70</v>
      </c>
      <c r="K387">
        <v>70</v>
      </c>
      <c r="L387">
        <v>2.5</v>
      </c>
      <c r="O387">
        <v>5.17</v>
      </c>
      <c r="P387">
        <f>(4*J387)*1/1000</f>
        <v>0.28</v>
      </c>
    </row>
    <row r="388">
      <c r="C388" t="str">
        <v>HL 70x70x3</v>
      </c>
      <c r="D388" t="str">
        <v>GG</v>
      </c>
      <c r="H388">
        <v>6</v>
      </c>
      <c r="I388">
        <f>O388*H388</f>
        <v>36.78</v>
      </c>
      <c r="J388">
        <v>70</v>
      </c>
      <c r="K388">
        <v>70</v>
      </c>
      <c r="L388">
        <v>3</v>
      </c>
      <c r="O388">
        <v>6.13</v>
      </c>
      <c r="P388">
        <f>(4*J388)*1/1000</f>
        <v>0.28</v>
      </c>
    </row>
    <row r="389">
      <c r="C389" t="str">
        <v>HL 70x70x3,5</v>
      </c>
      <c r="D389" t="str">
        <v>GG</v>
      </c>
      <c r="H389">
        <v>6</v>
      </c>
      <c r="I389">
        <f>O389*H389</f>
        <v>42.36</v>
      </c>
      <c r="J389">
        <v>70</v>
      </c>
      <c r="K389">
        <v>70</v>
      </c>
      <c r="L389">
        <v>3.5</v>
      </c>
      <c r="O389">
        <v>7.06</v>
      </c>
      <c r="P389">
        <f>(4*J389)*1/1000</f>
        <v>0.28</v>
      </c>
    </row>
    <row r="390">
      <c r="C390" t="str">
        <v>HL 70x70x4</v>
      </c>
      <c r="D390" t="str">
        <v>GG</v>
      </c>
      <c r="H390">
        <v>6</v>
      </c>
      <c r="I390">
        <f>O390*H390</f>
        <v>47.82</v>
      </c>
      <c r="J390">
        <v>70</v>
      </c>
      <c r="K390">
        <v>70</v>
      </c>
      <c r="L390">
        <v>4</v>
      </c>
      <c r="O390">
        <v>7.97</v>
      </c>
      <c r="P390">
        <f>(4*J390)*1/1000</f>
        <v>0.28</v>
      </c>
    </row>
    <row r="391">
      <c r="C391" t="str">
        <v>HL 70x70x4,5</v>
      </c>
      <c r="D391" t="str">
        <v>GG</v>
      </c>
      <c r="H391">
        <v>6</v>
      </c>
      <c r="I391">
        <f>O391*H391</f>
        <v>53.099999999999994</v>
      </c>
      <c r="J391">
        <v>70</v>
      </c>
      <c r="K391">
        <v>70</v>
      </c>
      <c r="L391">
        <v>4.5</v>
      </c>
      <c r="O391">
        <v>8.85</v>
      </c>
      <c r="P391">
        <f>(4*J391)*1/1000</f>
        <v>0.28</v>
      </c>
    </row>
    <row r="392">
      <c r="C392" t="str">
        <v>HL 70x70x5</v>
      </c>
      <c r="D392" t="str">
        <v>GG</v>
      </c>
      <c r="H392">
        <v>6</v>
      </c>
      <c r="I392">
        <f>O392*H392</f>
        <v>58.199999999999996</v>
      </c>
      <c r="J392">
        <v>70</v>
      </c>
      <c r="K392">
        <v>70</v>
      </c>
      <c r="L392">
        <v>5</v>
      </c>
      <c r="O392">
        <v>9.7</v>
      </c>
      <c r="P392">
        <f>(4*J392)*1/1000</f>
        <v>0.28</v>
      </c>
    </row>
    <row r="393">
      <c r="C393" t="str">
        <v>HL 70x70x5,5</v>
      </c>
      <c r="D393" t="str">
        <v>GG</v>
      </c>
      <c r="H393">
        <v>6</v>
      </c>
      <c r="I393">
        <f>O393*H393</f>
        <v>63.17999999999999</v>
      </c>
      <c r="J393">
        <v>70</v>
      </c>
      <c r="K393">
        <v>70</v>
      </c>
      <c r="L393">
        <v>5.5</v>
      </c>
      <c r="O393">
        <v>10.53</v>
      </c>
      <c r="P393">
        <f>(4*J393)*1/1000</f>
        <v>0.28</v>
      </c>
    </row>
    <row r="394">
      <c r="C394" t="str">
        <v>HL 75x75x1,6</v>
      </c>
      <c r="D394" t="str">
        <v>ALIM, SPINDO</v>
      </c>
      <c r="H394">
        <v>6</v>
      </c>
      <c r="I394">
        <f>O394*H394</f>
        <v>21.84</v>
      </c>
      <c r="J394">
        <v>75</v>
      </c>
      <c r="K394">
        <v>75</v>
      </c>
      <c r="L394">
        <v>1.6</v>
      </c>
      <c r="O394">
        <v>3.64</v>
      </c>
      <c r="P394">
        <f>(4*J394)*1/1000</f>
        <v>0.3</v>
      </c>
    </row>
    <row r="395">
      <c r="C395" t="str">
        <v>HL 75x75x2,3</v>
      </c>
      <c r="D395" t="str">
        <v>ALIM, SPINDO</v>
      </c>
      <c r="H395">
        <v>6</v>
      </c>
      <c r="I395">
        <f>O395*H395</f>
        <v>30.839999999999996</v>
      </c>
      <c r="J395">
        <v>75</v>
      </c>
      <c r="K395">
        <v>75</v>
      </c>
      <c r="L395">
        <v>2.3</v>
      </c>
      <c r="O395">
        <v>5.14</v>
      </c>
      <c r="P395">
        <f>(4*J395)*1/1000</f>
        <v>0.3</v>
      </c>
    </row>
    <row r="396">
      <c r="C396" t="str">
        <v>HL 75x75x3,2</v>
      </c>
      <c r="D396" t="str">
        <v>ALIM, SPINDO</v>
      </c>
      <c r="H396">
        <v>6</v>
      </c>
      <c r="I396">
        <f>O396*H396</f>
        <v>42.06</v>
      </c>
      <c r="J396">
        <v>75</v>
      </c>
      <c r="K396">
        <v>75</v>
      </c>
      <c r="L396">
        <v>3.2</v>
      </c>
      <c r="O396">
        <v>7.01</v>
      </c>
      <c r="P396">
        <f>(4*J396)*1/1000</f>
        <v>0.3</v>
      </c>
    </row>
    <row r="397">
      <c r="C397" t="str">
        <v>HL 90x90x2</v>
      </c>
      <c r="D397" t="str">
        <v>GG</v>
      </c>
      <c r="H397">
        <v>6</v>
      </c>
      <c r="I397">
        <f>O397*H397</f>
        <v>32.7</v>
      </c>
      <c r="J397">
        <v>90</v>
      </c>
      <c r="K397">
        <v>90</v>
      </c>
      <c r="L397">
        <v>2</v>
      </c>
      <c r="O397">
        <v>5.45</v>
      </c>
      <c r="P397">
        <f>(4*J397)*1/1000</f>
        <v>0.36</v>
      </c>
    </row>
    <row r="398">
      <c r="C398" t="str">
        <v>HL 90x90x2,3</v>
      </c>
      <c r="D398" t="str">
        <v>SPINDO</v>
      </c>
      <c r="G398" t="str">
        <v>MO</v>
      </c>
      <c r="H398">
        <v>6</v>
      </c>
      <c r="I398">
        <f>O398*H398</f>
        <v>37.38</v>
      </c>
      <c r="J398">
        <v>90</v>
      </c>
      <c r="K398">
        <v>90</v>
      </c>
      <c r="L398">
        <v>2.3</v>
      </c>
      <c r="O398">
        <v>6.23</v>
      </c>
      <c r="P398">
        <f>(4*J398)*1/1000</f>
        <v>0.36</v>
      </c>
    </row>
    <row r="399">
      <c r="C399" t="str">
        <v>HL 90x90x2,5</v>
      </c>
      <c r="D399" t="str">
        <v>GG</v>
      </c>
      <c r="H399">
        <v>6</v>
      </c>
      <c r="I399">
        <f>O399*H399</f>
        <v>40.44</v>
      </c>
      <c r="J399">
        <v>90</v>
      </c>
      <c r="K399">
        <v>90</v>
      </c>
      <c r="L399">
        <v>2.5</v>
      </c>
      <c r="O399">
        <v>6.74</v>
      </c>
      <c r="P399">
        <f>(4*J399)*1/1000</f>
        <v>0.36</v>
      </c>
    </row>
    <row r="400">
      <c r="C400" t="str">
        <v>HL 90x90x3</v>
      </c>
      <c r="D400" t="str">
        <v>GG</v>
      </c>
      <c r="H400">
        <v>6</v>
      </c>
      <c r="I400">
        <f>O400*H400</f>
        <v>48.06</v>
      </c>
      <c r="J400">
        <v>90</v>
      </c>
      <c r="K400">
        <v>90</v>
      </c>
      <c r="L400">
        <v>3</v>
      </c>
      <c r="O400">
        <v>8.01</v>
      </c>
      <c r="P400">
        <f>(4*J400)*1/1000</f>
        <v>0.36</v>
      </c>
    </row>
    <row r="401">
      <c r="C401" t="str">
        <v>HL 90x90x3,2</v>
      </c>
      <c r="D401" t="str">
        <v>SPINDO</v>
      </c>
      <c r="G401" t="str">
        <v>MO</v>
      </c>
      <c r="H401">
        <v>6</v>
      </c>
      <c r="I401">
        <f>O401*H401</f>
        <v>51.06</v>
      </c>
      <c r="J401">
        <v>90</v>
      </c>
      <c r="K401">
        <v>90</v>
      </c>
      <c r="L401">
        <v>3.2</v>
      </c>
      <c r="O401">
        <v>8.51</v>
      </c>
      <c r="P401">
        <f>(4*J401)*1/1000</f>
        <v>0.36</v>
      </c>
    </row>
    <row r="402">
      <c r="C402" t="str">
        <v>HL 90x90x3,5</v>
      </c>
      <c r="D402" t="str">
        <v>GG</v>
      </c>
      <c r="H402">
        <v>6</v>
      </c>
      <c r="I402">
        <f>O402*H402</f>
        <v>55.56</v>
      </c>
      <c r="J402">
        <v>90</v>
      </c>
      <c r="K402">
        <v>90</v>
      </c>
      <c r="L402">
        <v>3.5</v>
      </c>
      <c r="O402">
        <v>9.26</v>
      </c>
      <c r="P402">
        <f>(4*J402)*1/1000</f>
        <v>0.36</v>
      </c>
    </row>
    <row r="403">
      <c r="C403" t="str">
        <v>HL 90x90x4</v>
      </c>
      <c r="D403" t="str">
        <v>GG</v>
      </c>
      <c r="H403">
        <v>6</v>
      </c>
      <c r="I403">
        <f>O403*H403</f>
        <v>62.88</v>
      </c>
      <c r="J403">
        <v>90</v>
      </c>
      <c r="K403">
        <v>90</v>
      </c>
      <c r="L403">
        <v>4</v>
      </c>
      <c r="O403">
        <v>10.48</v>
      </c>
      <c r="P403">
        <f>(4*J403)*1/1000</f>
        <v>0.36</v>
      </c>
    </row>
    <row r="404">
      <c r="C404" t="str">
        <v>HL 90x90x4,5</v>
      </c>
      <c r="D404" t="str">
        <v>GG</v>
      </c>
      <c r="H404">
        <v>6</v>
      </c>
      <c r="I404">
        <f>O404*H404</f>
        <v>70.02</v>
      </c>
      <c r="J404">
        <v>90</v>
      </c>
      <c r="K404">
        <v>90</v>
      </c>
      <c r="L404">
        <v>4.5</v>
      </c>
      <c r="O404">
        <v>11.67</v>
      </c>
      <c r="P404">
        <f>(4*J404)*1/1000</f>
        <v>0.36</v>
      </c>
    </row>
    <row r="405">
      <c r="C405" t="str">
        <v>HL 90x90x5</v>
      </c>
      <c r="D405" t="str">
        <v>GG</v>
      </c>
      <c r="H405">
        <v>6</v>
      </c>
      <c r="I405">
        <f>O405*H405</f>
        <v>77.03999999999999</v>
      </c>
      <c r="J405">
        <v>90</v>
      </c>
      <c r="K405">
        <v>90</v>
      </c>
      <c r="L405">
        <v>5</v>
      </c>
      <c r="O405">
        <v>12.84</v>
      </c>
      <c r="P405">
        <f>(4*J405)*1/1000</f>
        <v>0.36</v>
      </c>
    </row>
    <row r="406">
      <c r="C406" t="str">
        <v>HL 90x90x5,5</v>
      </c>
      <c r="D406" t="str">
        <v>GG</v>
      </c>
      <c r="H406">
        <v>6</v>
      </c>
      <c r="I406">
        <f>O406*H406</f>
        <v>83.88</v>
      </c>
      <c r="J406">
        <v>90</v>
      </c>
      <c r="K406">
        <v>90</v>
      </c>
      <c r="L406">
        <v>5.5</v>
      </c>
      <c r="O406">
        <v>13.98</v>
      </c>
      <c r="P406">
        <f>(4*J406)*1/1000</f>
        <v>0.36</v>
      </c>
    </row>
    <row r="407">
      <c r="C407" t="str">
        <v>HL 100x100x2,3</v>
      </c>
      <c r="D407" t="str">
        <v>SPINDO</v>
      </c>
      <c r="G407" t="str">
        <v>MO</v>
      </c>
      <c r="H407">
        <v>6</v>
      </c>
      <c r="I407">
        <f>O407*H407</f>
        <v>41.7</v>
      </c>
      <c r="J407">
        <v>100</v>
      </c>
      <c r="K407">
        <v>100</v>
      </c>
      <c r="L407">
        <v>2.3</v>
      </c>
      <c r="O407">
        <v>6.95</v>
      </c>
      <c r="P407">
        <f>(4*J407)*1/1000</f>
        <v>0.4</v>
      </c>
    </row>
    <row r="408">
      <c r="C408" t="str">
        <v>HL 100x100x3</v>
      </c>
      <c r="D408" t="str">
        <v>GG</v>
      </c>
      <c r="H408">
        <v>6</v>
      </c>
      <c r="I408">
        <f>O408*H408</f>
        <v>53.760000000000005</v>
      </c>
      <c r="J408">
        <v>100</v>
      </c>
      <c r="K408">
        <v>100</v>
      </c>
      <c r="L408">
        <v>3</v>
      </c>
      <c r="O408">
        <v>8.96</v>
      </c>
      <c r="P408">
        <f>(4*J408)*1/1000</f>
        <v>0.4</v>
      </c>
    </row>
    <row r="409">
      <c r="C409" t="str">
        <v>HL 100x100x3,2</v>
      </c>
      <c r="D409" t="str">
        <v>SPINDO</v>
      </c>
      <c r="G409" t="str">
        <v>MO</v>
      </c>
      <c r="H409">
        <v>6</v>
      </c>
      <c r="I409">
        <f>O409*H409</f>
        <v>57.12</v>
      </c>
      <c r="J409">
        <v>100</v>
      </c>
      <c r="K409">
        <v>100</v>
      </c>
      <c r="L409">
        <v>3.2</v>
      </c>
      <c r="O409">
        <v>9.52</v>
      </c>
      <c r="P409">
        <f>(4*J409)*1/1000</f>
        <v>0.4</v>
      </c>
    </row>
    <row r="410">
      <c r="C410" t="str">
        <v>HL 100x100x3,5</v>
      </c>
      <c r="D410" t="str">
        <v>GG</v>
      </c>
      <c r="H410">
        <v>6</v>
      </c>
      <c r="I410">
        <f>O410*H410</f>
        <v>62.16</v>
      </c>
      <c r="J410">
        <v>100</v>
      </c>
      <c r="K410">
        <v>100</v>
      </c>
      <c r="L410">
        <v>3.5</v>
      </c>
      <c r="O410">
        <v>10.36</v>
      </c>
      <c r="P410">
        <f>(4*J410)*1/1000</f>
        <v>0.4</v>
      </c>
    </row>
    <row r="411">
      <c r="C411" t="str">
        <v>HL 100x100x4</v>
      </c>
      <c r="D411" t="str">
        <v>GG, SPINDO</v>
      </c>
      <c r="G411" t="str">
        <v>MO</v>
      </c>
      <c r="H411">
        <v>6</v>
      </c>
      <c r="I411">
        <f>O411*H411</f>
        <v>70.38</v>
      </c>
      <c r="J411">
        <v>100</v>
      </c>
      <c r="K411">
        <v>100</v>
      </c>
      <c r="L411">
        <v>4</v>
      </c>
      <c r="O411">
        <v>11.73</v>
      </c>
      <c r="P411">
        <f>(4*J411)*1/1000</f>
        <v>0.4</v>
      </c>
    </row>
    <row r="412">
      <c r="C412" t="str">
        <v>HL 100x100x4,5</v>
      </c>
      <c r="D412" t="str">
        <v>GG, SPINDO</v>
      </c>
      <c r="G412" t="str">
        <v>MO</v>
      </c>
      <c r="H412">
        <v>6</v>
      </c>
      <c r="I412">
        <f>O412*H412</f>
        <v>78.6</v>
      </c>
      <c r="J412">
        <v>100</v>
      </c>
      <c r="K412">
        <v>100</v>
      </c>
      <c r="L412">
        <v>4.5</v>
      </c>
      <c r="O412">
        <v>13.1</v>
      </c>
      <c r="P412">
        <f>(4*J412)*1/1000</f>
        <v>0.4</v>
      </c>
    </row>
    <row r="413">
      <c r="C413" t="str">
        <v>HL 100x100x5</v>
      </c>
      <c r="D413" t="str">
        <v>GG</v>
      </c>
      <c r="H413">
        <v>6</v>
      </c>
      <c r="I413">
        <f>O413*H413</f>
        <v>86.46000000000001</v>
      </c>
      <c r="J413">
        <v>100</v>
      </c>
      <c r="K413">
        <v>100</v>
      </c>
      <c r="L413">
        <v>5</v>
      </c>
      <c r="O413">
        <v>14.41</v>
      </c>
      <c r="P413">
        <f>(4*J413)*1/1000</f>
        <v>0.4</v>
      </c>
    </row>
    <row r="414">
      <c r="C414" t="str">
        <v>HL 100x100x5,5</v>
      </c>
      <c r="D414" t="str">
        <v>GG</v>
      </c>
      <c r="H414">
        <v>6</v>
      </c>
      <c r="I414">
        <f>O414*H414</f>
        <v>94.26</v>
      </c>
      <c r="J414">
        <v>100</v>
      </c>
      <c r="K414">
        <v>100</v>
      </c>
      <c r="L414">
        <v>5.5</v>
      </c>
      <c r="O414">
        <v>15.71</v>
      </c>
      <c r="P414">
        <f>(4*J414)*1/1000</f>
        <v>0.4</v>
      </c>
    </row>
    <row r="415">
      <c r="C415" t="str">
        <v>HL 100x100x6</v>
      </c>
      <c r="D415" t="str">
        <v>GG</v>
      </c>
      <c r="H415">
        <v>6</v>
      </c>
      <c r="I415">
        <f>O415*H415</f>
        <v>101.88</v>
      </c>
      <c r="J415">
        <v>100</v>
      </c>
      <c r="K415">
        <v>100</v>
      </c>
      <c r="L415">
        <v>6</v>
      </c>
      <c r="O415">
        <v>16.98</v>
      </c>
      <c r="P415">
        <f>(4*J415)*1/1000</f>
        <v>0.4</v>
      </c>
    </row>
    <row r="416">
      <c r="C416" t="str">
        <v>HL 100x100x8</v>
      </c>
      <c r="D416" t="str">
        <v>GG</v>
      </c>
      <c r="H416">
        <v>6</v>
      </c>
      <c r="I416">
        <f>O416*H416</f>
        <v>128.28</v>
      </c>
      <c r="J416">
        <v>100</v>
      </c>
      <c r="K416">
        <v>100</v>
      </c>
      <c r="L416">
        <v>8</v>
      </c>
      <c r="O416">
        <v>21.38</v>
      </c>
      <c r="P416">
        <f>(4*J416)*1/1000</f>
        <v>0.4</v>
      </c>
    </row>
    <row r="417">
      <c r="C417" t="str">
        <v>HL 120x120x4</v>
      </c>
      <c r="D417" t="str">
        <v>GG</v>
      </c>
      <c r="H417">
        <v>6</v>
      </c>
      <c r="I417">
        <f>O417*H417</f>
        <v>85.5</v>
      </c>
      <c r="J417">
        <v>120</v>
      </c>
      <c r="K417">
        <v>120</v>
      </c>
      <c r="L417">
        <v>4</v>
      </c>
      <c r="O417">
        <v>14.25</v>
      </c>
      <c r="P417">
        <f>(4*J417)*1/1000</f>
        <v>0.48</v>
      </c>
    </row>
    <row r="418">
      <c r="C418" t="str">
        <v>HL 120x120x6</v>
      </c>
      <c r="D418" t="str">
        <v>GG</v>
      </c>
      <c r="H418">
        <v>6</v>
      </c>
      <c r="I418">
        <f>O418*H418</f>
        <v>124.5</v>
      </c>
      <c r="J418">
        <v>120</v>
      </c>
      <c r="K418">
        <v>120</v>
      </c>
      <c r="L418">
        <v>6</v>
      </c>
      <c r="O418">
        <v>20.75</v>
      </c>
      <c r="P418">
        <f>(4*J418)*1/1000</f>
        <v>0.48</v>
      </c>
    </row>
    <row r="419">
      <c r="C419" t="str">
        <v>HL 120x120x8</v>
      </c>
      <c r="D419" t="str">
        <v>GG</v>
      </c>
      <c r="H419">
        <v>6</v>
      </c>
      <c r="I419">
        <f>O419*H419</f>
        <v>158.46</v>
      </c>
      <c r="J419">
        <v>120</v>
      </c>
      <c r="K419">
        <v>120</v>
      </c>
      <c r="L419">
        <v>8</v>
      </c>
      <c r="O419">
        <v>26.41</v>
      </c>
      <c r="P419">
        <f>(4*J419)*1/1000</f>
        <v>0.48</v>
      </c>
    </row>
    <row r="420">
      <c r="C420" t="str">
        <v>HL 125x125x3,2</v>
      </c>
      <c r="D420" t="str">
        <v>SPINDO</v>
      </c>
      <c r="G420" t="str">
        <v>MO</v>
      </c>
      <c r="H420">
        <v>6</v>
      </c>
      <c r="I420">
        <f>O420*H420</f>
        <v>72</v>
      </c>
      <c r="J420">
        <v>125</v>
      </c>
      <c r="K420">
        <v>125</v>
      </c>
      <c r="L420">
        <v>3.2</v>
      </c>
      <c r="O420">
        <v>12</v>
      </c>
      <c r="P420">
        <f>(4*J420)*1/1000</f>
        <v>0.5</v>
      </c>
    </row>
    <row r="421">
      <c r="C421" t="str">
        <v>HL 125x125x4,5</v>
      </c>
      <c r="D421" t="str">
        <v>SPINDO</v>
      </c>
      <c r="G421" t="str">
        <v>MO</v>
      </c>
      <c r="H421">
        <v>6</v>
      </c>
      <c r="I421">
        <f>O421*H421</f>
        <v>75.6</v>
      </c>
      <c r="J421">
        <v>125</v>
      </c>
      <c r="K421">
        <v>125</v>
      </c>
      <c r="L421">
        <v>4.5</v>
      </c>
      <c r="O421">
        <v>12.6</v>
      </c>
      <c r="P421">
        <f>(4*J421)*1/1000</f>
        <v>0.5</v>
      </c>
    </row>
    <row r="422">
      <c r="C422" t="str">
        <v>HL 125x125x5</v>
      </c>
      <c r="D422" t="str">
        <v>SPINDO</v>
      </c>
      <c r="G422" t="str">
        <v>MO</v>
      </c>
      <c r="H422">
        <v>6</v>
      </c>
      <c r="I422">
        <f>O422*H422</f>
        <v>109.80000000000001</v>
      </c>
      <c r="J422">
        <v>125</v>
      </c>
      <c r="K422">
        <v>125</v>
      </c>
      <c r="L422">
        <v>5</v>
      </c>
      <c r="O422">
        <v>18.3</v>
      </c>
      <c r="P422">
        <f>(4*J422)*1/1000</f>
        <v>0.5</v>
      </c>
    </row>
    <row r="423">
      <c r="C423" t="str">
        <v>HL 150x150x4,5</v>
      </c>
      <c r="D423" t="str">
        <v>SPINDO</v>
      </c>
      <c r="G423" t="str">
        <v>MO</v>
      </c>
      <c r="H423">
        <v>6</v>
      </c>
      <c r="I423">
        <f>O423*H423</f>
        <v>120.60000000000001</v>
      </c>
      <c r="J423">
        <v>150</v>
      </c>
      <c r="K423">
        <v>150</v>
      </c>
      <c r="L423">
        <v>4.5</v>
      </c>
      <c r="O423">
        <v>20.1</v>
      </c>
      <c r="P423">
        <f>(4*J423)*1/1000</f>
        <v>0.6</v>
      </c>
    </row>
    <row r="424">
      <c r="C424" t="str">
        <v>HL 150x150x5</v>
      </c>
      <c r="D424" t="str">
        <v>SPINDO</v>
      </c>
      <c r="G424" t="str">
        <v>MO</v>
      </c>
      <c r="H424">
        <v>6</v>
      </c>
      <c r="I424">
        <f>O424*H424</f>
        <v>133.8</v>
      </c>
      <c r="J424">
        <v>150</v>
      </c>
      <c r="K424">
        <v>150</v>
      </c>
      <c r="L424">
        <v>5</v>
      </c>
      <c r="O424">
        <v>22.3</v>
      </c>
      <c r="P424">
        <f>(4*J424)*1/1000</f>
        <v>0.6</v>
      </c>
    </row>
    <row r="425">
      <c r="C425" t="str">
        <v>HL 150x150x6</v>
      </c>
      <c r="D425" t="str">
        <v>GG</v>
      </c>
      <c r="H425">
        <v>6</v>
      </c>
      <c r="I425">
        <f>O425*H425</f>
        <v>158.39999999999998</v>
      </c>
      <c r="J425">
        <v>150</v>
      </c>
      <c r="K425">
        <v>150</v>
      </c>
      <c r="L425">
        <v>6</v>
      </c>
      <c r="O425">
        <v>26.4</v>
      </c>
      <c r="P425">
        <f>(4*J425)*1/1000</f>
        <v>0.6</v>
      </c>
    </row>
    <row r="426">
      <c r="C426" t="str">
        <v>HL 150x150x8</v>
      </c>
      <c r="D426" t="str">
        <v>GG</v>
      </c>
      <c r="H426">
        <v>6</v>
      </c>
      <c r="I426">
        <f>O426*H426</f>
        <v>203.64</v>
      </c>
      <c r="J426">
        <v>150</v>
      </c>
      <c r="K426">
        <v>150</v>
      </c>
      <c r="L426">
        <v>8</v>
      </c>
      <c r="O426">
        <v>33.94</v>
      </c>
      <c r="P426">
        <f>(4*J426)*1/1000</f>
        <v>0.6</v>
      </c>
    </row>
    <row r="427">
      <c r="C427" t="str">
        <v>HL 150x150x12</v>
      </c>
      <c r="D427" t="str">
        <v>GG</v>
      </c>
      <c r="H427">
        <v>6</v>
      </c>
      <c r="I427">
        <f>O427*H427</f>
        <v>282.84000000000003</v>
      </c>
      <c r="J427">
        <v>150</v>
      </c>
      <c r="K427">
        <v>150</v>
      </c>
      <c r="L427">
        <v>12</v>
      </c>
      <c r="O427">
        <v>47.14</v>
      </c>
      <c r="P427">
        <f>(4*J427)*1/1000</f>
        <v>0.6</v>
      </c>
    </row>
    <row r="428">
      <c r="C428" t="str">
        <v>HL 180x180x6</v>
      </c>
      <c r="D428" t="str">
        <v>GG</v>
      </c>
      <c r="H428">
        <v>6</v>
      </c>
      <c r="I428">
        <f>O428*H428</f>
        <v>192.29999999999998</v>
      </c>
      <c r="J428">
        <v>180</v>
      </c>
      <c r="K428">
        <v>180</v>
      </c>
      <c r="L428">
        <v>6</v>
      </c>
      <c r="O428">
        <v>32.05</v>
      </c>
      <c r="P428">
        <f>(4*J428)*1/1000</f>
        <v>0.72</v>
      </c>
    </row>
    <row r="429">
      <c r="C429" t="str">
        <v>HL 180x180x8</v>
      </c>
      <c r="D429" t="str">
        <v>GG</v>
      </c>
      <c r="H429">
        <v>6</v>
      </c>
      <c r="I429">
        <f>O429*H429</f>
        <v>248.88</v>
      </c>
      <c r="J429">
        <v>180</v>
      </c>
      <c r="K429">
        <v>180</v>
      </c>
      <c r="L429">
        <v>8</v>
      </c>
      <c r="O429">
        <v>41.48</v>
      </c>
      <c r="P429">
        <f>(4*J429)*1/1000</f>
        <v>0.72</v>
      </c>
    </row>
    <row r="430">
      <c r="C430" t="str">
        <v>HL 180x180x12</v>
      </c>
      <c r="D430" t="str">
        <v>GG</v>
      </c>
      <c r="H430">
        <v>6</v>
      </c>
      <c r="I430">
        <f>O430*H430</f>
        <v>350.64</v>
      </c>
      <c r="J430">
        <v>180</v>
      </c>
      <c r="K430">
        <v>180</v>
      </c>
      <c r="L430">
        <v>12</v>
      </c>
      <c r="O430">
        <v>58.44</v>
      </c>
      <c r="P430">
        <f>(4*J430)*1/1000</f>
        <v>0.72</v>
      </c>
    </row>
    <row r="431">
      <c r="C431" t="str">
        <v>HL 200x200x6</v>
      </c>
      <c r="D431" t="str">
        <v>GG</v>
      </c>
      <c r="H431">
        <v>6</v>
      </c>
      <c r="I431">
        <f>O431*H431</f>
        <v>214.92000000000002</v>
      </c>
      <c r="J431">
        <v>200</v>
      </c>
      <c r="K431">
        <v>200</v>
      </c>
      <c r="L431">
        <v>6</v>
      </c>
      <c r="O431">
        <v>35.82</v>
      </c>
      <c r="P431">
        <f>(4*J431)*1/1000</f>
        <v>0.8</v>
      </c>
    </row>
    <row r="432">
      <c r="C432" t="str">
        <v>HL 200x200x8</v>
      </c>
      <c r="D432" t="str">
        <v>GG</v>
      </c>
      <c r="H432">
        <v>6</v>
      </c>
      <c r="I432">
        <f>O432*H432</f>
        <v>279</v>
      </c>
      <c r="J432">
        <v>200</v>
      </c>
      <c r="K432">
        <v>200</v>
      </c>
      <c r="L432">
        <v>8</v>
      </c>
      <c r="O432">
        <v>46.5</v>
      </c>
      <c r="P432">
        <f>(4*J432)*1/1000</f>
        <v>0.8</v>
      </c>
    </row>
    <row r="433">
      <c r="C433" t="str">
        <v>HL 200x200x12</v>
      </c>
      <c r="D433" t="str">
        <v>GG</v>
      </c>
      <c r="H433">
        <v>6</v>
      </c>
      <c r="I433">
        <f>O433*H433</f>
        <v>395.88</v>
      </c>
      <c r="J433">
        <v>200</v>
      </c>
      <c r="K433">
        <v>200</v>
      </c>
      <c r="L433">
        <v>12</v>
      </c>
      <c r="O433">
        <v>65.98</v>
      </c>
      <c r="P433">
        <f>(4*J433)*1/1000</f>
        <v>0.8</v>
      </c>
    </row>
    <row r="434">
      <c r="C434" t="str">
        <v>HL 250x250x6</v>
      </c>
      <c r="D434" t="str">
        <v>GG</v>
      </c>
      <c r="H434">
        <v>6</v>
      </c>
      <c r="I434">
        <f>O434*H434</f>
        <v>271.44</v>
      </c>
      <c r="J434">
        <v>250</v>
      </c>
      <c r="K434">
        <v>250</v>
      </c>
      <c r="L434">
        <v>6</v>
      </c>
      <c r="O434">
        <v>45.24</v>
      </c>
      <c r="P434">
        <f>(4*J434)*1/1000</f>
        <v>1</v>
      </c>
    </row>
    <row r="435">
      <c r="C435" t="str">
        <v>HL 250x250x8</v>
      </c>
      <c r="D435" t="str">
        <v>GG</v>
      </c>
      <c r="H435">
        <v>6</v>
      </c>
      <c r="I435">
        <f>O435*H435</f>
        <v>354.36</v>
      </c>
      <c r="J435">
        <v>250</v>
      </c>
      <c r="K435">
        <v>250</v>
      </c>
      <c r="L435">
        <v>8</v>
      </c>
      <c r="O435">
        <v>59.06</v>
      </c>
      <c r="P435">
        <f>(4*J435)*1/1000</f>
        <v>1</v>
      </c>
    </row>
    <row r="436">
      <c r="C436" t="str">
        <v>HL 250x250x12</v>
      </c>
      <c r="D436" t="str">
        <v>GG</v>
      </c>
      <c r="H436">
        <v>6</v>
      </c>
      <c r="I436">
        <f>O436*H436</f>
        <v>508.91999999999996</v>
      </c>
      <c r="J436">
        <v>250</v>
      </c>
      <c r="K436">
        <v>250</v>
      </c>
      <c r="L436">
        <v>12</v>
      </c>
      <c r="O436">
        <v>84.82</v>
      </c>
      <c r="P436">
        <f>(4*J436)*1/1000</f>
        <v>1</v>
      </c>
    </row>
    <row r="437">
      <c r="B437" t="str">
        <v>Rectangular Hollow (HL)</v>
      </c>
      <c r="C437" t="str">
        <v>HL 20x10x0,9</v>
      </c>
      <c r="E437" t="str">
        <v>SGJ</v>
      </c>
      <c r="H437">
        <v>6</v>
      </c>
      <c r="I437">
        <f>O437*H437</f>
        <v>2.418</v>
      </c>
      <c r="J437">
        <v>20</v>
      </c>
      <c r="K437">
        <v>10</v>
      </c>
      <c r="L437">
        <v>0.9</v>
      </c>
      <c r="O437">
        <v>0.403</v>
      </c>
      <c r="P437">
        <f>(4*J437)*1/1000</f>
        <v>0.08</v>
      </c>
    </row>
    <row r="438">
      <c r="C438" t="str">
        <v>HL 27,5x12,5x0,9</v>
      </c>
      <c r="E438" t="str">
        <v>SGJ</v>
      </c>
      <c r="H438">
        <v>6</v>
      </c>
      <c r="I438">
        <f>O438*H438</f>
        <v>3.2640000000000002</v>
      </c>
      <c r="J438">
        <v>27.5</v>
      </c>
      <c r="K438">
        <v>12.5</v>
      </c>
      <c r="L438">
        <v>0.9</v>
      </c>
      <c r="O438">
        <v>0.544</v>
      </c>
      <c r="P438">
        <f>(4*J438)*1/1000</f>
        <v>0.11</v>
      </c>
    </row>
    <row r="439">
      <c r="C439" t="str">
        <v>HL 30x15x0,9</v>
      </c>
      <c r="E439" t="str">
        <v>SGJ</v>
      </c>
      <c r="H439">
        <v>6</v>
      </c>
      <c r="I439">
        <f>O439*H439</f>
        <v>3.69</v>
      </c>
      <c r="J439">
        <v>30</v>
      </c>
      <c r="K439">
        <v>15</v>
      </c>
      <c r="L439">
        <v>0.9</v>
      </c>
      <c r="O439">
        <v>0.615</v>
      </c>
      <c r="P439">
        <f>(4*J439)*1/1000</f>
        <v>0.12</v>
      </c>
    </row>
    <row r="440">
      <c r="C440" t="str">
        <v>HL 40x20x1</v>
      </c>
      <c r="E440" t="str">
        <v>SGJ</v>
      </c>
      <c r="H440">
        <v>6</v>
      </c>
      <c r="I440">
        <f>O440*H440</f>
        <v>5.49</v>
      </c>
      <c r="J440">
        <v>40</v>
      </c>
      <c r="K440">
        <v>20</v>
      </c>
      <c r="L440">
        <v>1</v>
      </c>
      <c r="O440">
        <v>0.915</v>
      </c>
      <c r="P440">
        <f>(4*J440)*1/1000</f>
        <v>0.16</v>
      </c>
    </row>
    <row r="441">
      <c r="C441" t="str">
        <v>HL 50x20x1,6</v>
      </c>
      <c r="D441" t="str">
        <v>SPINDO</v>
      </c>
      <c r="H441">
        <v>6</v>
      </c>
      <c r="I441">
        <f>O441*H441</f>
        <v>9.78</v>
      </c>
      <c r="J441">
        <v>50</v>
      </c>
      <c r="K441">
        <v>20</v>
      </c>
      <c r="L441">
        <v>1.6</v>
      </c>
      <c r="O441">
        <v>1.63</v>
      </c>
      <c r="P441">
        <f>(2*J441+2*K441)*1/1000</f>
        <v>0.14</v>
      </c>
    </row>
    <row r="442">
      <c r="C442" t="str">
        <v>HL 50x20x2,3</v>
      </c>
      <c r="D442" t="str">
        <v>SPINDO</v>
      </c>
      <c r="H442">
        <v>6</v>
      </c>
      <c r="I442">
        <f>O442*H442</f>
        <v>13.5</v>
      </c>
      <c r="J442">
        <v>50</v>
      </c>
      <c r="K442">
        <v>20</v>
      </c>
      <c r="L442">
        <v>2.3</v>
      </c>
      <c r="O442">
        <v>2.25</v>
      </c>
      <c r="P442">
        <f>(2*J442+2*K442)*1/1000</f>
        <v>0.14</v>
      </c>
    </row>
    <row r="443">
      <c r="C443" t="str">
        <v>HL 50x25x1,4</v>
      </c>
      <c r="E443" t="str">
        <v>SGJ</v>
      </c>
      <c r="H443">
        <v>6</v>
      </c>
      <c r="I443">
        <f>O443*H443</f>
        <v>9.582</v>
      </c>
      <c r="J443">
        <v>50</v>
      </c>
      <c r="K443">
        <v>25</v>
      </c>
      <c r="L443">
        <v>1.4</v>
      </c>
      <c r="O443">
        <v>1.597</v>
      </c>
      <c r="P443">
        <f>(2*J443+2*K443)*1/1000</f>
        <v>0.15</v>
      </c>
    </row>
    <row r="444">
      <c r="C444" t="str">
        <v>HL 50x30x1,6</v>
      </c>
      <c r="D444" t="str">
        <v>SPINDO</v>
      </c>
      <c r="G444" t="str">
        <v>MO</v>
      </c>
      <c r="H444">
        <v>6</v>
      </c>
      <c r="I444">
        <f>O444*H444</f>
        <v>11.28</v>
      </c>
      <c r="J444">
        <v>50</v>
      </c>
      <c r="K444">
        <v>30</v>
      </c>
      <c r="L444">
        <v>1.6</v>
      </c>
      <c r="O444">
        <v>1.88</v>
      </c>
      <c r="P444">
        <f>(2*J444+2*K444)*1/1000</f>
        <v>0.16</v>
      </c>
    </row>
    <row r="445">
      <c r="C445" t="str">
        <v>HL 50x30x2,3</v>
      </c>
      <c r="D445" t="str">
        <v>SPINDO</v>
      </c>
      <c r="G445" t="str">
        <v>MO</v>
      </c>
      <c r="H445">
        <v>6</v>
      </c>
      <c r="I445">
        <f>O445*H445</f>
        <v>15.72</v>
      </c>
      <c r="J445">
        <v>50</v>
      </c>
      <c r="K445">
        <v>30</v>
      </c>
      <c r="L445">
        <v>2.3</v>
      </c>
      <c r="O445">
        <v>2.62</v>
      </c>
      <c r="P445">
        <f>(2*J445+2*K445)*1/1000</f>
        <v>0.16</v>
      </c>
    </row>
    <row r="446">
      <c r="C446" t="str">
        <v>HL 60x20x1,4</v>
      </c>
      <c r="E446" t="str">
        <v>SGJ</v>
      </c>
      <c r="H446">
        <v>6</v>
      </c>
      <c r="I446">
        <f>O446*H446</f>
        <v>11.556</v>
      </c>
      <c r="J446">
        <v>60</v>
      </c>
      <c r="K446">
        <v>20</v>
      </c>
      <c r="L446">
        <v>1.4</v>
      </c>
      <c r="O446">
        <v>1.926</v>
      </c>
      <c r="P446">
        <f>(2*J446+2*K446)*1/1000</f>
        <v>0.16</v>
      </c>
    </row>
    <row r="447">
      <c r="C447" t="str">
        <v>HL 60x30x1,6</v>
      </c>
      <c r="D447" t="str">
        <v>ALIM, SPINDO</v>
      </c>
      <c r="H447">
        <v>6</v>
      </c>
      <c r="I447">
        <f>O447*H447</f>
        <v>12.78</v>
      </c>
      <c r="J447">
        <v>60</v>
      </c>
      <c r="K447">
        <v>30</v>
      </c>
      <c r="L447">
        <v>1.6</v>
      </c>
      <c r="O447">
        <v>2.13</v>
      </c>
      <c r="P447">
        <f>(2*J447+2*K447)*1/1000</f>
        <v>0.18</v>
      </c>
    </row>
    <row r="448">
      <c r="C448" t="str">
        <v>HL 60x30x2,3</v>
      </c>
      <c r="D448" t="str">
        <v>ALIM, SPINDO</v>
      </c>
      <c r="H448">
        <v>6</v>
      </c>
      <c r="I448">
        <f>O448*H448</f>
        <v>17.88</v>
      </c>
      <c r="J448">
        <v>60</v>
      </c>
      <c r="K448">
        <v>30</v>
      </c>
      <c r="L448">
        <v>2.3</v>
      </c>
      <c r="O448">
        <v>2.98</v>
      </c>
      <c r="P448">
        <f>(2*J448+2*K448)*1/1000</f>
        <v>0.18</v>
      </c>
    </row>
    <row r="449">
      <c r="C449" t="str">
        <v>HL 60x30x3,2</v>
      </c>
      <c r="D449" t="str">
        <v>ALIM, SPINDO</v>
      </c>
      <c r="H449">
        <v>6</v>
      </c>
      <c r="I449">
        <f>O449*H449</f>
        <v>23.94</v>
      </c>
      <c r="J449">
        <v>60</v>
      </c>
      <c r="K449">
        <v>30</v>
      </c>
      <c r="L449">
        <v>3.2</v>
      </c>
      <c r="O449">
        <v>3.99</v>
      </c>
      <c r="P449">
        <f>(2*J449+2*K449)*1/1000</f>
        <v>0.18</v>
      </c>
    </row>
    <row r="450">
      <c r="C450" t="str">
        <v>HL 75x45x1,6</v>
      </c>
      <c r="D450" t="str">
        <v>ALIM, SPINDO</v>
      </c>
      <c r="H450">
        <v>6</v>
      </c>
      <c r="I450">
        <f>O450*H450</f>
        <v>17.28</v>
      </c>
      <c r="J450">
        <v>75</v>
      </c>
      <c r="K450">
        <v>45</v>
      </c>
      <c r="L450">
        <v>1.6</v>
      </c>
      <c r="O450">
        <v>2.88</v>
      </c>
      <c r="P450">
        <f>(2*J450+2*K450)*1/1000</f>
        <v>0.24</v>
      </c>
    </row>
    <row r="451">
      <c r="C451" t="str">
        <v>HL 75x45x2,3</v>
      </c>
      <c r="D451" t="str">
        <v>ALIM, SPINDO</v>
      </c>
      <c r="H451">
        <v>6</v>
      </c>
      <c r="I451">
        <f>O451*H451</f>
        <v>24.36</v>
      </c>
      <c r="J451">
        <v>75</v>
      </c>
      <c r="K451">
        <v>45</v>
      </c>
      <c r="L451">
        <v>2.3</v>
      </c>
      <c r="O451">
        <v>4.06</v>
      </c>
      <c r="P451">
        <f>(2*J451+2*K451)*1/1000</f>
        <v>0.24</v>
      </c>
    </row>
    <row r="452">
      <c r="C452" t="str">
        <v>HL 75x45x3,2</v>
      </c>
      <c r="D452" t="str">
        <v>ALIM, SPINDO</v>
      </c>
      <c r="H452">
        <v>6</v>
      </c>
      <c r="I452">
        <f>O452*H452</f>
        <v>24.36</v>
      </c>
      <c r="J452">
        <v>75</v>
      </c>
      <c r="K452">
        <v>45</v>
      </c>
      <c r="L452">
        <v>3.2</v>
      </c>
      <c r="O452">
        <v>4.06</v>
      </c>
      <c r="P452">
        <f>(2*J452+2*K452)*1/1000</f>
        <v>0.24</v>
      </c>
    </row>
    <row r="453">
      <c r="C453" t="str">
        <v>HL 80x40x1,6</v>
      </c>
      <c r="D453" t="str">
        <v>SPINDO</v>
      </c>
      <c r="G453" t="str">
        <v>MO</v>
      </c>
      <c r="H453">
        <v>6</v>
      </c>
      <c r="I453">
        <f>O453*H453</f>
        <v>17.28</v>
      </c>
      <c r="J453">
        <v>80</v>
      </c>
      <c r="K453">
        <v>40</v>
      </c>
      <c r="L453">
        <v>1.6</v>
      </c>
      <c r="O453">
        <v>2.88</v>
      </c>
      <c r="P453">
        <f>(2*J453+2*K453)*1/1000</f>
        <v>0.24</v>
      </c>
    </row>
    <row r="454">
      <c r="C454" t="str">
        <v>HL 80x40x2,3</v>
      </c>
      <c r="D454" t="str">
        <v>SPINDO</v>
      </c>
      <c r="G454" t="str">
        <v>MO</v>
      </c>
      <c r="H454">
        <v>6</v>
      </c>
      <c r="I454">
        <f>O454*H454</f>
        <v>24.36</v>
      </c>
      <c r="J454">
        <v>80</v>
      </c>
      <c r="K454">
        <v>40</v>
      </c>
      <c r="L454">
        <v>2.3</v>
      </c>
      <c r="O454">
        <v>4.06</v>
      </c>
      <c r="P454">
        <f>(2*J454+2*K454)*1/1000</f>
        <v>0.24</v>
      </c>
    </row>
    <row r="455">
      <c r="C455" t="str">
        <v>HL 80x40x3,2</v>
      </c>
      <c r="D455" t="str">
        <v>SPINDO</v>
      </c>
      <c r="G455" t="str">
        <v>MO</v>
      </c>
      <c r="H455">
        <v>6</v>
      </c>
      <c r="I455">
        <f>O455*H455</f>
        <v>33</v>
      </c>
      <c r="J455">
        <v>80</v>
      </c>
      <c r="K455">
        <v>40</v>
      </c>
      <c r="L455">
        <v>3.2</v>
      </c>
      <c r="O455">
        <v>5.5</v>
      </c>
      <c r="P455">
        <f>(2*J455+2*K455)*1/1000</f>
        <v>0.24</v>
      </c>
    </row>
    <row r="456">
      <c r="C456" t="str">
        <v>HL 95x85x2</v>
      </c>
      <c r="D456" t="str">
        <v>GG</v>
      </c>
      <c r="H456">
        <v>6</v>
      </c>
      <c r="I456">
        <f>O456*H456</f>
        <v>32.7</v>
      </c>
      <c r="J456">
        <v>95</v>
      </c>
      <c r="K456">
        <v>85</v>
      </c>
      <c r="L456">
        <v>2</v>
      </c>
      <c r="O456">
        <v>5.45</v>
      </c>
      <c r="P456">
        <f>(2*J456+2*K456)*1/1000</f>
        <v>0.36</v>
      </c>
    </row>
    <row r="457">
      <c r="C457" t="str">
        <v>HL 95x85x2,5</v>
      </c>
      <c r="D457" t="str">
        <v>GG</v>
      </c>
      <c r="H457">
        <v>6</v>
      </c>
      <c r="I457">
        <f>O457*H457</f>
        <v>40.44</v>
      </c>
      <c r="J457">
        <v>95</v>
      </c>
      <c r="K457">
        <v>85</v>
      </c>
      <c r="L457">
        <v>2.5</v>
      </c>
      <c r="O457">
        <v>6.74</v>
      </c>
      <c r="P457">
        <f>(2*J457+2*K457)*1/1000</f>
        <v>0.36</v>
      </c>
    </row>
    <row r="458">
      <c r="C458" t="str">
        <v>HL 95x85x3</v>
      </c>
      <c r="D458" t="str">
        <v>GG</v>
      </c>
      <c r="H458">
        <v>6</v>
      </c>
      <c r="I458">
        <f>O458*H458</f>
        <v>48.06</v>
      </c>
      <c r="J458">
        <v>95</v>
      </c>
      <c r="K458">
        <v>85</v>
      </c>
      <c r="L458">
        <v>3</v>
      </c>
      <c r="O458">
        <v>8.01</v>
      </c>
      <c r="P458">
        <f>(2*J458+2*K458)*1/1000</f>
        <v>0.36</v>
      </c>
    </row>
    <row r="459">
      <c r="C459" t="str">
        <v>HL 95x85x3,5</v>
      </c>
      <c r="D459" t="str">
        <v>GG</v>
      </c>
      <c r="H459">
        <v>6</v>
      </c>
      <c r="I459">
        <f>O459*H459</f>
        <v>55.56</v>
      </c>
      <c r="J459">
        <v>95</v>
      </c>
      <c r="K459">
        <v>85</v>
      </c>
      <c r="L459">
        <v>3.5</v>
      </c>
      <c r="O459">
        <v>9.26</v>
      </c>
      <c r="P459">
        <f>(2*J459+2*K459)*1/1000</f>
        <v>0.36</v>
      </c>
    </row>
    <row r="460">
      <c r="C460" t="str">
        <v>HL 95x85x4</v>
      </c>
      <c r="D460" t="str">
        <v>GG</v>
      </c>
      <c r="H460">
        <v>6</v>
      </c>
      <c r="I460">
        <f>O460*H460</f>
        <v>62.88</v>
      </c>
      <c r="J460">
        <v>95</v>
      </c>
      <c r="K460">
        <v>85</v>
      </c>
      <c r="L460">
        <v>4</v>
      </c>
      <c r="O460">
        <v>10.48</v>
      </c>
      <c r="P460">
        <f>(2*J460+2*K460)*1/1000</f>
        <v>0.36</v>
      </c>
    </row>
    <row r="461">
      <c r="C461" t="str">
        <v>HL 95x85x4,5</v>
      </c>
      <c r="D461" t="str">
        <v>GG</v>
      </c>
      <c r="H461">
        <v>6</v>
      </c>
      <c r="I461">
        <f>O461*H461</f>
        <v>70.02</v>
      </c>
      <c r="J461">
        <v>95</v>
      </c>
      <c r="K461">
        <v>85</v>
      </c>
      <c r="L461">
        <v>4.5</v>
      </c>
      <c r="O461">
        <v>11.67</v>
      </c>
      <c r="P461">
        <f>(2*J461+2*K461)*1/1000</f>
        <v>0.36</v>
      </c>
    </row>
    <row r="462">
      <c r="C462" t="str">
        <v>HL 95x85x5</v>
      </c>
      <c r="D462" t="str">
        <v>GG</v>
      </c>
      <c r="H462">
        <v>6</v>
      </c>
      <c r="I462">
        <f>O462*H462</f>
        <v>77.03999999999999</v>
      </c>
      <c r="J462">
        <v>95</v>
      </c>
      <c r="K462">
        <v>85</v>
      </c>
      <c r="L462">
        <v>5</v>
      </c>
      <c r="O462">
        <v>12.84</v>
      </c>
      <c r="P462">
        <f>(2*J462+2*K462)*1/1000</f>
        <v>0.36</v>
      </c>
    </row>
    <row r="463">
      <c r="C463" t="str">
        <v>HL 95x85x5,5</v>
      </c>
      <c r="D463" t="str">
        <v>GG</v>
      </c>
      <c r="H463">
        <v>6</v>
      </c>
      <c r="I463">
        <f>O463*H463</f>
        <v>83.88</v>
      </c>
      <c r="J463">
        <v>95</v>
      </c>
      <c r="K463">
        <v>85</v>
      </c>
      <c r="L463">
        <v>5.5</v>
      </c>
      <c r="O463">
        <v>13.98</v>
      </c>
      <c r="P463">
        <f>(2*J463+2*K463)*1/1000</f>
        <v>0.36</v>
      </c>
    </row>
    <row r="464">
      <c r="C464" t="str">
        <v>HL 100x50x1,6</v>
      </c>
      <c r="D464" t="str">
        <v>ALIM</v>
      </c>
      <c r="H464">
        <v>6</v>
      </c>
      <c r="I464">
        <f>O464*H464</f>
        <v>21.84</v>
      </c>
      <c r="J464">
        <v>100</v>
      </c>
      <c r="K464">
        <v>50</v>
      </c>
      <c r="L464">
        <v>1.6</v>
      </c>
      <c r="O464">
        <v>3.64</v>
      </c>
      <c r="P464">
        <f>(2*J464+2*K464)*1/1000</f>
        <v>0.3</v>
      </c>
    </row>
    <row r="465">
      <c r="C465" t="str">
        <v>HL 100x50x2,3</v>
      </c>
      <c r="D465" t="str">
        <v>ALIM, SPINDO</v>
      </c>
      <c r="H465">
        <v>6</v>
      </c>
      <c r="I465">
        <f>O465*H465</f>
        <v>30.839999999999996</v>
      </c>
      <c r="J465">
        <v>100</v>
      </c>
      <c r="K465">
        <v>50</v>
      </c>
      <c r="L465">
        <v>2.3</v>
      </c>
      <c r="O465">
        <v>5.14</v>
      </c>
      <c r="P465">
        <f>(2*J465+2*K465)*1/1000</f>
        <v>0.3</v>
      </c>
    </row>
    <row r="466">
      <c r="C466" t="str">
        <v>HL 100x50x3,2</v>
      </c>
      <c r="D466" t="str">
        <v>ALIM, SPINDO</v>
      </c>
      <c r="H466">
        <v>6</v>
      </c>
      <c r="I466">
        <f>O466*H466</f>
        <v>42.06</v>
      </c>
      <c r="J466">
        <v>100</v>
      </c>
      <c r="K466">
        <v>50</v>
      </c>
      <c r="L466">
        <v>3.2</v>
      </c>
      <c r="O466">
        <v>7.01</v>
      </c>
      <c r="P466">
        <f>(2*J466+2*K466)*1/1000</f>
        <v>0.3</v>
      </c>
    </row>
    <row r="467">
      <c r="C467" t="str">
        <v>HL 100x50x4,5</v>
      </c>
      <c r="D467" t="str">
        <v>SPINDO</v>
      </c>
      <c r="H467">
        <v>6</v>
      </c>
      <c r="I467">
        <f>O467*H467</f>
        <v>57.300000000000004</v>
      </c>
      <c r="J467">
        <v>100</v>
      </c>
      <c r="K467">
        <v>50</v>
      </c>
      <c r="L467">
        <v>4.5</v>
      </c>
      <c r="O467">
        <v>9.55</v>
      </c>
      <c r="P467">
        <f>(2*J467+2*K467)*1/1000</f>
        <v>0.3</v>
      </c>
    </row>
    <row r="468">
      <c r="C468" t="str">
        <v>HL 100x80x2</v>
      </c>
      <c r="D468" t="str">
        <v>GG</v>
      </c>
      <c r="H468">
        <v>6</v>
      </c>
      <c r="I468">
        <f>O468*H468</f>
        <v>32.7</v>
      </c>
      <c r="J468">
        <v>100</v>
      </c>
      <c r="K468">
        <v>80</v>
      </c>
      <c r="L468">
        <v>2</v>
      </c>
      <c r="O468">
        <v>5.45</v>
      </c>
      <c r="P468">
        <f>(2*J468+2*K468)*1/1000</f>
        <v>0.36</v>
      </c>
    </row>
    <row r="469">
      <c r="C469" t="str">
        <v>HL 100x80x2,5</v>
      </c>
      <c r="D469" t="str">
        <v>GG</v>
      </c>
      <c r="H469">
        <v>6</v>
      </c>
      <c r="I469">
        <f>O469*H469</f>
        <v>40.44</v>
      </c>
      <c r="J469">
        <v>100</v>
      </c>
      <c r="K469">
        <v>80</v>
      </c>
      <c r="L469">
        <v>2.5</v>
      </c>
      <c r="O469">
        <v>6.74</v>
      </c>
      <c r="P469">
        <f>(2*J469+2*K469)*1/1000</f>
        <v>0.36</v>
      </c>
    </row>
    <row r="470">
      <c r="C470" t="str">
        <v>HL 100x80x3</v>
      </c>
      <c r="D470" t="str">
        <v>GG</v>
      </c>
      <c r="H470">
        <v>6</v>
      </c>
      <c r="I470">
        <f>O470*H470</f>
        <v>48.06</v>
      </c>
      <c r="J470">
        <v>100</v>
      </c>
      <c r="K470">
        <v>80</v>
      </c>
      <c r="L470">
        <v>3</v>
      </c>
      <c r="O470">
        <v>8.01</v>
      </c>
      <c r="P470">
        <f>(2*J470+2*K470)*1/1000</f>
        <v>0.36</v>
      </c>
    </row>
    <row r="471">
      <c r="C471" t="str">
        <v>HL 100x80x3,5</v>
      </c>
      <c r="D471" t="str">
        <v>GG</v>
      </c>
      <c r="H471">
        <v>6</v>
      </c>
      <c r="I471">
        <f>O471*H471</f>
        <v>55.56</v>
      </c>
      <c r="J471">
        <v>100</v>
      </c>
      <c r="K471">
        <v>80</v>
      </c>
      <c r="L471">
        <v>3.5</v>
      </c>
      <c r="O471">
        <v>9.26</v>
      </c>
      <c r="P471">
        <f>(2*J471+2*K471)*1/1000</f>
        <v>0.36</v>
      </c>
    </row>
    <row r="472">
      <c r="C472" t="str">
        <v>HL 100x80x4</v>
      </c>
      <c r="D472" t="str">
        <v>GG</v>
      </c>
      <c r="H472">
        <v>6</v>
      </c>
      <c r="I472">
        <f>O472*H472</f>
        <v>62.88</v>
      </c>
      <c r="J472">
        <v>100</v>
      </c>
      <c r="K472">
        <v>80</v>
      </c>
      <c r="L472">
        <v>4</v>
      </c>
      <c r="O472">
        <v>10.48</v>
      </c>
      <c r="P472">
        <f>(2*J472+2*K472)*1/1000</f>
        <v>0.36</v>
      </c>
    </row>
    <row r="473">
      <c r="C473" t="str">
        <v>HL 100x80x4,5</v>
      </c>
      <c r="D473" t="str">
        <v>GG</v>
      </c>
      <c r="H473">
        <v>6</v>
      </c>
      <c r="I473">
        <f>O473*H473</f>
        <v>70.02</v>
      </c>
      <c r="J473">
        <v>100</v>
      </c>
      <c r="K473">
        <v>80</v>
      </c>
      <c r="L473">
        <v>4.5</v>
      </c>
      <c r="O473">
        <v>11.67</v>
      </c>
      <c r="P473">
        <f>(2*J473+2*K473)*1/1000</f>
        <v>0.36</v>
      </c>
    </row>
    <row r="474">
      <c r="C474" t="str">
        <v>HL 100x80x5</v>
      </c>
      <c r="D474" t="str">
        <v>GG</v>
      </c>
      <c r="H474">
        <v>6</v>
      </c>
      <c r="I474">
        <f>O474*H474</f>
        <v>77.03999999999999</v>
      </c>
      <c r="J474">
        <v>100</v>
      </c>
      <c r="K474">
        <v>80</v>
      </c>
      <c r="L474">
        <v>5</v>
      </c>
      <c r="O474">
        <v>12.84</v>
      </c>
      <c r="P474">
        <f>(2*J474+2*K474)*1/1000</f>
        <v>0.36</v>
      </c>
    </row>
    <row r="475">
      <c r="C475" t="str">
        <v>HL 100x80x5,5</v>
      </c>
      <c r="D475" t="str">
        <v>GG</v>
      </c>
      <c r="H475">
        <v>6</v>
      </c>
      <c r="I475">
        <f>O475*H475</f>
        <v>83.88</v>
      </c>
      <c r="J475">
        <v>100</v>
      </c>
      <c r="K475">
        <v>80</v>
      </c>
      <c r="L475">
        <v>5.5</v>
      </c>
      <c r="O475">
        <v>13.98</v>
      </c>
      <c r="P475">
        <f>(2*J475+2*K475)*1/1000</f>
        <v>0.36</v>
      </c>
    </row>
    <row r="476">
      <c r="C476" t="str">
        <v>HL 120x80x3</v>
      </c>
      <c r="D476" t="str">
        <v>GG</v>
      </c>
      <c r="H476">
        <v>6</v>
      </c>
      <c r="I476">
        <f>O476*H476</f>
        <v>53.760000000000005</v>
      </c>
      <c r="J476">
        <v>120</v>
      </c>
      <c r="K476">
        <v>80</v>
      </c>
      <c r="L476">
        <v>3</v>
      </c>
      <c r="O476">
        <v>8.96</v>
      </c>
      <c r="P476">
        <f>(2*J476+2*K476)*1/1000</f>
        <v>0.4</v>
      </c>
    </row>
    <row r="477">
      <c r="C477" t="str">
        <v>HL 120x80x3,5</v>
      </c>
      <c r="D477" t="str">
        <v>GG</v>
      </c>
      <c r="H477">
        <v>6</v>
      </c>
      <c r="I477">
        <f>O477*H477</f>
        <v>62.16</v>
      </c>
      <c r="J477">
        <v>120</v>
      </c>
      <c r="K477">
        <v>80</v>
      </c>
      <c r="L477">
        <v>3.5</v>
      </c>
      <c r="O477">
        <v>10.36</v>
      </c>
      <c r="P477">
        <f>(2*J477+2*K477)*1/1000</f>
        <v>0.4</v>
      </c>
    </row>
    <row r="478">
      <c r="C478" t="str">
        <v>HL 120x80x4</v>
      </c>
      <c r="D478" t="str">
        <v>GG</v>
      </c>
      <c r="H478">
        <v>6</v>
      </c>
      <c r="I478">
        <f>O478*H478</f>
        <v>70.38</v>
      </c>
      <c r="J478">
        <v>120</v>
      </c>
      <c r="K478">
        <v>80</v>
      </c>
      <c r="L478">
        <v>4</v>
      </c>
      <c r="O478">
        <v>11.73</v>
      </c>
      <c r="P478">
        <f>(2*J478+2*K478)*1/1000</f>
        <v>0.4</v>
      </c>
    </row>
    <row r="479">
      <c r="C479" t="str">
        <v>HL 120x80x4,5</v>
      </c>
      <c r="D479" t="str">
        <v>GG</v>
      </c>
      <c r="H479">
        <v>6</v>
      </c>
      <c r="I479">
        <f>O479*H479</f>
        <v>78.48</v>
      </c>
      <c r="J479">
        <v>120</v>
      </c>
      <c r="K479">
        <v>80</v>
      </c>
      <c r="L479">
        <v>4.5</v>
      </c>
      <c r="O479">
        <v>13.08</v>
      </c>
      <c r="P479">
        <f>(2*J479+2*K479)*1/1000</f>
        <v>0.4</v>
      </c>
    </row>
    <row r="480">
      <c r="C480" t="str">
        <v>HL 120x80x5</v>
      </c>
      <c r="D480" t="str">
        <v>GG</v>
      </c>
      <c r="H480">
        <v>6</v>
      </c>
      <c r="I480">
        <f>O480*H480</f>
        <v>86.46000000000001</v>
      </c>
      <c r="J480">
        <v>120</v>
      </c>
      <c r="K480">
        <v>80</v>
      </c>
      <c r="L480">
        <v>5</v>
      </c>
      <c r="O480">
        <v>14.41</v>
      </c>
      <c r="P480">
        <f>(2*J480+2*K480)*1/1000</f>
        <v>0.4</v>
      </c>
    </row>
    <row r="481">
      <c r="C481" t="str">
        <v>HL 120x80x5,5</v>
      </c>
      <c r="D481" t="str">
        <v>GG</v>
      </c>
      <c r="H481">
        <v>6</v>
      </c>
      <c r="I481">
        <f>O481*H481</f>
        <v>94.26</v>
      </c>
      <c r="J481">
        <v>120</v>
      </c>
      <c r="K481">
        <v>80</v>
      </c>
      <c r="L481">
        <v>5.5</v>
      </c>
      <c r="O481">
        <v>15.71</v>
      </c>
      <c r="P481">
        <f>(2*J481+2*K481)*1/1000</f>
        <v>0.4</v>
      </c>
    </row>
    <row r="482">
      <c r="C482" t="str">
        <v>HL 125x75x3,2</v>
      </c>
      <c r="D482" t="str">
        <v>SPINDO</v>
      </c>
      <c r="G482" t="str">
        <v>MO</v>
      </c>
      <c r="H482">
        <v>6</v>
      </c>
      <c r="I482">
        <f>O482*H482</f>
        <v>57.12</v>
      </c>
      <c r="J482">
        <v>125</v>
      </c>
      <c r="K482">
        <v>75</v>
      </c>
      <c r="L482">
        <v>3.2</v>
      </c>
      <c r="O482">
        <v>9.52</v>
      </c>
      <c r="P482">
        <f>(2*J482+2*K482)*1/1000</f>
        <v>0.4</v>
      </c>
    </row>
    <row r="483">
      <c r="C483" t="str">
        <v>HL 125x75x4</v>
      </c>
      <c r="D483" t="str">
        <v>SPINDO</v>
      </c>
      <c r="G483" t="str">
        <v>MO</v>
      </c>
      <c r="H483">
        <v>6</v>
      </c>
      <c r="I483">
        <f>O483*H483</f>
        <v>70.19999999999999</v>
      </c>
      <c r="J483">
        <v>125</v>
      </c>
      <c r="K483">
        <v>75</v>
      </c>
      <c r="L483">
        <v>4</v>
      </c>
      <c r="O483">
        <v>11.7</v>
      </c>
      <c r="P483">
        <f>(2*J483+2*K483)*1/1000</f>
        <v>0.4</v>
      </c>
    </row>
    <row r="484">
      <c r="C484" t="str">
        <v>HL 125x75x4,5</v>
      </c>
      <c r="D484" t="str">
        <v>SPINDO</v>
      </c>
      <c r="G484" t="str">
        <v>MO</v>
      </c>
      <c r="H484">
        <v>6</v>
      </c>
      <c r="I484">
        <f>O484*H484</f>
        <v>78.6</v>
      </c>
      <c r="J484">
        <v>125</v>
      </c>
      <c r="K484">
        <v>75</v>
      </c>
      <c r="L484">
        <v>4.5</v>
      </c>
      <c r="O484">
        <v>13.1</v>
      </c>
      <c r="P484">
        <f>(2*J484+2*K484)*1/1000</f>
        <v>0.4</v>
      </c>
    </row>
    <row r="485">
      <c r="C485" t="str">
        <v>HL 125x75x6</v>
      </c>
      <c r="D485" t="str">
        <v>SPINDO</v>
      </c>
      <c r="G485" t="str">
        <v>MO</v>
      </c>
      <c r="H485">
        <v>6</v>
      </c>
      <c r="I485">
        <f>O485*H485</f>
        <v>102</v>
      </c>
      <c r="J485">
        <v>125</v>
      </c>
      <c r="K485">
        <v>75</v>
      </c>
      <c r="L485">
        <v>6</v>
      </c>
      <c r="O485">
        <v>17</v>
      </c>
      <c r="P485">
        <f>(2*J485+2*K485)*1/1000</f>
        <v>0.4</v>
      </c>
    </row>
    <row r="486">
      <c r="C486" t="str">
        <v>HL 127x50x2,3</v>
      </c>
      <c r="D486" t="str">
        <v>SPINDO</v>
      </c>
      <c r="H486">
        <v>6</v>
      </c>
      <c r="I486">
        <f>O486*H486</f>
        <v>36.660000000000004</v>
      </c>
      <c r="J486">
        <v>127</v>
      </c>
      <c r="K486">
        <v>50</v>
      </c>
      <c r="L486">
        <v>2.3</v>
      </c>
      <c r="O486">
        <v>6.11</v>
      </c>
      <c r="P486">
        <f>(2*J486+2*K486)*1/1000</f>
        <v>0.354</v>
      </c>
    </row>
    <row r="487">
      <c r="C487" t="str">
        <v>HL 127x50x3,2</v>
      </c>
      <c r="D487" t="str">
        <v>SPINDO</v>
      </c>
      <c r="H487">
        <v>6</v>
      </c>
      <c r="I487">
        <f>O487*H487</f>
        <v>50.099999999999994</v>
      </c>
      <c r="J487">
        <v>127</v>
      </c>
      <c r="K487">
        <v>50</v>
      </c>
      <c r="L487">
        <v>3.2</v>
      </c>
      <c r="O487">
        <v>8.35</v>
      </c>
      <c r="P487">
        <f>(2*J487+2*K487)*1/1000</f>
        <v>0.354</v>
      </c>
    </row>
    <row r="488">
      <c r="C488" t="str">
        <v>HL 150x80x4,5</v>
      </c>
      <c r="D488" t="str">
        <v>SPINDO</v>
      </c>
      <c r="G488" t="str">
        <v>MO</v>
      </c>
      <c r="H488">
        <v>6</v>
      </c>
      <c r="I488">
        <f>O488*H488</f>
        <v>91.19999999999999</v>
      </c>
      <c r="J488">
        <v>150</v>
      </c>
      <c r="K488">
        <v>80</v>
      </c>
      <c r="L488">
        <v>4.5</v>
      </c>
      <c r="O488">
        <v>15.2</v>
      </c>
      <c r="P488">
        <f>(2*J488+2*K488)*1/1000</f>
        <v>0.46</v>
      </c>
    </row>
    <row r="489">
      <c r="C489" t="str">
        <v>HL 150x80x5</v>
      </c>
      <c r="D489" t="str">
        <v>SPINDO</v>
      </c>
      <c r="G489" t="str">
        <v>MO</v>
      </c>
      <c r="H489">
        <v>6</v>
      </c>
      <c r="I489">
        <f>O489*H489</f>
        <v>100.80000000000001</v>
      </c>
      <c r="J489">
        <v>150</v>
      </c>
      <c r="K489">
        <v>80</v>
      </c>
      <c r="L489">
        <v>5</v>
      </c>
      <c r="O489">
        <v>16.8</v>
      </c>
      <c r="P489">
        <f>(2*J489+2*K489)*1/1000</f>
        <v>0.46</v>
      </c>
    </row>
    <row r="490">
      <c r="C490" t="str">
        <v>HL 150x80x6</v>
      </c>
      <c r="D490" t="str">
        <v>SPINDO</v>
      </c>
      <c r="G490" t="str">
        <v>MO</v>
      </c>
      <c r="H490">
        <v>6</v>
      </c>
      <c r="I490">
        <f>O490*H490</f>
        <v>118.80000000000001</v>
      </c>
      <c r="J490">
        <v>150</v>
      </c>
      <c r="K490">
        <v>80</v>
      </c>
      <c r="L490">
        <v>6</v>
      </c>
      <c r="O490">
        <v>19.8</v>
      </c>
      <c r="P490">
        <f>(2*J490+2*K490)*1/1000</f>
        <v>0.46</v>
      </c>
    </row>
    <row r="491">
      <c r="C491" t="str">
        <v>HL 150x100x3,2</v>
      </c>
      <c r="D491" t="str">
        <v>SPINDO</v>
      </c>
      <c r="G491" t="str">
        <v>MO</v>
      </c>
      <c r="H491">
        <v>6</v>
      </c>
      <c r="I491">
        <f>O491*H491</f>
        <v>72</v>
      </c>
      <c r="J491">
        <v>150</v>
      </c>
      <c r="K491">
        <v>100</v>
      </c>
      <c r="L491">
        <v>3.2</v>
      </c>
      <c r="O491">
        <v>12</v>
      </c>
      <c r="P491">
        <f>(2*J491+2*K491)*1/1000</f>
        <v>0.5</v>
      </c>
    </row>
    <row r="492">
      <c r="C492" t="str">
        <v>HL 150x100x4</v>
      </c>
      <c r="D492" t="str">
        <v>GG</v>
      </c>
      <c r="H492">
        <v>6</v>
      </c>
      <c r="I492">
        <f>O492*H492</f>
        <v>89.22</v>
      </c>
      <c r="J492">
        <v>150</v>
      </c>
      <c r="K492">
        <v>100</v>
      </c>
      <c r="L492">
        <v>4</v>
      </c>
      <c r="O492">
        <v>14.87</v>
      </c>
      <c r="P492">
        <f>(2*J492+2*K492)*1/1000</f>
        <v>0.5</v>
      </c>
    </row>
    <row r="493">
      <c r="C493" t="str">
        <v>HL 150x100x4,5</v>
      </c>
      <c r="D493" t="str">
        <v>SPINDO</v>
      </c>
      <c r="G493" t="str">
        <v>MO</v>
      </c>
      <c r="H493">
        <v>6</v>
      </c>
      <c r="I493">
        <f>O493*H493</f>
        <v>99.60000000000001</v>
      </c>
      <c r="J493">
        <v>150</v>
      </c>
      <c r="K493">
        <v>100</v>
      </c>
      <c r="L493">
        <v>4.5</v>
      </c>
      <c r="O493">
        <v>16.6</v>
      </c>
      <c r="P493">
        <f>(2*J493+2*K493)*1/1000</f>
        <v>0.5</v>
      </c>
    </row>
    <row r="494">
      <c r="C494" t="str">
        <v>HL 150x100x6</v>
      </c>
      <c r="D494" t="str">
        <v>GG, SPINDO</v>
      </c>
      <c r="G494" t="str">
        <v>MO</v>
      </c>
      <c r="H494">
        <v>6</v>
      </c>
      <c r="I494">
        <f>O494*H494</f>
        <v>130.14000000000001</v>
      </c>
      <c r="J494">
        <v>150</v>
      </c>
      <c r="K494">
        <v>100</v>
      </c>
      <c r="L494">
        <v>6</v>
      </c>
      <c r="O494">
        <v>21.69</v>
      </c>
      <c r="P494">
        <f>(2*J494+2*K494)*1/1000</f>
        <v>0.5</v>
      </c>
    </row>
    <row r="495">
      <c r="C495" t="str">
        <v>HL 150x100x8</v>
      </c>
      <c r="D495" t="str">
        <v>GG</v>
      </c>
      <c r="H495">
        <v>6</v>
      </c>
      <c r="I495">
        <f>O495*H495</f>
        <v>165.96</v>
      </c>
      <c r="J495">
        <v>150</v>
      </c>
      <c r="K495">
        <v>100</v>
      </c>
      <c r="L495">
        <v>8</v>
      </c>
      <c r="O495">
        <v>27.66</v>
      </c>
      <c r="P495">
        <f>(2*J495+2*K495)*1/1000</f>
        <v>0.5</v>
      </c>
    </row>
    <row r="496">
      <c r="C496" t="str">
        <v>HL 200x100x4</v>
      </c>
      <c r="D496" t="str">
        <v>GG</v>
      </c>
      <c r="H496">
        <v>6</v>
      </c>
      <c r="I496">
        <f>O496*H496</f>
        <v>108.06</v>
      </c>
      <c r="J496">
        <v>200</v>
      </c>
      <c r="K496">
        <v>100</v>
      </c>
      <c r="L496">
        <v>4</v>
      </c>
      <c r="O496">
        <v>18.01</v>
      </c>
      <c r="P496">
        <f>(2*J496+2*K496)*1/1000</f>
        <v>0.6</v>
      </c>
    </row>
    <row r="497">
      <c r="C497" t="str">
        <v>HL 200x100x4,5</v>
      </c>
      <c r="D497" t="str">
        <v>SPINDO</v>
      </c>
      <c r="G497" t="str">
        <v>MO</v>
      </c>
      <c r="H497">
        <v>6</v>
      </c>
      <c r="I497">
        <f>O497*H497</f>
        <v>120.60000000000001</v>
      </c>
      <c r="J497">
        <v>200</v>
      </c>
      <c r="K497">
        <v>100</v>
      </c>
      <c r="L497">
        <v>4.5</v>
      </c>
      <c r="O497">
        <v>20.1</v>
      </c>
      <c r="P497">
        <f>(2*J497+2*K497)*1/1000</f>
        <v>0.6</v>
      </c>
    </row>
    <row r="498">
      <c r="C498" t="str">
        <v>HL 200x100x6</v>
      </c>
      <c r="D498" t="str">
        <v>GG, SPINDO</v>
      </c>
      <c r="G498" t="str">
        <v>MO</v>
      </c>
      <c r="H498">
        <v>6</v>
      </c>
      <c r="I498">
        <f>O498*H498</f>
        <v>158.39999999999998</v>
      </c>
      <c r="J498">
        <v>200</v>
      </c>
      <c r="K498">
        <v>100</v>
      </c>
      <c r="L498">
        <v>6</v>
      </c>
      <c r="O498">
        <v>26.4</v>
      </c>
      <c r="P498">
        <f>(2*J498+2*K498)*1/1000</f>
        <v>0.6</v>
      </c>
    </row>
    <row r="499">
      <c r="C499" t="str">
        <v>HL 200x100x8</v>
      </c>
      <c r="D499" t="str">
        <v>GG</v>
      </c>
      <c r="H499">
        <v>6</v>
      </c>
      <c r="I499">
        <f>O499*H499</f>
        <v>203.64</v>
      </c>
      <c r="J499">
        <v>200</v>
      </c>
      <c r="K499">
        <v>100</v>
      </c>
      <c r="L499">
        <v>8</v>
      </c>
      <c r="O499">
        <v>33.94</v>
      </c>
      <c r="P499">
        <f>(2*J499+2*K499)*1/1000</f>
        <v>0.6</v>
      </c>
    </row>
    <row r="500">
      <c r="C500" t="str">
        <v>HL 250x150x4</v>
      </c>
      <c r="D500" t="str">
        <v>GG</v>
      </c>
      <c r="H500">
        <v>6</v>
      </c>
      <c r="I500">
        <f>O500*H500</f>
        <v>145.74</v>
      </c>
      <c r="J500">
        <v>250</v>
      </c>
      <c r="K500">
        <v>150</v>
      </c>
      <c r="L500">
        <v>4</v>
      </c>
      <c r="O500">
        <v>24.29</v>
      </c>
      <c r="P500">
        <f>(2*J500+2*K500)*1/1000</f>
        <v>0.8</v>
      </c>
    </row>
    <row r="501">
      <c r="C501" t="str">
        <v>HL 250x150x6</v>
      </c>
      <c r="D501" t="str">
        <v>GG</v>
      </c>
      <c r="H501">
        <v>6</v>
      </c>
      <c r="I501">
        <f>O501*H501</f>
        <v>214.92000000000002</v>
      </c>
      <c r="J501">
        <v>250</v>
      </c>
      <c r="K501">
        <v>150</v>
      </c>
      <c r="L501">
        <v>6</v>
      </c>
      <c r="O501">
        <v>35.82</v>
      </c>
      <c r="P501">
        <f>(2*J501+2*K501)*1/1000</f>
        <v>0.8</v>
      </c>
    </row>
    <row r="502">
      <c r="C502" t="str">
        <v>HL 250x150x8</v>
      </c>
      <c r="D502" t="str">
        <v>GG</v>
      </c>
      <c r="H502">
        <v>6</v>
      </c>
      <c r="I502">
        <f>O502*H502</f>
        <v>279</v>
      </c>
      <c r="J502">
        <v>250</v>
      </c>
      <c r="K502">
        <v>150</v>
      </c>
      <c r="L502">
        <v>8</v>
      </c>
      <c r="O502">
        <v>46.5</v>
      </c>
      <c r="P502">
        <f>(2*J502+2*K502)*1/1000</f>
        <v>0.8</v>
      </c>
    </row>
    <row r="503">
      <c r="C503" t="str">
        <v>HL 250x150x12</v>
      </c>
      <c r="D503" t="str">
        <v>GG</v>
      </c>
      <c r="H503">
        <v>6</v>
      </c>
      <c r="I503">
        <f>O503*H503</f>
        <v>395.88</v>
      </c>
      <c r="J503">
        <v>250</v>
      </c>
      <c r="K503">
        <v>150</v>
      </c>
      <c r="L503">
        <v>12</v>
      </c>
      <c r="O503">
        <v>65.98</v>
      </c>
      <c r="P503">
        <f>(2*J503+2*K503)*1/1000</f>
        <v>0.8</v>
      </c>
    </row>
    <row r="504">
      <c r="C504" t="str">
        <v>HL 300x100x6</v>
      </c>
      <c r="D504" t="str">
        <v>GG</v>
      </c>
      <c r="H504">
        <v>6</v>
      </c>
      <c r="I504">
        <f>O504*H504</f>
        <v>214.92000000000002</v>
      </c>
      <c r="J504">
        <v>300</v>
      </c>
      <c r="K504">
        <v>100</v>
      </c>
      <c r="L504">
        <v>6</v>
      </c>
      <c r="O504">
        <v>35.82</v>
      </c>
      <c r="P504">
        <f>(2*J504+2*K504)*1/1000</f>
        <v>0.8</v>
      </c>
    </row>
    <row r="505">
      <c r="C505" t="str">
        <v>HL 300x100x8</v>
      </c>
      <c r="D505" t="str">
        <v>GG</v>
      </c>
      <c r="H505">
        <v>6</v>
      </c>
      <c r="I505">
        <f>O505*H505</f>
        <v>279</v>
      </c>
      <c r="J505">
        <v>300</v>
      </c>
      <c r="K505">
        <v>100</v>
      </c>
      <c r="L505">
        <v>8</v>
      </c>
      <c r="O505">
        <v>46.5</v>
      </c>
      <c r="P505">
        <f>(2*J505+2*K505)*1/1000</f>
        <v>0.8</v>
      </c>
    </row>
    <row r="506">
      <c r="C506" t="str">
        <v>HL 300x100x12</v>
      </c>
      <c r="D506" t="str">
        <v>GG</v>
      </c>
      <c r="H506">
        <v>6</v>
      </c>
      <c r="I506">
        <f>O506*H506</f>
        <v>395.88</v>
      </c>
      <c r="J506">
        <v>300</v>
      </c>
      <c r="K506">
        <v>100</v>
      </c>
      <c r="L506">
        <v>12</v>
      </c>
      <c r="O506">
        <v>65.98</v>
      </c>
      <c r="P506">
        <f>(2*J506+2*K506)*1/1000</f>
        <v>0.8</v>
      </c>
    </row>
    <row r="507">
      <c r="C507" t="str">
        <v>HL 300x200x6</v>
      </c>
      <c r="D507" t="str">
        <v>GG</v>
      </c>
      <c r="H507">
        <v>6</v>
      </c>
      <c r="I507">
        <f>O507*H507</f>
        <v>271.44</v>
      </c>
      <c r="J507">
        <v>300</v>
      </c>
      <c r="K507">
        <v>200</v>
      </c>
      <c r="L507">
        <v>6</v>
      </c>
      <c r="O507">
        <v>45.24</v>
      </c>
      <c r="P507">
        <f>(2*J507+2*K507)*1/1000</f>
        <v>1</v>
      </c>
    </row>
    <row r="508">
      <c r="C508" t="str">
        <v>HL 300x200x8</v>
      </c>
      <c r="D508" t="str">
        <v>GG</v>
      </c>
      <c r="H508">
        <v>6</v>
      </c>
      <c r="I508">
        <f>O508*H508</f>
        <v>354.36</v>
      </c>
      <c r="J508">
        <v>300</v>
      </c>
      <c r="K508">
        <v>200</v>
      </c>
      <c r="L508">
        <v>8</v>
      </c>
      <c r="O508">
        <v>59.06</v>
      </c>
      <c r="P508">
        <f>(2*J508+2*K508)*1/1000</f>
        <v>1</v>
      </c>
    </row>
    <row r="509">
      <c r="C509" t="str">
        <v>HL 300x200x12</v>
      </c>
      <c r="D509" t="str">
        <v>GG</v>
      </c>
      <c r="H509">
        <v>6</v>
      </c>
      <c r="I509">
        <f>O509*H509</f>
        <v>508.91999999999996</v>
      </c>
      <c r="J509">
        <v>300</v>
      </c>
      <c r="K509">
        <v>200</v>
      </c>
      <c r="L509">
        <v>12</v>
      </c>
      <c r="O509">
        <v>84.82</v>
      </c>
      <c r="P509">
        <f>(2*J509+2*K509)*1/1000</f>
        <v>1</v>
      </c>
    </row>
    <row r="510">
      <c r="B510" t="str">
        <v>Pipa (P)</v>
      </c>
      <c r="C510" t="str">
        <v>P 1/2"x0,9</v>
      </c>
      <c r="E510" t="str">
        <v>SGJ</v>
      </c>
      <c r="H510">
        <v>6</v>
      </c>
      <c r="I510">
        <f>O510*H510</f>
        <v>1.59</v>
      </c>
      <c r="J510">
        <v>12.7</v>
      </c>
      <c r="K510">
        <v>0.9</v>
      </c>
      <c r="O510">
        <v>0.265</v>
      </c>
      <c r="P510">
        <f>PI()*J510*1/1000</f>
        <v>0.03989822670059037</v>
      </c>
      <c r="Q510" t="str">
        <v>Conduit</v>
      </c>
    </row>
    <row r="511">
      <c r="C511" t="str">
        <v>P 1/2"x 1,9</v>
      </c>
      <c r="E511" t="str">
        <v>SGJ</v>
      </c>
      <c r="H511">
        <v>6</v>
      </c>
      <c r="I511">
        <f>O511*H511</f>
        <v>5.46</v>
      </c>
      <c r="J511">
        <v>21.4</v>
      </c>
      <c r="K511">
        <v>1.9</v>
      </c>
      <c r="O511">
        <v>0.91</v>
      </c>
      <c r="P511">
        <f>PI()*J511*1/1000</f>
        <v>0.06723008278682156</v>
      </c>
      <c r="Q511" t="str">
        <v>Class A</v>
      </c>
    </row>
    <row r="512">
      <c r="C512" t="str">
        <v>P 1/2"x2</v>
      </c>
      <c r="D512" t="str">
        <v>ALIM, SPINDO</v>
      </c>
      <c r="E512" t="str">
        <v>SGJ</v>
      </c>
      <c r="H512">
        <v>6</v>
      </c>
      <c r="I512">
        <f>O512*H512</f>
        <v>5.82</v>
      </c>
      <c r="J512">
        <v>21.4</v>
      </c>
      <c r="K512">
        <v>2</v>
      </c>
      <c r="O512">
        <v>0.97</v>
      </c>
      <c r="P512">
        <f>PI()*J512*1/1000</f>
        <v>0.06723008278682156</v>
      </c>
      <c r="Q512" t="str">
        <v>Light</v>
      </c>
    </row>
    <row r="513">
      <c r="C513" t="str">
        <v>P 1/2"x2,6</v>
      </c>
      <c r="E513" t="str">
        <v>SGJ</v>
      </c>
      <c r="H513">
        <v>6</v>
      </c>
      <c r="I513">
        <f>O513*H513</f>
        <v>7.32</v>
      </c>
      <c r="J513">
        <v>21.4</v>
      </c>
      <c r="K513">
        <v>2.6</v>
      </c>
      <c r="O513">
        <v>1.22</v>
      </c>
      <c r="P513">
        <f>PI()*J513*1/1000</f>
        <v>0.06723008278682156</v>
      </c>
      <c r="Q513" t="str">
        <v>Medium</v>
      </c>
    </row>
    <row r="514">
      <c r="C514" t="str">
        <v>P 1/2"x2,77</v>
      </c>
      <c r="D514" t="str">
        <v>SWARNA BAJA</v>
      </c>
      <c r="H514">
        <v>6</v>
      </c>
      <c r="I514">
        <f>O514*H514</f>
        <v>7.62</v>
      </c>
      <c r="J514">
        <v>21.3</v>
      </c>
      <c r="K514">
        <v>2.77</v>
      </c>
      <c r="O514">
        <v>1.27</v>
      </c>
      <c r="P514">
        <f>PI()*J514*1/1000</f>
        <v>0.0669159235214626</v>
      </c>
    </row>
    <row r="515">
      <c r="C515" t="str">
        <v>P 1/2"x2,8</v>
      </c>
      <c r="E515" t="str">
        <v>SGJ</v>
      </c>
      <c r="H515">
        <v>6</v>
      </c>
      <c r="I515">
        <f>O515*H515</f>
        <v>7.86</v>
      </c>
      <c r="J515">
        <v>21.7</v>
      </c>
      <c r="K515">
        <v>2.8</v>
      </c>
      <c r="O515">
        <v>1.31</v>
      </c>
      <c r="P515">
        <f>PI()*J515*1/1000</f>
        <v>0.06817256058289851</v>
      </c>
      <c r="Q515" t="str">
        <v>Sc 40</v>
      </c>
    </row>
    <row r="516">
      <c r="C516" t="str">
        <v>P 1/2"x3,7</v>
      </c>
      <c r="E516" t="str">
        <v>SGJ</v>
      </c>
      <c r="H516">
        <v>6</v>
      </c>
      <c r="I516">
        <f>O516*H516</f>
        <v>9.84</v>
      </c>
      <c r="J516">
        <v>21.7</v>
      </c>
      <c r="K516">
        <v>3.7</v>
      </c>
      <c r="O516">
        <v>1.64</v>
      </c>
      <c r="P516">
        <f>PI()*J516*1/1000</f>
        <v>0.06817256058289851</v>
      </c>
      <c r="Q516" t="str">
        <v>Sc 80</v>
      </c>
    </row>
    <row r="517">
      <c r="C517" t="str">
        <v>P 9/16"x0,9</v>
      </c>
      <c r="E517" t="str">
        <v>SGJ</v>
      </c>
      <c r="H517">
        <v>6</v>
      </c>
      <c r="I517">
        <f>O517*H517</f>
        <v>1.7879999999999998</v>
      </c>
      <c r="J517">
        <v>14.3</v>
      </c>
      <c r="K517">
        <v>0.9</v>
      </c>
      <c r="O517">
        <v>0.298</v>
      </c>
      <c r="P517">
        <f>PI()*J517*1/1000</f>
        <v>0.044924774946334046</v>
      </c>
      <c r="Q517" t="str">
        <v>Conduit</v>
      </c>
    </row>
    <row r="518">
      <c r="C518" t="str">
        <v>P 5/8"x0,9</v>
      </c>
      <c r="E518" t="str">
        <v>SGJ</v>
      </c>
      <c r="H518">
        <v>6</v>
      </c>
      <c r="I518">
        <f>O518*H518</f>
        <v>1.992</v>
      </c>
      <c r="J518">
        <v>15.9</v>
      </c>
      <c r="K518">
        <v>0.9</v>
      </c>
      <c r="O518">
        <v>0.332</v>
      </c>
      <c r="P518">
        <f>PI()*J518*1/1000</f>
        <v>0.04995132319207771</v>
      </c>
      <c r="Q518" t="str">
        <v>Conduit</v>
      </c>
    </row>
    <row r="519">
      <c r="C519" t="str">
        <v>P 3/4"x0,9</v>
      </c>
      <c r="E519" t="str">
        <v>SGJ</v>
      </c>
      <c r="H519">
        <v>6</v>
      </c>
      <c r="I519">
        <f>O519*H519</f>
        <v>2.418</v>
      </c>
      <c r="J519">
        <v>19.1</v>
      </c>
      <c r="K519">
        <v>0.9</v>
      </c>
      <c r="O519">
        <v>0.403</v>
      </c>
      <c r="P519">
        <f>PI()*J519*1/1000</f>
        <v>0.060004419683565055</v>
      </c>
      <c r="Q519" t="str">
        <v>Conduit</v>
      </c>
    </row>
    <row r="520">
      <c r="C520" t="str">
        <v>P 3/4"x2</v>
      </c>
      <c r="D520" t="str">
        <v>SPINDO</v>
      </c>
      <c r="H520">
        <v>6</v>
      </c>
      <c r="I520">
        <f>O520*H520</f>
        <v>7.5600000000000005</v>
      </c>
      <c r="J520">
        <v>27.2</v>
      </c>
      <c r="K520">
        <v>2</v>
      </c>
      <c r="O520">
        <v>1.26</v>
      </c>
      <c r="P520">
        <f>PI()*J520*1/1000</f>
        <v>0.08545132017764237</v>
      </c>
    </row>
    <row r="521">
      <c r="C521" t="str">
        <v>P 3/4"x2,1</v>
      </c>
      <c r="E521" t="str">
        <v>SGJ</v>
      </c>
      <c r="H521">
        <v>6</v>
      </c>
      <c r="I521">
        <f>O521*H521</f>
        <v>7.68</v>
      </c>
      <c r="J521">
        <v>27</v>
      </c>
      <c r="K521">
        <v>2.1</v>
      </c>
      <c r="O521">
        <v>1.28</v>
      </c>
      <c r="P521">
        <f>PI()*J521*1/1000</f>
        <v>0.08482300164692441</v>
      </c>
      <c r="Q521" t="str">
        <v>Class A</v>
      </c>
    </row>
    <row r="522">
      <c r="C522" t="str">
        <v>P 3/4"x2,3</v>
      </c>
      <c r="D522" t="str">
        <v>ALIM, SPINDO</v>
      </c>
      <c r="E522" t="str">
        <v>SGJ</v>
      </c>
      <c r="H522">
        <v>6</v>
      </c>
      <c r="I522">
        <f>O522*H522</f>
        <v>8.459999999999999</v>
      </c>
      <c r="J522">
        <v>27.2</v>
      </c>
      <c r="K522">
        <v>2.3</v>
      </c>
      <c r="O522">
        <v>1.41</v>
      </c>
      <c r="P522">
        <f>PI()*J522*1/1000</f>
        <v>0.08545132017764237</v>
      </c>
      <c r="Q522" t="str">
        <v>Light</v>
      </c>
    </row>
    <row r="523">
      <c r="C523" t="str">
        <v>P 3/4"x2,6</v>
      </c>
      <c r="E523" t="str">
        <v>SGJ</v>
      </c>
      <c r="H523">
        <v>6</v>
      </c>
      <c r="I523">
        <f>O523*H523</f>
        <v>9.48</v>
      </c>
      <c r="J523">
        <v>27</v>
      </c>
      <c r="K523">
        <v>2.6</v>
      </c>
      <c r="O523">
        <v>1.58</v>
      </c>
      <c r="P523">
        <f>PI()*J523*1/1000</f>
        <v>0.08482300164692441</v>
      </c>
      <c r="Q523" t="str">
        <v>Medium</v>
      </c>
    </row>
    <row r="524">
      <c r="C524" t="str">
        <v>P 3/4"x2,87</v>
      </c>
      <c r="D524" t="str">
        <v>SWARNA BAJA</v>
      </c>
      <c r="H524">
        <v>6</v>
      </c>
      <c r="I524">
        <f>O524*H524</f>
        <v>10.14</v>
      </c>
      <c r="J524">
        <v>26.7</v>
      </c>
      <c r="K524">
        <v>2.87</v>
      </c>
      <c r="O524">
        <v>1.69</v>
      </c>
      <c r="P524">
        <f>PI()*J524*1/1000</f>
        <v>0.08388052385084746</v>
      </c>
    </row>
    <row r="525">
      <c r="C525" t="str">
        <v>P 3/4"x2,9</v>
      </c>
      <c r="E525" t="str">
        <v>SGJ</v>
      </c>
      <c r="H525">
        <v>6</v>
      </c>
      <c r="I525">
        <f>O525*H525</f>
        <v>10.44</v>
      </c>
      <c r="J525">
        <v>27.2</v>
      </c>
      <c r="K525">
        <v>2.9</v>
      </c>
      <c r="O525">
        <v>1.74</v>
      </c>
      <c r="P525">
        <f>PI()*J525*1/1000</f>
        <v>0.08545132017764237</v>
      </c>
      <c r="Q525" t="str">
        <v>Sc 40</v>
      </c>
    </row>
    <row r="526">
      <c r="C526" t="str">
        <v>P 3/4"x3,9</v>
      </c>
      <c r="E526" t="str">
        <v>SGJ</v>
      </c>
      <c r="H526">
        <v>6</v>
      </c>
      <c r="I526">
        <f>O526*H526</f>
        <v>13.440000000000001</v>
      </c>
      <c r="J526">
        <v>27.2</v>
      </c>
      <c r="K526">
        <v>3.9</v>
      </c>
      <c r="O526">
        <v>2.24</v>
      </c>
      <c r="P526">
        <f>PI()*J526*1/1000</f>
        <v>0.08545132017764237</v>
      </c>
      <c r="Q526" t="str">
        <v>Sc 80</v>
      </c>
    </row>
    <row r="527">
      <c r="C527" t="str">
        <v>P 7/8"x1</v>
      </c>
      <c r="E527" t="str">
        <v>SGJ</v>
      </c>
      <c r="H527">
        <v>6</v>
      </c>
      <c r="I527">
        <f>O527*H527</f>
        <v>3.144</v>
      </c>
      <c r="J527">
        <v>22.2</v>
      </c>
      <c r="K527">
        <v>1</v>
      </c>
      <c r="O527">
        <v>0.524</v>
      </c>
      <c r="P527">
        <f>PI()*J527*1/1000</f>
        <v>0.06974335690969341</v>
      </c>
      <c r="Q527" t="str">
        <v>Conduit</v>
      </c>
    </row>
    <row r="528">
      <c r="C528" t="str">
        <v>P 15/16"x1</v>
      </c>
      <c r="E528" t="str">
        <v>SGJ</v>
      </c>
      <c r="H528">
        <v>6</v>
      </c>
      <c r="I528">
        <f>O528*H528</f>
        <v>3.3660000000000005</v>
      </c>
      <c r="J528">
        <v>23.8</v>
      </c>
      <c r="K528">
        <v>1</v>
      </c>
      <c r="O528">
        <v>0.561</v>
      </c>
      <c r="P528">
        <f>PI()*J528*1/1000</f>
        <v>0.07476990515543708</v>
      </c>
      <c r="Q528" t="str">
        <v>Conduit</v>
      </c>
    </row>
    <row r="529">
      <c r="C529" t="str">
        <v>P 1"x1,2</v>
      </c>
      <c r="E529" t="str">
        <v>SGJ</v>
      </c>
      <c r="H529">
        <v>6</v>
      </c>
      <c r="I529">
        <f>O529*H529</f>
        <v>4.302</v>
      </c>
      <c r="J529">
        <v>25.4</v>
      </c>
      <c r="K529">
        <v>1.2</v>
      </c>
      <c r="O529">
        <v>0.717</v>
      </c>
      <c r="P529">
        <f>PI()*J529*1/1000</f>
        <v>0.07979645340118074</v>
      </c>
      <c r="Q529" t="str">
        <v>Conduit</v>
      </c>
    </row>
    <row r="530">
      <c r="C530" t="str">
        <v>P 1"x2,3</v>
      </c>
      <c r="D530" t="str">
        <v>ALIM, SPINDO</v>
      </c>
      <c r="H530">
        <v>6</v>
      </c>
      <c r="I530">
        <f>O530*H530</f>
        <v>10.8</v>
      </c>
      <c r="J530">
        <v>34</v>
      </c>
      <c r="K530">
        <v>2.3</v>
      </c>
      <c r="O530">
        <v>1.8</v>
      </c>
      <c r="P530">
        <f>PI()*J530*1/1000</f>
        <v>0.10681415022205297</v>
      </c>
    </row>
    <row r="531">
      <c r="C531" t="str">
        <v>P 1"x2,45</v>
      </c>
      <c r="E531" t="str">
        <v>SGJ</v>
      </c>
      <c r="H531">
        <v>6</v>
      </c>
      <c r="I531">
        <f>O531*H531</f>
        <v>11.28</v>
      </c>
      <c r="J531">
        <v>33.7</v>
      </c>
      <c r="K531">
        <v>2.45</v>
      </c>
      <c r="O531">
        <v>1.88</v>
      </c>
      <c r="P531">
        <f>PI()*J531*1/1000</f>
        <v>0.10587167242597605</v>
      </c>
      <c r="Q531" t="str">
        <v>Class A</v>
      </c>
    </row>
    <row r="532">
      <c r="C532" t="str">
        <v>P 1"x2,6</v>
      </c>
      <c r="E532" t="str">
        <v>SGJ</v>
      </c>
      <c r="H532">
        <v>6</v>
      </c>
      <c r="I532">
        <f>O532*H532</f>
        <v>12.059999999999999</v>
      </c>
      <c r="J532">
        <v>33.7</v>
      </c>
      <c r="K532">
        <v>2.6</v>
      </c>
      <c r="O532">
        <v>2.01</v>
      </c>
      <c r="P532">
        <f>PI()*J532*1/1000</f>
        <v>0.10587167242597605</v>
      </c>
      <c r="Q532" t="str">
        <v>Light</v>
      </c>
    </row>
    <row r="533">
      <c r="C533" t="str">
        <v>P 1"x3,38</v>
      </c>
      <c r="D533" t="str">
        <v>SWARNA BAJA</v>
      </c>
      <c r="H533">
        <v>6</v>
      </c>
      <c r="I533">
        <f>O533*H533</f>
        <v>15</v>
      </c>
      <c r="J533">
        <v>33.4</v>
      </c>
      <c r="K533">
        <v>3.38</v>
      </c>
      <c r="O533">
        <v>2.5</v>
      </c>
      <c r="P533">
        <f>PI()*J533*1/1000</f>
        <v>0.10492919462989908</v>
      </c>
    </row>
    <row r="534">
      <c r="C534" t="str">
        <v>P 1"x3,2</v>
      </c>
      <c r="E534" t="str">
        <v>SGJ</v>
      </c>
      <c r="H534">
        <v>6</v>
      </c>
      <c r="I534">
        <f>O534*H534</f>
        <v>14.64</v>
      </c>
      <c r="J534">
        <v>33.7</v>
      </c>
      <c r="K534">
        <v>3.2</v>
      </c>
      <c r="O534">
        <v>2.44</v>
      </c>
      <c r="P534">
        <f>PI()*J534*1/1000</f>
        <v>0.10587167242597605</v>
      </c>
      <c r="Q534" t="str">
        <v>Medium</v>
      </c>
    </row>
    <row r="535">
      <c r="C535" t="str">
        <v>P 1"x3,4</v>
      </c>
      <c r="E535" t="str">
        <v>SGJ</v>
      </c>
      <c r="H535">
        <v>6</v>
      </c>
      <c r="I535">
        <f>O535*H535</f>
        <v>15.419999999999998</v>
      </c>
      <c r="J535">
        <v>34</v>
      </c>
      <c r="K535">
        <v>3.4</v>
      </c>
      <c r="O535">
        <v>2.57</v>
      </c>
      <c r="P535">
        <f>PI()*J535*1/1000</f>
        <v>0.10681415022205297</v>
      </c>
      <c r="Q535" t="str">
        <v>Sc 40</v>
      </c>
    </row>
    <row r="536">
      <c r="C536" t="str">
        <v>P 1"x4,5</v>
      </c>
      <c r="E536" t="str">
        <v>SGJ</v>
      </c>
      <c r="H536">
        <v>6</v>
      </c>
      <c r="I536">
        <f>O536*H536</f>
        <v>19.62</v>
      </c>
      <c r="J536">
        <v>34</v>
      </c>
      <c r="K536">
        <v>4.5</v>
      </c>
      <c r="O536">
        <v>3.27</v>
      </c>
      <c r="P536">
        <f>PI()*J536*1/1000</f>
        <v>0.10681415022205297</v>
      </c>
      <c r="Q536" t="str">
        <v>Sc 80</v>
      </c>
    </row>
    <row r="537">
      <c r="C537" t="str">
        <v>P 1 1/8"x1,2</v>
      </c>
      <c r="E537" t="str">
        <v>SGJ</v>
      </c>
      <c r="H537">
        <v>6</v>
      </c>
      <c r="I537">
        <f>O537*H537</f>
        <v>4.8660000000000005</v>
      </c>
      <c r="J537">
        <v>28.6</v>
      </c>
      <c r="K537">
        <v>1.2</v>
      </c>
      <c r="O537">
        <v>0.811</v>
      </c>
      <c r="P537">
        <f>PI()*J537*1/1000</f>
        <v>0.08984954989266809</v>
      </c>
      <c r="Q537" t="str">
        <v>Conduit</v>
      </c>
    </row>
    <row r="538">
      <c r="C538" t="str">
        <v>P 1 1/4"x1,2</v>
      </c>
      <c r="E538" t="str">
        <v>SGJ</v>
      </c>
      <c r="H538">
        <v>6</v>
      </c>
      <c r="I538">
        <f>O538*H538</f>
        <v>5.436</v>
      </c>
      <c r="J538">
        <v>31.8</v>
      </c>
      <c r="K538">
        <v>1.2</v>
      </c>
      <c r="O538">
        <v>0.906</v>
      </c>
      <c r="P538">
        <f>PI()*J538*1/1000</f>
        <v>0.09990264638415541</v>
      </c>
      <c r="Q538" t="str">
        <v>Conduit</v>
      </c>
    </row>
    <row r="539">
      <c r="C539" t="str">
        <v>P 1 1/4"x2,3</v>
      </c>
      <c r="D539" t="str">
        <v>ALIM, SPINDO</v>
      </c>
      <c r="H539">
        <v>6</v>
      </c>
      <c r="I539">
        <f>O539*H539</f>
        <v>13.74</v>
      </c>
      <c r="J539">
        <v>42.7</v>
      </c>
      <c r="K539">
        <v>2.3</v>
      </c>
      <c r="O539">
        <v>2.29</v>
      </c>
      <c r="P539">
        <f>PI()*J539*1/1000</f>
        <v>0.13414600630828416</v>
      </c>
    </row>
    <row r="540">
      <c r="C540" t="str">
        <v>P 1 1/4"x2,45</v>
      </c>
      <c r="E540" t="str">
        <v>SGJ</v>
      </c>
      <c r="H540">
        <v>6</v>
      </c>
      <c r="I540">
        <f>O540*H540</f>
        <v>14.399999999999999</v>
      </c>
      <c r="J540">
        <v>42.4</v>
      </c>
      <c r="K540">
        <v>2.45</v>
      </c>
      <c r="O540">
        <v>2.4</v>
      </c>
      <c r="P540">
        <f>PI()*J540*1/1000</f>
        <v>0.1332035285122072</v>
      </c>
      <c r="Q540" t="str">
        <v>Class A</v>
      </c>
    </row>
    <row r="541">
      <c r="C541" t="str">
        <v>P 1 1/4"x2,6</v>
      </c>
      <c r="E541" t="str">
        <v>SGJ</v>
      </c>
      <c r="H541">
        <v>6</v>
      </c>
      <c r="I541">
        <f>O541*H541</f>
        <v>15.419999999999998</v>
      </c>
      <c r="J541">
        <v>42.4</v>
      </c>
      <c r="K541">
        <v>2.6</v>
      </c>
      <c r="O541">
        <v>2.57</v>
      </c>
      <c r="P541">
        <f>PI()*J541*1/1000</f>
        <v>0.1332035285122072</v>
      </c>
      <c r="Q541" t="str">
        <v>Light</v>
      </c>
    </row>
    <row r="542">
      <c r="C542" t="str">
        <v>P 1 1/4"x2,8</v>
      </c>
      <c r="D542" t="str">
        <v>ALIM, SPINDO</v>
      </c>
      <c r="H542">
        <v>6</v>
      </c>
      <c r="I542">
        <f>O542*H542</f>
        <v>16.56</v>
      </c>
      <c r="J542">
        <v>42.7</v>
      </c>
      <c r="K542">
        <v>2.8</v>
      </c>
      <c r="O542">
        <v>2.76</v>
      </c>
      <c r="P542">
        <f>PI()*J542*1/1000</f>
        <v>0.13414600630828416</v>
      </c>
    </row>
    <row r="543">
      <c r="C543" t="str">
        <v>P 1 1/4"x3,3</v>
      </c>
      <c r="E543" t="str">
        <v>SGJ</v>
      </c>
      <c r="H543">
        <v>6</v>
      </c>
      <c r="I543">
        <f>O543*H543</f>
        <v>18.84</v>
      </c>
      <c r="J543">
        <v>42.4</v>
      </c>
      <c r="K543">
        <v>3.2</v>
      </c>
      <c r="O543">
        <v>3.14</v>
      </c>
      <c r="P543">
        <f>PI()*J543*1/1000</f>
        <v>0.1332035285122072</v>
      </c>
      <c r="Q543" t="str">
        <v>Medium</v>
      </c>
    </row>
    <row r="544">
      <c r="C544" t="str">
        <v>P 1 1/4"x3,56</v>
      </c>
      <c r="D544" t="str">
        <v>SWARNA BAJA</v>
      </c>
      <c r="H544">
        <v>6</v>
      </c>
      <c r="I544">
        <f>O544*H544</f>
        <v>20.34</v>
      </c>
      <c r="J544">
        <v>42.2</v>
      </c>
      <c r="K544">
        <v>3.56</v>
      </c>
      <c r="O544">
        <v>3.39</v>
      </c>
      <c r="P544">
        <f>PI()*J544*1/1000</f>
        <v>0.13257520998148928</v>
      </c>
    </row>
    <row r="545">
      <c r="C545" t="str">
        <v>P 1 1/4"x3,6</v>
      </c>
      <c r="E545" t="str">
        <v>SGJ</v>
      </c>
      <c r="H545">
        <v>6</v>
      </c>
      <c r="I545">
        <f>O545*H545</f>
        <v>20.82</v>
      </c>
      <c r="J545">
        <v>42.7</v>
      </c>
      <c r="K545">
        <v>3.6</v>
      </c>
      <c r="O545">
        <v>3.47</v>
      </c>
      <c r="P545">
        <f>PI()*J545*1/1000</f>
        <v>0.13414600630828416</v>
      </c>
      <c r="Q545" t="str">
        <v>Sc 40</v>
      </c>
    </row>
    <row r="546">
      <c r="C546" t="str">
        <v>P 1 1/4"x4,9</v>
      </c>
      <c r="E546" t="str">
        <v>SGJ</v>
      </c>
      <c r="H546">
        <v>6</v>
      </c>
      <c r="I546">
        <f>O546*H546</f>
        <v>27.42</v>
      </c>
      <c r="J546">
        <v>42.7</v>
      </c>
      <c r="K546">
        <v>4.9</v>
      </c>
      <c r="O546">
        <v>4.57</v>
      </c>
      <c r="P546">
        <f>PI()*J546*1/1000</f>
        <v>0.13414600630828416</v>
      </c>
      <c r="Q546" t="str">
        <v>Sc 80</v>
      </c>
    </row>
    <row r="547">
      <c r="C547" t="str">
        <v>P 1 3/8"x1,2</v>
      </c>
      <c r="E547" t="str">
        <v>SGJ</v>
      </c>
      <c r="H547">
        <v>6</v>
      </c>
      <c r="I547">
        <f>O547*H547</f>
        <v>5.43</v>
      </c>
      <c r="J547">
        <v>35</v>
      </c>
      <c r="K547">
        <v>1.2</v>
      </c>
      <c r="O547">
        <v>0.905</v>
      </c>
      <c r="P547">
        <f>PI()*J547*1/1000</f>
        <v>0.10995574287564276</v>
      </c>
      <c r="Q547" t="str">
        <v>Conduit</v>
      </c>
    </row>
    <row r="548">
      <c r="C548" t="str">
        <v>P 1 3/8"x1,4</v>
      </c>
      <c r="E548" t="str">
        <v>SGJ</v>
      </c>
      <c r="H548">
        <v>6</v>
      </c>
      <c r="I548">
        <f>O548*H548</f>
        <v>6.888</v>
      </c>
      <c r="J548">
        <v>35</v>
      </c>
      <c r="K548">
        <v>1.4</v>
      </c>
      <c r="O548">
        <v>1.148</v>
      </c>
      <c r="P548">
        <f>PI()*J548*1/1000</f>
        <v>0.10995574287564276</v>
      </c>
      <c r="Q548" t="str">
        <v>Conduit</v>
      </c>
    </row>
    <row r="549">
      <c r="C549" t="str">
        <v>P 1 1/2"x1,2</v>
      </c>
      <c r="E549" t="str">
        <v>SGJ</v>
      </c>
      <c r="H549">
        <v>6</v>
      </c>
      <c r="I549">
        <f>O549*H549</f>
        <v>6.5520000000000005</v>
      </c>
      <c r="J549">
        <v>38.1</v>
      </c>
      <c r="K549">
        <v>1.2</v>
      </c>
      <c r="O549">
        <v>1.092</v>
      </c>
      <c r="P549">
        <f>PI()*J549*1/1000</f>
        <v>0.11969468010177113</v>
      </c>
      <c r="Q549" t="str">
        <v>Conduit</v>
      </c>
    </row>
    <row r="550">
      <c r="C550" t="str">
        <v>P 1 1/2"x2,3</v>
      </c>
      <c r="D550" t="str">
        <v>SPINDO</v>
      </c>
      <c r="H550">
        <v>6</v>
      </c>
      <c r="I550">
        <f>O550*H550</f>
        <v>15.78</v>
      </c>
      <c r="J550">
        <v>42.7</v>
      </c>
      <c r="K550">
        <v>2.3</v>
      </c>
      <c r="O550">
        <v>2.63</v>
      </c>
      <c r="P550">
        <f>PI()*J550*1/1000</f>
        <v>0.13414600630828416</v>
      </c>
    </row>
    <row r="551">
      <c r="C551" t="str">
        <v>P 1 1/2"x2,6</v>
      </c>
      <c r="E551" t="str">
        <v>SGJ</v>
      </c>
      <c r="H551">
        <v>6</v>
      </c>
      <c r="I551">
        <f>O551*H551</f>
        <v>17.52</v>
      </c>
      <c r="J551">
        <v>48.3</v>
      </c>
      <c r="K551">
        <v>2.6</v>
      </c>
      <c r="O551">
        <v>2.92</v>
      </c>
      <c r="P551">
        <f>PI()*J551*1/1000</f>
        <v>0.151738925168387</v>
      </c>
      <c r="Q551" t="str">
        <v>Class A</v>
      </c>
    </row>
    <row r="552">
      <c r="C552" t="str">
        <v>P 1 1/2"x2,8</v>
      </c>
      <c r="D552" t="str">
        <v>ALIM, SPINDO</v>
      </c>
      <c r="H552">
        <v>6</v>
      </c>
      <c r="I552">
        <f>O552*H552</f>
        <v>18.96</v>
      </c>
      <c r="J552">
        <v>48.6</v>
      </c>
      <c r="K552">
        <v>2.8</v>
      </c>
      <c r="O552">
        <v>3.16</v>
      </c>
      <c r="P552">
        <f>PI()*J552*1/1000</f>
        <v>0.15268140296446395</v>
      </c>
    </row>
    <row r="553">
      <c r="C553" t="str">
        <v>P 1 1/2"x2,9</v>
      </c>
      <c r="E553" t="str">
        <v>SGJ</v>
      </c>
      <c r="H553">
        <v>6</v>
      </c>
      <c r="I553">
        <f>O553*H553</f>
        <v>19.56</v>
      </c>
      <c r="J553">
        <v>48.3</v>
      </c>
      <c r="K553">
        <v>2.9</v>
      </c>
      <c r="O553">
        <v>3.26</v>
      </c>
      <c r="P553">
        <f>PI()*J553*1/1000</f>
        <v>0.151738925168387</v>
      </c>
      <c r="Q553" t="str">
        <v>Light</v>
      </c>
    </row>
    <row r="554">
      <c r="C554" t="str">
        <v>P 1 1/2"x3,2</v>
      </c>
      <c r="D554" t="str">
        <v>ALIM, SPINDO</v>
      </c>
      <c r="E554" t="str">
        <v>SGJ</v>
      </c>
      <c r="H554">
        <v>6</v>
      </c>
      <c r="I554">
        <f>O554*H554</f>
        <v>21.72</v>
      </c>
      <c r="J554">
        <v>48.3</v>
      </c>
      <c r="K554">
        <v>3.2</v>
      </c>
      <c r="O554">
        <v>3.62</v>
      </c>
      <c r="P554">
        <f>PI()*J554*1/1000</f>
        <v>0.151738925168387</v>
      </c>
      <c r="Q554" t="str">
        <v>Medium</v>
      </c>
    </row>
    <row r="555">
      <c r="C555" t="str">
        <v>P 1 1/2"x3,68</v>
      </c>
      <c r="D555" t="str">
        <v>SWARNA BAJA</v>
      </c>
      <c r="H555">
        <v>6</v>
      </c>
      <c r="I555">
        <f>O555*H555</f>
        <v>24.299999999999997</v>
      </c>
      <c r="J555">
        <v>48.3</v>
      </c>
      <c r="K555">
        <v>3.68</v>
      </c>
      <c r="O555">
        <v>4.05</v>
      </c>
      <c r="P555">
        <f>PI()*J555*1/1000</f>
        <v>0.151738925168387</v>
      </c>
    </row>
    <row r="556">
      <c r="C556" t="str">
        <v>P 1 1/2"x3,7</v>
      </c>
      <c r="E556" t="str">
        <v>SGJ</v>
      </c>
      <c r="H556">
        <v>6</v>
      </c>
      <c r="I556">
        <f>O556*H556</f>
        <v>24.599999999999998</v>
      </c>
      <c r="J556">
        <v>48.6</v>
      </c>
      <c r="K556">
        <v>3.7</v>
      </c>
      <c r="O556">
        <v>4.1</v>
      </c>
      <c r="P556">
        <f>PI()*J556*1/1000</f>
        <v>0.15268140296446395</v>
      </c>
      <c r="Q556" t="str">
        <v>Sc 40</v>
      </c>
    </row>
    <row r="557">
      <c r="C557" t="str">
        <v>P 1 1/2"x5,1</v>
      </c>
      <c r="E557" t="str">
        <v>SGJ</v>
      </c>
      <c r="H557">
        <v>6</v>
      </c>
      <c r="I557">
        <f>O557*H557</f>
        <v>32.82</v>
      </c>
      <c r="J557">
        <v>48.6</v>
      </c>
      <c r="K557">
        <v>5.1</v>
      </c>
      <c r="O557">
        <v>5.47</v>
      </c>
      <c r="P557">
        <f>PI()*J557*1/1000</f>
        <v>0.15268140296446395</v>
      </c>
      <c r="Q557" t="str">
        <v>Sc 80</v>
      </c>
    </row>
    <row r="558">
      <c r="C558" t="str">
        <v>P 1 5/8"x1,2</v>
      </c>
      <c r="E558" t="str">
        <v>SGJ</v>
      </c>
      <c r="H558">
        <v>6</v>
      </c>
      <c r="I558">
        <f>O558*H558</f>
        <v>7.116</v>
      </c>
      <c r="J558">
        <v>41.3</v>
      </c>
      <c r="K558">
        <v>1.2</v>
      </c>
      <c r="O558">
        <v>1.186</v>
      </c>
      <c r="P558">
        <f>PI()*J558*1/1000</f>
        <v>0.12974777659325842</v>
      </c>
      <c r="Q558" t="str">
        <v>Conduit</v>
      </c>
    </row>
    <row r="559">
      <c r="C559" t="str">
        <v>P 1 5/8"x1,4</v>
      </c>
      <c r="E559" t="str">
        <v>SGJ</v>
      </c>
      <c r="H559">
        <v>6</v>
      </c>
      <c r="I559">
        <f>O559*H559</f>
        <v>8.262</v>
      </c>
      <c r="J559">
        <v>41.3</v>
      </c>
      <c r="K559">
        <v>1.4</v>
      </c>
      <c r="O559">
        <v>1.377</v>
      </c>
      <c r="P559">
        <f>PI()*J559*1/1000</f>
        <v>0.12974777659325842</v>
      </c>
      <c r="Q559" t="str">
        <v>Conduit</v>
      </c>
    </row>
    <row r="560">
      <c r="C560" t="str">
        <v>P 1 3/4"x1,4</v>
      </c>
      <c r="E560" t="str">
        <v>SGJ</v>
      </c>
      <c r="H560">
        <v>6</v>
      </c>
      <c r="I560">
        <f>O560*H560</f>
        <v>8.922</v>
      </c>
      <c r="J560">
        <v>44.5</v>
      </c>
      <c r="K560">
        <v>1.4</v>
      </c>
      <c r="O560">
        <v>1.487</v>
      </c>
      <c r="P560">
        <f>PI()*J560*1/1000</f>
        <v>0.1398008730847458</v>
      </c>
      <c r="Q560" t="str">
        <v>Conduit</v>
      </c>
    </row>
    <row r="561">
      <c r="C561" t="str">
        <v>P 2"x1,4</v>
      </c>
      <c r="E561" t="str">
        <v>SGJ</v>
      </c>
      <c r="H561">
        <v>6</v>
      </c>
      <c r="I561">
        <f>O561*H561</f>
        <v>10.236</v>
      </c>
      <c r="J561">
        <v>50.8</v>
      </c>
      <c r="K561">
        <v>1.4</v>
      </c>
      <c r="O561">
        <v>1.706</v>
      </c>
      <c r="P561">
        <f>PI()*J561*1/1000</f>
        <v>0.1595929068023615</v>
      </c>
      <c r="Q561" t="str">
        <v>Conduit</v>
      </c>
    </row>
    <row r="562">
      <c r="C562" t="str">
        <v>P 2"x2,3</v>
      </c>
      <c r="D562" t="str">
        <v>SPINDO</v>
      </c>
      <c r="H562">
        <v>6</v>
      </c>
      <c r="I562">
        <f>O562*H562</f>
        <v>19.799999999999997</v>
      </c>
      <c r="J562">
        <v>60.5</v>
      </c>
      <c r="K562">
        <v>2.3</v>
      </c>
      <c r="O562">
        <v>3.3</v>
      </c>
      <c r="P562">
        <f>PI()*J562*1/1000</f>
        <v>0.19006635554218249</v>
      </c>
    </row>
    <row r="563">
      <c r="C563" t="str">
        <v>P 2"x2,6</v>
      </c>
      <c r="E563" t="str">
        <v>SGJ</v>
      </c>
      <c r="H563">
        <v>6</v>
      </c>
      <c r="I563">
        <f>O563*H563</f>
        <v>22.02</v>
      </c>
      <c r="J563">
        <v>60.2</v>
      </c>
      <c r="K563">
        <v>2.6</v>
      </c>
      <c r="O563">
        <v>3.67</v>
      </c>
      <c r="P563">
        <f>PI()*J563*1/1000</f>
        <v>0.18912387774610556</v>
      </c>
      <c r="Q563" t="str">
        <v>Class A</v>
      </c>
    </row>
    <row r="564">
      <c r="C564" t="str">
        <v>P 2"x2,8</v>
      </c>
      <c r="D564" t="str">
        <v>ALIM</v>
      </c>
      <c r="H564">
        <v>6</v>
      </c>
      <c r="I564">
        <f>O564*H564</f>
        <v>23.88</v>
      </c>
      <c r="J564">
        <v>60.5</v>
      </c>
      <c r="K564">
        <v>2.8</v>
      </c>
      <c r="O564">
        <v>3.98</v>
      </c>
      <c r="P564">
        <f>PI()*J564*1/1000</f>
        <v>0.19006635554218249</v>
      </c>
    </row>
    <row r="565">
      <c r="C565" t="str">
        <v>P 2"x2,9</v>
      </c>
      <c r="E565" t="str">
        <v>SGJ</v>
      </c>
      <c r="H565">
        <v>6</v>
      </c>
      <c r="I565">
        <f>O565*H565</f>
        <v>24.660000000000004</v>
      </c>
      <c r="J565">
        <v>60.2</v>
      </c>
      <c r="K565">
        <v>2.9</v>
      </c>
      <c r="O565">
        <v>4.11</v>
      </c>
      <c r="P565">
        <f>PI()*J565*1/1000</f>
        <v>0.18912387774610556</v>
      </c>
      <c r="Q565" t="str">
        <v>Light</v>
      </c>
    </row>
    <row r="566">
      <c r="C566" t="str">
        <v>P 2"x3,2</v>
      </c>
      <c r="D566" t="str">
        <v>ALIM, SPINDO</v>
      </c>
      <c r="H566">
        <v>6</v>
      </c>
      <c r="I566">
        <f>O566*H566</f>
        <v>27.119999999999997</v>
      </c>
      <c r="J566">
        <v>60.5</v>
      </c>
      <c r="K566">
        <v>3.2</v>
      </c>
      <c r="O566">
        <v>4.52</v>
      </c>
      <c r="P566">
        <f>PI()*J566*1/1000</f>
        <v>0.19006635554218249</v>
      </c>
    </row>
    <row r="567">
      <c r="C567" t="str">
        <v>P 2"x3,6</v>
      </c>
      <c r="E567" t="str">
        <v>SGJ</v>
      </c>
      <c r="H567">
        <v>6</v>
      </c>
      <c r="I567">
        <f>O567*H567</f>
        <v>30.54</v>
      </c>
      <c r="J567">
        <v>60.2</v>
      </c>
      <c r="K567">
        <v>3.6</v>
      </c>
      <c r="O567">
        <v>5.09</v>
      </c>
      <c r="P567">
        <f>PI()*J567*1/1000</f>
        <v>0.18912387774610556</v>
      </c>
      <c r="Q567" t="str">
        <v>Medium</v>
      </c>
    </row>
    <row r="568">
      <c r="C568" t="str">
        <v>P 2"x3,9</v>
      </c>
      <c r="E568" t="str">
        <v>SGJ</v>
      </c>
      <c r="H568">
        <v>6</v>
      </c>
      <c r="I568">
        <f>O568*H568</f>
        <v>32.64</v>
      </c>
      <c r="J568">
        <v>60.5</v>
      </c>
      <c r="K568">
        <v>3.9</v>
      </c>
      <c r="O568">
        <v>5.44</v>
      </c>
      <c r="P568">
        <f>PI()*J568*1/1000</f>
        <v>0.19006635554218249</v>
      </c>
      <c r="Q568" t="str">
        <v>Sc 40</v>
      </c>
    </row>
    <row r="569">
      <c r="C569" t="str">
        <v>P 2"x3,91</v>
      </c>
      <c r="D569" t="str">
        <v>SWARNA BAJA</v>
      </c>
      <c r="H569">
        <v>6</v>
      </c>
      <c r="I569">
        <f>O569*H569</f>
        <v>32.64</v>
      </c>
      <c r="J569">
        <v>60.3</v>
      </c>
      <c r="K569">
        <v>3.91</v>
      </c>
      <c r="O569">
        <v>5.44</v>
      </c>
      <c r="P569">
        <f>PI()*J569*1/1000</f>
        <v>0.1894380370114645</v>
      </c>
    </row>
    <row r="570">
      <c r="C570" t="str">
        <v>P 2"x4</v>
      </c>
      <c r="D570" t="str">
        <v>SPINDO</v>
      </c>
      <c r="H570">
        <v>6</v>
      </c>
      <c r="I570">
        <f>O570*H570</f>
        <v>33.42</v>
      </c>
      <c r="J570">
        <v>60.5</v>
      </c>
      <c r="K570">
        <v>4</v>
      </c>
      <c r="O570">
        <v>5.57</v>
      </c>
      <c r="P570">
        <f>PI()*J570*1/1000</f>
        <v>0.19006635554218249</v>
      </c>
    </row>
    <row r="571">
      <c r="C571" t="str">
        <v>P 2"x5,5</v>
      </c>
      <c r="E571" t="str">
        <v>SGJ</v>
      </c>
      <c r="H571">
        <v>6</v>
      </c>
      <c r="I571">
        <f>O571*H571</f>
        <v>44.76</v>
      </c>
      <c r="J571">
        <v>60.5</v>
      </c>
      <c r="K571">
        <v>5.5</v>
      </c>
      <c r="O571">
        <v>7.46</v>
      </c>
      <c r="P571">
        <f>PI()*J571*1/1000</f>
        <v>0.19006635554218249</v>
      </c>
      <c r="Q571" t="str">
        <v>Sc 80</v>
      </c>
    </row>
    <row r="572">
      <c r="C572" t="str">
        <v>P 2 1/4"x1,4</v>
      </c>
      <c r="E572" t="str">
        <v>SGJ</v>
      </c>
      <c r="H572">
        <v>6</v>
      </c>
      <c r="I572">
        <f>O572*H572</f>
        <v>11.556</v>
      </c>
      <c r="J572">
        <v>57.2</v>
      </c>
      <c r="K572">
        <v>1.4</v>
      </c>
      <c r="O572">
        <v>1.926</v>
      </c>
      <c r="P572">
        <f>PI()*J572*1/1000</f>
        <v>0.17969909978533619</v>
      </c>
      <c r="Q572" t="str">
        <v>Conduit</v>
      </c>
    </row>
    <row r="573">
      <c r="C573" t="str">
        <v>P 2 1/2"x2,8</v>
      </c>
      <c r="D573" t="str">
        <v>ALIM, SPINDO</v>
      </c>
      <c r="E573" t="str">
        <v>SGJ</v>
      </c>
      <c r="H573">
        <v>6</v>
      </c>
      <c r="I573">
        <f>O573*H573</f>
        <v>30.48</v>
      </c>
      <c r="J573">
        <v>76.3</v>
      </c>
      <c r="K573">
        <v>2.8</v>
      </c>
      <c r="O573">
        <v>5.08</v>
      </c>
      <c r="P573">
        <f>PI()*J573*1/1000</f>
        <v>0.2397035194689012</v>
      </c>
      <c r="Q573" t="str">
        <v>Stk 41</v>
      </c>
    </row>
    <row r="574">
      <c r="C574" t="str">
        <v>P 2 1/2"x3</v>
      </c>
      <c r="E574" t="str">
        <v>SGJ</v>
      </c>
      <c r="H574">
        <v>6</v>
      </c>
      <c r="I574">
        <f>O574*H574</f>
        <v>32.22</v>
      </c>
      <c r="J574">
        <v>76</v>
      </c>
      <c r="K574">
        <v>3</v>
      </c>
      <c r="O574">
        <v>5.37</v>
      </c>
      <c r="P574">
        <f>PI()*J574*1/1000</f>
        <v>0.23876104167282428</v>
      </c>
      <c r="Q574" t="str">
        <v>Class A</v>
      </c>
    </row>
    <row r="575">
      <c r="C575" t="str">
        <v>P 2 1/2"x3,2</v>
      </c>
      <c r="D575" t="str">
        <v>ALIM, SPINDO</v>
      </c>
      <c r="E575" t="str">
        <v>SGJ</v>
      </c>
      <c r="H575">
        <v>6</v>
      </c>
      <c r="I575">
        <f>O575*H575</f>
        <v>34.8</v>
      </c>
      <c r="J575">
        <v>76.3</v>
      </c>
      <c r="K575">
        <v>3.2</v>
      </c>
      <c r="O575">
        <v>5.8</v>
      </c>
      <c r="P575">
        <f>PI()*J575*1/1000</f>
        <v>0.2397035194689012</v>
      </c>
      <c r="Q575" t="str">
        <v>Stk 41 - Light</v>
      </c>
    </row>
    <row r="576">
      <c r="C576" t="str">
        <v>P 2 1/2"x3,6</v>
      </c>
      <c r="E576" t="str">
        <v>SGJ</v>
      </c>
      <c r="H576">
        <v>6</v>
      </c>
      <c r="I576">
        <f>O576*H576</f>
        <v>39.12</v>
      </c>
      <c r="J576">
        <v>76</v>
      </c>
      <c r="K576">
        <v>3.6</v>
      </c>
      <c r="O576">
        <v>6.52</v>
      </c>
      <c r="P576">
        <f>PI()*J576*1/1000</f>
        <v>0.23876104167282428</v>
      </c>
      <c r="Q576" t="str">
        <v>Medium</v>
      </c>
    </row>
    <row r="577">
      <c r="C577" t="str">
        <v>P 2 1/2"x4</v>
      </c>
      <c r="D577" t="str">
        <v>SPINDO</v>
      </c>
      <c r="H577">
        <v>6</v>
      </c>
      <c r="I577">
        <f>O577*H577</f>
        <v>42.78</v>
      </c>
      <c r="J577">
        <v>76.3</v>
      </c>
      <c r="K577">
        <v>4</v>
      </c>
      <c r="O577">
        <v>7.13</v>
      </c>
      <c r="P577">
        <f>PI()*J577*1/1000</f>
        <v>0.2397035194689012</v>
      </c>
    </row>
    <row r="578">
      <c r="C578" t="str">
        <v>P 2 1/2"x5,16</v>
      </c>
      <c r="D578" t="str">
        <v>SWARNA BAJA</v>
      </c>
      <c r="H578">
        <v>6</v>
      </c>
      <c r="I578">
        <f>O578*H578</f>
        <v>51.78</v>
      </c>
      <c r="J578">
        <v>73</v>
      </c>
      <c r="K578">
        <v>5.16</v>
      </c>
      <c r="O578">
        <v>8.63</v>
      </c>
      <c r="P578">
        <f>PI()*J578*1/1000</f>
        <v>0.2293362637120549</v>
      </c>
    </row>
    <row r="579">
      <c r="C579" t="str">
        <v>P 2 1/2"x5,2</v>
      </c>
      <c r="E579" t="str">
        <v>SGJ</v>
      </c>
      <c r="H579">
        <v>6</v>
      </c>
      <c r="I579">
        <f>O579*H579</f>
        <v>54.72</v>
      </c>
      <c r="J579">
        <v>76.3</v>
      </c>
      <c r="K579">
        <v>5.2</v>
      </c>
      <c r="O579">
        <v>9.12</v>
      </c>
      <c r="P579">
        <f>PI()*J579*1/1000</f>
        <v>0.2397035194689012</v>
      </c>
      <c r="Q579" t="str">
        <v>Sc 40</v>
      </c>
    </row>
    <row r="580">
      <c r="C580" t="str">
        <v>P 2 1/2"x7</v>
      </c>
      <c r="E580" t="str">
        <v>SGJ</v>
      </c>
      <c r="H580">
        <v>6</v>
      </c>
      <c r="I580">
        <f>O580*H580</f>
        <v>72</v>
      </c>
      <c r="J580">
        <v>76.3</v>
      </c>
      <c r="K580">
        <v>7</v>
      </c>
      <c r="O580">
        <v>12</v>
      </c>
      <c r="P580">
        <f>PI()*J580*1/1000</f>
        <v>0.2397035194689012</v>
      </c>
      <c r="Q580" t="str">
        <v>Sc 80</v>
      </c>
    </row>
    <row r="581">
      <c r="C581" t="str">
        <v>P 3"x2,8</v>
      </c>
      <c r="D581" t="str">
        <v>SPINDO</v>
      </c>
      <c r="H581">
        <v>6</v>
      </c>
      <c r="I581">
        <f>O581*H581</f>
        <v>35.76</v>
      </c>
      <c r="J581">
        <v>89.1</v>
      </c>
      <c r="K581">
        <v>2.8</v>
      </c>
      <c r="O581">
        <v>5.96</v>
      </c>
      <c r="P581">
        <f>PI()*J581*1/1000</f>
        <v>0.27991590543485056</v>
      </c>
    </row>
    <row r="582">
      <c r="C582" t="str">
        <v>P 3"x3</v>
      </c>
      <c r="E582" t="str">
        <v>SGJ</v>
      </c>
      <c r="H582">
        <v>6</v>
      </c>
      <c r="I582">
        <f>O582*H582</f>
        <v>37.86</v>
      </c>
      <c r="J582">
        <v>88.7</v>
      </c>
      <c r="K582">
        <v>3</v>
      </c>
      <c r="O582">
        <v>6.31</v>
      </c>
      <c r="P582">
        <f>PI()*J582*1/1000</f>
        <v>0.27865926837341465</v>
      </c>
      <c r="Q582" t="str">
        <v>Class A</v>
      </c>
    </row>
    <row r="583">
      <c r="C583" t="str">
        <v>P 3"x3,18</v>
      </c>
      <c r="D583" t="str">
        <v>SWARNA BAJA</v>
      </c>
      <c r="H583">
        <v>6</v>
      </c>
      <c r="I583">
        <f>O583*H583</f>
        <v>40.32</v>
      </c>
      <c r="J583">
        <v>88.9</v>
      </c>
      <c r="K583">
        <v>3.18</v>
      </c>
      <c r="O583">
        <v>6.72</v>
      </c>
      <c r="P583">
        <f>PI()*J583*1/1000</f>
        <v>0.27928758690413263</v>
      </c>
    </row>
    <row r="584">
      <c r="C584" t="str">
        <v>P 3"x3,2</v>
      </c>
      <c r="D584" t="str">
        <v>ALIM, SPINDO</v>
      </c>
      <c r="E584" t="str">
        <v>SGJ</v>
      </c>
      <c r="H584">
        <v>6</v>
      </c>
      <c r="I584">
        <f>O584*H584</f>
        <v>40.92</v>
      </c>
      <c r="J584">
        <v>89.1</v>
      </c>
      <c r="K584">
        <v>3.2</v>
      </c>
      <c r="O584">
        <v>6.82</v>
      </c>
      <c r="P584">
        <f>PI()*J584*1/1000</f>
        <v>0.27991590543485056</v>
      </c>
      <c r="Q584" t="str">
        <v>Stk 41 - Light</v>
      </c>
    </row>
    <row r="585">
      <c r="C585" t="str">
        <v>P 3"x3,96</v>
      </c>
      <c r="D585" t="str">
        <v>SWARNA BAJA</v>
      </c>
      <c r="H585">
        <v>6</v>
      </c>
      <c r="I585">
        <f>O585*H585</f>
        <v>49.739999999999995</v>
      </c>
      <c r="J585">
        <v>88.9</v>
      </c>
      <c r="K585">
        <v>3.96</v>
      </c>
      <c r="O585">
        <v>8.29</v>
      </c>
      <c r="P585">
        <f>PI()*J585*1/1000</f>
        <v>0.27928758690413263</v>
      </c>
    </row>
    <row r="586">
      <c r="C586" t="str">
        <v>P 3"x4</v>
      </c>
      <c r="D586" t="str">
        <v>ALIM, SPINDO</v>
      </c>
      <c r="E586" t="str">
        <v>SGJ</v>
      </c>
      <c r="H586">
        <v>6</v>
      </c>
      <c r="I586">
        <f>O586*H586</f>
        <v>50.82000000000001</v>
      </c>
      <c r="J586">
        <v>88.7</v>
      </c>
      <c r="K586">
        <v>4</v>
      </c>
      <c r="O586">
        <v>8.47</v>
      </c>
      <c r="P586">
        <f>PI()*J586*1/1000</f>
        <v>0.27865926837341465</v>
      </c>
      <c r="Q586" t="str">
        <v>Medium</v>
      </c>
    </row>
    <row r="587">
      <c r="C587" t="str">
        <v>P 3"x4 Roll</v>
      </c>
      <c r="D587" t="str">
        <v>ALIM, SPINDO</v>
      </c>
      <c r="E587" t="str">
        <v>SGJ</v>
      </c>
      <c r="H587">
        <v>6</v>
      </c>
      <c r="I587">
        <f>O587*H587</f>
        <v>50.82000000000001</v>
      </c>
      <c r="J587">
        <v>88.7</v>
      </c>
      <c r="K587">
        <v>4</v>
      </c>
      <c r="O587">
        <v>8.47</v>
      </c>
      <c r="P587">
        <f>PI()*J587*1/1000</f>
        <v>0.27865926837341465</v>
      </c>
      <c r="Q587" t="str">
        <v>Medium</v>
      </c>
    </row>
    <row r="588">
      <c r="C588" t="str">
        <v>P 3"x4,78</v>
      </c>
      <c r="D588" t="str">
        <v>SWARNA BAJA</v>
      </c>
      <c r="H588">
        <v>6</v>
      </c>
      <c r="I588">
        <f>O588*H588</f>
        <v>59.519999999999996</v>
      </c>
      <c r="J588">
        <v>88.9</v>
      </c>
      <c r="K588">
        <v>4.78</v>
      </c>
      <c r="O588">
        <v>9.92</v>
      </c>
      <c r="P588">
        <f>PI()*J588*1/1000</f>
        <v>0.27928758690413263</v>
      </c>
    </row>
    <row r="589">
      <c r="C589" t="str">
        <v>P 3"x5,49</v>
      </c>
      <c r="D589" t="str">
        <v>SWARNA BAJA</v>
      </c>
      <c r="H589">
        <v>6</v>
      </c>
      <c r="I589">
        <f>O589*H589</f>
        <v>67.74</v>
      </c>
      <c r="J589">
        <v>88.9</v>
      </c>
      <c r="K589">
        <v>5.49</v>
      </c>
      <c r="O589">
        <v>11.29</v>
      </c>
      <c r="P589">
        <f>PI()*J589*1/1000</f>
        <v>0.27928758690413263</v>
      </c>
    </row>
    <row r="590">
      <c r="C590" t="str">
        <v>P 3"x5,5</v>
      </c>
      <c r="E590" t="str">
        <v>SGJ</v>
      </c>
      <c r="H590">
        <v>6</v>
      </c>
      <c r="I590">
        <f>O590*H590</f>
        <v>67.80000000000001</v>
      </c>
      <c r="J590">
        <v>89.1</v>
      </c>
      <c r="K590">
        <v>5.5</v>
      </c>
      <c r="O590">
        <v>11.3</v>
      </c>
      <c r="P590">
        <f>PI()*J590*1/1000</f>
        <v>0.27991590543485056</v>
      </c>
      <c r="Q590" t="str">
        <v>Sc 40</v>
      </c>
    </row>
    <row r="591">
      <c r="C591" t="str">
        <v>P 3"x7,6</v>
      </c>
      <c r="E591" t="str">
        <v>SGJ</v>
      </c>
      <c r="H591">
        <v>6</v>
      </c>
      <c r="I591">
        <f>O591*H591</f>
        <v>91.80000000000001</v>
      </c>
      <c r="J591">
        <v>89.1</v>
      </c>
      <c r="K591">
        <v>7.6</v>
      </c>
      <c r="O591">
        <v>15.3</v>
      </c>
      <c r="P591">
        <f>PI()*J591*1/1000</f>
        <v>0.27991590543485056</v>
      </c>
      <c r="Q591" t="str">
        <v>Sc 80</v>
      </c>
    </row>
    <row r="592">
      <c r="C592" t="str">
        <v>P 4"x3,18</v>
      </c>
      <c r="D592" t="str">
        <v>SWARNA BAJA</v>
      </c>
      <c r="H592">
        <v>6</v>
      </c>
      <c r="I592">
        <f>O592*H592</f>
        <v>52.260000000000005</v>
      </c>
      <c r="J592">
        <v>114.3</v>
      </c>
      <c r="K592">
        <v>3.18</v>
      </c>
      <c r="O592">
        <v>8.71</v>
      </c>
      <c r="P592">
        <f>PI()*J592*1/1000</f>
        <v>0.3590840403053134</v>
      </c>
    </row>
    <row r="593">
      <c r="C593" t="str">
        <v>P 4"x3,2</v>
      </c>
      <c r="D593" t="str">
        <v>SPINDO</v>
      </c>
      <c r="H593">
        <v>6</v>
      </c>
      <c r="I593">
        <f>O593*H593</f>
        <v>52.62</v>
      </c>
      <c r="J593">
        <v>114.3</v>
      </c>
      <c r="K593">
        <v>3.2</v>
      </c>
      <c r="O593">
        <v>8.77</v>
      </c>
      <c r="P593">
        <f>PI()*J593*1/1000</f>
        <v>0.3590840403053134</v>
      </c>
    </row>
    <row r="594">
      <c r="C594" t="str">
        <v>P 4"x3,25</v>
      </c>
      <c r="E594" t="str">
        <v>SGJ</v>
      </c>
      <c r="H594">
        <v>6</v>
      </c>
      <c r="I594">
        <f>O594*H594</f>
        <v>52.980000000000004</v>
      </c>
      <c r="J594">
        <v>113.9</v>
      </c>
      <c r="K594">
        <v>3.25</v>
      </c>
      <c r="O594">
        <v>8.83</v>
      </c>
      <c r="P594">
        <f>PI()*J594*1/1000</f>
        <v>0.3578274032438774</v>
      </c>
      <c r="Q594" t="str">
        <v>Class A</v>
      </c>
    </row>
    <row r="595">
      <c r="C595" t="str">
        <v>P 4"x3,5</v>
      </c>
      <c r="D595" t="str">
        <v>ALIM, SPINDO</v>
      </c>
      <c r="E595" t="str">
        <v>SGJ</v>
      </c>
      <c r="H595">
        <v>6</v>
      </c>
      <c r="I595">
        <f>O595*H595</f>
        <v>57.36</v>
      </c>
      <c r="J595">
        <v>114.3</v>
      </c>
      <c r="K595">
        <v>3.5</v>
      </c>
      <c r="O595">
        <v>9.56</v>
      </c>
      <c r="P595">
        <f>PI()*J595*1/1000</f>
        <v>0.3590840403053134</v>
      </c>
      <c r="Q595" t="str">
        <v>Stk 41</v>
      </c>
    </row>
    <row r="596">
      <c r="C596" t="str">
        <v>P 4"x3,6</v>
      </c>
      <c r="E596" t="str">
        <v>SGJ</v>
      </c>
      <c r="H596">
        <v>6</v>
      </c>
      <c r="I596">
        <f>O596*H596</f>
        <v>59.28</v>
      </c>
      <c r="J596">
        <v>113.9</v>
      </c>
      <c r="K596">
        <v>3.6</v>
      </c>
      <c r="O596">
        <v>9.88</v>
      </c>
      <c r="P596">
        <f>PI()*J596*1/1000</f>
        <v>0.3578274032438774</v>
      </c>
      <c r="Q596" t="str">
        <v>Light</v>
      </c>
    </row>
    <row r="597">
      <c r="C597" t="str">
        <v>P 4"x3,96</v>
      </c>
      <c r="D597" t="str">
        <v>SWARNA BAJA</v>
      </c>
      <c r="H597">
        <v>6</v>
      </c>
      <c r="I597">
        <f>O597*H597</f>
        <v>64.67999999999999</v>
      </c>
      <c r="J597">
        <v>114.3</v>
      </c>
      <c r="K597">
        <v>3.96</v>
      </c>
      <c r="O597">
        <v>10.78</v>
      </c>
      <c r="P597">
        <f>PI()*J597*1/1000</f>
        <v>0.3590840403053134</v>
      </c>
    </row>
    <row r="598">
      <c r="C598" t="str">
        <v>P 4"x4,5</v>
      </c>
      <c r="D598" t="str">
        <v>ALIM, SPINDO</v>
      </c>
      <c r="E598" t="str">
        <v>SGJ</v>
      </c>
      <c r="H598">
        <v>6</v>
      </c>
      <c r="I598">
        <f>O598*H598</f>
        <v>73.19999999999999</v>
      </c>
      <c r="J598">
        <v>114.3</v>
      </c>
      <c r="K598">
        <v>4.5</v>
      </c>
      <c r="O598">
        <v>12.2</v>
      </c>
      <c r="P598">
        <f>PI()*J598*1/1000</f>
        <v>0.3590840403053134</v>
      </c>
      <c r="Q598" t="str">
        <v>Stk 41 - Medium</v>
      </c>
    </row>
    <row r="599">
      <c r="C599" t="str">
        <v>P 4"x4,78</v>
      </c>
      <c r="D599" t="str">
        <v>SWARNA BAJA</v>
      </c>
      <c r="H599">
        <v>6</v>
      </c>
      <c r="I599">
        <f>O599*H599</f>
        <v>77.46000000000001</v>
      </c>
      <c r="J599">
        <v>114.3</v>
      </c>
      <c r="K599">
        <v>4.78</v>
      </c>
      <c r="O599">
        <v>12.91</v>
      </c>
      <c r="P599">
        <f>PI()*J599*1/1000</f>
        <v>0.3590840403053134</v>
      </c>
    </row>
    <row r="600">
      <c r="C600" t="str">
        <v>P 4"x5,56</v>
      </c>
      <c r="D600" t="str">
        <v>SWARNA BAJA</v>
      </c>
      <c r="H600">
        <v>6</v>
      </c>
      <c r="I600">
        <f>O600*H600</f>
        <v>89.46000000000001</v>
      </c>
      <c r="J600">
        <v>114.3</v>
      </c>
      <c r="K600">
        <v>5.56</v>
      </c>
      <c r="O600">
        <v>14.91</v>
      </c>
      <c r="P600">
        <f>PI()*J600*1/1000</f>
        <v>0.3590840403053134</v>
      </c>
    </row>
    <row r="601">
      <c r="C601" t="str">
        <v>P 4"x5,6</v>
      </c>
      <c r="D601" t="str">
        <v>SPINDO</v>
      </c>
      <c r="H601">
        <v>6</v>
      </c>
      <c r="I601">
        <f>O601*H601</f>
        <v>90</v>
      </c>
      <c r="J601">
        <v>114.3</v>
      </c>
      <c r="K601">
        <v>5.6</v>
      </c>
      <c r="O601">
        <v>15</v>
      </c>
      <c r="P601">
        <f>PI()*J601*1/1000</f>
        <v>0.3590840403053134</v>
      </c>
    </row>
    <row r="602">
      <c r="C602" t="str">
        <v>P 4"x6</v>
      </c>
      <c r="E602" t="str">
        <v>SGJ</v>
      </c>
      <c r="H602">
        <v>6</v>
      </c>
      <c r="I602">
        <f>O602*H602</f>
        <v>96</v>
      </c>
      <c r="J602">
        <v>114.3</v>
      </c>
      <c r="K602">
        <v>6</v>
      </c>
      <c r="O602">
        <v>16</v>
      </c>
      <c r="P602">
        <f>PI()*J602*1/1000</f>
        <v>0.3590840403053134</v>
      </c>
      <c r="Q602" t="str">
        <v>Sc 40</v>
      </c>
    </row>
    <row r="603">
      <c r="C603" t="str">
        <v>P 4"x6,02</v>
      </c>
      <c r="D603" t="str">
        <v>SWARNA BAJA</v>
      </c>
      <c r="H603">
        <v>6</v>
      </c>
      <c r="I603">
        <f>O603*H603</f>
        <v>96.42</v>
      </c>
      <c r="J603">
        <v>114.3</v>
      </c>
      <c r="K603">
        <v>6.02</v>
      </c>
      <c r="O603">
        <v>16.07</v>
      </c>
      <c r="P603">
        <f>PI()*J603*1/1000</f>
        <v>0.3590840403053134</v>
      </c>
    </row>
    <row r="604">
      <c r="C604" t="str">
        <v>P 4"x8,6</v>
      </c>
      <c r="E604" t="str">
        <v>SGJ</v>
      </c>
      <c r="H604">
        <v>6</v>
      </c>
      <c r="I604">
        <f>O604*H604</f>
        <v>134.39999999999998</v>
      </c>
      <c r="J604">
        <v>114.3</v>
      </c>
      <c r="K604">
        <v>8.6</v>
      </c>
      <c r="O604">
        <v>22.4</v>
      </c>
      <c r="P604">
        <f>PI()*J604*1/1000</f>
        <v>0.3590840403053134</v>
      </c>
      <c r="Q604" t="str">
        <v>Sc 80</v>
      </c>
    </row>
    <row r="605">
      <c r="C605" t="str">
        <v>P 5"x3,6</v>
      </c>
      <c r="D605" t="str">
        <v>SPINDO</v>
      </c>
      <c r="E605" t="str">
        <v>SGJ</v>
      </c>
      <c r="H605">
        <v>6</v>
      </c>
      <c r="I605">
        <f>O605*H605</f>
        <v>73.02</v>
      </c>
      <c r="J605">
        <v>140.6</v>
      </c>
      <c r="K605">
        <v>3.6</v>
      </c>
      <c r="O605">
        <v>12.17</v>
      </c>
      <c r="P605">
        <f>PI()*J605*1/1000</f>
        <v>0.4417079270947249</v>
      </c>
      <c r="Q605" t="str">
        <v>Class A</v>
      </c>
    </row>
    <row r="606">
      <c r="C606" t="str">
        <v>P 5"x3,96</v>
      </c>
      <c r="D606" t="str">
        <v>SWARNA BAJA</v>
      </c>
      <c r="H606">
        <v>6</v>
      </c>
      <c r="I606">
        <f>O606*H606</f>
        <v>80.46000000000001</v>
      </c>
      <c r="J606">
        <v>141.3</v>
      </c>
      <c r="K606">
        <v>3.96</v>
      </c>
      <c r="O606">
        <v>13.41</v>
      </c>
      <c r="P606">
        <f>PI()*J606*1/1000</f>
        <v>0.44390704195223785</v>
      </c>
    </row>
    <row r="607">
      <c r="C607" t="str">
        <v>P 5"x4</v>
      </c>
      <c r="D607" t="str">
        <v>SPINDO</v>
      </c>
      <c r="H607">
        <v>6</v>
      </c>
      <c r="I607">
        <f>O607*H607</f>
        <v>80.4</v>
      </c>
      <c r="J607">
        <v>139.8</v>
      </c>
      <c r="K607">
        <v>4</v>
      </c>
      <c r="O607">
        <v>13.4</v>
      </c>
      <c r="P607">
        <f>PI()*J607*1/1000</f>
        <v>0.43919465297185306</v>
      </c>
    </row>
    <row r="608">
      <c r="C608" t="str">
        <v>P 5"x4,5</v>
      </c>
      <c r="D608" t="str">
        <v>ALIM, SPINDO</v>
      </c>
      <c r="E608" t="str">
        <v>SGJ</v>
      </c>
      <c r="H608">
        <v>6</v>
      </c>
      <c r="I608">
        <f>O608*H608</f>
        <v>90</v>
      </c>
      <c r="J608">
        <v>139.8</v>
      </c>
      <c r="K608">
        <v>4.5</v>
      </c>
      <c r="O608">
        <v>15</v>
      </c>
      <c r="P608">
        <f>PI()*J608*1/1000</f>
        <v>0.43919465297185306</v>
      </c>
      <c r="Q608" t="str">
        <v>Stk 41</v>
      </c>
    </row>
    <row r="609">
      <c r="C609" t="str">
        <v>P 5"x4,78</v>
      </c>
      <c r="D609" t="str">
        <v>SWARNA BAJA</v>
      </c>
      <c r="H609">
        <v>6</v>
      </c>
      <c r="I609">
        <f>O609*H609</f>
        <v>96.53999999999999</v>
      </c>
      <c r="J609">
        <v>141.3</v>
      </c>
      <c r="K609">
        <v>4.78</v>
      </c>
      <c r="O609">
        <v>16.09</v>
      </c>
      <c r="P609">
        <f>PI()*J609*1/1000</f>
        <v>0.44390704195223785</v>
      </c>
    </row>
    <row r="610">
      <c r="C610" t="str">
        <v>P 5"x4,8</v>
      </c>
      <c r="E610" t="str">
        <v>SGJ</v>
      </c>
      <c r="H610">
        <v>6</v>
      </c>
      <c r="I610">
        <f>O610*H610</f>
        <v>97.19999999999999</v>
      </c>
      <c r="J610">
        <v>140.6</v>
      </c>
      <c r="K610">
        <v>4.8</v>
      </c>
      <c r="O610">
        <v>16.2</v>
      </c>
      <c r="P610">
        <f>PI()*J610*1/1000</f>
        <v>0.4417079270947249</v>
      </c>
      <c r="Q610" t="str">
        <v>Medium</v>
      </c>
    </row>
    <row r="611">
      <c r="C611" t="str">
        <v>P 5"x5,56</v>
      </c>
      <c r="D611" t="str">
        <v>SWARNA BAJA</v>
      </c>
      <c r="H611">
        <v>6</v>
      </c>
      <c r="I611">
        <f>O611*H611</f>
        <v>111.66</v>
      </c>
      <c r="J611">
        <v>141.3</v>
      </c>
      <c r="K611">
        <v>5.56</v>
      </c>
      <c r="O611">
        <v>18.61</v>
      </c>
      <c r="P611">
        <f>PI()*J611*1/1000</f>
        <v>0.44390704195223785</v>
      </c>
    </row>
    <row r="612">
      <c r="C612" t="str">
        <v>P 5"x6</v>
      </c>
      <c r="D612" t="str">
        <v>ALIM, SPINDO</v>
      </c>
      <c r="H612">
        <v>6</v>
      </c>
      <c r="I612">
        <f>O612*H612</f>
        <v>118.80000000000001</v>
      </c>
      <c r="J612">
        <v>139.8</v>
      </c>
      <c r="K612">
        <v>6</v>
      </c>
      <c r="O612">
        <v>19.8</v>
      </c>
      <c r="P612">
        <f>PI()*J612*1/1000</f>
        <v>0.43919465297185306</v>
      </c>
    </row>
    <row r="613">
      <c r="C613" t="str">
        <v>P 5"x6,55</v>
      </c>
      <c r="D613" t="str">
        <v>SWARNA BAJA</v>
      </c>
      <c r="H613">
        <v>6</v>
      </c>
      <c r="I613">
        <f>O613*H613</f>
        <v>130.62</v>
      </c>
      <c r="J613">
        <v>141.3</v>
      </c>
      <c r="K613">
        <v>6.55</v>
      </c>
      <c r="O613">
        <v>21.77</v>
      </c>
      <c r="P613">
        <f>PI()*J613*1/1000</f>
        <v>0.44390704195223785</v>
      </c>
    </row>
    <row r="614">
      <c r="C614" t="str">
        <v>P 5"x6,6</v>
      </c>
      <c r="E614" t="str">
        <v>SGJ</v>
      </c>
      <c r="H614">
        <v>6</v>
      </c>
      <c r="I614">
        <f>O614*H614</f>
        <v>130.2</v>
      </c>
      <c r="J614">
        <v>139.8</v>
      </c>
      <c r="K614">
        <v>6.6</v>
      </c>
      <c r="O614">
        <v>21.7</v>
      </c>
      <c r="P614">
        <f>PI()*J614*1/1000</f>
        <v>0.43919465297185306</v>
      </c>
      <c r="Q614" t="str">
        <v>Sc 40</v>
      </c>
    </row>
    <row r="615">
      <c r="C615" t="str">
        <v>P 5"x9,5</v>
      </c>
      <c r="E615" t="str">
        <v>SGJ</v>
      </c>
      <c r="H615">
        <v>6</v>
      </c>
      <c r="I615">
        <f>O615*H615</f>
        <v>183</v>
      </c>
      <c r="J615">
        <v>139.8</v>
      </c>
      <c r="K615">
        <v>9.5</v>
      </c>
      <c r="O615">
        <v>30.5</v>
      </c>
      <c r="P615">
        <f>PI()*J615*1/1000</f>
        <v>0.43919465297185306</v>
      </c>
      <c r="Q615" t="str">
        <v>Sc 80</v>
      </c>
    </row>
    <row r="616">
      <c r="C616" t="str">
        <v>P 6"x3,6</v>
      </c>
      <c r="E616" t="str">
        <v>SGJ</v>
      </c>
      <c r="H616">
        <v>6</v>
      </c>
      <c r="I616">
        <f>O616*H616</f>
        <v>86.58</v>
      </c>
      <c r="J616">
        <v>166.1</v>
      </c>
      <c r="K616">
        <v>3.6</v>
      </c>
      <c r="O616">
        <v>14.43</v>
      </c>
      <c r="P616">
        <f>PI()*J616*1/1000</f>
        <v>0.5218185397612647</v>
      </c>
      <c r="Q616" t="str">
        <v>Class A</v>
      </c>
    </row>
    <row r="617">
      <c r="C617" t="str">
        <v>P 6"x4,5</v>
      </c>
      <c r="D617" t="str">
        <v>ALIM, SPINDO</v>
      </c>
      <c r="E617" t="str">
        <v>SGJ</v>
      </c>
      <c r="H617">
        <v>6</v>
      </c>
      <c r="I617">
        <f>O617*H617</f>
        <v>106.80000000000001</v>
      </c>
      <c r="J617">
        <v>165.2</v>
      </c>
      <c r="K617">
        <v>4.5</v>
      </c>
      <c r="O617">
        <v>17.8</v>
      </c>
      <c r="P617">
        <f>PI()*J617*1/1000</f>
        <v>0.5189911063730337</v>
      </c>
      <c r="Q617" t="str">
        <v>Stk 41</v>
      </c>
    </row>
    <row r="618">
      <c r="C618" t="str">
        <v>P 6"x4,78</v>
      </c>
      <c r="D618" t="str">
        <v>SWARNA BAJA</v>
      </c>
      <c r="H618">
        <v>6</v>
      </c>
      <c r="I618">
        <f>O618*H618</f>
        <v>115.62</v>
      </c>
      <c r="J618">
        <v>168.3</v>
      </c>
      <c r="K618">
        <v>4.78</v>
      </c>
      <c r="O618">
        <v>19.27</v>
      </c>
      <c r="P618">
        <f>PI()*J618*1/1000</f>
        <v>0.5287300435991622</v>
      </c>
    </row>
    <row r="619">
      <c r="C619" t="str">
        <v>P 6"x4,8</v>
      </c>
      <c r="E619" t="str">
        <v>SGJ</v>
      </c>
      <c r="H619">
        <v>6</v>
      </c>
      <c r="I619">
        <f>O619*H619</f>
        <v>115.19999999999999</v>
      </c>
      <c r="J619">
        <v>166.1</v>
      </c>
      <c r="K619">
        <v>4.8</v>
      </c>
      <c r="O619">
        <v>19.2</v>
      </c>
      <c r="P619">
        <f>PI()*J619*1/1000</f>
        <v>0.5218185397612647</v>
      </c>
      <c r="Q619" t="str">
        <v>Medium</v>
      </c>
    </row>
    <row r="620">
      <c r="C620" t="str">
        <v>P 6"x5</v>
      </c>
      <c r="D620" t="str">
        <v>ALIM, SPINDO</v>
      </c>
      <c r="E620" t="str">
        <v>SGJ</v>
      </c>
      <c r="H620">
        <v>6</v>
      </c>
      <c r="I620">
        <f>O620*H620</f>
        <v>118.80000000000001</v>
      </c>
      <c r="J620">
        <v>165.2</v>
      </c>
      <c r="K620">
        <v>5</v>
      </c>
      <c r="O620">
        <v>19.8</v>
      </c>
      <c r="P620">
        <f>PI()*J620*1/1000</f>
        <v>0.5189911063730337</v>
      </c>
      <c r="Q620" t="str">
        <v>Stk 41</v>
      </c>
    </row>
    <row r="621">
      <c r="C621" t="str">
        <v>P 6"x5,56</v>
      </c>
      <c r="D621" t="str">
        <v>SWARNA BAJA</v>
      </c>
      <c r="H621">
        <v>6</v>
      </c>
      <c r="I621">
        <f>O621*H621</f>
        <v>133.85999999999999</v>
      </c>
      <c r="J621">
        <v>168.3</v>
      </c>
      <c r="K621">
        <v>5.56</v>
      </c>
      <c r="O621">
        <v>22.31</v>
      </c>
      <c r="P621">
        <f>PI()*J621*1/1000</f>
        <v>0.5287300435991622</v>
      </c>
    </row>
    <row r="622">
      <c r="C622" t="str">
        <v>P 6"x6</v>
      </c>
      <c r="D622" t="str">
        <v>ALIM, SPINDO</v>
      </c>
      <c r="H622">
        <v>6</v>
      </c>
      <c r="I622">
        <f>O622*H622</f>
        <v>141.60000000000002</v>
      </c>
      <c r="J622">
        <v>165.2</v>
      </c>
      <c r="K622">
        <v>6</v>
      </c>
      <c r="O622">
        <v>23.6</v>
      </c>
      <c r="P622">
        <f>PI()*J622*1/1000</f>
        <v>0.5189911063730337</v>
      </c>
    </row>
    <row r="623">
      <c r="C623" t="str">
        <v>P 6"x6,35</v>
      </c>
      <c r="D623" t="str">
        <v>SWARNA BAJA</v>
      </c>
      <c r="H623">
        <v>6</v>
      </c>
      <c r="I623">
        <f>O623*H623</f>
        <v>152.16</v>
      </c>
      <c r="J623">
        <v>168.3</v>
      </c>
      <c r="K623">
        <v>6.35</v>
      </c>
      <c r="O623">
        <v>25.36</v>
      </c>
      <c r="P623">
        <f>PI()*J623*1/1000</f>
        <v>0.5287300435991622</v>
      </c>
    </row>
    <row r="624">
      <c r="C624" t="str">
        <v>P 6"x7</v>
      </c>
      <c r="D624" t="str">
        <v>SPINDO</v>
      </c>
      <c r="H624">
        <v>6</v>
      </c>
      <c r="I624">
        <f>O624*H624</f>
        <v>163.8</v>
      </c>
      <c r="J624">
        <v>165.2</v>
      </c>
      <c r="K624">
        <v>7</v>
      </c>
      <c r="O624">
        <v>27.3</v>
      </c>
      <c r="P624">
        <f>PI()*J624*1/1000</f>
        <v>0.5189911063730337</v>
      </c>
    </row>
    <row r="625">
      <c r="C625" t="str">
        <v>P 6"x7,1</v>
      </c>
      <c r="E625" t="str">
        <v>SGJ</v>
      </c>
      <c r="H625">
        <v>6</v>
      </c>
      <c r="I625">
        <f>O625*H625</f>
        <v>166.2</v>
      </c>
      <c r="J625">
        <v>165.2</v>
      </c>
      <c r="K625">
        <v>7.1</v>
      </c>
      <c r="O625">
        <v>27.7</v>
      </c>
      <c r="P625">
        <f>PI()*J625*1/1000</f>
        <v>0.5189911063730337</v>
      </c>
      <c r="Q625" t="str">
        <v>Sc 40</v>
      </c>
    </row>
    <row r="626">
      <c r="C626" t="str">
        <v>P 6"x7,11</v>
      </c>
      <c r="D626" t="str">
        <v>SWARNA BAJA</v>
      </c>
      <c r="H626">
        <v>6</v>
      </c>
      <c r="I626">
        <f>O626*H626</f>
        <v>169.56</v>
      </c>
      <c r="J626">
        <v>168.3</v>
      </c>
      <c r="K626">
        <v>7.11</v>
      </c>
      <c r="O626">
        <v>28.26</v>
      </c>
      <c r="P626">
        <f>PI()*J626*1/1000</f>
        <v>0.5287300435991622</v>
      </c>
    </row>
    <row r="627">
      <c r="C627" t="str">
        <v>P 6"x11</v>
      </c>
      <c r="E627" t="str">
        <v>SGJ</v>
      </c>
      <c r="H627">
        <v>6</v>
      </c>
      <c r="I627">
        <f>O627*H627</f>
        <v>250.79999999999998</v>
      </c>
      <c r="J627">
        <v>165.2</v>
      </c>
      <c r="K627">
        <v>11</v>
      </c>
      <c r="O627">
        <v>41.8</v>
      </c>
      <c r="P627">
        <f>PI()*J627*1/1000</f>
        <v>0.5189911063730337</v>
      </c>
      <c r="Q627" t="str">
        <v>Sc 80</v>
      </c>
    </row>
    <row r="628">
      <c r="C628" t="str">
        <v>P 7"x5,3</v>
      </c>
      <c r="E628" t="str">
        <v>SGJ</v>
      </c>
      <c r="H628">
        <v>6</v>
      </c>
      <c r="I628">
        <f>O628*H628</f>
        <v>145.2</v>
      </c>
      <c r="J628">
        <v>190.7</v>
      </c>
      <c r="K628">
        <v>5.3</v>
      </c>
      <c r="O628">
        <v>24.2</v>
      </c>
      <c r="P628">
        <f>PI()*J628*1/1000</f>
        <v>0.5991017190395734</v>
      </c>
      <c r="Q628" t="str">
        <v>Stk 41</v>
      </c>
    </row>
    <row r="629">
      <c r="C629" t="str">
        <v>P 8"x4,5</v>
      </c>
      <c r="D629" t="str">
        <v>SPINDO</v>
      </c>
      <c r="H629">
        <v>6</v>
      </c>
      <c r="I629">
        <f>O629*H629</f>
        <v>141</v>
      </c>
      <c r="J629">
        <v>216.3</v>
      </c>
      <c r="K629">
        <v>4.5</v>
      </c>
      <c r="O629">
        <v>23.5</v>
      </c>
      <c r="P629">
        <f>PI()*J629*1/1000</f>
        <v>0.6795264909714723</v>
      </c>
    </row>
    <row r="630">
      <c r="C630" t="str">
        <v>P 8"x4,78</v>
      </c>
      <c r="D630" t="str">
        <v>SWARNA BAJA</v>
      </c>
      <c r="H630">
        <v>6</v>
      </c>
      <c r="I630">
        <f>O630*H630</f>
        <v>151.56</v>
      </c>
      <c r="J630">
        <v>219.1</v>
      </c>
      <c r="K630">
        <v>4.78</v>
      </c>
      <c r="O630">
        <v>25.26</v>
      </c>
      <c r="P630">
        <f>PI()*J630*1/1000</f>
        <v>0.6883229504015236</v>
      </c>
    </row>
    <row r="631">
      <c r="C631" t="str">
        <v>P 8"x5,16</v>
      </c>
      <c r="D631" t="str">
        <v>SWARNA BAJA</v>
      </c>
      <c r="H631">
        <v>6</v>
      </c>
      <c r="I631">
        <f>O631*H631</f>
        <v>163.32</v>
      </c>
      <c r="J631">
        <v>219.1</v>
      </c>
      <c r="K631">
        <v>5.16</v>
      </c>
      <c r="O631">
        <v>27.22</v>
      </c>
      <c r="P631">
        <f>PI()*J631*1/1000</f>
        <v>0.6883229504015236</v>
      </c>
    </row>
    <row r="632">
      <c r="C632" t="str">
        <v>P 8"x5,56</v>
      </c>
      <c r="D632" t="str">
        <v>SWARNA BAJA</v>
      </c>
      <c r="H632">
        <v>6</v>
      </c>
      <c r="I632">
        <f>O632*H632</f>
        <v>175.68</v>
      </c>
      <c r="J632">
        <v>219.1</v>
      </c>
      <c r="K632">
        <v>5.56</v>
      </c>
      <c r="O632">
        <v>29.28</v>
      </c>
      <c r="P632">
        <f>PI()*J632*1/1000</f>
        <v>0.6883229504015236</v>
      </c>
    </row>
    <row r="633">
      <c r="C633" t="str">
        <v>P 8"x5,8</v>
      </c>
      <c r="E633" t="str">
        <v>SGJ</v>
      </c>
      <c r="H633">
        <v>6</v>
      </c>
      <c r="I633">
        <f>O633*H633</f>
        <v>180.60000000000002</v>
      </c>
      <c r="J633">
        <v>216.3</v>
      </c>
      <c r="K633">
        <v>5.8</v>
      </c>
      <c r="O633">
        <v>30.1</v>
      </c>
      <c r="P633">
        <f>PI()*J633*1/1000</f>
        <v>0.6795264909714723</v>
      </c>
      <c r="Q633" t="str">
        <v>Stk 41</v>
      </c>
    </row>
    <row r="634">
      <c r="C634" t="str">
        <v>P 8"x6</v>
      </c>
      <c r="D634" t="str">
        <v>SPINDO</v>
      </c>
      <c r="H634">
        <v>6</v>
      </c>
      <c r="I634">
        <f>O634*H634</f>
        <v>186.60000000000002</v>
      </c>
      <c r="J634">
        <v>216.3</v>
      </c>
      <c r="K634">
        <v>6</v>
      </c>
      <c r="O634">
        <v>31.1</v>
      </c>
      <c r="P634">
        <f>PI()*J634*1/1000</f>
        <v>0.6795264909714723</v>
      </c>
    </row>
    <row r="635">
      <c r="C635" t="str">
        <v>P 8"x6 Roll</v>
      </c>
      <c r="D635" t="str">
        <v>SPINDO</v>
      </c>
      <c r="H635">
        <v>6</v>
      </c>
      <c r="I635">
        <f>O635*H635</f>
        <v>186.60000000000002</v>
      </c>
      <c r="J635">
        <v>216.3</v>
      </c>
      <c r="K635">
        <v>6</v>
      </c>
      <c r="O635">
        <v>31.1</v>
      </c>
      <c r="P635">
        <f>PI()*J635*1/1000</f>
        <v>0.6795264909714723</v>
      </c>
    </row>
    <row r="636">
      <c r="C636" t="str">
        <v>P 8"x6,35</v>
      </c>
      <c r="D636" t="str">
        <v>SWARNA BAJA</v>
      </c>
      <c r="H636">
        <v>6</v>
      </c>
      <c r="I636">
        <f>O636*H636</f>
        <v>199.86</v>
      </c>
      <c r="J636">
        <v>219.1</v>
      </c>
      <c r="K636">
        <v>6.35</v>
      </c>
      <c r="O636">
        <v>33.31</v>
      </c>
      <c r="P636">
        <f>PI()*J636*1/1000</f>
        <v>0.6883229504015236</v>
      </c>
    </row>
    <row r="637">
      <c r="C637" t="str">
        <v>P 8"x7</v>
      </c>
      <c r="D637" t="str">
        <v>SPINDO</v>
      </c>
      <c r="H637">
        <v>6</v>
      </c>
      <c r="I637">
        <f>O637*H637</f>
        <v>216.60000000000002</v>
      </c>
      <c r="J637">
        <v>216.3</v>
      </c>
      <c r="K637">
        <v>7</v>
      </c>
      <c r="O637">
        <v>36.1</v>
      </c>
      <c r="P637">
        <f>PI()*J637*1/1000</f>
        <v>0.6795264909714723</v>
      </c>
    </row>
    <row r="638">
      <c r="C638" t="str">
        <v>P 8"x7,04</v>
      </c>
      <c r="D638" t="str">
        <v>SWARNA BAJA</v>
      </c>
      <c r="H638">
        <v>6</v>
      </c>
      <c r="I638">
        <f>O638*H638</f>
        <v>217.86</v>
      </c>
      <c r="J638">
        <v>219.1</v>
      </c>
      <c r="K638">
        <v>7.04</v>
      </c>
      <c r="O638">
        <v>36.31</v>
      </c>
      <c r="P638">
        <f>PI()*J638*1/1000</f>
        <v>0.6883229504015236</v>
      </c>
    </row>
    <row r="639">
      <c r="C639" t="str">
        <v>P 8"x7,92</v>
      </c>
      <c r="D639" t="str">
        <v>SWARNA BAJA</v>
      </c>
      <c r="H639">
        <v>6</v>
      </c>
      <c r="I639">
        <f>O639*H639</f>
        <v>247.44</v>
      </c>
      <c r="J639">
        <v>219.1</v>
      </c>
      <c r="K639">
        <v>7.92</v>
      </c>
      <c r="O639">
        <v>41.24</v>
      </c>
      <c r="P639">
        <f>PI()*J639*1/1000</f>
        <v>0.6883229504015236</v>
      </c>
    </row>
    <row r="640">
      <c r="C640" t="str">
        <v>i</v>
      </c>
      <c r="D640" t="str">
        <v>SPINDO</v>
      </c>
      <c r="H640">
        <v>6</v>
      </c>
      <c r="I640">
        <f>O640*H640</f>
        <v>246.60000000000002</v>
      </c>
      <c r="J640">
        <v>216.3</v>
      </c>
      <c r="K640">
        <v>8</v>
      </c>
      <c r="O640">
        <v>41.1</v>
      </c>
      <c r="P640">
        <f>PI()*J640*1/1000</f>
        <v>0.6795264909714723</v>
      </c>
    </row>
    <row r="641">
      <c r="C641" t="str">
        <v>P 8"x8,18</v>
      </c>
      <c r="D641" t="str">
        <v>SWARNA BAJA</v>
      </c>
      <c r="H641">
        <v>6</v>
      </c>
      <c r="I641">
        <f>O641*H641</f>
        <v>255.24</v>
      </c>
      <c r="J641">
        <v>219.1</v>
      </c>
      <c r="K641">
        <v>8.18</v>
      </c>
      <c r="O641">
        <v>42.54</v>
      </c>
      <c r="P641">
        <f>PI()*J641*1/1000</f>
        <v>0.6883229504015236</v>
      </c>
    </row>
    <row r="642">
      <c r="C642" t="str">
        <v>P 8"x8,2</v>
      </c>
      <c r="E642" t="str">
        <v>SGJ</v>
      </c>
      <c r="H642">
        <v>6</v>
      </c>
      <c r="I642">
        <f>O642*H642</f>
        <v>252.60000000000002</v>
      </c>
      <c r="J642">
        <v>216.3</v>
      </c>
      <c r="K642">
        <v>8.2</v>
      </c>
      <c r="O642">
        <v>42.1</v>
      </c>
      <c r="P642">
        <f>PI()*J642*1/1000</f>
        <v>0.6795264909714723</v>
      </c>
      <c r="Q642" t="str">
        <v>Sc 40 - Stk 41</v>
      </c>
    </row>
    <row r="643">
      <c r="C643" t="str">
        <v>P 8"x12,7</v>
      </c>
      <c r="E643" t="str">
        <v>SGJ</v>
      </c>
      <c r="H643">
        <v>6</v>
      </c>
      <c r="I643">
        <f>O643*H643</f>
        <v>382.79999999999995</v>
      </c>
      <c r="J643">
        <v>216.3</v>
      </c>
      <c r="K643">
        <v>12.7</v>
      </c>
      <c r="O643">
        <v>63.8</v>
      </c>
      <c r="P643">
        <f>PI()*J643*1/1000</f>
        <v>0.6795264909714723</v>
      </c>
      <c r="Q643" t="str">
        <v>Sc 80</v>
      </c>
    </row>
    <row r="644">
      <c r="C644" t="str">
        <v>P 10"x4,78</v>
      </c>
      <c r="D644" t="str">
        <v>SWARNA BAJA</v>
      </c>
      <c r="H644">
        <v>6</v>
      </c>
      <c r="I644">
        <f>O644*H644</f>
        <v>189.72</v>
      </c>
      <c r="J644">
        <v>273</v>
      </c>
      <c r="K644">
        <v>4.78</v>
      </c>
      <c r="O644">
        <v>31.62</v>
      </c>
      <c r="P644">
        <f>PI()*J644*1/1000</f>
        <v>0.8576547944300136</v>
      </c>
    </row>
    <row r="645">
      <c r="C645" t="str">
        <v>P 10"x5,16</v>
      </c>
      <c r="D645" t="str">
        <v>SWARNA BAJA</v>
      </c>
      <c r="H645">
        <v>6</v>
      </c>
      <c r="I645">
        <f>O645*H645</f>
        <v>204.48</v>
      </c>
      <c r="J645">
        <v>273</v>
      </c>
      <c r="K645">
        <v>5.16</v>
      </c>
      <c r="O645">
        <v>34.08</v>
      </c>
      <c r="P645">
        <f>PI()*J645*1/1000</f>
        <v>0.8576547944300136</v>
      </c>
    </row>
    <row r="646">
      <c r="C646" t="str">
        <v>P 10"x5,56</v>
      </c>
      <c r="D646" t="str">
        <v>SWARNA BAJA</v>
      </c>
      <c r="H646">
        <v>6</v>
      </c>
      <c r="I646">
        <f>O646*H646</f>
        <v>220.02</v>
      </c>
      <c r="J646">
        <v>273</v>
      </c>
      <c r="K646">
        <v>5.56</v>
      </c>
      <c r="O646">
        <v>36.67</v>
      </c>
      <c r="P646">
        <f>PI()*J646*1/1000</f>
        <v>0.8576547944300136</v>
      </c>
    </row>
    <row r="647">
      <c r="C647" t="str">
        <v>P 10"x6,35</v>
      </c>
      <c r="D647" t="str">
        <v>SWARNA BAJA</v>
      </c>
      <c r="H647">
        <v>6</v>
      </c>
      <c r="I647">
        <f>O647*H647</f>
        <v>250.5</v>
      </c>
      <c r="J647">
        <v>273</v>
      </c>
      <c r="K647">
        <v>6.35</v>
      </c>
      <c r="O647">
        <v>41.75</v>
      </c>
      <c r="P647">
        <f>PI()*J647*1/1000</f>
        <v>0.8576547944300136</v>
      </c>
    </row>
    <row r="648">
      <c r="C648" t="str">
        <v>P 10"x6,6</v>
      </c>
      <c r="E648" t="str">
        <v>SGJ</v>
      </c>
      <c r="H648">
        <v>6</v>
      </c>
      <c r="I648">
        <f>O648*H648</f>
        <v>254.39999999999998</v>
      </c>
      <c r="J648">
        <v>267.4</v>
      </c>
      <c r="K648">
        <v>6.6</v>
      </c>
      <c r="O648">
        <v>42.4</v>
      </c>
      <c r="P648">
        <f>PI()*J648*1/1000</f>
        <v>0.8400618755699106</v>
      </c>
      <c r="Q648" t="str">
        <v>Stk 41</v>
      </c>
    </row>
    <row r="649">
      <c r="C649" t="str">
        <v>P 10"x7,09</v>
      </c>
      <c r="D649" t="str">
        <v>SWARNA BAJA</v>
      </c>
      <c r="H649">
        <v>6</v>
      </c>
      <c r="I649">
        <f>O649*H649</f>
        <v>278.94</v>
      </c>
      <c r="J649">
        <v>273</v>
      </c>
      <c r="K649">
        <v>7.09</v>
      </c>
      <c r="O649">
        <v>46.49</v>
      </c>
      <c r="P649">
        <f>PI()*J649*1/1000</f>
        <v>0.8576547944300136</v>
      </c>
    </row>
    <row r="650">
      <c r="C650" t="str">
        <v>P 10"x7,8</v>
      </c>
      <c r="D650" t="str">
        <v>SWARNA BAJA</v>
      </c>
      <c r="H650">
        <v>6</v>
      </c>
      <c r="I650">
        <f>O650*H650</f>
        <v>306.06</v>
      </c>
      <c r="J650">
        <v>273</v>
      </c>
      <c r="K650">
        <v>7.8</v>
      </c>
      <c r="O650">
        <v>51.01</v>
      </c>
      <c r="P650">
        <f>PI()*J650*1/1000</f>
        <v>0.8576547944300136</v>
      </c>
    </row>
    <row r="651">
      <c r="C651" t="str">
        <v>P 10"x8,74</v>
      </c>
      <c r="D651" t="str">
        <v>SWARNA BAJA</v>
      </c>
      <c r="H651">
        <v>6</v>
      </c>
      <c r="I651">
        <f>O651*H651</f>
        <v>341.76</v>
      </c>
      <c r="J651">
        <v>273</v>
      </c>
      <c r="K651">
        <v>8.74</v>
      </c>
      <c r="O651">
        <v>56.96</v>
      </c>
      <c r="P651">
        <f>PI()*J651*1/1000</f>
        <v>0.8576547944300136</v>
      </c>
    </row>
    <row r="652">
      <c r="C652" t="str">
        <v>P 10"x9,27</v>
      </c>
      <c r="D652" t="str">
        <v>SWARNA BAJA</v>
      </c>
      <c r="H652">
        <v>6</v>
      </c>
      <c r="I652">
        <f>O652*H652</f>
        <v>361.74</v>
      </c>
      <c r="J652">
        <v>273</v>
      </c>
      <c r="K652">
        <v>9.27</v>
      </c>
      <c r="O652">
        <v>60.29</v>
      </c>
      <c r="P652">
        <f>PI()*J652*1/1000</f>
        <v>0.8576547944300136</v>
      </c>
    </row>
    <row r="653">
      <c r="C653" t="str">
        <v>P 10"x9,3</v>
      </c>
      <c r="E653" t="str">
        <v>SGJ</v>
      </c>
      <c r="H653">
        <v>6</v>
      </c>
      <c r="I653">
        <f>O653*H653</f>
        <v>355.20000000000005</v>
      </c>
      <c r="J653">
        <v>267.4</v>
      </c>
      <c r="K653">
        <v>9.3</v>
      </c>
      <c r="O653">
        <v>59.2</v>
      </c>
      <c r="P653">
        <f>PI()*J653*1/1000</f>
        <v>0.8400618755699106</v>
      </c>
      <c r="Q653" t="str">
        <v>Sc 40</v>
      </c>
    </row>
    <row r="654">
      <c r="C654" t="str">
        <v>P 10"x11,13</v>
      </c>
      <c r="D654" t="str">
        <v>SWARNA BAJA</v>
      </c>
      <c r="H654">
        <v>6</v>
      </c>
      <c r="I654">
        <f>O654*H654</f>
        <v>431.22</v>
      </c>
      <c r="J654">
        <v>273</v>
      </c>
      <c r="K654">
        <v>11.13</v>
      </c>
      <c r="O654">
        <v>71.87</v>
      </c>
      <c r="P654">
        <f>PI()*J654*1/1000</f>
        <v>0.8576547944300136</v>
      </c>
    </row>
    <row r="655">
      <c r="C655" t="str">
        <v>P 10"x12,7</v>
      </c>
      <c r="D655" t="str">
        <v>SWARNA BAJA</v>
      </c>
      <c r="H655">
        <v>6</v>
      </c>
      <c r="I655">
        <f>O655*H655</f>
        <v>489.12</v>
      </c>
      <c r="J655">
        <v>273</v>
      </c>
      <c r="K655">
        <v>12.7</v>
      </c>
      <c r="O655">
        <v>81.52</v>
      </c>
      <c r="P655">
        <f>PI()*J655*1/1000</f>
        <v>0.8576547944300136</v>
      </c>
    </row>
    <row r="656">
      <c r="C656" t="str">
        <v>P 10"x15,1</v>
      </c>
      <c r="E656" t="str">
        <v>SGJ</v>
      </c>
      <c r="H656">
        <v>6</v>
      </c>
      <c r="I656">
        <f>O656*H656</f>
        <v>563.4000000000001</v>
      </c>
      <c r="J656">
        <v>273</v>
      </c>
      <c r="K656">
        <v>15.1</v>
      </c>
      <c r="O656">
        <v>93.9</v>
      </c>
      <c r="P656">
        <f>PI()*J656*1/1000</f>
        <v>0.8576547944300136</v>
      </c>
      <c r="Q656" t="str">
        <v>Sc 80</v>
      </c>
    </row>
    <row r="657">
      <c r="C657" t="str">
        <v>P 12"x5,16</v>
      </c>
      <c r="D657" t="str">
        <v>SWARNA BAJA</v>
      </c>
      <c r="H657">
        <v>6</v>
      </c>
      <c r="I657">
        <f>O657*H657</f>
        <v>243.29999999999998</v>
      </c>
      <c r="J657">
        <v>323.8</v>
      </c>
      <c r="K657">
        <v>5.16</v>
      </c>
      <c r="O657">
        <v>40.55</v>
      </c>
      <c r="P657">
        <f>PI()*J657*1/1000</f>
        <v>1.017247701232375</v>
      </c>
    </row>
    <row r="658">
      <c r="C658" t="str">
        <v>P 12"x5,56</v>
      </c>
      <c r="D658" t="str">
        <v>SWARNA BAJA</v>
      </c>
      <c r="H658">
        <v>6</v>
      </c>
      <c r="I658">
        <f>O658*H658</f>
        <v>261.78000000000003</v>
      </c>
      <c r="J658">
        <v>323.8</v>
      </c>
      <c r="K658">
        <v>5.56</v>
      </c>
      <c r="O658">
        <v>43.63</v>
      </c>
      <c r="P658">
        <f>PI()*J658*1/1000</f>
        <v>1.017247701232375</v>
      </c>
    </row>
    <row r="659">
      <c r="C659" t="str">
        <v>P 12"x6,35</v>
      </c>
      <c r="D659" t="str">
        <v>SWARNA BAJA</v>
      </c>
      <c r="H659">
        <v>6</v>
      </c>
      <c r="I659">
        <f>O659*H659</f>
        <v>298.26</v>
      </c>
      <c r="J659">
        <v>323.8</v>
      </c>
      <c r="K659">
        <v>6.35</v>
      </c>
      <c r="O659">
        <v>49.71</v>
      </c>
      <c r="P659">
        <f>PI()*J659*1/1000</f>
        <v>1.017247701232375</v>
      </c>
    </row>
    <row r="660">
      <c r="C660" t="str">
        <v>P 12"x6,9</v>
      </c>
      <c r="E660" t="str">
        <v>SGJ</v>
      </c>
      <c r="H660">
        <v>6</v>
      </c>
      <c r="I660">
        <f>O660*H660</f>
        <v>318</v>
      </c>
      <c r="J660">
        <v>318.5</v>
      </c>
      <c r="K660">
        <v>6.9</v>
      </c>
      <c r="O660">
        <v>53</v>
      </c>
      <c r="P660">
        <f>PI()*J660*1/1000</f>
        <v>1.000597260168349</v>
      </c>
      <c r="Q660" t="str">
        <v>Stk 41</v>
      </c>
    </row>
    <row r="661">
      <c r="C661" t="str">
        <v>P 12"x7,14</v>
      </c>
      <c r="D661" t="str">
        <v>SWARNA BAJA</v>
      </c>
      <c r="H661">
        <v>6</v>
      </c>
      <c r="I661">
        <f>O661*H661</f>
        <v>334.5</v>
      </c>
      <c r="J661">
        <v>323.8</v>
      </c>
      <c r="K661">
        <v>7.14</v>
      </c>
      <c r="O661">
        <v>55.75</v>
      </c>
      <c r="P661">
        <f>PI()*J661*1/1000</f>
        <v>1.017247701232375</v>
      </c>
    </row>
    <row r="662">
      <c r="C662" t="str">
        <v>P 12"x7,92</v>
      </c>
      <c r="D662" t="str">
        <v>SWARNA BAJA</v>
      </c>
      <c r="H662">
        <v>6</v>
      </c>
      <c r="I662">
        <f>O662*H662</f>
        <v>370.14</v>
      </c>
      <c r="J662">
        <v>323.8</v>
      </c>
      <c r="K662">
        <v>7.92</v>
      </c>
      <c r="O662">
        <v>61.69</v>
      </c>
      <c r="P662">
        <f>PI()*J662*1/1000</f>
        <v>1.017247701232375</v>
      </c>
    </row>
    <row r="663">
      <c r="C663" t="str">
        <v>P 12"x8,38</v>
      </c>
      <c r="D663" t="str">
        <v>SWARNA BAJA</v>
      </c>
      <c r="H663">
        <v>6</v>
      </c>
      <c r="I663">
        <f>O663*H663</f>
        <v>391.08000000000004</v>
      </c>
      <c r="J663">
        <v>323.8</v>
      </c>
      <c r="K663">
        <v>8.38</v>
      </c>
      <c r="O663">
        <v>65.18</v>
      </c>
      <c r="P663">
        <f>PI()*J663*1/1000</f>
        <v>1.017247701232375</v>
      </c>
    </row>
    <row r="664">
      <c r="C664" t="str">
        <v>P 12"x8,74</v>
      </c>
      <c r="D664" t="str">
        <v>SWARNA BAJA</v>
      </c>
      <c r="H664">
        <v>6</v>
      </c>
      <c r="I664">
        <f>O664*H664</f>
        <v>407.40000000000003</v>
      </c>
      <c r="J664">
        <v>323.8</v>
      </c>
      <c r="K664">
        <v>8.74</v>
      </c>
      <c r="O664">
        <v>67.9</v>
      </c>
      <c r="P664">
        <f>PI()*J664*1/1000</f>
        <v>1.017247701232375</v>
      </c>
    </row>
    <row r="665">
      <c r="C665" t="str">
        <v>P 12"x9,52</v>
      </c>
      <c r="D665" t="str">
        <v>SWARNA BAJA</v>
      </c>
      <c r="H665">
        <v>6</v>
      </c>
      <c r="I665">
        <f>O665*H665</f>
        <v>442.68</v>
      </c>
      <c r="J665">
        <v>323.8</v>
      </c>
      <c r="K665">
        <v>9.52</v>
      </c>
      <c r="O665">
        <v>73.78</v>
      </c>
      <c r="P665">
        <f>PI()*J665*1/1000</f>
        <v>1.017247701232375</v>
      </c>
    </row>
    <row r="666">
      <c r="C666" t="str">
        <v>P 12"x10,3</v>
      </c>
      <c r="E666" t="str">
        <v>SGJ</v>
      </c>
      <c r="H666">
        <v>6</v>
      </c>
      <c r="I666">
        <f>O666*H666</f>
        <v>469.79999999999995</v>
      </c>
      <c r="J666">
        <v>318.5</v>
      </c>
      <c r="K666">
        <v>10.3</v>
      </c>
      <c r="O666">
        <v>78.3</v>
      </c>
      <c r="P666">
        <f>PI()*J666*1/1000</f>
        <v>1.000597260168349</v>
      </c>
      <c r="Q666" t="str">
        <v>Sc 40</v>
      </c>
    </row>
    <row r="667">
      <c r="C667" t="str">
        <v>P 12"x10,31</v>
      </c>
      <c r="D667" t="str">
        <v>SWARNA BAJA</v>
      </c>
      <c r="H667">
        <v>6</v>
      </c>
      <c r="I667">
        <f>O667*H667</f>
        <v>478.20000000000005</v>
      </c>
      <c r="J667">
        <v>323.8</v>
      </c>
      <c r="K667">
        <v>10.31</v>
      </c>
      <c r="O667">
        <v>79.7</v>
      </c>
      <c r="P667">
        <f>PI()*J667*1/1000</f>
        <v>1.017247701232375</v>
      </c>
    </row>
    <row r="668">
      <c r="C668" t="str">
        <v>P 12"x11,13</v>
      </c>
      <c r="D668" t="str">
        <v>SWARNA BAJA</v>
      </c>
      <c r="H668">
        <v>6</v>
      </c>
      <c r="I668">
        <f>O668*H668</f>
        <v>514.92</v>
      </c>
      <c r="J668">
        <v>323.8</v>
      </c>
      <c r="K668">
        <v>11.13</v>
      </c>
      <c r="O668">
        <v>85.82</v>
      </c>
      <c r="P668">
        <f>PI()*J668*1/1000</f>
        <v>1.017247701232375</v>
      </c>
    </row>
    <row r="669">
      <c r="C669" t="str">
        <v>P 12"x12,7</v>
      </c>
      <c r="D669" t="str">
        <v>SWARNA BAJA</v>
      </c>
      <c r="H669">
        <v>6</v>
      </c>
      <c r="I669">
        <f>O669*H669</f>
        <v>584.58</v>
      </c>
      <c r="J669">
        <v>323.8</v>
      </c>
      <c r="K669">
        <v>12.7</v>
      </c>
      <c r="O669">
        <v>97.43</v>
      </c>
      <c r="P669">
        <f>PI()*J669*1/1000</f>
        <v>1.017247701232375</v>
      </c>
    </row>
    <row r="670">
      <c r="C670" t="str">
        <v>P 12"x17,4</v>
      </c>
      <c r="E670" t="str">
        <v>SGJ</v>
      </c>
      <c r="H670">
        <v>6</v>
      </c>
      <c r="I670">
        <f>O670*H670</f>
        <v>774</v>
      </c>
      <c r="J670">
        <v>318.5</v>
      </c>
      <c r="K670">
        <v>17.4</v>
      </c>
      <c r="O670">
        <v>129</v>
      </c>
      <c r="P670">
        <f>PI()*J670*1/1000</f>
        <v>1.000597260168349</v>
      </c>
      <c r="Q670" t="str">
        <v>Sc 80</v>
      </c>
    </row>
    <row r="671">
      <c r="C671" t="str">
        <v>P 14"x5,56</v>
      </c>
      <c r="D671" t="str">
        <v>SWARNA BAJA</v>
      </c>
      <c r="H671">
        <v>6</v>
      </c>
      <c r="I671">
        <f>O671*H671</f>
        <v>287.94</v>
      </c>
      <c r="J671">
        <v>355.6</v>
      </c>
      <c r="K671">
        <v>5.56</v>
      </c>
      <c r="O671">
        <v>47.99</v>
      </c>
      <c r="P671">
        <f>PI()*J671*1/1000</f>
        <v>1.1171503476165305</v>
      </c>
    </row>
    <row r="672">
      <c r="C672" t="str">
        <v>P 14"x6,35</v>
      </c>
      <c r="D672" t="str">
        <v>SWARNA BAJA</v>
      </c>
      <c r="H672">
        <v>6</v>
      </c>
      <c r="I672">
        <f>O672*H672</f>
        <v>328.14</v>
      </c>
      <c r="J672">
        <v>355.6</v>
      </c>
      <c r="K672">
        <v>6.35</v>
      </c>
      <c r="O672">
        <v>54.69</v>
      </c>
      <c r="P672">
        <f>PI()*J672*1/1000</f>
        <v>1.1171503476165305</v>
      </c>
    </row>
    <row r="673">
      <c r="C673" t="str">
        <v>P 14"x7,14</v>
      </c>
      <c r="D673" t="str">
        <v>SWARNA BAJA</v>
      </c>
      <c r="H673">
        <v>6</v>
      </c>
      <c r="I673">
        <f>O673*H673</f>
        <v>368.1</v>
      </c>
      <c r="J673">
        <v>355.6</v>
      </c>
      <c r="K673">
        <v>7.14</v>
      </c>
      <c r="O673">
        <v>61.35</v>
      </c>
      <c r="P673">
        <f>PI()*J673*1/1000</f>
        <v>1.1171503476165305</v>
      </c>
    </row>
    <row r="674">
      <c r="C674" t="str">
        <v>P 14"x7,9</v>
      </c>
      <c r="E674" t="str">
        <v>SGJ</v>
      </c>
      <c r="H674">
        <v>6</v>
      </c>
      <c r="I674">
        <f>O674*H674</f>
        <v>406.20000000000005</v>
      </c>
      <c r="J674">
        <v>355.6</v>
      </c>
      <c r="K674">
        <v>7.9</v>
      </c>
      <c r="O674">
        <v>67.7</v>
      </c>
      <c r="P674">
        <f>PI()*J674*1/1000</f>
        <v>1.1171503476165305</v>
      </c>
      <c r="Q674" t="str">
        <v>Stk 41</v>
      </c>
    </row>
    <row r="675">
      <c r="C675" t="str">
        <v>P 14"x7,92</v>
      </c>
      <c r="D675" t="str">
        <v>SWARNA BAJA</v>
      </c>
      <c r="H675">
        <v>6</v>
      </c>
      <c r="I675">
        <f>O675*H675</f>
        <v>407.40000000000003</v>
      </c>
      <c r="J675">
        <v>355.6</v>
      </c>
      <c r="K675">
        <v>7.92</v>
      </c>
      <c r="O675">
        <v>67.9</v>
      </c>
      <c r="P675">
        <f>PI()*J675*1/1000</f>
        <v>1.1171503476165305</v>
      </c>
    </row>
    <row r="676">
      <c r="C676" t="str">
        <v>P 14"x8,74</v>
      </c>
      <c r="D676" t="str">
        <v>SWARNA BAJA</v>
      </c>
      <c r="H676">
        <v>6</v>
      </c>
      <c r="I676">
        <f>O676*H676</f>
        <v>448.56000000000006</v>
      </c>
      <c r="J676">
        <v>355.6</v>
      </c>
      <c r="K676">
        <v>8.74</v>
      </c>
      <c r="O676">
        <v>74.76</v>
      </c>
      <c r="P676">
        <f>PI()*J676*1/1000</f>
        <v>1.1171503476165305</v>
      </c>
    </row>
    <row r="677">
      <c r="C677" t="str">
        <v>P 14"x9,52</v>
      </c>
      <c r="D677" t="str">
        <v>SWARNA BAJA</v>
      </c>
      <c r="H677">
        <v>6</v>
      </c>
      <c r="I677">
        <f>O677*H677</f>
        <v>487.5</v>
      </c>
      <c r="J677">
        <v>355.6</v>
      </c>
      <c r="K677">
        <v>9.52</v>
      </c>
      <c r="O677">
        <v>81.25</v>
      </c>
      <c r="P677">
        <f>PI()*J677*1/1000</f>
        <v>1.1171503476165305</v>
      </c>
    </row>
    <row r="678">
      <c r="C678" t="str">
        <v>P 14"x11,1</v>
      </c>
      <c r="E678" t="str">
        <v>SGJ</v>
      </c>
      <c r="H678">
        <v>6</v>
      </c>
      <c r="I678">
        <f>O678*H678</f>
        <v>565.8</v>
      </c>
      <c r="J678">
        <v>355.6</v>
      </c>
      <c r="K678">
        <v>11.1</v>
      </c>
      <c r="O678">
        <v>94.3</v>
      </c>
      <c r="P678">
        <f>PI()*J678*1/1000</f>
        <v>1.1171503476165305</v>
      </c>
      <c r="Q678" t="str">
        <v>Sc 40</v>
      </c>
    </row>
    <row r="679">
      <c r="C679" t="str">
        <v>P 14"x11,13</v>
      </c>
      <c r="D679" t="str">
        <v>SWARNA BAJA</v>
      </c>
      <c r="H679">
        <v>6</v>
      </c>
      <c r="I679">
        <f>O679*H679</f>
        <v>567.3</v>
      </c>
      <c r="J679">
        <v>355.6</v>
      </c>
      <c r="K679">
        <v>11.13</v>
      </c>
      <c r="O679">
        <v>94.55</v>
      </c>
      <c r="P679">
        <f>PI()*J679*1/1000</f>
        <v>1.1171503476165305</v>
      </c>
    </row>
    <row r="680">
      <c r="C680" t="str">
        <v>P 14"x11,91</v>
      </c>
      <c r="D680" t="str">
        <v>SWARNA BAJA</v>
      </c>
      <c r="H680">
        <v>6</v>
      </c>
      <c r="I680">
        <f>O680*H680</f>
        <v>605.64</v>
      </c>
      <c r="J680">
        <v>355.6</v>
      </c>
      <c r="K680">
        <v>11.91</v>
      </c>
      <c r="O680">
        <v>100.94</v>
      </c>
      <c r="P680">
        <f>PI()*J680*1/1000</f>
        <v>1.1171503476165305</v>
      </c>
    </row>
    <row r="681">
      <c r="C681" t="str">
        <v>P 14"x12,7</v>
      </c>
      <c r="D681" t="str">
        <v>SWARNA BAJA</v>
      </c>
      <c r="H681">
        <v>6</v>
      </c>
      <c r="I681">
        <f>O681*H681</f>
        <v>644.34</v>
      </c>
      <c r="J681">
        <v>355.6</v>
      </c>
      <c r="K681">
        <v>12.7</v>
      </c>
      <c r="O681">
        <v>107.39</v>
      </c>
      <c r="P681">
        <f>PI()*J681*1/1000</f>
        <v>1.1171503476165305</v>
      </c>
    </row>
    <row r="682">
      <c r="C682" t="str">
        <v>P 14"x19</v>
      </c>
      <c r="E682" t="str">
        <v>SGJ</v>
      </c>
      <c r="H682">
        <v>6</v>
      </c>
      <c r="I682">
        <f>O682*H682</f>
        <v>948</v>
      </c>
      <c r="J682">
        <v>355.6</v>
      </c>
      <c r="K682">
        <v>19</v>
      </c>
      <c r="O682">
        <v>158</v>
      </c>
      <c r="P682">
        <f>PI()*J682*1/1000</f>
        <v>1.1171503476165305</v>
      </c>
      <c r="Q682" t="str">
        <v>Sc 80</v>
      </c>
    </row>
    <row r="683">
      <c r="C683" t="str">
        <v>P 16"x5,56</v>
      </c>
      <c r="D683" t="str">
        <v>SWARNA BAJA</v>
      </c>
      <c r="H683">
        <v>6</v>
      </c>
      <c r="I683">
        <f>O683*H683</f>
        <v>329.76</v>
      </c>
      <c r="J683">
        <v>406.4</v>
      </c>
      <c r="K683">
        <v>5.56</v>
      </c>
      <c r="O683">
        <v>54.96</v>
      </c>
      <c r="P683">
        <f>PI()*J683*1/1000</f>
        <v>1.276743254418892</v>
      </c>
    </row>
    <row r="684">
      <c r="C684" t="str">
        <v>P 16"x6,35</v>
      </c>
      <c r="D684" t="str">
        <v>SWARNA BAJA</v>
      </c>
      <c r="H684">
        <v>6</v>
      </c>
      <c r="I684">
        <f>O684*H684</f>
        <v>375.84000000000003</v>
      </c>
      <c r="J684">
        <v>406.4</v>
      </c>
      <c r="K684">
        <v>6.35</v>
      </c>
      <c r="O684">
        <v>62.64</v>
      </c>
      <c r="P684">
        <f>PI()*J684*1/1000</f>
        <v>1.276743254418892</v>
      </c>
    </row>
    <row r="685">
      <c r="C685" t="str">
        <v>P 16"x7,14</v>
      </c>
      <c r="D685" t="str">
        <v>SWARNA BAJA</v>
      </c>
      <c r="H685">
        <v>6</v>
      </c>
      <c r="I685">
        <f>O685*H685</f>
        <v>421.79999999999995</v>
      </c>
      <c r="J685">
        <v>406.4</v>
      </c>
      <c r="K685">
        <v>7.14</v>
      </c>
      <c r="O685">
        <v>70.3</v>
      </c>
      <c r="P685">
        <f>PI()*J685*1/1000</f>
        <v>1.276743254418892</v>
      </c>
    </row>
    <row r="686">
      <c r="C686" t="str">
        <v>P 16"x7,92</v>
      </c>
      <c r="D686" t="str">
        <v>SWARNA BAJA</v>
      </c>
      <c r="H686">
        <v>6</v>
      </c>
      <c r="I686">
        <f>O686*H686</f>
        <v>466.98</v>
      </c>
      <c r="J686">
        <v>406.4</v>
      </c>
      <c r="K686">
        <v>7.92</v>
      </c>
      <c r="O686">
        <v>77.83</v>
      </c>
      <c r="P686">
        <f>PI()*J686*1/1000</f>
        <v>1.276743254418892</v>
      </c>
    </row>
    <row r="687">
      <c r="C687" t="str">
        <v>P 16"x8,74</v>
      </c>
      <c r="D687" t="str">
        <v>SWARNA BAJA</v>
      </c>
      <c r="H687">
        <v>6</v>
      </c>
      <c r="I687">
        <f>O687*H687</f>
        <v>514.26</v>
      </c>
      <c r="J687">
        <v>406.4</v>
      </c>
      <c r="K687">
        <v>8.74</v>
      </c>
      <c r="O687">
        <v>85.71</v>
      </c>
      <c r="P687">
        <f>PI()*J687*1/1000</f>
        <v>1.276743254418892</v>
      </c>
    </row>
    <row r="688">
      <c r="C688" t="str">
        <v>P 16"x9,52</v>
      </c>
      <c r="D688" t="str">
        <v>SWARNA BAJA</v>
      </c>
      <c r="H688">
        <v>6</v>
      </c>
      <c r="I688">
        <f>O688*H688</f>
        <v>559.02</v>
      </c>
      <c r="J688">
        <v>406.4</v>
      </c>
      <c r="K688">
        <v>9.52</v>
      </c>
      <c r="O688">
        <v>93.17</v>
      </c>
      <c r="P688">
        <f>PI()*J688*1/1000</f>
        <v>1.276743254418892</v>
      </c>
    </row>
    <row r="689">
      <c r="C689" t="str">
        <v>P 16"x11,13</v>
      </c>
      <c r="D689" t="str">
        <v>SWARNA BAJA</v>
      </c>
      <c r="H689">
        <v>6</v>
      </c>
      <c r="I689">
        <f>O689*H689</f>
        <v>650.9399999999999</v>
      </c>
      <c r="J689">
        <v>406.4</v>
      </c>
      <c r="K689">
        <v>11.13</v>
      </c>
      <c r="O689">
        <v>108.49</v>
      </c>
      <c r="P689">
        <f>PI()*J689*1/1000</f>
        <v>1.276743254418892</v>
      </c>
    </row>
    <row r="690">
      <c r="C690" t="str">
        <v>P 16"x11,91</v>
      </c>
      <c r="D690" t="str">
        <v>SWARNA BAJA</v>
      </c>
      <c r="H690">
        <v>6</v>
      </c>
      <c r="I690">
        <f>O690*H690</f>
        <v>695.16</v>
      </c>
      <c r="J690">
        <v>406.4</v>
      </c>
      <c r="K690">
        <v>11.91</v>
      </c>
      <c r="O690">
        <v>115.86</v>
      </c>
      <c r="P690">
        <f>PI()*J690*1/1000</f>
        <v>1.276743254418892</v>
      </c>
    </row>
    <row r="691">
      <c r="C691" t="str">
        <v>P 16"x12,7</v>
      </c>
      <c r="D691" t="str">
        <v>SWARNA BAJA</v>
      </c>
      <c r="E691" t="str">
        <v>SGJ</v>
      </c>
      <c r="H691">
        <v>6</v>
      </c>
      <c r="I691">
        <f>O691*H691</f>
        <v>739.8</v>
      </c>
      <c r="J691">
        <v>406.4</v>
      </c>
      <c r="K691">
        <v>12.7</v>
      </c>
      <c r="O691">
        <v>123.3</v>
      </c>
      <c r="P691">
        <f>PI()*J691*1/1000</f>
        <v>1.276743254418892</v>
      </c>
      <c r="Q691" t="str">
        <v>Sc 40</v>
      </c>
    </row>
    <row r="692">
      <c r="C692" t="str">
        <v>P 16"x21,4</v>
      </c>
      <c r="E692" t="str">
        <v>SGJ</v>
      </c>
      <c r="H692">
        <v>6</v>
      </c>
      <c r="I692">
        <f>O692*H692</f>
        <v>1218</v>
      </c>
      <c r="J692">
        <v>406.4</v>
      </c>
      <c r="K692">
        <v>21.4</v>
      </c>
      <c r="O692">
        <v>203</v>
      </c>
      <c r="P692">
        <f>PI()*J692*1/1000</f>
        <v>1.276743254418892</v>
      </c>
      <c r="Q692" t="str">
        <v>Sc 80</v>
      </c>
    </row>
    <row r="693">
      <c r="C693" t="str">
        <v>P 18"x6,35</v>
      </c>
      <c r="D693" t="str">
        <v>SWARNA BAJA</v>
      </c>
      <c r="H693">
        <v>6</v>
      </c>
      <c r="I693">
        <f>O693*H693</f>
        <v>423.59999999999997</v>
      </c>
      <c r="J693">
        <v>457</v>
      </c>
      <c r="K693">
        <v>6.35</v>
      </c>
      <c r="O693">
        <v>70.6</v>
      </c>
      <c r="P693">
        <f>PI()*J693*1/1000</f>
        <v>1.4357078426905354</v>
      </c>
    </row>
    <row r="694">
      <c r="C694" t="str">
        <v>P 18"x7,14</v>
      </c>
      <c r="D694" t="str">
        <v>SWARNA BAJA</v>
      </c>
      <c r="H694">
        <v>6</v>
      </c>
      <c r="I694">
        <f>O694*H694</f>
        <v>475.43999999999994</v>
      </c>
      <c r="J694">
        <v>457</v>
      </c>
      <c r="K694">
        <v>7.14</v>
      </c>
      <c r="O694">
        <v>79.24</v>
      </c>
      <c r="P694">
        <f>PI()*J694*1/1000</f>
        <v>1.4357078426905354</v>
      </c>
    </row>
    <row r="695">
      <c r="C695" t="str">
        <v>P 18"x7,92</v>
      </c>
      <c r="D695" t="str">
        <v>SWARNA BAJA</v>
      </c>
      <c r="H695">
        <v>6</v>
      </c>
      <c r="I695">
        <f>O695*H695</f>
        <v>526.5</v>
      </c>
      <c r="J695">
        <v>457</v>
      </c>
      <c r="K695">
        <v>7.92</v>
      </c>
      <c r="O695">
        <v>87.75</v>
      </c>
      <c r="P695">
        <f>PI()*J695*1/1000</f>
        <v>1.4357078426905354</v>
      </c>
    </row>
    <row r="696">
      <c r="C696" t="str">
        <v>P 18"x8,74</v>
      </c>
      <c r="D696" t="str">
        <v>SWARNA BAJA</v>
      </c>
      <c r="H696">
        <v>6</v>
      </c>
      <c r="I696">
        <f>O696*H696</f>
        <v>579.96</v>
      </c>
      <c r="J696">
        <v>457</v>
      </c>
      <c r="K696">
        <v>8.74</v>
      </c>
      <c r="O696">
        <v>96.66</v>
      </c>
      <c r="P696">
        <f>PI()*J696*1/1000</f>
        <v>1.4357078426905354</v>
      </c>
    </row>
    <row r="697">
      <c r="C697" t="str">
        <v>P 18"x9,52</v>
      </c>
      <c r="D697" t="str">
        <v>SWARNA BAJA</v>
      </c>
      <c r="H697">
        <v>6</v>
      </c>
      <c r="I697">
        <f>O697*H697</f>
        <v>630.5999999999999</v>
      </c>
      <c r="J697">
        <v>457</v>
      </c>
      <c r="K697">
        <v>9.52</v>
      </c>
      <c r="O697">
        <v>105.1</v>
      </c>
      <c r="P697">
        <f>PI()*J697*1/1000</f>
        <v>1.4357078426905354</v>
      </c>
    </row>
    <row r="698">
      <c r="C698" t="str">
        <v>P 18"x10,31</v>
      </c>
      <c r="D698" t="str">
        <v>SWARNA BAJA</v>
      </c>
      <c r="H698">
        <v>6</v>
      </c>
      <c r="I698">
        <f>O698*H698</f>
        <v>681.72</v>
      </c>
      <c r="J698">
        <v>457</v>
      </c>
      <c r="K698">
        <v>10.31</v>
      </c>
      <c r="O698">
        <v>113.62</v>
      </c>
      <c r="P698">
        <f>PI()*J698*1/1000</f>
        <v>1.4357078426905354</v>
      </c>
    </row>
    <row r="699">
      <c r="C699" t="str">
        <v>P 18"x11,13</v>
      </c>
      <c r="D699" t="str">
        <v>SWARNA BAJA</v>
      </c>
      <c r="H699">
        <v>6</v>
      </c>
      <c r="I699">
        <f>O699*H699</f>
        <v>734.58</v>
      </c>
      <c r="J699">
        <v>457</v>
      </c>
      <c r="K699">
        <v>11.13</v>
      </c>
      <c r="O699">
        <v>122.43</v>
      </c>
      <c r="P699">
        <f>PI()*J699*1/1000</f>
        <v>1.4357078426905354</v>
      </c>
    </row>
    <row r="700">
      <c r="C700" t="str">
        <v>P 18"x11,91</v>
      </c>
      <c r="D700" t="str">
        <v>SWARNA BAJA</v>
      </c>
      <c r="H700">
        <v>6</v>
      </c>
      <c r="I700">
        <f>O700*H700</f>
        <v>784.6800000000001</v>
      </c>
      <c r="J700">
        <v>457</v>
      </c>
      <c r="K700">
        <v>11.91</v>
      </c>
      <c r="O700">
        <v>130.78</v>
      </c>
      <c r="P700">
        <f>PI()*J700*1/1000</f>
        <v>1.4357078426905354</v>
      </c>
    </row>
    <row r="701">
      <c r="C701" t="str">
        <v>P 18"x12,7</v>
      </c>
      <c r="D701" t="str">
        <v>SWARNA BAJA</v>
      </c>
      <c r="H701">
        <v>6</v>
      </c>
      <c r="I701">
        <f>O701*H701</f>
        <v>835.1999999999999</v>
      </c>
      <c r="J701">
        <v>457</v>
      </c>
      <c r="K701">
        <v>12.7</v>
      </c>
      <c r="O701">
        <v>139.2</v>
      </c>
      <c r="P701">
        <f>PI()*J701*1/1000</f>
        <v>1.4357078426905354</v>
      </c>
    </row>
    <row r="702">
      <c r="C702" t="str">
        <v>P 20"x6,35</v>
      </c>
      <c r="D702" t="str">
        <v>SWARNA BAJA</v>
      </c>
      <c r="H702">
        <v>6</v>
      </c>
      <c r="I702">
        <f>O702*H702</f>
        <v>471.29999999999995</v>
      </c>
      <c r="J702">
        <v>508</v>
      </c>
      <c r="K702">
        <v>6.35</v>
      </c>
      <c r="O702">
        <v>78.55</v>
      </c>
      <c r="P702">
        <f>PI()*J702*1/1000</f>
        <v>1.595929068023615</v>
      </c>
    </row>
    <row r="703">
      <c r="C703" t="str">
        <v>P 20"x7,14</v>
      </c>
      <c r="D703" t="str">
        <v>SWARNA BAJA</v>
      </c>
      <c r="H703">
        <v>6</v>
      </c>
      <c r="I703">
        <f>O703*H703</f>
        <v>529.14</v>
      </c>
      <c r="J703">
        <v>508</v>
      </c>
      <c r="K703">
        <v>7.14</v>
      </c>
      <c r="O703">
        <v>88.19</v>
      </c>
      <c r="P703">
        <f>PI()*J703*1/1000</f>
        <v>1.595929068023615</v>
      </c>
    </row>
    <row r="704">
      <c r="C704" t="str">
        <v>P 20"x7,92</v>
      </c>
      <c r="D704" t="str">
        <v>SWARNA BAJA</v>
      </c>
      <c r="H704">
        <v>6</v>
      </c>
      <c r="I704">
        <f>O704*H704</f>
        <v>586.02</v>
      </c>
      <c r="J704">
        <v>508</v>
      </c>
      <c r="K704">
        <v>7.92</v>
      </c>
      <c r="O704">
        <v>97.67</v>
      </c>
      <c r="P704">
        <f>PI()*J704*1/1000</f>
        <v>1.595929068023615</v>
      </c>
    </row>
    <row r="705">
      <c r="C705" t="str">
        <v>P 20"x8,74</v>
      </c>
      <c r="D705" t="str">
        <v>SWARNA BAJA</v>
      </c>
      <c r="H705">
        <v>6</v>
      </c>
      <c r="I705">
        <f>O705*H705</f>
        <v>645.5999999999999</v>
      </c>
      <c r="J705">
        <v>508</v>
      </c>
      <c r="K705">
        <v>8.74</v>
      </c>
      <c r="O705">
        <v>107.6</v>
      </c>
      <c r="P705">
        <f>PI()*J705*1/1000</f>
        <v>1.595929068023615</v>
      </c>
    </row>
    <row r="706">
      <c r="C706" t="str">
        <v>P 20"x9,52</v>
      </c>
      <c r="D706" t="str">
        <v>SWARNA BAJA</v>
      </c>
      <c r="H706">
        <v>6</v>
      </c>
      <c r="I706">
        <f>O706*H706</f>
        <v>702.12</v>
      </c>
      <c r="J706">
        <v>508</v>
      </c>
      <c r="K706">
        <v>9.52</v>
      </c>
      <c r="O706">
        <v>117.02</v>
      </c>
      <c r="P706">
        <f>PI()*J706*1/1000</f>
        <v>1.595929068023615</v>
      </c>
    </row>
    <row r="707">
      <c r="C707" t="str">
        <v>P 20"x10,31</v>
      </c>
      <c r="D707" t="str">
        <v>SWARNA BAJA</v>
      </c>
      <c r="H707">
        <v>6</v>
      </c>
      <c r="I707">
        <f>O707*H707</f>
        <v>759.1800000000001</v>
      </c>
      <c r="J707">
        <v>508</v>
      </c>
      <c r="K707">
        <v>10.31</v>
      </c>
      <c r="O707">
        <v>126.53</v>
      </c>
      <c r="P707">
        <f>PI()*J707*1/1000</f>
        <v>1.595929068023615</v>
      </c>
    </row>
    <row r="708">
      <c r="C708" t="str">
        <v>P 20"x11,13</v>
      </c>
      <c r="D708" t="str">
        <v>SWARNA BAJA</v>
      </c>
      <c r="H708">
        <v>6</v>
      </c>
      <c r="I708">
        <f>O708*H708</f>
        <v>818.22</v>
      </c>
      <c r="J708">
        <v>508</v>
      </c>
      <c r="K708">
        <v>11.13</v>
      </c>
      <c r="O708">
        <v>136.37</v>
      </c>
      <c r="P708">
        <f>PI()*J708*1/1000</f>
        <v>1.595929068023615</v>
      </c>
    </row>
    <row r="709">
      <c r="C709" t="str">
        <v>P 20"x11,91</v>
      </c>
      <c r="D709" t="str">
        <v>SWARNA BAJA</v>
      </c>
      <c r="H709">
        <v>6</v>
      </c>
      <c r="I709">
        <f>O709*H709</f>
        <v>874.1999999999999</v>
      </c>
      <c r="J709">
        <v>508</v>
      </c>
      <c r="K709">
        <v>11.91</v>
      </c>
      <c r="O709">
        <v>145.7</v>
      </c>
      <c r="P709">
        <f>PI()*J709*1/1000</f>
        <v>1.595929068023615</v>
      </c>
    </row>
    <row r="710">
      <c r="C710" t="str">
        <v>P 20"x12,7</v>
      </c>
      <c r="D710" t="str">
        <v>SWARNA BAJA</v>
      </c>
      <c r="H710">
        <v>6</v>
      </c>
      <c r="I710">
        <f>O710*H710</f>
        <v>930.72</v>
      </c>
      <c r="J710">
        <v>508</v>
      </c>
      <c r="K710">
        <v>12.7</v>
      </c>
      <c r="O710">
        <v>155.12</v>
      </c>
      <c r="P710">
        <f>PI()*J710*1/1000</f>
        <v>1.595929068023615</v>
      </c>
    </row>
    <row r="711">
      <c r="C711" t="str">
        <v>P 24"x6,35</v>
      </c>
      <c r="D711" t="str">
        <v>SWARNA BAJA</v>
      </c>
      <c r="H711">
        <v>6</v>
      </c>
      <c r="I711">
        <f>O711*H711</f>
        <v>566.76</v>
      </c>
      <c r="J711">
        <v>610</v>
      </c>
      <c r="K711">
        <v>6.35</v>
      </c>
      <c r="O711">
        <v>94.46</v>
      </c>
      <c r="P711">
        <f>PI()*J711*1/1000</f>
        <v>1.9163715186897738</v>
      </c>
    </row>
    <row r="712">
      <c r="C712" t="str">
        <v>P 24"x7,14</v>
      </c>
      <c r="D712" t="str">
        <v>SWARNA BAJA</v>
      </c>
      <c r="H712">
        <v>6</v>
      </c>
      <c r="I712">
        <f>O712*H712</f>
        <v>636.48</v>
      </c>
      <c r="J712">
        <v>610</v>
      </c>
      <c r="K712">
        <v>7.14</v>
      </c>
      <c r="O712">
        <v>106.08</v>
      </c>
      <c r="P712">
        <f>PI()*J712*1/1000</f>
        <v>1.9163715186897738</v>
      </c>
    </row>
    <row r="713">
      <c r="C713" t="str">
        <v>P 24"x7,92</v>
      </c>
      <c r="D713" t="str">
        <v>SWARNA BAJA</v>
      </c>
      <c r="H713">
        <v>6</v>
      </c>
      <c r="I713">
        <f>O713*H713</f>
        <v>705.0600000000001</v>
      </c>
      <c r="J713">
        <v>610</v>
      </c>
      <c r="K713">
        <v>7.92</v>
      </c>
      <c r="O713">
        <v>117.51</v>
      </c>
      <c r="P713">
        <f>PI()*J713*1/1000</f>
        <v>1.9163715186897738</v>
      </c>
    </row>
    <row r="714">
      <c r="C714" t="str">
        <v>P 24"x8,74</v>
      </c>
      <c r="D714" t="str">
        <v>SWARNA BAJA</v>
      </c>
      <c r="H714">
        <v>6</v>
      </c>
      <c r="I714">
        <f>O714*H714</f>
        <v>777</v>
      </c>
      <c r="J714">
        <v>610</v>
      </c>
      <c r="K714">
        <v>8.74</v>
      </c>
      <c r="O714">
        <v>129.5</v>
      </c>
      <c r="P714">
        <f>PI()*J714*1/1000</f>
        <v>1.9163715186897738</v>
      </c>
    </row>
    <row r="715">
      <c r="C715" t="str">
        <v>P 24"x9,52</v>
      </c>
      <c r="D715" t="str">
        <v>SWARNA BAJA</v>
      </c>
      <c r="H715">
        <v>6</v>
      </c>
      <c r="I715">
        <f>O715*H715</f>
        <v>845.28</v>
      </c>
      <c r="J715">
        <v>610</v>
      </c>
      <c r="K715">
        <v>9.52</v>
      </c>
      <c r="O715">
        <v>140.88</v>
      </c>
      <c r="P715">
        <f>PI()*J715*1/1000</f>
        <v>1.9163715186897738</v>
      </c>
    </row>
    <row r="716">
      <c r="C716" t="str">
        <v>P 24"x10,31</v>
      </c>
      <c r="D716" t="str">
        <v>SWARNA BAJA</v>
      </c>
      <c r="H716">
        <v>6</v>
      </c>
      <c r="I716">
        <f>O716*H716</f>
        <v>914.22</v>
      </c>
      <c r="J716">
        <v>610</v>
      </c>
      <c r="K716">
        <v>10.31</v>
      </c>
      <c r="O716">
        <v>152.37</v>
      </c>
      <c r="P716">
        <f>PI()*J716*1/1000</f>
        <v>1.9163715186897738</v>
      </c>
    </row>
    <row r="717">
      <c r="C717" t="str">
        <v>P 24"x11,13</v>
      </c>
      <c r="D717" t="str">
        <v>SWARNA BAJA</v>
      </c>
      <c r="H717">
        <v>6</v>
      </c>
      <c r="I717">
        <f>O717*H717</f>
        <v>985.56</v>
      </c>
      <c r="J717">
        <v>610</v>
      </c>
      <c r="K717">
        <v>11.13</v>
      </c>
      <c r="O717">
        <v>164.26</v>
      </c>
      <c r="P717">
        <f>PI()*J717*1/1000</f>
        <v>1.9163715186897738</v>
      </c>
    </row>
    <row r="718">
      <c r="C718" t="str">
        <v>P 24"x11,91</v>
      </c>
      <c r="D718" t="str">
        <v>SWARNA BAJA</v>
      </c>
      <c r="H718">
        <v>6</v>
      </c>
      <c r="I718">
        <f>O718*H718</f>
        <v>1053.24</v>
      </c>
      <c r="J718">
        <v>610</v>
      </c>
      <c r="K718">
        <v>11.91</v>
      </c>
      <c r="O718">
        <v>175.54</v>
      </c>
      <c r="P718">
        <f>PI()*J718*1/1000</f>
        <v>1.9163715186897738</v>
      </c>
    </row>
    <row r="719">
      <c r="C719" t="str">
        <v>P 24"x12,7</v>
      </c>
      <c r="D719" t="str">
        <v>SWARNA BAJA</v>
      </c>
      <c r="H719">
        <v>6</v>
      </c>
      <c r="I719">
        <f>O719*H719</f>
        <v>1121.6399999999999</v>
      </c>
      <c r="J719">
        <v>610</v>
      </c>
      <c r="K719">
        <v>12.7</v>
      </c>
      <c r="O719">
        <v>186.94</v>
      </c>
      <c r="P719">
        <f>PI()*J719*1/1000</f>
        <v>1.9163715186897738</v>
      </c>
    </row>
    <row r="720">
      <c r="B720" t="str">
        <v>Pipa (P)</v>
      </c>
      <c r="C720" t="str">
        <v>P 609,6x12</v>
      </c>
      <c r="D720" t="str">
        <v>SWARNA BAJA</v>
      </c>
      <c r="H720">
        <f>60/5</f>
        <v>12</v>
      </c>
      <c r="I720">
        <f>10610.51/5</f>
        <v>2122.102</v>
      </c>
      <c r="J720">
        <v>609.6</v>
      </c>
      <c r="K720">
        <v>12</v>
      </c>
      <c r="O720">
        <f>I720/H720</f>
        <v>176.8418333333333</v>
      </c>
      <c r="P720">
        <f>PI()*J720*1/1000</f>
        <v>1.915114881628338</v>
      </c>
    </row>
    <row r="721">
      <c r="B721" t="str">
        <v>Plat Putih 3' x 6' (PP)</v>
      </c>
      <c r="C721" t="str">
        <v>PP 0,35</v>
      </c>
      <c r="E721" t="str">
        <v>SGJ, SHC</v>
      </c>
      <c r="H721">
        <f>3*6*0.3^2</f>
        <v>1.6199999999999999</v>
      </c>
      <c r="I721">
        <v>4.6</v>
      </c>
      <c r="J721">
        <v>0.35</v>
      </c>
      <c r="O721">
        <f>I721/H721</f>
        <v>2.8395061728395063</v>
      </c>
      <c r="P721">
        <f>2+4*J721/1000</f>
        <v>2.0014</v>
      </c>
    </row>
    <row r="722">
      <c r="C722" t="str">
        <v>PP 0,4</v>
      </c>
      <c r="E722" t="str">
        <v>SHC</v>
      </c>
      <c r="H722">
        <f>3*6*0.3^2</f>
        <v>1.6199999999999999</v>
      </c>
      <c r="I722">
        <v>5.25</v>
      </c>
      <c r="J722">
        <v>0.4</v>
      </c>
      <c r="O722">
        <f>I722/H722</f>
        <v>3.240740740740741</v>
      </c>
      <c r="P722">
        <f>2+4*J722/1000</f>
        <v>2.0016</v>
      </c>
    </row>
    <row r="723">
      <c r="C723" t="str">
        <v>PP 0,5</v>
      </c>
      <c r="E723" t="str">
        <v>SGJ, SHC</v>
      </c>
      <c r="H723">
        <f>3*6*0.3^2</f>
        <v>1.6199999999999999</v>
      </c>
      <c r="I723">
        <v>6.57</v>
      </c>
      <c r="J723">
        <v>0.5</v>
      </c>
      <c r="O723">
        <f>I723/H723</f>
        <v>4.055555555555556</v>
      </c>
      <c r="P723">
        <f>2+4*J723/1000</f>
        <v>2.002</v>
      </c>
    </row>
    <row r="724">
      <c r="C724" t="str">
        <v>PP 0,6</v>
      </c>
      <c r="E724" t="str">
        <v>SGJ, SHC</v>
      </c>
      <c r="H724">
        <f>3*6*0.3^2</f>
        <v>1.6199999999999999</v>
      </c>
      <c r="I724">
        <v>7.88</v>
      </c>
      <c r="J724">
        <v>0.6</v>
      </c>
      <c r="O724">
        <f>I724/H724</f>
        <v>4.864197530864198</v>
      </c>
      <c r="P724">
        <f>2+4*J724/1000</f>
        <v>2.0024</v>
      </c>
    </row>
    <row r="725">
      <c r="C725" t="str">
        <v>PP 0,65</v>
      </c>
      <c r="E725" t="str">
        <v>SGJ, SHC</v>
      </c>
      <c r="H725">
        <f>3*6*0.3^2</f>
        <v>1.6199999999999999</v>
      </c>
      <c r="I725">
        <v>8.53</v>
      </c>
      <c r="J725">
        <v>0.65</v>
      </c>
      <c r="O725">
        <f>I725/H725</f>
        <v>5.265432098765432</v>
      </c>
      <c r="P725">
        <f>2+4*J725/1000</f>
        <v>2.0026</v>
      </c>
    </row>
    <row r="726">
      <c r="C726" t="str">
        <v>PP 0,66</v>
      </c>
      <c r="E726" t="str">
        <v>SGJ, SHC</v>
      </c>
      <c r="H726">
        <f>3*6*0.3^2</f>
        <v>1.6199999999999999</v>
      </c>
      <c r="I726">
        <v>8.67</v>
      </c>
      <c r="J726">
        <v>0.66</v>
      </c>
      <c r="O726">
        <f>I726/H726</f>
        <v>5.351851851851852</v>
      </c>
      <c r="P726">
        <f>2+4*J726/1000</f>
        <v>2.00264</v>
      </c>
    </row>
    <row r="727">
      <c r="C727" t="str">
        <v>PP 0,7</v>
      </c>
      <c r="E727" t="str">
        <v>SGJ, SHC</v>
      </c>
      <c r="H727">
        <f>3*6*0.3^2</f>
        <v>1.6199999999999999</v>
      </c>
      <c r="I727">
        <v>9.2</v>
      </c>
      <c r="J727">
        <v>0.7</v>
      </c>
      <c r="O727">
        <f>I727/H727</f>
        <v>5.679012345679013</v>
      </c>
      <c r="P727">
        <f>2+4*J727/1000</f>
        <v>2.0028</v>
      </c>
    </row>
    <row r="728">
      <c r="C728" t="str">
        <v>PP 0,8</v>
      </c>
      <c r="E728" t="str">
        <v>SGJ, SHC</v>
      </c>
      <c r="H728">
        <f>3*6*0.3^2</f>
        <v>1.6199999999999999</v>
      </c>
      <c r="I728">
        <v>10.5</v>
      </c>
      <c r="J728">
        <v>0.8</v>
      </c>
      <c r="O728">
        <f>I728/H728</f>
        <v>6.481481481481482</v>
      </c>
      <c r="P728">
        <f>2+4*J728/1000</f>
        <v>2.0032</v>
      </c>
    </row>
    <row r="729">
      <c r="C729" t="str">
        <v>PP 0,9</v>
      </c>
      <c r="E729" t="str">
        <v>SGJ, SHC</v>
      </c>
      <c r="H729">
        <f>3*6*0.3^2</f>
        <v>1.6199999999999999</v>
      </c>
      <c r="I729">
        <v>11.82</v>
      </c>
      <c r="J729">
        <v>0.9</v>
      </c>
      <c r="O729">
        <f>I729/H729</f>
        <v>7.296296296296297</v>
      </c>
      <c r="P729">
        <f>2+4*J729/1000</f>
        <v>2.0036</v>
      </c>
    </row>
    <row r="730">
      <c r="C730" t="str">
        <v>PP 1</v>
      </c>
      <c r="E730" t="str">
        <v>SGJ, SHC</v>
      </c>
      <c r="H730">
        <f>3*6*0.3^2</f>
        <v>1.6199999999999999</v>
      </c>
      <c r="I730">
        <v>13.1</v>
      </c>
      <c r="J730">
        <v>1</v>
      </c>
      <c r="O730">
        <f>I730/H730</f>
        <v>8.08641975308642</v>
      </c>
      <c r="P730">
        <f>2+4*J730/1000</f>
        <v>2.004</v>
      </c>
    </row>
    <row r="731">
      <c r="C731" t="str">
        <v>PP 1,2</v>
      </c>
      <c r="E731" t="str">
        <v>SGJ, SHC</v>
      </c>
      <c r="H731">
        <f>3*6*0.3^2</f>
        <v>1.6199999999999999</v>
      </c>
      <c r="I731">
        <v>15.8</v>
      </c>
      <c r="J731">
        <v>1.2</v>
      </c>
      <c r="O731">
        <f>I731/H731</f>
        <v>9.753086419753087</v>
      </c>
      <c r="P731">
        <f>2+4*J731/1000</f>
        <v>2.0048</v>
      </c>
    </row>
    <row r="732">
      <c r="C732" t="str">
        <v>PP 1,5</v>
      </c>
      <c r="E732" t="str">
        <v>SGJ, SHC</v>
      </c>
      <c r="H732">
        <f>3*6*0.3^2</f>
        <v>1.6199999999999999</v>
      </c>
      <c r="I732">
        <v>19.7</v>
      </c>
      <c r="J732">
        <v>1.5</v>
      </c>
      <c r="O732">
        <f>I732/H732</f>
        <v>12.160493827160494</v>
      </c>
      <c r="P732">
        <f>2+4*J732/1000</f>
        <v>2.006</v>
      </c>
    </row>
    <row r="733">
      <c r="C733" t="str">
        <v>PP 2</v>
      </c>
      <c r="E733" t="str">
        <v>SGJ, SHC</v>
      </c>
      <c r="H733">
        <f>3*6*0.3^2</f>
        <v>1.6199999999999999</v>
      </c>
      <c r="I733">
        <v>26.3</v>
      </c>
      <c r="J733">
        <v>2</v>
      </c>
      <c r="O733">
        <f>I733/H733</f>
        <v>16.23456790123457</v>
      </c>
      <c r="P733">
        <f>2+4*J733/1000</f>
        <v>2.008</v>
      </c>
    </row>
    <row r="734">
      <c r="B734" t="str">
        <v>Plat Putih 4' x 8' (PPS)</v>
      </c>
      <c r="C734" t="str">
        <v>PPS 0,35</v>
      </c>
      <c r="E734" t="str">
        <v>SGJ, SHC</v>
      </c>
      <c r="H734">
        <f>4*8*0.3^2</f>
        <v>2.88</v>
      </c>
      <c r="I734">
        <v>8.16</v>
      </c>
      <c r="J734">
        <v>0.35</v>
      </c>
      <c r="O734">
        <f>I734/H734</f>
        <v>2.8333333333333335</v>
      </c>
      <c r="P734">
        <f>2+4*J734/1000</f>
        <v>2.0014</v>
      </c>
    </row>
    <row r="735">
      <c r="C735" t="str">
        <v>PPS 0,6</v>
      </c>
      <c r="E735" t="str">
        <v>SGJ, SHC</v>
      </c>
      <c r="H735">
        <f>4*8*0.3^2</f>
        <v>2.88</v>
      </c>
      <c r="I735">
        <v>14</v>
      </c>
      <c r="J735">
        <v>0.6</v>
      </c>
      <c r="O735">
        <f>I735/H735</f>
        <v>4.861111111111112</v>
      </c>
      <c r="P735">
        <f>2+4*J735/1000</f>
        <v>2.0024</v>
      </c>
    </row>
    <row r="736">
      <c r="C736" t="str">
        <v>PPS 0,66</v>
      </c>
      <c r="E736" t="str">
        <v>SGJ, SHC</v>
      </c>
      <c r="H736">
        <f>4*8*0.3^2</f>
        <v>2.88</v>
      </c>
      <c r="I736">
        <v>15.4</v>
      </c>
      <c r="J736">
        <v>0.66</v>
      </c>
      <c r="O736">
        <f>I736/H736</f>
        <v>5.347222222222222</v>
      </c>
      <c r="P736">
        <f>2+4*J736/1000</f>
        <v>2.00264</v>
      </c>
    </row>
    <row r="737">
      <c r="C737" t="str">
        <v>PPS 0,7</v>
      </c>
      <c r="E737" t="str">
        <v>SGJ, SHC</v>
      </c>
      <c r="H737">
        <f>4*8*0.3^2</f>
        <v>2.88</v>
      </c>
      <c r="I737">
        <v>16.31</v>
      </c>
      <c r="J737">
        <v>0.7</v>
      </c>
      <c r="O737">
        <f>I737/H737</f>
        <v>5.663194444444445</v>
      </c>
      <c r="P737">
        <f>2+4*J737/1000</f>
        <v>2.0028</v>
      </c>
    </row>
    <row r="738">
      <c r="C738" t="str">
        <v>PPS 0,8</v>
      </c>
      <c r="E738" t="str">
        <v>SGJ, SHC</v>
      </c>
      <c r="H738">
        <f>4*8*0.3^2</f>
        <v>2.88</v>
      </c>
      <c r="I738">
        <v>18.7</v>
      </c>
      <c r="J738">
        <v>0.8</v>
      </c>
      <c r="O738">
        <f>I738/H738</f>
        <v>6.493055555555555</v>
      </c>
      <c r="P738">
        <f>2+4*J738/1000</f>
        <v>2.0032</v>
      </c>
    </row>
    <row r="739">
      <c r="C739" t="str">
        <v>PPS 0,9</v>
      </c>
      <c r="E739" t="str">
        <v>SGJ, SHC</v>
      </c>
      <c r="H739">
        <f>4*8*0.3^2</f>
        <v>2.88</v>
      </c>
      <c r="I739">
        <v>21</v>
      </c>
      <c r="J739">
        <v>0.9</v>
      </c>
      <c r="O739">
        <f>I739/H739</f>
        <v>7.291666666666667</v>
      </c>
      <c r="P739">
        <f>2+4*J739/1000</f>
        <v>2.0036</v>
      </c>
    </row>
    <row r="740">
      <c r="C740" t="str">
        <v>PPS 1</v>
      </c>
      <c r="E740" t="str">
        <v>SGJ, SHC</v>
      </c>
      <c r="H740">
        <f>4*8*0.3^2</f>
        <v>2.88</v>
      </c>
      <c r="I740">
        <v>23.33</v>
      </c>
      <c r="J740">
        <v>1</v>
      </c>
      <c r="O740">
        <f>I740/H740</f>
        <v>8.100694444444445</v>
      </c>
      <c r="P740">
        <f>2+4*J740/1000</f>
        <v>2.004</v>
      </c>
    </row>
    <row r="741">
      <c r="C741" t="str">
        <v>PPS 1,2</v>
      </c>
      <c r="E741" t="str">
        <v>SGJ, SHC</v>
      </c>
      <c r="H741">
        <f>4*8*0.3^2</f>
        <v>2.88</v>
      </c>
      <c r="I741">
        <v>28</v>
      </c>
      <c r="J741">
        <v>1.2</v>
      </c>
      <c r="O741">
        <f>I741/H741</f>
        <v>9.722222222222223</v>
      </c>
      <c r="P741">
        <f>2+4*J741/1000</f>
        <v>2.0048</v>
      </c>
    </row>
    <row r="742">
      <c r="C742" t="str">
        <v>PPS 1,5</v>
      </c>
      <c r="E742" t="str">
        <v>SGJ, SHC</v>
      </c>
      <c r="H742">
        <f>4*8*0.3^2</f>
        <v>2.88</v>
      </c>
      <c r="I742">
        <v>35</v>
      </c>
      <c r="J742">
        <v>1.5</v>
      </c>
      <c r="O742">
        <f>I742/H742</f>
        <v>12.152777777777779</v>
      </c>
      <c r="P742">
        <f>2+4*J742/1000</f>
        <v>2.006</v>
      </c>
    </row>
    <row r="743">
      <c r="C743" t="str">
        <v>PPS 1,6</v>
      </c>
      <c r="E743" t="str">
        <v>SGJ, SHC</v>
      </c>
      <c r="H743">
        <f>4*8*0.3^2</f>
        <v>2.88</v>
      </c>
      <c r="I743">
        <v>37.3</v>
      </c>
      <c r="J743">
        <v>1.6</v>
      </c>
      <c r="O743">
        <f>I743/H743</f>
        <v>12.951388888888888</v>
      </c>
      <c r="P743">
        <f>2+4*J743/1000</f>
        <v>2.0064</v>
      </c>
    </row>
    <row r="744">
      <c r="C744" t="str">
        <v>PPS 1,9</v>
      </c>
      <c r="E744" t="str">
        <v>SGJ, SHC</v>
      </c>
      <c r="H744">
        <f>4*8*0.3^2</f>
        <v>2.88</v>
      </c>
      <c r="I744">
        <v>45</v>
      </c>
      <c r="J744">
        <v>1.9</v>
      </c>
      <c r="O744">
        <f>I744/H744</f>
        <v>15.625</v>
      </c>
      <c r="P744">
        <f>2+4*J744/1000</f>
        <v>2.0076</v>
      </c>
    </row>
    <row r="745">
      <c r="C745" t="str">
        <v>PPS 2</v>
      </c>
      <c r="E745" t="str">
        <v>SGJ, SHC</v>
      </c>
      <c r="H745">
        <f>4*8*0.3^2</f>
        <v>2.88</v>
      </c>
      <c r="I745">
        <v>46.7</v>
      </c>
      <c r="J745">
        <v>2</v>
      </c>
      <c r="O745">
        <f>I745/H745</f>
        <v>16.21527777777778</v>
      </c>
      <c r="P745">
        <f>2+4*J745/1000</f>
        <v>2.008</v>
      </c>
    </row>
    <row r="746">
      <c r="B746" t="str">
        <v>Plat Hitam 4' x 8' (PL)</v>
      </c>
      <c r="C746" t="str">
        <v>PL 1,2</v>
      </c>
      <c r="E746" t="str">
        <v>SHC</v>
      </c>
      <c r="H746">
        <f>4*8*0.3^2</f>
        <v>2.88</v>
      </c>
      <c r="I746">
        <v>28</v>
      </c>
      <c r="J746">
        <v>1.2</v>
      </c>
      <c r="O746">
        <f>I746/H746</f>
        <v>9.722222222222223</v>
      </c>
      <c r="P746">
        <f>2+4*J746/1000</f>
        <v>2.0048</v>
      </c>
    </row>
    <row r="747">
      <c r="C747" t="str">
        <v>PL 1,4</v>
      </c>
      <c r="E747" t="str">
        <v>SGJ, SHC</v>
      </c>
      <c r="H747">
        <f>4*8*0.3^2</f>
        <v>2.88</v>
      </c>
      <c r="I747">
        <v>33</v>
      </c>
      <c r="J747">
        <v>1.4</v>
      </c>
      <c r="O747">
        <f>I747/H747</f>
        <v>11.458333333333334</v>
      </c>
      <c r="P747">
        <f>2+4*J747/1000</f>
        <v>2.0056</v>
      </c>
    </row>
    <row r="748">
      <c r="C748" t="str">
        <v>PL 1,5</v>
      </c>
      <c r="E748" t="str">
        <v>SGJ, SHC</v>
      </c>
      <c r="H748">
        <f>4*8*0.3^2</f>
        <v>2.88</v>
      </c>
      <c r="I748">
        <v>35</v>
      </c>
      <c r="J748">
        <v>1.5</v>
      </c>
      <c r="O748">
        <f>I748/H748</f>
        <v>12.152777777777779</v>
      </c>
      <c r="P748">
        <f>2+4*J748/1000</f>
        <v>2.006</v>
      </c>
    </row>
    <row r="749">
      <c r="C749" t="str">
        <v>PL 1,6</v>
      </c>
      <c r="E749" t="str">
        <v>SHC</v>
      </c>
      <c r="H749">
        <f>4*8*0.3^2</f>
        <v>2.88</v>
      </c>
      <c r="I749">
        <v>37.3</v>
      </c>
      <c r="J749">
        <v>1.6</v>
      </c>
      <c r="O749">
        <f>I749/H749</f>
        <v>12.951388888888888</v>
      </c>
      <c r="P749">
        <f>2+4*J749/1000</f>
        <v>2.0064</v>
      </c>
    </row>
    <row r="750">
      <c r="C750" t="str">
        <v>PL 1,7</v>
      </c>
      <c r="E750" t="str">
        <v>SHC</v>
      </c>
      <c r="H750">
        <f>4*8*0.3^2</f>
        <v>2.88</v>
      </c>
      <c r="I750">
        <v>39.7</v>
      </c>
      <c r="J750">
        <v>1.7</v>
      </c>
      <c r="O750">
        <f>I750/H750</f>
        <v>13.784722222222223</v>
      </c>
      <c r="P750">
        <f>2+4*J750/1000</f>
        <v>2.0068</v>
      </c>
    </row>
    <row r="751">
      <c r="C751" t="str">
        <v>Pl 1,8</v>
      </c>
      <c r="E751" t="str">
        <v>SHC</v>
      </c>
      <c r="H751">
        <f>4*8*0.3^2</f>
        <v>2.88</v>
      </c>
      <c r="I751">
        <v>42</v>
      </c>
      <c r="J751">
        <v>1.8</v>
      </c>
      <c r="O751">
        <f>I751/H751</f>
        <v>14.583333333333334</v>
      </c>
      <c r="P751">
        <f>2+4*J751/1000</f>
        <v>2.0072</v>
      </c>
    </row>
    <row r="752">
      <c r="C752" t="str">
        <v>PL 1,9</v>
      </c>
      <c r="E752" t="str">
        <v>SGJ</v>
      </c>
      <c r="H752">
        <f>4*8*0.3^2</f>
        <v>2.88</v>
      </c>
      <c r="I752">
        <v>44.5</v>
      </c>
      <c r="J752">
        <v>1.9</v>
      </c>
      <c r="O752">
        <f>I752/H752</f>
        <v>15.45138888888889</v>
      </c>
      <c r="P752">
        <f>2+4*J752/1000</f>
        <v>2.0076</v>
      </c>
    </row>
    <row r="753">
      <c r="C753" t="str">
        <v>PL 2</v>
      </c>
      <c r="E753" t="str">
        <v>SGJ</v>
      </c>
      <c r="H753">
        <f>4*8*0.3^2</f>
        <v>2.88</v>
      </c>
      <c r="I753">
        <v>46.7</v>
      </c>
      <c r="J753">
        <v>2</v>
      </c>
      <c r="O753">
        <f>I753/H753</f>
        <v>16.21527777777778</v>
      </c>
      <c r="P753">
        <f>2+4*J753/1000</f>
        <v>2.008</v>
      </c>
    </row>
    <row r="754">
      <c r="C754" t="str">
        <v>PL 2,3</v>
      </c>
      <c r="E754" t="str">
        <v>SGJ</v>
      </c>
      <c r="H754">
        <f>4*8*0.3^2</f>
        <v>2.88</v>
      </c>
      <c r="I754">
        <v>54</v>
      </c>
      <c r="J754">
        <v>2.3</v>
      </c>
      <c r="O754">
        <f>I754/H754</f>
        <v>18.75</v>
      </c>
      <c r="P754">
        <f>2+4*J754/1000</f>
        <v>2.0092</v>
      </c>
    </row>
    <row r="755">
      <c r="C755" t="str">
        <v>PL 2,6</v>
      </c>
      <c r="E755" t="str">
        <v>SGJ</v>
      </c>
      <c r="H755">
        <f>4*8*0.3^2</f>
        <v>2.88</v>
      </c>
      <c r="I755">
        <v>60.7</v>
      </c>
      <c r="J755">
        <v>2.6</v>
      </c>
      <c r="O755">
        <f>I755/H755</f>
        <v>21.07638888888889</v>
      </c>
      <c r="P755">
        <f>2+4*J755/1000</f>
        <v>2.0104</v>
      </c>
    </row>
    <row r="756">
      <c r="C756" t="str">
        <v>PL 2,8</v>
      </c>
      <c r="E756" t="str">
        <v>SGJ</v>
      </c>
      <c r="H756">
        <f>4*8*0.3^2</f>
        <v>2.88</v>
      </c>
      <c r="I756">
        <v>65.3</v>
      </c>
      <c r="J756">
        <v>2.8</v>
      </c>
      <c r="O756">
        <f>I756/H756</f>
        <v>22.67361111111111</v>
      </c>
      <c r="P756">
        <f>2+4*J756/1000</f>
        <v>2.0112</v>
      </c>
    </row>
    <row r="757">
      <c r="C757" t="str">
        <v>PL 2,9</v>
      </c>
      <c r="E757" t="str">
        <v>SGJ</v>
      </c>
      <c r="H757">
        <f>4*8*0.3^2</f>
        <v>2.88</v>
      </c>
      <c r="I757">
        <v>67.6</v>
      </c>
      <c r="J757">
        <v>2.9</v>
      </c>
      <c r="O757">
        <f>I757/H757</f>
        <v>23.47222222222222</v>
      </c>
      <c r="P757">
        <f>2+4*J757/1000</f>
        <v>2.0116</v>
      </c>
    </row>
    <row r="758">
      <c r="C758" t="str">
        <v>PL 3</v>
      </c>
      <c r="E758" t="str">
        <v>SGJ</v>
      </c>
      <c r="H758">
        <f>4*8*0.3^2</f>
        <v>2.88</v>
      </c>
      <c r="I758">
        <v>70</v>
      </c>
      <c r="J758">
        <v>3</v>
      </c>
      <c r="O758">
        <f>I758/H758</f>
        <v>24.305555555555557</v>
      </c>
      <c r="P758">
        <f>2+4*J758/1000</f>
        <v>2.012</v>
      </c>
    </row>
    <row r="759">
      <c r="C759" t="str">
        <v>PL 3,2</v>
      </c>
      <c r="E759" t="str">
        <v>SGJ</v>
      </c>
      <c r="H759">
        <f>4*8*0.3^2</f>
        <v>2.88</v>
      </c>
      <c r="I759">
        <v>74.7</v>
      </c>
      <c r="J759">
        <v>3.2</v>
      </c>
      <c r="O759">
        <f>I759/H759</f>
        <v>25.937500000000004</v>
      </c>
      <c r="P759">
        <f>2+4*J759/1000</f>
        <v>2.0128</v>
      </c>
    </row>
    <row r="760">
      <c r="C760" t="str">
        <v>PL 4</v>
      </c>
      <c r="E760" t="str">
        <v>SGJ</v>
      </c>
      <c r="H760">
        <f>4*8*0.3^2</f>
        <v>2.88</v>
      </c>
      <c r="I760">
        <v>93.3</v>
      </c>
      <c r="J760">
        <v>4</v>
      </c>
      <c r="O760">
        <f>I760/H760</f>
        <v>32.395833333333336</v>
      </c>
      <c r="P760">
        <f>2+4*J760/1000</f>
        <v>2.016</v>
      </c>
    </row>
    <row r="761">
      <c r="C761" t="str">
        <v>PL 4,5</v>
      </c>
      <c r="E761" t="str">
        <v>SGJ</v>
      </c>
      <c r="H761">
        <f>4*8*0.3^2</f>
        <v>2.88</v>
      </c>
      <c r="I761">
        <v>105</v>
      </c>
      <c r="J761">
        <v>4.5</v>
      </c>
      <c r="O761">
        <f>I761/H761</f>
        <v>36.458333333333336</v>
      </c>
      <c r="P761">
        <f>2+4*J761/1000</f>
        <v>2.018</v>
      </c>
    </row>
    <row r="762">
      <c r="C762" t="str">
        <v>PL 5</v>
      </c>
      <c r="E762" t="str">
        <v>SGJ</v>
      </c>
      <c r="H762">
        <f>4*8*0.3^2</f>
        <v>2.88</v>
      </c>
      <c r="I762">
        <v>117</v>
      </c>
      <c r="J762">
        <v>5</v>
      </c>
      <c r="O762">
        <f>I762/H762</f>
        <v>40.625</v>
      </c>
      <c r="P762">
        <f>2+4*J762/1000</f>
        <v>2.02</v>
      </c>
    </row>
    <row r="763">
      <c r="C763" t="str">
        <v>PL 6</v>
      </c>
      <c r="E763" t="str">
        <v>SGJ</v>
      </c>
      <c r="H763">
        <f>4*8*0.3^2</f>
        <v>2.88</v>
      </c>
      <c r="I763">
        <v>140</v>
      </c>
      <c r="J763">
        <v>6</v>
      </c>
      <c r="O763">
        <f>I763/H763</f>
        <v>48.611111111111114</v>
      </c>
      <c r="P763">
        <f>2+4*J763/1000</f>
        <v>2.024</v>
      </c>
    </row>
    <row r="764">
      <c r="C764" t="str">
        <v>PL 8</v>
      </c>
      <c r="E764" t="str">
        <v>SGJ</v>
      </c>
      <c r="H764">
        <f>4*8*0.3^2</f>
        <v>2.88</v>
      </c>
      <c r="I764">
        <v>187</v>
      </c>
      <c r="J764">
        <v>8</v>
      </c>
      <c r="O764">
        <f>I764/H764</f>
        <v>64.93055555555556</v>
      </c>
      <c r="P764">
        <f>2+4*J764/1000</f>
        <v>2.032</v>
      </c>
    </row>
    <row r="765">
      <c r="C765" t="str">
        <v>PL 9</v>
      </c>
      <c r="E765" t="str">
        <v>SGJ</v>
      </c>
      <c r="H765">
        <f>4*8*0.3^2</f>
        <v>2.88</v>
      </c>
      <c r="I765">
        <v>210</v>
      </c>
      <c r="J765">
        <v>9</v>
      </c>
      <c r="O765">
        <f>I765/H765</f>
        <v>72.91666666666667</v>
      </c>
      <c r="P765">
        <f>2+4*J765/1000</f>
        <v>2.036</v>
      </c>
    </row>
    <row r="766">
      <c r="C766" t="str">
        <v>PL 10</v>
      </c>
      <c r="E766" t="str">
        <v>SGJ</v>
      </c>
      <c r="H766">
        <f>4*8*0.3^2</f>
        <v>2.88</v>
      </c>
      <c r="I766">
        <v>233.3</v>
      </c>
      <c r="J766">
        <v>10</v>
      </c>
      <c r="O766">
        <f>I766/H766</f>
        <v>81.00694444444446</v>
      </c>
      <c r="P766">
        <f>2+4*J766/1000</f>
        <v>2.04</v>
      </c>
    </row>
    <row r="767">
      <c r="C767" t="str">
        <v>PL 12</v>
      </c>
      <c r="E767" t="str">
        <v>SGJ</v>
      </c>
      <c r="H767">
        <f>4*8*0.3^2</f>
        <v>2.88</v>
      </c>
      <c r="I767">
        <v>280</v>
      </c>
      <c r="J767">
        <v>12</v>
      </c>
      <c r="O767">
        <f>I767/H767</f>
        <v>97.22222222222223</v>
      </c>
      <c r="P767">
        <f>2+4*J767/1000</f>
        <v>2.048</v>
      </c>
    </row>
    <row r="768">
      <c r="C768" t="str">
        <v>PL 13</v>
      </c>
      <c r="E768" t="str">
        <v>SGJ</v>
      </c>
      <c r="H768">
        <f>4*8*0.3^2</f>
        <v>2.88</v>
      </c>
      <c r="I768">
        <v>303</v>
      </c>
      <c r="J768">
        <v>13</v>
      </c>
      <c r="O768">
        <f>I768/H768</f>
        <v>105.20833333333334</v>
      </c>
      <c r="P768">
        <f>2+4*J768/1000</f>
        <v>2.052</v>
      </c>
    </row>
    <row r="769">
      <c r="C769" t="str">
        <v>PL 15</v>
      </c>
      <c r="E769" t="str">
        <v>SGJ</v>
      </c>
      <c r="H769">
        <f>4*8*0.3^2</f>
        <v>2.88</v>
      </c>
      <c r="I769">
        <v>350</v>
      </c>
      <c r="J769">
        <v>15</v>
      </c>
      <c r="O769">
        <f>I769/H769</f>
        <v>121.52777777777779</v>
      </c>
      <c r="P769">
        <f>2+4*J769/1000</f>
        <v>2.06</v>
      </c>
    </row>
    <row r="770">
      <c r="C770" t="str">
        <v>PL 14</v>
      </c>
      <c r="E770">
        <v>0</v>
      </c>
      <c r="H770">
        <f>4*8*0.3^2</f>
        <v>2.88</v>
      </c>
      <c r="I770">
        <f>+I769/J769*J770</f>
        <v>326.66666666666663</v>
      </c>
      <c r="J770">
        <v>14</v>
      </c>
      <c r="O770">
        <f>I770/H770</f>
        <v>113.42592592592592</v>
      </c>
      <c r="P770">
        <f>2+4*J770/1000</f>
        <v>2.056</v>
      </c>
      <c r="Q770" t="str">
        <v>tambahan berat</v>
      </c>
    </row>
    <row r="771">
      <c r="C771" t="str">
        <v>PL 16</v>
      </c>
      <c r="E771" t="str">
        <v>SGJ</v>
      </c>
      <c r="H771">
        <f>4*8*0.3^2</f>
        <v>2.88</v>
      </c>
      <c r="I771">
        <v>373</v>
      </c>
      <c r="J771">
        <v>16</v>
      </c>
      <c r="O771">
        <f>I771/H771</f>
        <v>129.51388888888889</v>
      </c>
      <c r="P771">
        <f>2+4*J771/1000</f>
        <v>2.064</v>
      </c>
    </row>
    <row r="772">
      <c r="C772" t="str">
        <v>PL 18</v>
      </c>
      <c r="E772" t="str">
        <v>SGJ</v>
      </c>
      <c r="H772">
        <f>4*8*0.3^2</f>
        <v>2.88</v>
      </c>
      <c r="I772">
        <v>420</v>
      </c>
      <c r="J772">
        <v>18</v>
      </c>
      <c r="O772">
        <f>I772/H772</f>
        <v>145.83333333333334</v>
      </c>
      <c r="P772">
        <f>2+4*J772/1000</f>
        <v>2.072</v>
      </c>
    </row>
    <row r="773">
      <c r="C773" t="str">
        <v>PL 19</v>
      </c>
      <c r="E773" t="str">
        <v>SGJ</v>
      </c>
      <c r="H773">
        <f>4*8*0.3^2</f>
        <v>2.88</v>
      </c>
      <c r="I773">
        <v>443</v>
      </c>
      <c r="J773">
        <v>19</v>
      </c>
      <c r="O773">
        <f>I773/H773</f>
        <v>153.81944444444446</v>
      </c>
      <c r="P773">
        <f>2+4*J773/1000</f>
        <v>2.076</v>
      </c>
    </row>
    <row r="774">
      <c r="C774" t="str">
        <v>PL 20</v>
      </c>
      <c r="E774" t="str">
        <v>SGJ</v>
      </c>
      <c r="H774">
        <f>4*8*0.3^2</f>
        <v>2.88</v>
      </c>
      <c r="I774">
        <v>466</v>
      </c>
      <c r="J774">
        <v>20</v>
      </c>
      <c r="O774">
        <f>I774/H774</f>
        <v>161.80555555555557</v>
      </c>
      <c r="P774">
        <f>2+4*J774/1000</f>
        <v>2.08</v>
      </c>
    </row>
    <row r="775">
      <c r="C775" t="str">
        <v>PL 21</v>
      </c>
      <c r="E775" t="str">
        <v>SGJ</v>
      </c>
      <c r="H775">
        <f>4*8*0.3^2</f>
        <v>2.88</v>
      </c>
      <c r="I775">
        <v>490</v>
      </c>
      <c r="J775">
        <v>21</v>
      </c>
      <c r="O775">
        <f>I775/H775</f>
        <v>170.13888888888889</v>
      </c>
      <c r="P775">
        <f>2+4*J775/1000</f>
        <v>2.084</v>
      </c>
    </row>
    <row r="776">
      <c r="C776" t="str">
        <v>PL 22</v>
      </c>
      <c r="E776" t="str">
        <v>SGJ</v>
      </c>
      <c r="H776">
        <f>4*8*0.3^2</f>
        <v>2.88</v>
      </c>
      <c r="I776">
        <v>513</v>
      </c>
      <c r="J776">
        <v>22</v>
      </c>
      <c r="O776">
        <f>I776/H776</f>
        <v>178.125</v>
      </c>
      <c r="P776">
        <f>2+4*J776/1000</f>
        <v>2.088</v>
      </c>
    </row>
    <row r="777">
      <c r="C777" t="str">
        <v>PL 24</v>
      </c>
      <c r="E777">
        <v>0</v>
      </c>
      <c r="H777">
        <f>4*8*0.3^2</f>
        <v>2.88</v>
      </c>
      <c r="I777">
        <f>+I776/J776*J777</f>
        <v>559.6363636363636</v>
      </c>
      <c r="J777">
        <v>24</v>
      </c>
      <c r="O777">
        <f>I777/H777</f>
        <v>194.3181818181818</v>
      </c>
      <c r="P777">
        <f>2+4*J777/1000</f>
        <v>2.096</v>
      </c>
      <c r="Q777" t="str">
        <v>tambahan berat</v>
      </c>
    </row>
    <row r="778">
      <c r="C778" t="str">
        <v>PL 25</v>
      </c>
      <c r="E778" t="str">
        <v>SGJ</v>
      </c>
      <c r="H778">
        <f>4*8*0.3^2</f>
        <v>2.88</v>
      </c>
      <c r="I778">
        <v>583</v>
      </c>
      <c r="J778">
        <v>25</v>
      </c>
      <c r="O778">
        <f>I778/H778</f>
        <v>202.43055555555557</v>
      </c>
      <c r="P778">
        <f>2+4*J778/1000</f>
        <v>2.1</v>
      </c>
    </row>
    <row r="779">
      <c r="C779" t="str">
        <v>PL 28</v>
      </c>
      <c r="E779" t="str">
        <v>SGJ</v>
      </c>
      <c r="H779">
        <f>4*8*0.3^2</f>
        <v>2.88</v>
      </c>
      <c r="I779">
        <v>653</v>
      </c>
      <c r="J779">
        <v>28</v>
      </c>
      <c r="O779">
        <f>I779/H779</f>
        <v>226.73611111111111</v>
      </c>
      <c r="P779">
        <f>2+4*J779/1000</f>
        <v>2.112</v>
      </c>
    </row>
    <row r="780">
      <c r="C780" t="str">
        <v>PL 30</v>
      </c>
      <c r="E780" t="str">
        <v>SGJ</v>
      </c>
      <c r="H780">
        <f>4*8*0.3^2</f>
        <v>2.88</v>
      </c>
      <c r="I780">
        <v>699</v>
      </c>
      <c r="J780">
        <v>30</v>
      </c>
      <c r="O780">
        <f>I780/H780</f>
        <v>242.70833333333334</v>
      </c>
      <c r="P780">
        <f>2+4*J780/1000</f>
        <v>2.12</v>
      </c>
    </row>
    <row r="781">
      <c r="C781" t="str">
        <v>PL 32</v>
      </c>
      <c r="E781" t="str">
        <v>SGJ</v>
      </c>
      <c r="H781">
        <f>4*8*0.3^2</f>
        <v>2.88</v>
      </c>
      <c r="I781">
        <v>747</v>
      </c>
      <c r="J781">
        <v>32</v>
      </c>
      <c r="O781">
        <f>I781/H781</f>
        <v>259.375</v>
      </c>
      <c r="P781">
        <f>2+4*J781/1000</f>
        <v>2.128</v>
      </c>
    </row>
    <row r="782">
      <c r="C782" t="str">
        <v>PL 38</v>
      </c>
      <c r="E782" t="str">
        <v>SGJ</v>
      </c>
      <c r="H782">
        <f>4*8*0.3^2</f>
        <v>2.88</v>
      </c>
      <c r="I782">
        <v>887</v>
      </c>
      <c r="J782">
        <v>38</v>
      </c>
      <c r="O782">
        <f>I782/H782</f>
        <v>307.98611111111114</v>
      </c>
      <c r="P782">
        <f>2+4*J782/1000</f>
        <v>2.152</v>
      </c>
    </row>
    <row r="783">
      <c r="C783" t="str">
        <v>PL 40</v>
      </c>
      <c r="E783">
        <v>0</v>
      </c>
      <c r="H783">
        <f>4*8*0.3^2</f>
        <v>2.88</v>
      </c>
      <c r="I783">
        <f>+I782/J782*J783</f>
        <v>933.6842105263157</v>
      </c>
      <c r="J783">
        <v>40</v>
      </c>
      <c r="O783">
        <f>I783/H783</f>
        <v>324.19590643274853</v>
      </c>
      <c r="P783">
        <f>2+4*J783/1000</f>
        <v>2.16</v>
      </c>
      <c r="Q783" t="str">
        <v>tambahan berat</v>
      </c>
    </row>
    <row r="784">
      <c r="C784" t="str">
        <v>PL 50</v>
      </c>
      <c r="E784" t="str">
        <v>SGJ</v>
      </c>
      <c r="H784">
        <f>4*8*0.3^2</f>
        <v>2.88</v>
      </c>
      <c r="I784">
        <v>1167</v>
      </c>
      <c r="J784">
        <v>50</v>
      </c>
      <c r="O784">
        <f>I784/H784</f>
        <v>405.20833333333337</v>
      </c>
      <c r="P784">
        <f>2+4*J784/1000</f>
        <v>2.2</v>
      </c>
    </row>
    <row r="785">
      <c r="C785" t="str">
        <v>PL 65</v>
      </c>
      <c r="E785" t="str">
        <v>SGJ</v>
      </c>
      <c r="H785">
        <f>4*8*0.3^2</f>
        <v>2.88</v>
      </c>
      <c r="I785">
        <v>1516</v>
      </c>
      <c r="J785">
        <v>65</v>
      </c>
      <c r="O785">
        <f>I785/H785</f>
        <v>526.3888888888889</v>
      </c>
      <c r="P785">
        <f>2+4*J785/1000</f>
        <v>2.26</v>
      </c>
    </row>
    <row r="786">
      <c r="C786" t="str">
        <v>PL 75</v>
      </c>
      <c r="E786" t="str">
        <v>SGJ</v>
      </c>
      <c r="H786">
        <f>4*8*0.3^2</f>
        <v>2.88</v>
      </c>
      <c r="I786">
        <v>1750</v>
      </c>
      <c r="J786">
        <v>75</v>
      </c>
      <c r="O786">
        <f>I786/H786</f>
        <v>607.6388888888889</v>
      </c>
      <c r="P786">
        <f>2+4*J786/1000</f>
        <v>2.3</v>
      </c>
    </row>
    <row r="787">
      <c r="C787" t="str">
        <v>PL 100</v>
      </c>
      <c r="E787" t="str">
        <v>SGJ</v>
      </c>
      <c r="H787">
        <f>4*8*0.3^2</f>
        <v>2.88</v>
      </c>
      <c r="I787">
        <v>2333</v>
      </c>
      <c r="J787">
        <v>100</v>
      </c>
      <c r="O787">
        <f>I787/H787</f>
        <v>810.0694444444445</v>
      </c>
      <c r="P787">
        <f>2+4*J787/1000</f>
        <v>2.4</v>
      </c>
    </row>
    <row r="788">
      <c r="B788" t="str">
        <v>Plat Kapal 5' x 20' (PK)</v>
      </c>
      <c r="C788" t="str">
        <v>PK 4,5</v>
      </c>
      <c r="E788" t="str">
        <v>SGJ</v>
      </c>
      <c r="H788">
        <f>5*20*0.3^2</f>
        <v>9</v>
      </c>
      <c r="I788">
        <v>328</v>
      </c>
      <c r="J788">
        <v>4.5</v>
      </c>
      <c r="O788">
        <f>I788/H788</f>
        <v>36.44444444444444</v>
      </c>
      <c r="P788">
        <f>2+4*J788/1000</f>
        <v>2.018</v>
      </c>
    </row>
    <row r="789">
      <c r="C789" t="str">
        <v>PK 6</v>
      </c>
      <c r="E789" t="str">
        <v>SGJ</v>
      </c>
      <c r="H789">
        <f>5*20*0.3^2</f>
        <v>9</v>
      </c>
      <c r="I789">
        <v>438</v>
      </c>
      <c r="J789">
        <v>6</v>
      </c>
      <c r="O789">
        <f>I789/H789</f>
        <v>48.666666666666664</v>
      </c>
      <c r="P789">
        <f>2+4*J789/1000</f>
        <v>2.024</v>
      </c>
    </row>
    <row r="790">
      <c r="C790" t="str">
        <v>PK 8</v>
      </c>
      <c r="E790" t="str">
        <v>SGJ</v>
      </c>
      <c r="H790">
        <f>5*20*0.3^2</f>
        <v>9</v>
      </c>
      <c r="I790">
        <v>583</v>
      </c>
      <c r="J790">
        <v>8</v>
      </c>
      <c r="O790">
        <f>I790/H790</f>
        <v>64.77777777777777</v>
      </c>
      <c r="P790">
        <f>2+4*J790/1000</f>
        <v>2.032</v>
      </c>
    </row>
    <row r="791">
      <c r="C791" t="str">
        <v>PK 9</v>
      </c>
      <c r="E791" t="str">
        <v>SGJ</v>
      </c>
      <c r="H791">
        <f>5*20*0.3^2</f>
        <v>9</v>
      </c>
      <c r="I791">
        <v>656</v>
      </c>
      <c r="J791">
        <v>9</v>
      </c>
      <c r="O791">
        <f>I791/H791</f>
        <v>72.88888888888889</v>
      </c>
      <c r="P791">
        <f>2+4*J791/1000</f>
        <v>2.036</v>
      </c>
    </row>
    <row r="792">
      <c r="C792" t="str">
        <v>PK 10</v>
      </c>
      <c r="E792" t="str">
        <v>SGJ</v>
      </c>
      <c r="H792">
        <f>5*20*0.3^2</f>
        <v>9</v>
      </c>
      <c r="I792">
        <v>729</v>
      </c>
      <c r="J792">
        <v>10</v>
      </c>
      <c r="O792">
        <f>I792/H792</f>
        <v>81</v>
      </c>
      <c r="P792">
        <f>2+4*J792/1000</f>
        <v>2.04</v>
      </c>
    </row>
    <row r="793">
      <c r="C793" t="str">
        <v>PK 12</v>
      </c>
      <c r="E793" t="str">
        <v>SGJ</v>
      </c>
      <c r="H793">
        <f>5*20*0.3^2</f>
        <v>9</v>
      </c>
      <c r="I793">
        <v>875</v>
      </c>
      <c r="J793">
        <v>12</v>
      </c>
      <c r="O793">
        <f>I793/H793</f>
        <v>97.22222222222223</v>
      </c>
      <c r="P793">
        <f>2+4*J793/1000</f>
        <v>2.048</v>
      </c>
    </row>
    <row r="794">
      <c r="C794" t="str">
        <v>PK 14</v>
      </c>
      <c r="E794" t="str">
        <v>SGJ</v>
      </c>
      <c r="H794">
        <f>5*20*0.3^2</f>
        <v>9</v>
      </c>
      <c r="I794">
        <v>1021</v>
      </c>
      <c r="J794">
        <v>14</v>
      </c>
      <c r="O794">
        <f>I794/H794</f>
        <v>113.44444444444444</v>
      </c>
      <c r="P794">
        <f>2+4*J794/1000</f>
        <v>2.056</v>
      </c>
    </row>
    <row r="795">
      <c r="C795" t="str">
        <v>PK 15</v>
      </c>
      <c r="E795" t="str">
        <v>SGJ</v>
      </c>
      <c r="H795">
        <f>5*20*0.3^2</f>
        <v>9</v>
      </c>
      <c r="I795">
        <v>1094</v>
      </c>
      <c r="J795">
        <v>15</v>
      </c>
      <c r="O795">
        <f>I795/H795</f>
        <v>121.55555555555556</v>
      </c>
      <c r="P795">
        <f>2+4*J795/1000</f>
        <v>2.06</v>
      </c>
    </row>
    <row r="796">
      <c r="C796" t="str">
        <v>PK 16</v>
      </c>
      <c r="E796" t="str">
        <v>SGJ</v>
      </c>
      <c r="H796">
        <f>5*20*0.3^2</f>
        <v>9</v>
      </c>
      <c r="I796">
        <v>1167</v>
      </c>
      <c r="J796">
        <v>16</v>
      </c>
      <c r="O796">
        <f>I796/H796</f>
        <v>129.66666666666666</v>
      </c>
      <c r="P796">
        <f>2+4*J796/1000</f>
        <v>2.064</v>
      </c>
    </row>
    <row r="797">
      <c r="C797" t="str">
        <v>PK 18</v>
      </c>
      <c r="E797" t="str">
        <v>SGJ</v>
      </c>
      <c r="H797">
        <f>5*20*0.3^2</f>
        <v>9</v>
      </c>
      <c r="I797">
        <v>1313</v>
      </c>
      <c r="J797">
        <v>18</v>
      </c>
      <c r="O797">
        <f>I797/H797</f>
        <v>145.88888888888889</v>
      </c>
      <c r="P797">
        <f>2+4*J797/1000</f>
        <v>2.072</v>
      </c>
    </row>
    <row r="798">
      <c r="C798" t="str">
        <v>PK 19</v>
      </c>
      <c r="E798" t="str">
        <v>SGJ</v>
      </c>
      <c r="H798">
        <f>5*20*0.3^2</f>
        <v>9</v>
      </c>
      <c r="I798">
        <v>1386</v>
      </c>
      <c r="J798">
        <v>19</v>
      </c>
      <c r="O798">
        <f>I798/H798</f>
        <v>154</v>
      </c>
      <c r="P798">
        <f>2+4*J798/1000</f>
        <v>2.076</v>
      </c>
    </row>
    <row r="799">
      <c r="C799" t="str">
        <v>PK 21</v>
      </c>
      <c r="E799" t="str">
        <v>SGJ</v>
      </c>
      <c r="H799">
        <f>5*20*0.3^2</f>
        <v>9</v>
      </c>
      <c r="I799">
        <v>1531</v>
      </c>
      <c r="J799">
        <v>21</v>
      </c>
      <c r="O799">
        <f>I799/H799</f>
        <v>170.11111111111111</v>
      </c>
      <c r="P799">
        <f>2+4*J799/1000</f>
        <v>2.084</v>
      </c>
    </row>
    <row r="800">
      <c r="C800" t="str">
        <v>PK 25</v>
      </c>
      <c r="E800" t="str">
        <v>SGJ</v>
      </c>
      <c r="H800">
        <f>5*20*0.3^2</f>
        <v>9</v>
      </c>
      <c r="I800">
        <v>1823</v>
      </c>
      <c r="J800">
        <v>25</v>
      </c>
      <c r="O800">
        <f>I800/H800</f>
        <v>202.55555555555554</v>
      </c>
      <c r="P800">
        <f>2+4*J800/1000</f>
        <v>2.1</v>
      </c>
    </row>
    <row r="801">
      <c r="B801" t="str">
        <v>Plat Kapal 6' x 20' (PKS)</v>
      </c>
      <c r="C801" t="str">
        <v>PKS 4,5</v>
      </c>
      <c r="E801" t="str">
        <v>SGJ</v>
      </c>
      <c r="H801">
        <f>6*20*0.3^2</f>
        <v>10.799999999999999</v>
      </c>
      <c r="I801">
        <v>394</v>
      </c>
      <c r="J801">
        <v>4.5</v>
      </c>
      <c r="O801">
        <f>I801/H801</f>
        <v>36.48148148148149</v>
      </c>
      <c r="P801">
        <f>2+4*J801/1000</f>
        <v>2.018</v>
      </c>
    </row>
    <row r="802">
      <c r="C802" t="str">
        <v>PKS 6</v>
      </c>
      <c r="E802" t="str">
        <v>SGJ</v>
      </c>
      <c r="H802">
        <f>6*20*0.3^2</f>
        <v>10.799999999999999</v>
      </c>
      <c r="I802">
        <v>525</v>
      </c>
      <c r="J802">
        <v>6</v>
      </c>
      <c r="O802">
        <f>I802/H802</f>
        <v>48.611111111111114</v>
      </c>
      <c r="P802">
        <f>2+4*J802/1000</f>
        <v>2.024</v>
      </c>
    </row>
    <row r="803">
      <c r="C803" t="str">
        <v>PKS 8</v>
      </c>
      <c r="E803" t="str">
        <v>SGJ</v>
      </c>
      <c r="H803">
        <f>6*20*0.3^2</f>
        <v>10.799999999999999</v>
      </c>
      <c r="I803">
        <v>709</v>
      </c>
      <c r="J803">
        <v>8</v>
      </c>
      <c r="O803">
        <f>I803/H803</f>
        <v>65.64814814814815</v>
      </c>
      <c r="P803">
        <f>2+4*J803/1000</f>
        <v>2.032</v>
      </c>
    </row>
    <row r="804">
      <c r="C804" t="str">
        <v>PKS 9</v>
      </c>
      <c r="E804" t="str">
        <v>SGJ</v>
      </c>
      <c r="H804">
        <f>6*20*0.3^2</f>
        <v>10.799999999999999</v>
      </c>
      <c r="I804">
        <v>788</v>
      </c>
      <c r="J804">
        <v>9</v>
      </c>
      <c r="O804">
        <f>I804/H804</f>
        <v>72.96296296296298</v>
      </c>
      <c r="P804">
        <f>2+4*J804/1000</f>
        <v>2.036</v>
      </c>
    </row>
    <row r="805">
      <c r="C805" t="str">
        <v>PKS 10</v>
      </c>
      <c r="E805" t="str">
        <v>SGJ</v>
      </c>
      <c r="H805">
        <f>6*20*0.3^2</f>
        <v>10.799999999999999</v>
      </c>
      <c r="I805">
        <v>875</v>
      </c>
      <c r="J805">
        <v>10</v>
      </c>
      <c r="O805">
        <f>I805/H805</f>
        <v>81.01851851851853</v>
      </c>
      <c r="P805">
        <f>2+4*J805/1000</f>
        <v>2.04</v>
      </c>
    </row>
    <row r="806">
      <c r="C806" t="str">
        <v>PKS 12</v>
      </c>
      <c r="E806" t="str">
        <v>SGJ</v>
      </c>
      <c r="H806">
        <f>6*20*0.3^2</f>
        <v>10.799999999999999</v>
      </c>
      <c r="I806">
        <v>1050</v>
      </c>
      <c r="J806">
        <v>12</v>
      </c>
      <c r="O806">
        <f>I806/H806</f>
        <v>97.22222222222223</v>
      </c>
      <c r="P806">
        <f>2+4*J806/1000</f>
        <v>2.048</v>
      </c>
    </row>
    <row r="807">
      <c r="C807" t="str">
        <v>PKS 14</v>
      </c>
      <c r="E807" t="str">
        <v>SGJ</v>
      </c>
      <c r="H807">
        <f>6*20*0.3^2</f>
        <v>10.799999999999999</v>
      </c>
      <c r="I807">
        <v>1225</v>
      </c>
      <c r="J807">
        <v>14</v>
      </c>
      <c r="O807">
        <f>I807/H807</f>
        <v>113.42592592592594</v>
      </c>
      <c r="P807">
        <f>2+4*J807/1000</f>
        <v>2.056</v>
      </c>
    </row>
    <row r="808">
      <c r="C808" t="str">
        <v>PKS 15</v>
      </c>
      <c r="E808" t="str">
        <v>SGJ</v>
      </c>
      <c r="H808">
        <f>6*20*0.3^2</f>
        <v>10.799999999999999</v>
      </c>
      <c r="I808">
        <v>1313</v>
      </c>
      <c r="J808">
        <v>15</v>
      </c>
      <c r="O808">
        <f>I808/H808</f>
        <v>121.57407407407409</v>
      </c>
      <c r="P808">
        <f>2+4*J808/1000</f>
        <v>2.06</v>
      </c>
    </row>
    <row r="809">
      <c r="C809" t="str">
        <v>PKS 16</v>
      </c>
      <c r="E809" t="str">
        <v>SGJ</v>
      </c>
      <c r="H809">
        <f>6*20*0.3^2</f>
        <v>10.799999999999999</v>
      </c>
      <c r="I809">
        <v>1400</v>
      </c>
      <c r="J809">
        <v>16</v>
      </c>
      <c r="O809">
        <f>I809/H809</f>
        <v>129.62962962962965</v>
      </c>
      <c r="P809">
        <f>2+4*J809/1000</f>
        <v>2.064</v>
      </c>
    </row>
    <row r="810">
      <c r="C810" t="str">
        <v>PKS 18</v>
      </c>
      <c r="E810" t="str">
        <v>SGJ</v>
      </c>
      <c r="H810">
        <f>6*20*0.3^2</f>
        <v>10.799999999999999</v>
      </c>
      <c r="I810">
        <v>1575</v>
      </c>
      <c r="J810">
        <v>18</v>
      </c>
      <c r="O810">
        <f>I810/H810</f>
        <v>145.83333333333334</v>
      </c>
      <c r="P810">
        <f>2+4*J810/1000</f>
        <v>2.072</v>
      </c>
    </row>
    <row r="811">
      <c r="C811" t="str">
        <v>PKS 19</v>
      </c>
      <c r="E811" t="str">
        <v>SGJ</v>
      </c>
      <c r="H811">
        <f>6*20*0.3^2</f>
        <v>10.799999999999999</v>
      </c>
      <c r="I811">
        <v>1664</v>
      </c>
      <c r="J811">
        <v>19</v>
      </c>
      <c r="O811">
        <f>I811/H811</f>
        <v>154.07407407407408</v>
      </c>
      <c r="P811">
        <f>2+4*J811/1000</f>
        <v>2.076</v>
      </c>
    </row>
    <row r="812">
      <c r="C812" t="str">
        <v>PKS 21</v>
      </c>
      <c r="E812" t="str">
        <v>SGJ</v>
      </c>
      <c r="H812">
        <f>6*20*0.3^2</f>
        <v>10.799999999999999</v>
      </c>
      <c r="I812">
        <v>1838</v>
      </c>
      <c r="J812">
        <v>21</v>
      </c>
      <c r="O812">
        <f>I812/H812</f>
        <v>170.1851851851852</v>
      </c>
      <c r="P812">
        <f>2+4*J812/1000</f>
        <v>2.084</v>
      </c>
    </row>
    <row r="813">
      <c r="C813" t="str">
        <v>PKS 25</v>
      </c>
      <c r="E813" t="str">
        <v>SGJ</v>
      </c>
      <c r="H813">
        <f>6*20*0.3^2</f>
        <v>10.799999999999999</v>
      </c>
      <c r="I813">
        <v>2188</v>
      </c>
      <c r="J813">
        <v>25</v>
      </c>
      <c r="O813">
        <f>I813/H813</f>
        <v>202.5925925925926</v>
      </c>
      <c r="P813">
        <f>2+4*J813/1000</f>
        <v>2.1</v>
      </c>
    </row>
    <row r="814">
      <c r="B814" t="str">
        <v>Plat Kapal 5' x 20' (PK)</v>
      </c>
      <c r="C814" t="str">
        <v>PK 3/16"</v>
      </c>
      <c r="E814" t="str">
        <v>SGJ</v>
      </c>
      <c r="H814">
        <f>5*20*0.3^2</f>
        <v>9</v>
      </c>
      <c r="I814">
        <v>347</v>
      </c>
      <c r="J814">
        <f>3/16*25.4</f>
        <v>4.762499999999999</v>
      </c>
      <c r="O814">
        <f>I814/H814</f>
        <v>38.55555555555556</v>
      </c>
      <c r="P814">
        <f>2+4*J814/1000</f>
        <v>2.01905</v>
      </c>
    </row>
    <row r="815">
      <c r="C815" t="str">
        <v>PK 1/4"</v>
      </c>
      <c r="E815" t="str">
        <v>SGJ</v>
      </c>
      <c r="H815">
        <f>5*20*0.3^2</f>
        <v>9</v>
      </c>
      <c r="I815">
        <v>463</v>
      </c>
      <c r="J815">
        <f>25.4*1/4</f>
        <v>6.35</v>
      </c>
      <c r="O815">
        <f>I815/H815</f>
        <v>51.44444444444444</v>
      </c>
      <c r="P815">
        <f>2+4*J815/1000</f>
        <v>2.0254</v>
      </c>
    </row>
    <row r="816">
      <c r="C816" t="str">
        <v>PK 5/16"</v>
      </c>
      <c r="E816" t="str">
        <v>SGJ</v>
      </c>
      <c r="H816">
        <f>5*20*0.3^2</f>
        <v>9</v>
      </c>
      <c r="I816">
        <v>579</v>
      </c>
      <c r="J816">
        <f>25.4*5/16</f>
        <v>7.9375</v>
      </c>
      <c r="O816">
        <f>I816/H816</f>
        <v>64.33333333333333</v>
      </c>
      <c r="P816">
        <f>2+4*J816/1000</f>
        <v>2.03175</v>
      </c>
    </row>
    <row r="817">
      <c r="C817" t="str">
        <v>PK 3/8"</v>
      </c>
      <c r="E817" t="str">
        <v>SGJ</v>
      </c>
      <c r="H817">
        <f>5*20*0.3^2</f>
        <v>9</v>
      </c>
      <c r="I817">
        <v>695</v>
      </c>
      <c r="J817">
        <f>25.4*3/8</f>
        <v>9.524999999999999</v>
      </c>
      <c r="O817">
        <f>I817/H817</f>
        <v>77.22222222222223</v>
      </c>
      <c r="P817">
        <f>2+4*J817/1000</f>
        <v>2.0381</v>
      </c>
    </row>
    <row r="818">
      <c r="C818" t="str">
        <v>PK 7/16"</v>
      </c>
      <c r="E818" t="str">
        <v>SGJ</v>
      </c>
      <c r="H818">
        <f>5*20*0.3^2</f>
        <v>9</v>
      </c>
      <c r="I818">
        <v>810</v>
      </c>
      <c r="J818">
        <f>25.4*7/16</f>
        <v>11.112499999999999</v>
      </c>
      <c r="O818">
        <f>I818/H818</f>
        <v>90</v>
      </c>
      <c r="P818">
        <f>2+4*J818/1000</f>
        <v>2.04445</v>
      </c>
    </row>
    <row r="819">
      <c r="C819" t="str">
        <v>PK 1/2"</v>
      </c>
      <c r="E819" t="str">
        <v>SGJ</v>
      </c>
      <c r="H819">
        <f>5*20*0.3^2</f>
        <v>9</v>
      </c>
      <c r="I819">
        <v>926</v>
      </c>
      <c r="J819">
        <f>25.481/2</f>
        <v>12.7405</v>
      </c>
      <c r="O819">
        <f>I819/H819</f>
        <v>102.88888888888889</v>
      </c>
      <c r="P819">
        <f>2+4*J819/1000</f>
        <v>2.050962</v>
      </c>
    </row>
    <row r="820">
      <c r="C820" t="str">
        <v>PK 9/16"</v>
      </c>
      <c r="E820" t="str">
        <v>SGJ</v>
      </c>
      <c r="H820">
        <f>5*20*0.3^2</f>
        <v>9</v>
      </c>
      <c r="I820">
        <v>1042</v>
      </c>
      <c r="J820">
        <f>25.4*9/16</f>
        <v>14.2875</v>
      </c>
      <c r="O820">
        <f>I820/H820</f>
        <v>115.77777777777777</v>
      </c>
      <c r="P820">
        <f>2+4*J820/1000</f>
        <v>2.05715</v>
      </c>
    </row>
    <row r="821">
      <c r="C821" t="str">
        <v>PK 5/8"</v>
      </c>
      <c r="E821" t="str">
        <v>SGJ</v>
      </c>
      <c r="H821">
        <f>5*20*0.3^2</f>
        <v>9</v>
      </c>
      <c r="I821">
        <v>1158</v>
      </c>
      <c r="J821">
        <f>25.5*5/8</f>
        <v>15.9375</v>
      </c>
      <c r="O821">
        <f>I821/H821</f>
        <v>128.66666666666666</v>
      </c>
      <c r="P821">
        <f>2+4*J821/1000</f>
        <v>2.06375</v>
      </c>
    </row>
    <row r="822">
      <c r="C822" t="str">
        <v>PK 11/16"</v>
      </c>
      <c r="E822" t="str">
        <v>SGJ</v>
      </c>
      <c r="H822">
        <f>5*20*0.3^2</f>
        <v>9</v>
      </c>
      <c r="I822">
        <v>1274</v>
      </c>
      <c r="J822">
        <f>25.4*11/16</f>
        <v>17.4625</v>
      </c>
      <c r="O822">
        <f>I822/H822</f>
        <v>141.55555555555554</v>
      </c>
      <c r="P822">
        <f>2+4*J822/1000</f>
        <v>2.06985</v>
      </c>
    </row>
    <row r="823">
      <c r="C823" t="str">
        <v>PK 3/4"</v>
      </c>
      <c r="E823" t="str">
        <v>SGJ</v>
      </c>
      <c r="H823">
        <f>5*20*0.3^2</f>
        <v>9</v>
      </c>
      <c r="I823">
        <v>1389</v>
      </c>
      <c r="J823">
        <f>25.4*3/4</f>
        <v>19.049999999999997</v>
      </c>
      <c r="O823">
        <f>I823/H823</f>
        <v>154.33333333333334</v>
      </c>
      <c r="P823">
        <f>2+4*J823/1000</f>
        <v>2.0762</v>
      </c>
    </row>
    <row r="824">
      <c r="C824" t="str">
        <v>PK 13/16"</v>
      </c>
      <c r="E824" t="str">
        <v>SGJ</v>
      </c>
      <c r="H824">
        <f>5*20*0.3^2</f>
        <v>9</v>
      </c>
      <c r="I824">
        <v>1505</v>
      </c>
      <c r="J824">
        <f>25.4*13/16</f>
        <v>20.6375</v>
      </c>
      <c r="O824">
        <f>I824/H824</f>
        <v>167.22222222222223</v>
      </c>
      <c r="P824">
        <f>2+4*J824/1000</f>
        <v>2.08255</v>
      </c>
    </row>
    <row r="825">
      <c r="C825" t="str">
        <v>PK 7/8"</v>
      </c>
      <c r="E825" t="str">
        <v>SGJ</v>
      </c>
      <c r="H825">
        <f>5*20*0.3^2</f>
        <v>9</v>
      </c>
      <c r="I825">
        <v>1620</v>
      </c>
      <c r="J825">
        <f>25.4*7/8</f>
        <v>22.224999999999998</v>
      </c>
      <c r="O825">
        <f>I825/H825</f>
        <v>180</v>
      </c>
      <c r="P825">
        <f>2+4*J825/1000</f>
        <v>2.0889</v>
      </c>
    </row>
    <row r="826">
      <c r="C826" t="str">
        <v>PK 15/16"</v>
      </c>
      <c r="E826" t="str">
        <v>SGJ</v>
      </c>
      <c r="H826">
        <f>5*20*0.3^2</f>
        <v>9</v>
      </c>
      <c r="I826">
        <v>1736</v>
      </c>
      <c r="J826">
        <f>25.4*15/16</f>
        <v>23.8125</v>
      </c>
      <c r="O826">
        <f>I826/H826</f>
        <v>192.88888888888889</v>
      </c>
      <c r="P826">
        <f>2+4*J826/1000</f>
        <v>2.09525</v>
      </c>
    </row>
    <row r="827">
      <c r="C827" t="str">
        <v>PK 1"</v>
      </c>
      <c r="E827" t="str">
        <v>SGJ</v>
      </c>
      <c r="H827">
        <f>5*20*0.3^2</f>
        <v>9</v>
      </c>
      <c r="I827">
        <v>1852</v>
      </c>
      <c r="J827">
        <v>25.4</v>
      </c>
      <c r="O827">
        <f>I827/H827</f>
        <v>205.77777777777777</v>
      </c>
      <c r="P827">
        <f>2+4*J827/1000</f>
        <v>2.1016</v>
      </c>
    </row>
    <row r="828">
      <c r="B828" t="str">
        <v>Plat Kapal 6' x 20' (PK)</v>
      </c>
      <c r="C828" t="str">
        <v>PKS 3/16"</v>
      </c>
      <c r="E828" t="str">
        <v>SGJ</v>
      </c>
      <c r="H828">
        <f>6*20*0.3^2</f>
        <v>10.799999999999999</v>
      </c>
      <c r="I828">
        <v>417</v>
      </c>
      <c r="J828">
        <f>3/16*25.4</f>
        <v>4.762499999999999</v>
      </c>
      <c r="O828">
        <f>I828/H828</f>
        <v>38.611111111111114</v>
      </c>
      <c r="P828">
        <f>2+4*J828/1000</f>
        <v>2.01905</v>
      </c>
    </row>
    <row r="829">
      <c r="C829" t="str">
        <v>PKS 1/4"</v>
      </c>
      <c r="E829" t="str">
        <v>SGJ</v>
      </c>
      <c r="H829">
        <f>6*20*0.3^2</f>
        <v>10.799999999999999</v>
      </c>
      <c r="I829">
        <v>556</v>
      </c>
      <c r="J829">
        <f>25.4*1/4</f>
        <v>6.35</v>
      </c>
      <c r="O829">
        <f>I829/H829</f>
        <v>51.48148148148149</v>
      </c>
      <c r="P829">
        <f>2+4*J829/1000</f>
        <v>2.0254</v>
      </c>
    </row>
    <row r="830">
      <c r="C830" t="str">
        <v>PKS 5/16"</v>
      </c>
      <c r="E830" t="str">
        <v>SGJ</v>
      </c>
      <c r="H830">
        <f>6*20*0.3^2</f>
        <v>10.799999999999999</v>
      </c>
      <c r="I830">
        <v>695</v>
      </c>
      <c r="J830">
        <f>25.4*5/16</f>
        <v>7.9375</v>
      </c>
      <c r="O830">
        <f>I830/H830</f>
        <v>64.35185185185186</v>
      </c>
      <c r="P830">
        <f>2+4*J830/1000</f>
        <v>2.03175</v>
      </c>
    </row>
    <row r="831">
      <c r="C831" t="str">
        <v>PKS 3/8"</v>
      </c>
      <c r="E831" t="str">
        <v>SGJ</v>
      </c>
      <c r="H831">
        <f>6*20*0.3^2</f>
        <v>10.799999999999999</v>
      </c>
      <c r="I831">
        <v>834</v>
      </c>
      <c r="J831">
        <f>25.4*3/8</f>
        <v>9.524999999999999</v>
      </c>
      <c r="O831">
        <f>I831/H831</f>
        <v>77.22222222222223</v>
      </c>
      <c r="P831">
        <f>2+4*J831/1000</f>
        <v>2.0381</v>
      </c>
    </row>
    <row r="832">
      <c r="C832" t="str">
        <v>PKS 7/16"</v>
      </c>
      <c r="E832" t="str">
        <v>SGJ</v>
      </c>
      <c r="H832">
        <f>6*20*0.3^2</f>
        <v>10.799999999999999</v>
      </c>
      <c r="I832">
        <v>972</v>
      </c>
      <c r="J832">
        <f>25.4*7/16</f>
        <v>11.112499999999999</v>
      </c>
      <c r="O832">
        <f>I832/H832</f>
        <v>90.00000000000001</v>
      </c>
      <c r="P832">
        <f>2+4*J832/1000</f>
        <v>2.04445</v>
      </c>
    </row>
    <row r="833">
      <c r="C833" t="str">
        <v>PKS 1/2"</v>
      </c>
      <c r="E833" t="str">
        <v>SGJ</v>
      </c>
      <c r="H833">
        <f>6*20*0.3^2</f>
        <v>10.799999999999999</v>
      </c>
      <c r="I833">
        <v>1112</v>
      </c>
      <c r="J833">
        <f>25.481/2</f>
        <v>12.7405</v>
      </c>
      <c r="O833">
        <f>I833/H833</f>
        <v>102.96296296296298</v>
      </c>
      <c r="P833">
        <f>2+4*J833/1000</f>
        <v>2.050962</v>
      </c>
    </row>
    <row r="834">
      <c r="C834" t="str">
        <v>PKS 9/16"</v>
      </c>
      <c r="E834" t="str">
        <v>SGJ</v>
      </c>
      <c r="H834">
        <f>6*20*0.3^2</f>
        <v>10.799999999999999</v>
      </c>
      <c r="I834">
        <v>1251</v>
      </c>
      <c r="J834">
        <f>25.4*9/16</f>
        <v>14.2875</v>
      </c>
      <c r="O834">
        <f>I834/H834</f>
        <v>115.83333333333334</v>
      </c>
      <c r="P834">
        <f>2+4*J834/1000</f>
        <v>2.05715</v>
      </c>
    </row>
    <row r="835">
      <c r="C835" t="str">
        <v>PKS 5/8"</v>
      </c>
      <c r="E835" t="str">
        <v>SGJ</v>
      </c>
      <c r="H835">
        <f>6*20*0.3^2</f>
        <v>10.799999999999999</v>
      </c>
      <c r="I835">
        <v>1390</v>
      </c>
      <c r="J835">
        <f>25.5*5/8</f>
        <v>15.9375</v>
      </c>
      <c r="O835">
        <f>I835/H835</f>
        <v>128.70370370370372</v>
      </c>
      <c r="P835">
        <f>2+4*J835/1000</f>
        <v>2.06375</v>
      </c>
    </row>
    <row r="836">
      <c r="C836" t="str">
        <v>PKS 11/16"</v>
      </c>
      <c r="E836" t="str">
        <v>SGJ</v>
      </c>
      <c r="H836">
        <f>6*20*0.3^2</f>
        <v>10.799999999999999</v>
      </c>
      <c r="I836">
        <v>1529</v>
      </c>
      <c r="J836">
        <f>25.4*11/16</f>
        <v>17.4625</v>
      </c>
      <c r="O836">
        <f>I836/H836</f>
        <v>141.57407407407408</v>
      </c>
      <c r="P836">
        <f>2+4*J836/1000</f>
        <v>2.06985</v>
      </c>
    </row>
    <row r="837">
      <c r="C837" t="str">
        <v>PKS 3/4"</v>
      </c>
      <c r="E837" t="str">
        <v>SGJ</v>
      </c>
      <c r="H837">
        <f>6*20*0.3^2</f>
        <v>10.799999999999999</v>
      </c>
      <c r="I837">
        <v>1667</v>
      </c>
      <c r="J837">
        <f>25.4*3/4</f>
        <v>19.049999999999997</v>
      </c>
      <c r="O837">
        <f>I837/H837</f>
        <v>154.35185185185188</v>
      </c>
      <c r="P837">
        <f>2+4*J837/1000</f>
        <v>2.0762</v>
      </c>
    </row>
    <row r="838">
      <c r="C838" t="str">
        <v>PKS 13/16"</v>
      </c>
      <c r="E838" t="str">
        <v>SGJ</v>
      </c>
      <c r="H838">
        <f>6*20*0.3^2</f>
        <v>10.799999999999999</v>
      </c>
      <c r="I838">
        <v>1806</v>
      </c>
      <c r="J838">
        <f>25.4*13/16</f>
        <v>20.6375</v>
      </c>
      <c r="O838">
        <f>I838/H838</f>
        <v>167.22222222222223</v>
      </c>
      <c r="P838">
        <f>2+4*J838/1000</f>
        <v>2.08255</v>
      </c>
    </row>
    <row r="839">
      <c r="C839" t="str">
        <v>PKS 7/8"</v>
      </c>
      <c r="E839" t="str">
        <v>SGJ</v>
      </c>
      <c r="H839">
        <f>6*20*0.3^2</f>
        <v>10.799999999999999</v>
      </c>
      <c r="I839">
        <v>1945</v>
      </c>
      <c r="J839">
        <f>25.4*7/8</f>
        <v>22.224999999999998</v>
      </c>
      <c r="O839">
        <f>I839/H839</f>
        <v>180.0925925925926</v>
      </c>
      <c r="P839">
        <f>2+4*J839/1000</f>
        <v>2.0889</v>
      </c>
    </row>
    <row r="840">
      <c r="C840" t="str">
        <v>PKS 15/16"</v>
      </c>
      <c r="E840" t="str">
        <v>SGJ</v>
      </c>
      <c r="H840">
        <f>6*20*0.3^2</f>
        <v>10.799999999999999</v>
      </c>
      <c r="I840">
        <v>2084</v>
      </c>
      <c r="J840">
        <f>25.4*15/16</f>
        <v>23.8125</v>
      </c>
      <c r="O840">
        <f>I840/H840</f>
        <v>192.962962962963</v>
      </c>
      <c r="P840">
        <f>2+4*J840/1000</f>
        <v>2.09525</v>
      </c>
    </row>
    <row r="841">
      <c r="C841" t="str">
        <v>PKS 1"</v>
      </c>
      <c r="E841" t="str">
        <v>SGJ</v>
      </c>
      <c r="H841">
        <f>6*20*0.3^2</f>
        <v>10.799999999999999</v>
      </c>
      <c r="I841">
        <v>2223</v>
      </c>
      <c r="J841">
        <v>25.4</v>
      </c>
      <c r="O841">
        <f>I841/H841</f>
        <v>205.83333333333334</v>
      </c>
      <c r="P841">
        <f>2+4*J841/1000</f>
        <v>2.1016</v>
      </c>
    </row>
    <row r="842">
      <c r="B842" t="str">
        <v>Plat Bordes 4' x 8' (PB)</v>
      </c>
      <c r="C842" t="str">
        <v>PB 2,3</v>
      </c>
      <c r="E842" t="str">
        <v>SGJ</v>
      </c>
      <c r="H842">
        <f>4*8*0.3^2</f>
        <v>2.88</v>
      </c>
      <c r="I842">
        <v>59</v>
      </c>
      <c r="J842">
        <v>2.3</v>
      </c>
      <c r="O842">
        <f>I842/H842</f>
        <v>20.48611111111111</v>
      </c>
      <c r="P842">
        <f>2+4*J842/1000</f>
        <v>2.0092</v>
      </c>
    </row>
    <row r="843">
      <c r="C843" t="str">
        <v>PB 3</v>
      </c>
      <c r="E843" t="str">
        <v>SGJ</v>
      </c>
      <c r="H843">
        <f>4*8*0.3^2</f>
        <v>2.88</v>
      </c>
      <c r="I843">
        <v>75</v>
      </c>
      <c r="J843">
        <v>3</v>
      </c>
      <c r="O843">
        <f>I843/H843</f>
        <v>26.041666666666668</v>
      </c>
      <c r="P843">
        <f>2+4*J843/1000</f>
        <v>2.012</v>
      </c>
    </row>
    <row r="844">
      <c r="C844" t="str">
        <v>PB 3,2</v>
      </c>
      <c r="E844" t="str">
        <v>SGJ</v>
      </c>
      <c r="H844">
        <f>4*8*0.3^2</f>
        <v>2.88</v>
      </c>
      <c r="I844">
        <v>79.6</v>
      </c>
      <c r="J844">
        <v>3.2</v>
      </c>
      <c r="O844">
        <f>I844/H844</f>
        <v>27.63888888888889</v>
      </c>
      <c r="P844">
        <f>2+4*J844/1000</f>
        <v>2.0128</v>
      </c>
    </row>
    <row r="845">
      <c r="C845" t="str">
        <v>PB 3,6</v>
      </c>
      <c r="H845">
        <f>4*8*0.3^2</f>
        <v>2.88</v>
      </c>
      <c r="I845">
        <v>89</v>
      </c>
      <c r="J845">
        <v>3.6</v>
      </c>
      <c r="O845">
        <f>I845/H845</f>
        <v>30.90277777777778</v>
      </c>
      <c r="P845">
        <f>2+4*J845/1000</f>
        <v>2.0144</v>
      </c>
    </row>
    <row r="846">
      <c r="C846" t="str">
        <v>PB 4</v>
      </c>
      <c r="H846">
        <f>4*8*0.3^2</f>
        <v>2.88</v>
      </c>
      <c r="I846">
        <v>98.32</v>
      </c>
      <c r="J846">
        <v>4</v>
      </c>
      <c r="O846">
        <f>I846/H846</f>
        <v>34.138888888888886</v>
      </c>
      <c r="P846">
        <f>2+4*J846/1000</f>
        <v>2.016</v>
      </c>
    </row>
    <row r="847">
      <c r="C847" t="str">
        <v>PB 4,5</v>
      </c>
      <c r="E847" t="str">
        <v>SGJ</v>
      </c>
      <c r="H847">
        <f>4*8*0.3^2</f>
        <v>2.88</v>
      </c>
      <c r="I847">
        <v>110</v>
      </c>
      <c r="J847">
        <v>4.5</v>
      </c>
      <c r="O847">
        <f>I847/H847</f>
        <v>38.19444444444444</v>
      </c>
      <c r="P847">
        <f>2+4*J847/1000</f>
        <v>2.018</v>
      </c>
    </row>
    <row r="848">
      <c r="C848" t="str">
        <v>PB 5</v>
      </c>
      <c r="H848">
        <f>4*8*0.3^2</f>
        <v>2.88</v>
      </c>
      <c r="I848">
        <v>122</v>
      </c>
      <c r="J848">
        <v>5</v>
      </c>
      <c r="O848">
        <f>I848/H848</f>
        <v>42.361111111111114</v>
      </c>
      <c r="P848">
        <f>2+4*J848/1000</f>
        <v>2.02</v>
      </c>
    </row>
    <row r="849">
      <c r="C849" t="str">
        <v>PB 6</v>
      </c>
      <c r="E849" t="str">
        <v>SGJ</v>
      </c>
      <c r="H849">
        <f>4*8*0.3^2</f>
        <v>2.88</v>
      </c>
      <c r="I849">
        <v>145</v>
      </c>
      <c r="J849">
        <v>6</v>
      </c>
      <c r="O849">
        <f>I849/H849</f>
        <v>50.34722222222222</v>
      </c>
      <c r="P849">
        <f>2+4*J849/1000</f>
        <v>2.024</v>
      </c>
    </row>
    <row r="850">
      <c r="C850" t="str">
        <v>PB 8</v>
      </c>
      <c r="E850" t="str">
        <v>SGJ</v>
      </c>
      <c r="H850">
        <f>4*8*0.3^2</f>
        <v>2.88</v>
      </c>
      <c r="I850">
        <v>192</v>
      </c>
      <c r="J850">
        <v>8</v>
      </c>
      <c r="O850">
        <f>I850/H850</f>
        <v>66.66666666666667</v>
      </c>
      <c r="P850">
        <f>2+4*J850/1000</f>
        <v>2.032</v>
      </c>
    </row>
    <row r="851">
      <c r="C851" t="str">
        <v>PB 9</v>
      </c>
      <c r="E851" t="str">
        <v>SGJ</v>
      </c>
      <c r="H851">
        <f>4*8*0.3^2</f>
        <v>2.88</v>
      </c>
      <c r="I851">
        <v>215</v>
      </c>
      <c r="J851">
        <v>9</v>
      </c>
      <c r="O851">
        <f>I851/H851</f>
        <v>74.65277777777779</v>
      </c>
      <c r="P851">
        <f>2+4*J851/1000</f>
        <v>2.036</v>
      </c>
    </row>
    <row r="852">
      <c r="B852" t="str">
        <v>Plat Strip (PS)</v>
      </c>
      <c r="C852" t="str">
        <v>PS 5/8"x1/8"</v>
      </c>
      <c r="E852" t="str">
        <v>SGJ</v>
      </c>
      <c r="H852">
        <v>6</v>
      </c>
      <c r="I852">
        <v>2.26</v>
      </c>
      <c r="J852">
        <f>25.4*5/8</f>
        <v>15.875</v>
      </c>
      <c r="K852">
        <f>25.4*1/8</f>
        <v>3.175</v>
      </c>
      <c r="O852">
        <f>I852/H852</f>
        <v>0.37666666666666665</v>
      </c>
      <c r="P852">
        <f>2*(J852+K852)/1000</f>
        <v>0.0381</v>
      </c>
    </row>
    <row r="853">
      <c r="C853" t="str">
        <v>PS 5/8"x3/16"</v>
      </c>
      <c r="E853" t="str">
        <v>SGJ</v>
      </c>
      <c r="H853">
        <v>6</v>
      </c>
      <c r="I853">
        <v>3.4</v>
      </c>
      <c r="J853">
        <f>25.4*5/8</f>
        <v>15.875</v>
      </c>
      <c r="K853">
        <f>25.4*3/16</f>
        <v>4.762499999999999</v>
      </c>
      <c r="O853">
        <f>I853/H853</f>
        <v>0.5666666666666667</v>
      </c>
      <c r="P853">
        <f>2*(J853+K853)/1000</f>
        <v>0.041275</v>
      </c>
    </row>
    <row r="854">
      <c r="C854" t="str">
        <v>PS 3/4"x1/8"</v>
      </c>
      <c r="E854" t="str">
        <v>SGJ</v>
      </c>
      <c r="H854">
        <v>6</v>
      </c>
      <c r="I854">
        <v>2.89</v>
      </c>
      <c r="J854">
        <f>25.4*3/4</f>
        <v>19.049999999999997</v>
      </c>
      <c r="K854">
        <f>25.4*1/8</f>
        <v>3.175</v>
      </c>
      <c r="O854">
        <f>I854/H854</f>
        <v>0.4816666666666667</v>
      </c>
      <c r="P854">
        <f>2*(J854+K854)/1000</f>
        <v>0.044449999999999996</v>
      </c>
    </row>
    <row r="855">
      <c r="C855" t="str">
        <v>PS 3/4"x3/16"</v>
      </c>
      <c r="E855" t="str">
        <v>SGJ</v>
      </c>
      <c r="H855">
        <v>6</v>
      </c>
      <c r="I855">
        <v>4.03</v>
      </c>
      <c r="J855">
        <f>25.4*3/4</f>
        <v>19.049999999999997</v>
      </c>
      <c r="K855">
        <f>25.4*3/16</f>
        <v>4.762499999999999</v>
      </c>
      <c r="O855">
        <f>I855/H855</f>
        <v>0.6716666666666667</v>
      </c>
      <c r="P855">
        <f>2*(J855+K855)/1000</f>
        <v>0.047624999999999994</v>
      </c>
    </row>
    <row r="856">
      <c r="C856" t="str">
        <v>PS 3/4"x1/4"</v>
      </c>
      <c r="E856" t="str">
        <v>SGJ</v>
      </c>
      <c r="H856">
        <v>6</v>
      </c>
      <c r="I856">
        <v>5.37</v>
      </c>
      <c r="J856">
        <f>25.4*3/4</f>
        <v>19.049999999999997</v>
      </c>
      <c r="K856">
        <f>25.4/4</f>
        <v>6.35</v>
      </c>
      <c r="O856">
        <f>I856/H856</f>
        <v>0.895</v>
      </c>
      <c r="P856">
        <f>2*(J856+K856)/1000</f>
        <v>0.0508</v>
      </c>
    </row>
    <row r="857">
      <c r="C857" t="str">
        <v>PS 3/4"x3/8"</v>
      </c>
      <c r="E857" t="str">
        <v>SGJ</v>
      </c>
      <c r="H857">
        <v>6</v>
      </c>
      <c r="I857">
        <v>10.5</v>
      </c>
      <c r="J857">
        <f>25.4*3/4</f>
        <v>19.049999999999997</v>
      </c>
      <c r="K857">
        <f>25.4*3/8</f>
        <v>9.524999999999999</v>
      </c>
      <c r="O857">
        <f>I857/H857</f>
        <v>1.75</v>
      </c>
      <c r="P857">
        <f>2*(J857+K857)/1000</f>
        <v>0.05714999999999999</v>
      </c>
    </row>
    <row r="858">
      <c r="C858" t="str">
        <v>PS 1 3/4"x1/4"</v>
      </c>
      <c r="E858" t="str">
        <v>SGJ</v>
      </c>
      <c r="H858">
        <v>6</v>
      </c>
      <c r="I858">
        <v>12.4</v>
      </c>
      <c r="J858">
        <f>25.4*7/4</f>
        <v>44.449999999999996</v>
      </c>
      <c r="K858">
        <f>25.4/4</f>
        <v>6.35</v>
      </c>
      <c r="O858">
        <f>I858/H858</f>
        <v>2.066666666666667</v>
      </c>
      <c r="P858">
        <f>2*(J858+K858)/1000</f>
        <v>0.1016</v>
      </c>
    </row>
    <row r="859">
      <c r="C859" t="str">
        <v>PS 1"x1/8"</v>
      </c>
      <c r="E859" t="str">
        <v>SGJ</v>
      </c>
      <c r="H859">
        <v>6</v>
      </c>
      <c r="I859">
        <v>3.6</v>
      </c>
      <c r="J859">
        <f>25.4</f>
        <v>25.4</v>
      </c>
      <c r="K859">
        <f>25.4*1/8</f>
        <v>3.175</v>
      </c>
      <c r="O859">
        <f>I859/H859</f>
        <v>0.6</v>
      </c>
      <c r="P859">
        <f>2*(J859+K859)/1000</f>
        <v>0.05715</v>
      </c>
    </row>
    <row r="860">
      <c r="C860" t="str">
        <v>PS 1"x3/16"</v>
      </c>
      <c r="E860" t="str">
        <v>SGJ</v>
      </c>
      <c r="H860">
        <v>6</v>
      </c>
      <c r="I860">
        <v>5.3</v>
      </c>
      <c r="J860">
        <f>25.4</f>
        <v>25.4</v>
      </c>
      <c r="K860">
        <f>25.4*3/16</f>
        <v>4.762499999999999</v>
      </c>
      <c r="O860">
        <f>I860/H860</f>
        <v>0.8833333333333333</v>
      </c>
      <c r="P860">
        <f>2*(J860+K860)/1000</f>
        <v>0.060325</v>
      </c>
    </row>
    <row r="861">
      <c r="C861" t="str">
        <v>PS 1"x1/4"</v>
      </c>
      <c r="E861" t="str">
        <v>SGJ</v>
      </c>
      <c r="H861">
        <v>6</v>
      </c>
      <c r="I861">
        <v>7.08</v>
      </c>
      <c r="J861">
        <f>25.4</f>
        <v>25.4</v>
      </c>
      <c r="K861">
        <f>25.4/4</f>
        <v>6.35</v>
      </c>
      <c r="O861">
        <f>I861/H861</f>
        <v>1.18</v>
      </c>
      <c r="P861">
        <f>2*(J861+K861)/1000</f>
        <v>0.0635</v>
      </c>
    </row>
    <row r="862">
      <c r="C862" t="str">
        <v>PS 1"x5/16"</v>
      </c>
      <c r="E862" t="str">
        <v>SGJ</v>
      </c>
      <c r="H862">
        <v>6</v>
      </c>
      <c r="I862">
        <v>9.5</v>
      </c>
      <c r="J862">
        <v>25.4</v>
      </c>
      <c r="K862">
        <f>25.4*5/16</f>
        <v>7.9375</v>
      </c>
      <c r="O862">
        <f>I862/H862</f>
        <v>1.5833333333333333</v>
      </c>
      <c r="P862">
        <f>2*(J862+K862)/1000</f>
        <v>0.066675</v>
      </c>
    </row>
    <row r="863">
      <c r="C863" t="str">
        <v>PS 1"x3/8"</v>
      </c>
      <c r="E863" t="str">
        <v>SGJ</v>
      </c>
      <c r="H863">
        <v>6</v>
      </c>
      <c r="I863">
        <v>10.6</v>
      </c>
      <c r="J863">
        <v>25.4</v>
      </c>
      <c r="K863">
        <f>25.4*3/8</f>
        <v>9.524999999999999</v>
      </c>
      <c r="O863">
        <f>I863/H863</f>
        <v>1.7666666666666666</v>
      </c>
      <c r="P863">
        <f>2*(J863+K863)/1000</f>
        <v>0.06985</v>
      </c>
    </row>
    <row r="864">
      <c r="C864" t="str">
        <v>PS 1 1/4"x1/8"</v>
      </c>
      <c r="E864" t="str">
        <v>SGJ</v>
      </c>
      <c r="H864">
        <v>6</v>
      </c>
      <c r="I864">
        <v>4.1</v>
      </c>
      <c r="J864">
        <f>25.4*5/4</f>
        <v>31.75</v>
      </c>
      <c r="K864">
        <f>25.4*1/8</f>
        <v>3.175</v>
      </c>
      <c r="O864">
        <f>I864/H864</f>
        <v>0.6833333333333332</v>
      </c>
      <c r="P864">
        <f>2*(J864+K864)/1000</f>
        <v>0.06985</v>
      </c>
    </row>
    <row r="865">
      <c r="C865" t="str">
        <v>PS 1 1/4"x3/16"</v>
      </c>
      <c r="E865" t="str">
        <v>SGJ</v>
      </c>
      <c r="H865">
        <v>6</v>
      </c>
      <c r="I865">
        <v>6.8</v>
      </c>
      <c r="J865">
        <f>25.4*5/4</f>
        <v>31.75</v>
      </c>
      <c r="K865">
        <f>25.4*3/16</f>
        <v>4.762499999999999</v>
      </c>
      <c r="O865">
        <f>I865/H865</f>
        <v>1.1333333333333333</v>
      </c>
      <c r="P865">
        <f>2*(J865+K865)/1000</f>
        <v>0.073025</v>
      </c>
    </row>
    <row r="866">
      <c r="C866" t="str">
        <v>PS 1 1/4"x1/4"</v>
      </c>
      <c r="E866" t="str">
        <v>SGJ</v>
      </c>
      <c r="H866">
        <v>6</v>
      </c>
      <c r="I866">
        <v>9.08</v>
      </c>
      <c r="J866">
        <f>25.4*5/4</f>
        <v>31.75</v>
      </c>
      <c r="K866">
        <f>25.4/4</f>
        <v>6.35</v>
      </c>
      <c r="O866">
        <f>I866/H866</f>
        <v>1.5133333333333334</v>
      </c>
      <c r="P866">
        <f>2*(J866+K866)/1000</f>
        <v>0.0762</v>
      </c>
    </row>
    <row r="867">
      <c r="C867" t="str">
        <v>PS 1 1/4x3/8"</v>
      </c>
      <c r="E867" t="str">
        <v>SGJ</v>
      </c>
      <c r="H867">
        <v>6</v>
      </c>
      <c r="I867">
        <v>14.5</v>
      </c>
      <c r="J867">
        <f>25.4*5/4</f>
        <v>31.75</v>
      </c>
      <c r="K867">
        <f>25.4*3/8</f>
        <v>9.524999999999999</v>
      </c>
      <c r="O867">
        <f>I867/H867</f>
        <v>2.4166666666666665</v>
      </c>
      <c r="P867">
        <f>2*(J867+K867)/1000</f>
        <v>0.08255</v>
      </c>
    </row>
    <row r="868">
      <c r="C868" t="str">
        <v>PS 1 1/2"x1/8"</v>
      </c>
      <c r="E868" t="str">
        <v>SGJ</v>
      </c>
      <c r="H868">
        <v>6</v>
      </c>
      <c r="I868">
        <v>5.37</v>
      </c>
      <c r="J868">
        <f>25.4*3/2</f>
        <v>38.099999999999994</v>
      </c>
      <c r="K868">
        <f>25.4*1/8</f>
        <v>3.175</v>
      </c>
      <c r="O868">
        <f>I868/H868</f>
        <v>0.895</v>
      </c>
      <c r="P868">
        <f>2*(J868+K868)/1000</f>
        <v>0.08254999999999998</v>
      </c>
    </row>
    <row r="869">
      <c r="C869" t="str">
        <v>PS 1 1/2x3/16"</v>
      </c>
      <c r="E869" t="str">
        <v>SGJ</v>
      </c>
      <c r="H869">
        <v>6</v>
      </c>
      <c r="I869">
        <v>8.04</v>
      </c>
      <c r="J869">
        <f>25.4*3/2</f>
        <v>38.099999999999994</v>
      </c>
      <c r="K869">
        <f>25.4*3/16</f>
        <v>4.762499999999999</v>
      </c>
      <c r="O869">
        <f>I869/H869</f>
        <v>1.3399999999999999</v>
      </c>
      <c r="P869">
        <f>2*(J869+K869)/1000</f>
        <v>0.085725</v>
      </c>
    </row>
    <row r="870">
      <c r="C870" t="str">
        <v>PS 1 1/2"x1/4"</v>
      </c>
      <c r="E870" t="str">
        <v>SGJ</v>
      </c>
      <c r="H870">
        <v>6</v>
      </c>
      <c r="I870">
        <v>10.8</v>
      </c>
      <c r="J870">
        <f>25.4*3/2</f>
        <v>38.099999999999994</v>
      </c>
      <c r="K870">
        <f>25.4/4</f>
        <v>6.35</v>
      </c>
      <c r="O870">
        <f>I870/H870</f>
        <v>1.8</v>
      </c>
      <c r="P870">
        <f>2*(J870+K870)/1000</f>
        <v>0.08889999999999999</v>
      </c>
    </row>
    <row r="871">
      <c r="C871" t="str">
        <v>PS 1 1/2"x5/16"</v>
      </c>
      <c r="E871" t="str">
        <v>SGJ</v>
      </c>
      <c r="H871">
        <v>6</v>
      </c>
      <c r="I871">
        <v>12.2</v>
      </c>
      <c r="J871">
        <f>25.4*5/2</f>
        <v>63.5</v>
      </c>
      <c r="K871">
        <f>25.4*5/16</f>
        <v>7.9375</v>
      </c>
      <c r="O871">
        <f>I871/H871</f>
        <v>2.033333333333333</v>
      </c>
      <c r="P871">
        <f>2*(J871+K871)/1000</f>
        <v>0.142875</v>
      </c>
    </row>
    <row r="872">
      <c r="C872" t="str">
        <v>PS 1 1/2"x3/8</v>
      </c>
      <c r="E872" t="str">
        <v>SGJ</v>
      </c>
      <c r="H872">
        <v>6</v>
      </c>
      <c r="I872">
        <v>16</v>
      </c>
      <c r="J872">
        <f>25.4*5/2</f>
        <v>63.5</v>
      </c>
      <c r="K872">
        <f>25.4*3/8</f>
        <v>9.524999999999999</v>
      </c>
      <c r="O872">
        <f>I872/H872</f>
        <v>2.6666666666666665</v>
      </c>
      <c r="P872">
        <f>2*(J872+K872)/1000</f>
        <v>0.14605</v>
      </c>
    </row>
    <row r="873">
      <c r="C873" t="str">
        <v>PS 1 1/2"x1/2"</v>
      </c>
      <c r="E873" t="str">
        <v>SGJ</v>
      </c>
      <c r="H873">
        <v>6</v>
      </c>
      <c r="I873">
        <v>21.5</v>
      </c>
      <c r="J873">
        <f>25.4*5/2</f>
        <v>63.5</v>
      </c>
      <c r="K873">
        <f>25.4*1/2</f>
        <v>12.7</v>
      </c>
      <c r="O873">
        <f>I873/H873</f>
        <v>3.5833333333333335</v>
      </c>
      <c r="P873">
        <f>2*(J873+K873)/1000</f>
        <v>0.1524</v>
      </c>
    </row>
    <row r="874">
      <c r="C874" t="str">
        <v>PS 2"x1/8"</v>
      </c>
      <c r="E874" t="str">
        <v>SGJ</v>
      </c>
      <c r="H874">
        <v>6</v>
      </c>
      <c r="I874">
        <v>7</v>
      </c>
      <c r="J874">
        <f>25.4*2</f>
        <v>50.8</v>
      </c>
      <c r="K874">
        <f>25.4*1/8</f>
        <v>3.175</v>
      </c>
      <c r="O874">
        <f>I874/H874</f>
        <v>1.1666666666666667</v>
      </c>
      <c r="P874">
        <f>2*(J874+K874)/1000</f>
        <v>0.10794999999999999</v>
      </c>
    </row>
    <row r="875">
      <c r="C875" t="str">
        <v>PS 2"x3/16"</v>
      </c>
      <c r="E875" t="str">
        <v>SGJ</v>
      </c>
      <c r="H875">
        <v>6</v>
      </c>
      <c r="I875">
        <v>10.6</v>
      </c>
      <c r="J875">
        <f>25.4*2</f>
        <v>50.8</v>
      </c>
      <c r="K875">
        <f>25.4*3/16</f>
        <v>4.762499999999999</v>
      </c>
      <c r="O875">
        <f>I875/H875</f>
        <v>1.7666666666666666</v>
      </c>
      <c r="P875">
        <f>2*(J875+K875)/1000</f>
        <v>0.111125</v>
      </c>
    </row>
    <row r="876">
      <c r="C876" t="str">
        <v>PS 2"x1/4"</v>
      </c>
      <c r="E876" t="str">
        <v>SGJ</v>
      </c>
      <c r="H876">
        <v>6</v>
      </c>
      <c r="I876">
        <v>14.4</v>
      </c>
      <c r="J876">
        <f>25.4*2</f>
        <v>50.8</v>
      </c>
      <c r="K876">
        <f>25.4/4</f>
        <v>6.35</v>
      </c>
      <c r="O876">
        <f>I876/H876</f>
        <v>2.4</v>
      </c>
      <c r="P876">
        <f>2*(J876+K876)/1000</f>
        <v>0.1143</v>
      </c>
    </row>
    <row r="877">
      <c r="C877" t="str">
        <v>PS 2"x5/16"</v>
      </c>
      <c r="E877" t="str">
        <v>SGJ</v>
      </c>
      <c r="H877">
        <v>6</v>
      </c>
      <c r="I877">
        <v>9.5</v>
      </c>
      <c r="J877">
        <f>25.4*2</f>
        <v>50.8</v>
      </c>
      <c r="K877">
        <f>25.4*5/16</f>
        <v>7.9375</v>
      </c>
      <c r="O877">
        <f>I877/H877</f>
        <v>1.5833333333333333</v>
      </c>
      <c r="P877">
        <f>2*(J877+K877)/1000</f>
        <v>0.117475</v>
      </c>
    </row>
    <row r="878">
      <c r="C878" t="str">
        <v>PS 2"x3/8"</v>
      </c>
      <c r="E878" t="str">
        <v>SGJ</v>
      </c>
      <c r="H878">
        <v>6</v>
      </c>
      <c r="I878">
        <v>21.2</v>
      </c>
      <c r="J878">
        <f>25.4*2</f>
        <v>50.8</v>
      </c>
      <c r="K878">
        <f>25.4*3/8</f>
        <v>9.524999999999999</v>
      </c>
      <c r="O878">
        <f>I878/H878</f>
        <v>3.533333333333333</v>
      </c>
      <c r="P878">
        <f>2*(J878+K878)/1000</f>
        <v>0.12065</v>
      </c>
    </row>
    <row r="879">
      <c r="C879" t="str">
        <v>PS 2"x1/2"</v>
      </c>
      <c r="E879" t="str">
        <v>SGJ</v>
      </c>
      <c r="H879">
        <v>6</v>
      </c>
      <c r="I879">
        <v>31.5</v>
      </c>
      <c r="J879">
        <f>25.4*2</f>
        <v>50.8</v>
      </c>
      <c r="K879">
        <f>25.4*1/2</f>
        <v>12.7</v>
      </c>
      <c r="O879">
        <f>I879/H879</f>
        <v>5.25</v>
      </c>
      <c r="P879">
        <f>2*(J879+K879)/1000</f>
        <v>0.127</v>
      </c>
    </row>
    <row r="880">
      <c r="C880" t="str">
        <v>PS 2"x5/8"</v>
      </c>
      <c r="E880" t="str">
        <v>SGJ</v>
      </c>
      <c r="H880">
        <v>6</v>
      </c>
      <c r="I880">
        <v>37.8</v>
      </c>
      <c r="J880">
        <f>25.4*2</f>
        <v>50.8</v>
      </c>
      <c r="K880">
        <f>25.4*5/8</f>
        <v>15.875</v>
      </c>
      <c r="O880">
        <f>I880/H880</f>
        <v>6.3</v>
      </c>
      <c r="P880">
        <f>2*(J880+K880)/1000</f>
        <v>0.13335</v>
      </c>
    </row>
    <row r="881">
      <c r="C881" t="str">
        <v>PS 2 1/2"x1/4"</v>
      </c>
      <c r="E881" t="str">
        <v>SGJ</v>
      </c>
      <c r="H881">
        <v>6</v>
      </c>
      <c r="I881">
        <v>18.4</v>
      </c>
      <c r="J881">
        <f>25.4*5/2</f>
        <v>63.5</v>
      </c>
      <c r="K881">
        <f>25.4/4</f>
        <v>6.35</v>
      </c>
      <c r="O881">
        <f>I881/H881</f>
        <v>3.0666666666666664</v>
      </c>
      <c r="P881">
        <f>2*(J881+K881)/1000</f>
        <v>0.1397</v>
      </c>
    </row>
    <row r="882">
      <c r="C882" t="str">
        <v>PS 2 1/2x3/8"</v>
      </c>
      <c r="E882" t="str">
        <v>SGJ</v>
      </c>
      <c r="H882">
        <v>6</v>
      </c>
      <c r="I882">
        <v>27.6</v>
      </c>
      <c r="J882">
        <f>25.4*5/2</f>
        <v>63.5</v>
      </c>
      <c r="K882">
        <f>25.4*3/8</f>
        <v>9.524999999999999</v>
      </c>
      <c r="O882">
        <f>I882/H882</f>
        <v>4.6000000000000005</v>
      </c>
      <c r="P882">
        <f>2*(J882+K882)/1000</f>
        <v>0.14605</v>
      </c>
    </row>
    <row r="883">
      <c r="C883" t="str">
        <v>PS 3"x1/4"</v>
      </c>
      <c r="E883" t="str">
        <v>SGJ</v>
      </c>
      <c r="H883">
        <v>6</v>
      </c>
      <c r="I883">
        <v>22</v>
      </c>
      <c r="J883">
        <f>25.4*3</f>
        <v>76.19999999999999</v>
      </c>
      <c r="K883">
        <f>25.4/4</f>
        <v>6.35</v>
      </c>
      <c r="O883">
        <f>I883/H883</f>
        <v>3.6666666666666665</v>
      </c>
      <c r="P883">
        <f>2*(J883+K883)/1000</f>
        <v>0.16509999999999997</v>
      </c>
    </row>
    <row r="884">
      <c r="C884" t="str">
        <v>PS 3"x3/8"</v>
      </c>
      <c r="E884" t="str">
        <v>SGJ</v>
      </c>
      <c r="H884">
        <v>6</v>
      </c>
      <c r="I884">
        <v>32</v>
      </c>
      <c r="J884">
        <f>25.4*3</f>
        <v>76.19999999999999</v>
      </c>
      <c r="K884">
        <f>25.4*3/8</f>
        <v>9.524999999999999</v>
      </c>
      <c r="O884">
        <f>I884/H884</f>
        <v>5.333333333333333</v>
      </c>
      <c r="P884">
        <f>2*(J884+K884)/1000</f>
        <v>0.17145</v>
      </c>
    </row>
    <row r="885">
      <c r="C885" t="str">
        <v>PS 3"x1/2"</v>
      </c>
      <c r="E885" t="str">
        <v>SGJ</v>
      </c>
      <c r="H885">
        <v>6</v>
      </c>
      <c r="I885">
        <v>42.4</v>
      </c>
      <c r="J885">
        <f>25.4*3</f>
        <v>76.19999999999999</v>
      </c>
      <c r="K885">
        <f>25.4*1/2</f>
        <v>12.7</v>
      </c>
      <c r="O885">
        <f>I885/H885</f>
        <v>7.066666666666666</v>
      </c>
      <c r="P885">
        <f>2*(J885+K885)/1000</f>
        <v>0.17779999999999999</v>
      </c>
    </row>
    <row r="886">
      <c r="C886" t="str">
        <v>PS 4"x1/4"</v>
      </c>
      <c r="E886" t="str">
        <v>SGJ</v>
      </c>
      <c r="H886">
        <v>6</v>
      </c>
      <c r="I886">
        <v>29.5</v>
      </c>
      <c r="J886">
        <f>25.4*4</f>
        <v>101.6</v>
      </c>
      <c r="K886">
        <f>25.4/4</f>
        <v>6.35</v>
      </c>
      <c r="O886">
        <f>I886/H886</f>
        <v>4.916666666666667</v>
      </c>
      <c r="P886">
        <f>2*(J886+K886)/1000</f>
        <v>0.21589999999999998</v>
      </c>
    </row>
    <row r="887">
      <c r="C887" t="str">
        <v>PS 4"x3/8"</v>
      </c>
      <c r="E887" t="str">
        <v>SGJ</v>
      </c>
      <c r="H887">
        <v>6</v>
      </c>
      <c r="I887">
        <v>42.5</v>
      </c>
      <c r="J887">
        <f>25.4*4</f>
        <v>101.6</v>
      </c>
      <c r="K887">
        <f>25.4*3/8</f>
        <v>9.524999999999999</v>
      </c>
      <c r="O887">
        <f>I887/H887</f>
        <v>7.083333333333333</v>
      </c>
      <c r="P887">
        <f>2*(J887+K887)/1000</f>
        <v>0.22225</v>
      </c>
    </row>
    <row r="888">
      <c r="C888" t="str">
        <v>PS 4"x1/2"</v>
      </c>
      <c r="E888" t="str">
        <v>SGJ</v>
      </c>
      <c r="H888">
        <v>6</v>
      </c>
      <c r="I888">
        <v>56.5</v>
      </c>
      <c r="J888">
        <f>25.4*4</f>
        <v>101.6</v>
      </c>
      <c r="K888">
        <f>25.4*1/2</f>
        <v>12.7</v>
      </c>
      <c r="O888">
        <f>I888/H888</f>
        <v>9.416666666666666</v>
      </c>
      <c r="P888">
        <f>2*(J888+K888)/1000</f>
        <v>0.2286</v>
      </c>
    </row>
    <row r="889">
      <c r="B889" t="str">
        <v>Plat Strip (PS)</v>
      </c>
      <c r="C889" t="str">
        <v>PS 19x3</v>
      </c>
      <c r="E889" t="str">
        <v>SGJ</v>
      </c>
      <c r="H889">
        <v>6</v>
      </c>
      <c r="I889">
        <v>2.4</v>
      </c>
      <c r="J889">
        <v>19</v>
      </c>
      <c r="K889">
        <v>3</v>
      </c>
      <c r="O889">
        <f>I889/H889</f>
        <v>0.39999999999999997</v>
      </c>
      <c r="P889">
        <f>2*(J889+K889)/1000</f>
        <v>0.044</v>
      </c>
    </row>
    <row r="890">
      <c r="C890" t="str">
        <v>PS 19x4</v>
      </c>
      <c r="E890" t="str">
        <v>SGJ</v>
      </c>
      <c r="H890">
        <v>6</v>
      </c>
      <c r="I890">
        <v>3.3</v>
      </c>
      <c r="J890">
        <v>19</v>
      </c>
      <c r="K890">
        <v>4</v>
      </c>
      <c r="O890">
        <f>I890/H890</f>
        <v>0.5499999999999999</v>
      </c>
      <c r="P890">
        <f>2*(J890+K890)/1000</f>
        <v>0.046</v>
      </c>
    </row>
    <row r="891">
      <c r="C891" t="str">
        <v>PS 19x5</v>
      </c>
      <c r="E891" t="str">
        <v>SGJ</v>
      </c>
      <c r="H891">
        <v>6</v>
      </c>
      <c r="I891">
        <v>4.6</v>
      </c>
      <c r="J891">
        <v>19</v>
      </c>
      <c r="K891">
        <v>5</v>
      </c>
      <c r="O891">
        <f>I891/H891</f>
        <v>0.7666666666666666</v>
      </c>
      <c r="P891">
        <f>2*(J891+K891)/1000</f>
        <v>0.048</v>
      </c>
    </row>
    <row r="892">
      <c r="C892" t="str">
        <v>PS 25x3</v>
      </c>
      <c r="E892" t="str">
        <v>SGJ</v>
      </c>
      <c r="H892">
        <v>6</v>
      </c>
      <c r="I892">
        <v>3.3</v>
      </c>
      <c r="J892">
        <v>25</v>
      </c>
      <c r="K892">
        <v>3</v>
      </c>
      <c r="O892">
        <f>I892/H892</f>
        <v>0.5499999999999999</v>
      </c>
      <c r="P892">
        <f>2*(J892+K892)/1000</f>
        <v>0.056</v>
      </c>
    </row>
    <row r="893">
      <c r="C893" t="str">
        <v>PS 25x4</v>
      </c>
      <c r="E893" t="str">
        <v>SGJ</v>
      </c>
      <c r="H893">
        <v>6</v>
      </c>
      <c r="I893">
        <v>4.4</v>
      </c>
      <c r="J893">
        <v>25</v>
      </c>
      <c r="K893">
        <v>4</v>
      </c>
      <c r="O893">
        <f>I893/H893</f>
        <v>0.7333333333333334</v>
      </c>
      <c r="P893">
        <f>2*(J893+K893)/1000</f>
        <v>0.058</v>
      </c>
    </row>
    <row r="894">
      <c r="C894" t="str">
        <v>PS 25x5</v>
      </c>
      <c r="E894" t="str">
        <v>SGJ</v>
      </c>
      <c r="H894">
        <v>6</v>
      </c>
      <c r="I894">
        <v>6</v>
      </c>
      <c r="J894">
        <v>25</v>
      </c>
      <c r="K894">
        <v>5</v>
      </c>
      <c r="O894">
        <f>I894/H894</f>
        <v>1</v>
      </c>
      <c r="P894">
        <f>2*(J894+K894)/1000</f>
        <v>0.06</v>
      </c>
    </row>
    <row r="895">
      <c r="C895" t="str">
        <v>PS 30x3</v>
      </c>
      <c r="E895" t="str">
        <v>SGJ</v>
      </c>
      <c r="H895">
        <v>6</v>
      </c>
      <c r="I895">
        <v>4</v>
      </c>
      <c r="J895">
        <v>30</v>
      </c>
      <c r="K895">
        <v>3</v>
      </c>
      <c r="O895">
        <f>I895/H895</f>
        <v>0.6666666666666666</v>
      </c>
      <c r="P895">
        <f>2*(J895+K895)/1000</f>
        <v>0.066</v>
      </c>
    </row>
    <row r="896">
      <c r="C896" t="str">
        <v>PS 30x4</v>
      </c>
      <c r="E896" t="str">
        <v>SGJ</v>
      </c>
      <c r="H896">
        <v>6</v>
      </c>
      <c r="I896">
        <v>5.4</v>
      </c>
      <c r="J896">
        <v>30</v>
      </c>
      <c r="K896">
        <v>4</v>
      </c>
      <c r="O896">
        <f>I896/H896</f>
        <v>0.9</v>
      </c>
      <c r="P896">
        <f>2*(J896+K896)/1000</f>
        <v>0.068</v>
      </c>
    </row>
    <row r="897">
      <c r="C897" t="str">
        <v>PS 30x5</v>
      </c>
      <c r="E897" t="str">
        <v>SGJ</v>
      </c>
      <c r="H897">
        <v>6</v>
      </c>
      <c r="I897">
        <v>7.1</v>
      </c>
      <c r="J897">
        <v>30</v>
      </c>
      <c r="K897">
        <v>5</v>
      </c>
      <c r="O897">
        <f>I897/H897</f>
        <v>1.1833333333333333</v>
      </c>
      <c r="P897">
        <f>2*(J897+K897)/1000</f>
        <v>0.07</v>
      </c>
    </row>
    <row r="898">
      <c r="C898" t="str">
        <v>PS 38x4</v>
      </c>
      <c r="E898" t="str">
        <v>SGJ</v>
      </c>
      <c r="H898">
        <v>6</v>
      </c>
      <c r="I898">
        <v>6.6</v>
      </c>
      <c r="J898">
        <v>38</v>
      </c>
      <c r="K898">
        <v>4</v>
      </c>
      <c r="O898">
        <f>I898/H898</f>
        <v>1.0999999999999999</v>
      </c>
      <c r="P898">
        <f>2*(J898+K898)/1000</f>
        <v>0.084</v>
      </c>
    </row>
    <row r="899">
      <c r="C899" t="str">
        <v>PS 38x5</v>
      </c>
      <c r="E899" t="str">
        <v>SGJ</v>
      </c>
      <c r="H899">
        <v>6</v>
      </c>
      <c r="I899">
        <v>9</v>
      </c>
      <c r="J899">
        <v>38</v>
      </c>
      <c r="K899">
        <v>5</v>
      </c>
      <c r="O899">
        <f>I899/H899</f>
        <v>1.5</v>
      </c>
      <c r="P899">
        <f>2*(J899+K899)/1000</f>
        <v>0.086</v>
      </c>
    </row>
    <row r="900">
      <c r="C900" t="str">
        <v>PS 38x8</v>
      </c>
      <c r="E900" t="str">
        <v>SGJ</v>
      </c>
      <c r="H900">
        <v>6</v>
      </c>
      <c r="I900">
        <v>14.4</v>
      </c>
      <c r="J900">
        <v>38</v>
      </c>
      <c r="K900">
        <v>8</v>
      </c>
      <c r="O900">
        <f>I900/H900</f>
        <v>2.4</v>
      </c>
      <c r="P900">
        <f>2*(J900+K900)/1000</f>
        <v>0.092</v>
      </c>
    </row>
    <row r="901">
      <c r="C901" t="str">
        <v>PS 50x5</v>
      </c>
      <c r="E901" t="str">
        <v>SGJ</v>
      </c>
      <c r="H901">
        <v>6</v>
      </c>
      <c r="I901">
        <v>12</v>
      </c>
      <c r="J901">
        <v>50</v>
      </c>
      <c r="K901">
        <v>5</v>
      </c>
      <c r="O901">
        <f>I901/H901</f>
        <v>2</v>
      </c>
      <c r="P901">
        <f>2*(J901+K901)/1000</f>
        <v>0.11</v>
      </c>
    </row>
    <row r="902">
      <c r="C902" t="str">
        <v>PS 125x9</v>
      </c>
      <c r="E902" t="str">
        <v>SGJ</v>
      </c>
      <c r="H902">
        <v>6</v>
      </c>
      <c r="I902">
        <v>53.5</v>
      </c>
      <c r="J902">
        <v>125</v>
      </c>
      <c r="K902">
        <v>9</v>
      </c>
      <c r="O902">
        <f>I902/H902</f>
        <v>8.916666666666666</v>
      </c>
      <c r="P902">
        <f>2*(J902+K902)/1000</f>
        <v>0.268</v>
      </c>
    </row>
    <row r="903">
      <c r="C903" t="str">
        <v>PS 150x6</v>
      </c>
      <c r="E903" t="str">
        <v>SGJ</v>
      </c>
      <c r="H903">
        <v>6</v>
      </c>
      <c r="I903">
        <v>44</v>
      </c>
      <c r="J903">
        <v>150</v>
      </c>
      <c r="K903">
        <v>6</v>
      </c>
      <c r="O903">
        <f>I903/H903</f>
        <v>7.333333333333333</v>
      </c>
      <c r="P903">
        <f>2*(J903+K903)/1000</f>
        <v>0.312</v>
      </c>
    </row>
    <row r="904">
      <c r="C904" t="str">
        <v>PS 150x9</v>
      </c>
      <c r="E904" t="str">
        <v>SGJ</v>
      </c>
      <c r="H904">
        <v>6</v>
      </c>
      <c r="I904">
        <v>63.6</v>
      </c>
      <c r="J904">
        <v>150</v>
      </c>
      <c r="K904">
        <v>9</v>
      </c>
      <c r="O904">
        <f>I904/H904</f>
        <v>10.6</v>
      </c>
      <c r="P904">
        <f>2*(J904+K904)/1000</f>
        <v>0.318</v>
      </c>
    </row>
    <row r="907">
      <c r="C907" t="str">
        <v>WF0</v>
      </c>
    </row>
    <row r="908">
      <c r="C908" t="str">
        <v>PL0</v>
      </c>
    </row>
    <row r="909">
      <c r="C909" t="str">
        <v>CNP0</v>
      </c>
    </row>
    <row r="912">
      <c r="C912" t="str">
        <v>D 6mm</v>
      </c>
      <c r="I912">
        <v>6</v>
      </c>
      <c r="O912">
        <f>0.006165*I912^2</f>
        <v>0.22194000000000003</v>
      </c>
    </row>
    <row r="913">
      <c r="C913" t="str">
        <v>D 8mm</v>
      </c>
      <c r="I913">
        <v>8</v>
      </c>
      <c r="O913">
        <f>0.006165*I913^2</f>
        <v>0.39456</v>
      </c>
    </row>
    <row r="914">
      <c r="C914" t="str">
        <v>D 10mm</v>
      </c>
      <c r="I914">
        <v>10</v>
      </c>
      <c r="O914">
        <f>0.006165*I914^2</f>
        <v>0.6165</v>
      </c>
    </row>
    <row r="915">
      <c r="C915" t="str">
        <v>D 12mm</v>
      </c>
      <c r="I915">
        <v>12</v>
      </c>
      <c r="O915">
        <f>0.006165*I915^2</f>
        <v>0.8877600000000001</v>
      </c>
    </row>
    <row r="916">
      <c r="C916" t="str">
        <v>D 13mm</v>
      </c>
      <c r="I916">
        <v>13</v>
      </c>
      <c r="O916">
        <f>0.006165*I916^2</f>
        <v>1.041885</v>
      </c>
    </row>
    <row r="917">
      <c r="C917" t="str">
        <v>D 16mm</v>
      </c>
      <c r="I917">
        <v>16</v>
      </c>
      <c r="O917">
        <f>0.006165*I917^2</f>
        <v>1.57824</v>
      </c>
    </row>
    <row r="918">
      <c r="C918" t="str">
        <v>D 19mm</v>
      </c>
      <c r="I918">
        <v>19</v>
      </c>
      <c r="O918">
        <f>0.006165*I918^2</f>
        <v>2.225565</v>
      </c>
    </row>
    <row r="919">
      <c r="C919" t="str">
        <v>D 20mm</v>
      </c>
      <c r="I919">
        <v>20</v>
      </c>
      <c r="O919">
        <f>0.006165*I919^2</f>
        <v>2.466</v>
      </c>
    </row>
    <row r="920">
      <c r="C920" t="str">
        <v>D 21mm</v>
      </c>
      <c r="I920">
        <v>21</v>
      </c>
      <c r="O920">
        <f>0.006165*I920^2</f>
        <v>2.7187650000000003</v>
      </c>
    </row>
    <row r="921">
      <c r="C921" t="str">
        <v>D 22mm</v>
      </c>
      <c r="I921">
        <v>22</v>
      </c>
      <c r="O921">
        <f>0.006165*I921^2</f>
        <v>2.98386</v>
      </c>
    </row>
    <row r="922">
      <c r="C922" t="str">
        <v>D 25mm</v>
      </c>
      <c r="I922">
        <v>25</v>
      </c>
      <c r="O922">
        <f>0.006165*I922^2</f>
        <v>3.8531250000000004</v>
      </c>
    </row>
    <row r="923">
      <c r="C923" t="str">
        <v>D 26mm</v>
      </c>
      <c r="I923">
        <v>26</v>
      </c>
      <c r="O923">
        <f>0.006165*I923^2</f>
        <v>4.16754</v>
      </c>
    </row>
    <row r="924">
      <c r="C924" t="str">
        <v>D 29mm</v>
      </c>
      <c r="I924">
        <v>29</v>
      </c>
      <c r="O924">
        <f>0.006165*I924^2</f>
        <v>5.1847650000000005</v>
      </c>
    </row>
    <row r="925">
      <c r="C925" t="str">
        <v>D 32mm</v>
      </c>
      <c r="I925">
        <v>32</v>
      </c>
      <c r="O925">
        <f>0.006165*I925^2</f>
        <v>6.31296</v>
      </c>
    </row>
    <row r="926">
      <c r="C926" t="str">
        <v>D 36mm</v>
      </c>
      <c r="I926">
        <v>36</v>
      </c>
      <c r="O926">
        <f>0.006165*I926^2</f>
        <v>7.98984</v>
      </c>
    </row>
  </sheetData>
  <mergeCells count="9">
    <mergeCell ref="B2:Q2"/>
    <mergeCell ref="B4:B6"/>
    <mergeCell ref="C4:C6"/>
    <mergeCell ref="D4:D6"/>
    <mergeCell ref="E4:E6"/>
    <mergeCell ref="F4:F6"/>
    <mergeCell ref="G4:G6"/>
    <mergeCell ref="J4:N4"/>
    <mergeCell ref="Q4:Q6"/>
  </mergeCells>
  <pageMargins left="0.7" right="0.7" top="0.75" bottom="0.75" header="0.3" footer="0.3"/>
  <ignoredErrors>
    <ignoredError numberStoredAsText="1" sqref="A2:U105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V57"/>
  <sheetViews>
    <sheetView workbookViewId="0" rightToLeft="0"/>
  </sheetViews>
  <sheetData>
    <row r="1" xml:space="preserve">
      <c r="A1" t="str">
        <v>Area</v>
      </c>
      <c r="C1" t="str">
        <v>Tipe Plat</v>
      </c>
      <c r="D1" t="str" xml:space="preserve">
        <v xml:space="preserve">Luas Plat_x000d_
(m2)</v>
      </c>
      <c r="E1" t="str">
        <v>Koef</v>
      </c>
      <c r="F1" t="str" xml:space="preserve">
        <v xml:space="preserve">Luas Bangunan_x000d_
(m2)</v>
      </c>
      <c r="G1" t="str">
        <v>Vol. Beton (m3)</v>
      </c>
      <c r="H1" t="str">
        <v>Vol. Bekisting</v>
      </c>
      <c r="L1" t="str">
        <v>Wire Mesh</v>
      </c>
      <c r="N1" t="str">
        <v>Vol. Besi per Diameter (kg)</v>
      </c>
      <c r="S1" t="str">
        <v>Total Besi (kg)</v>
      </c>
      <c r="U1" t="str" xml:space="preserve">
        <v xml:space="preserve">Rasio Bekisting_x000d_
(m2/m3)</v>
      </c>
      <c r="V1" t="str" xml:space="preserve">
        <v xml:space="preserve">Rasio Besi_x000d_
(kg/m3)</v>
      </c>
    </row>
    <row r="2" xml:space="preserve">
      <c r="H2" t="str" xml:space="preserve">
        <v xml:space="preserve">Lantai Kerja_x000d_
(m3)</v>
      </c>
      <c r="I2" t="str" xml:space="preserve">
        <v xml:space="preserve">Kayu_x000d_
(m2)</v>
      </c>
      <c r="J2" t="str" xml:space="preserve">
        <v xml:space="preserve">Bondek_x000d_
(m2)</v>
      </c>
      <c r="K2" t="str">
        <v>M6</v>
      </c>
      <c r="L2" t="str">
        <v>M7</v>
      </c>
      <c r="M2" t="str">
        <v>M8</v>
      </c>
      <c r="N2">
        <v>8</v>
      </c>
      <c r="O2">
        <v>10</v>
      </c>
      <c r="P2">
        <v>13</v>
      </c>
      <c r="Q2">
        <v>16</v>
      </c>
      <c r="R2">
        <v>19</v>
      </c>
    </row>
    <row r="4">
      <c r="A4" t="str">
        <v>Lantai 1</v>
      </c>
    </row>
    <row r="6">
      <c r="B6" t="str">
        <f>Plat!A36</f>
        <v>Pool, FFL -1.60</v>
      </c>
      <c r="C6" t="str">
        <v>S2</v>
      </c>
      <c r="D6">
        <f>Plat!H36</f>
        <v>24.568678</v>
      </c>
      <c r="E6">
        <v>1</v>
      </c>
      <c r="F6">
        <f>D6*E6</f>
        <v>24.568678</v>
      </c>
      <c r="G6">
        <f>Plat!I36</f>
        <v>4.9137356</v>
      </c>
      <c r="H6">
        <f>Plat!J36</f>
        <v>1.2284339</v>
      </c>
      <c r="I6">
        <f>Plat!K36</f>
        <v>4.41</v>
      </c>
      <c r="L6">
        <f>Plat!L36</f>
        <v>0</v>
      </c>
      <c r="N6">
        <f>Plat!M36</f>
        <v>0</v>
      </c>
      <c r="O6">
        <f>Plat!N36</f>
        <v>515.69090042406</v>
      </c>
      <c r="P6">
        <f>Plat!O36</f>
        <v>0</v>
      </c>
      <c r="Q6">
        <f>Plat!P36</f>
        <v>0</v>
      </c>
      <c r="R6">
        <f>Plat!Q36</f>
        <v>0</v>
      </c>
      <c r="S6">
        <f>SUM(N6:R6)</f>
        <v>515.69090042406</v>
      </c>
      <c r="U6">
        <f>SUM(I6:I6)/SUM(G6:G6)</f>
        <v>0.8974841869798612</v>
      </c>
      <c r="V6">
        <f>SUM(S6:S6)/SUM(G6:G6)</f>
        <v>104.94885000000001</v>
      </c>
    </row>
    <row r="8">
      <c r="B8" t="str">
        <f>Plat!A65</f>
        <v>Area Service, FFL ±0.00</v>
      </c>
      <c r="C8" t="str">
        <v>S1</v>
      </c>
      <c r="D8">
        <f>Plat!H65</f>
        <v>35.442034</v>
      </c>
      <c r="E8">
        <v>1</v>
      </c>
      <c r="F8">
        <f>D8*E8</f>
        <v>35.442034</v>
      </c>
      <c r="G8">
        <f>Plat!I65</f>
        <v>5.316305099999999</v>
      </c>
      <c r="H8">
        <f>Plat!J65</f>
        <v>1.7721017</v>
      </c>
      <c r="I8">
        <f>Plat!K65</f>
        <v>4.005</v>
      </c>
      <c r="L8">
        <f>Plat!L65</f>
        <v>0</v>
      </c>
      <c r="N8">
        <f>Plat!M65</f>
        <v>0</v>
      </c>
      <c r="O8">
        <f>Plat!N65</f>
        <v>583.4439283452799</v>
      </c>
      <c r="P8">
        <f>Plat!O65</f>
        <v>0</v>
      </c>
      <c r="Q8">
        <f>Plat!P65</f>
        <v>0</v>
      </c>
      <c r="R8">
        <f>Plat!Q65</f>
        <v>0</v>
      </c>
      <c r="S8">
        <f>SUM(N8:R8)</f>
        <v>583.4439283452799</v>
      </c>
      <c r="U8">
        <f>SUM(I8:I16)/SUM(G8:G16)</f>
        <v>0.8002534793010471</v>
      </c>
      <c r="V8">
        <f>SUM(S8:S16)/SUM(G8:G16)</f>
        <v>109.74613333333332</v>
      </c>
    </row>
    <row r="9">
      <c r="B9" t="str">
        <f>Plat!A66</f>
        <v>Ramp, FFL ±0.00</v>
      </c>
      <c r="C9" t="str">
        <v>S1</v>
      </c>
      <c r="D9">
        <f>Plat!H66</f>
        <v>11.706120400000001</v>
      </c>
      <c r="E9">
        <v>1</v>
      </c>
      <c r="F9">
        <f>D9*E9</f>
        <v>11.706120400000001</v>
      </c>
      <c r="G9">
        <f>Plat!I66</f>
        <v>1.7559180600000002</v>
      </c>
      <c r="H9">
        <f>Plat!J66</f>
        <v>0.5853060200000001</v>
      </c>
      <c r="I9">
        <f>Plat!K66</f>
        <v>3.207165</v>
      </c>
      <c r="L9">
        <f>Plat!L66</f>
        <v>0</v>
      </c>
      <c r="N9">
        <f>Plat!M66</f>
        <v>0</v>
      </c>
      <c r="O9">
        <f>Plat!N66</f>
        <v>192.70521753516803</v>
      </c>
      <c r="P9">
        <f>Plat!O66</f>
        <v>0</v>
      </c>
      <c r="Q9">
        <f>Plat!P66</f>
        <v>0</v>
      </c>
      <c r="R9">
        <f>Plat!Q66</f>
        <v>0</v>
      </c>
      <c r="S9">
        <f>SUM(N9:R9)</f>
        <v>192.70521753516803</v>
      </c>
      <c r="U9">
        <f>SUM(I9:I17)/SUM(G9:G17)</f>
        <v>0.806237779107615</v>
      </c>
      <c r="V9">
        <f>SUM(S9:S17)/SUM(G9:G17)</f>
        <v>109.7461333333333</v>
      </c>
    </row>
    <row r="10">
      <c r="B10" t="str">
        <f>Plat!A67</f>
        <v>Garage, FFL -0.75</v>
      </c>
      <c r="C10" t="str">
        <v>S1</v>
      </c>
      <c r="D10">
        <f>Plat!H67</f>
        <v>33.446193</v>
      </c>
      <c r="E10">
        <v>1</v>
      </c>
      <c r="F10">
        <f>D10*E10</f>
        <v>33.446193</v>
      </c>
      <c r="G10">
        <f>Plat!I67</f>
        <v>5.0169289500000005</v>
      </c>
      <c r="H10">
        <f>Plat!J67</f>
        <v>1.67230965</v>
      </c>
      <c r="I10">
        <f>Plat!K67</f>
        <v>4.2675</v>
      </c>
      <c r="L10">
        <f>Plat!L67</f>
        <v>0</v>
      </c>
      <c r="N10">
        <f>Plat!M67</f>
        <v>0</v>
      </c>
      <c r="O10">
        <f>Plat!N67</f>
        <v>550.5885534705601</v>
      </c>
      <c r="P10">
        <f>Plat!O67</f>
        <v>0</v>
      </c>
      <c r="Q10">
        <f>Plat!P67</f>
        <v>0</v>
      </c>
      <c r="R10">
        <f>Plat!Q67</f>
        <v>0</v>
      </c>
      <c r="S10">
        <f>SUM(N10:R10)</f>
        <v>550.5885534705601</v>
      </c>
    </row>
    <row r="11">
      <c r="B11" t="str">
        <f>Plat!A68</f>
        <v>Carport, FFL -1.00</v>
      </c>
      <c r="C11" t="str">
        <v>S1</v>
      </c>
      <c r="D11">
        <f>Plat!H68</f>
        <v>42.6608</v>
      </c>
      <c r="E11">
        <v>0.5</v>
      </c>
      <c r="F11">
        <f>D11*E11</f>
        <v>21.3304</v>
      </c>
      <c r="G11">
        <f>Plat!I68</f>
        <v>6.39912</v>
      </c>
      <c r="H11">
        <f>Plat!J68</f>
        <v>2.13304</v>
      </c>
      <c r="I11">
        <f>Plat!K68</f>
        <v>4.164</v>
      </c>
      <c r="L11">
        <f>Plat!L68</f>
        <v>0</v>
      </c>
      <c r="N11">
        <f>Plat!M68</f>
        <v>0</v>
      </c>
      <c r="O11">
        <f>Plat!N68</f>
        <v>702.278676736</v>
      </c>
      <c r="P11">
        <f>Plat!O68</f>
        <v>0</v>
      </c>
      <c r="Q11">
        <f>Plat!P68</f>
        <v>0</v>
      </c>
      <c r="R11">
        <f>Plat!Q68</f>
        <v>0</v>
      </c>
      <c r="S11">
        <f>SUM(N11:R11)</f>
        <v>702.278676736</v>
      </c>
    </row>
    <row r="12">
      <c r="B12" t="str">
        <f>Plat!A69</f>
        <v>Living Room, FFL ±0.00</v>
      </c>
      <c r="C12" t="str">
        <v>S1</v>
      </c>
      <c r="D12">
        <f>Plat!H69</f>
        <v>128.62478099999998</v>
      </c>
      <c r="E12">
        <v>1</v>
      </c>
      <c r="F12">
        <f>D12*E12</f>
        <v>128.62478099999998</v>
      </c>
      <c r="G12">
        <f>Plat!I69</f>
        <v>19.293717149999996</v>
      </c>
      <c r="H12">
        <f>Plat!J69</f>
        <v>6.431239049999999</v>
      </c>
      <c r="I12">
        <f>Plat!K69</f>
        <v>9.2025</v>
      </c>
      <c r="L12">
        <f>Plat!L69</f>
        <v>0</v>
      </c>
      <c r="N12">
        <f>Plat!M69</f>
        <v>0</v>
      </c>
      <c r="O12">
        <f>Plat!N69</f>
        <v>2117.4108548395193</v>
      </c>
      <c r="P12">
        <f>Plat!O69</f>
        <v>0</v>
      </c>
      <c r="Q12">
        <f>Plat!P69</f>
        <v>0</v>
      </c>
      <c r="R12">
        <f>Plat!Q69</f>
        <v>0</v>
      </c>
      <c r="S12">
        <f>SUM(N12:R12)</f>
        <v>2117.4108548395193</v>
      </c>
    </row>
    <row r="13">
      <c r="B13" t="str">
        <f>Plat!A70</f>
        <v>PWD Room, FFL -0.47</v>
      </c>
      <c r="C13" t="str">
        <v>S1</v>
      </c>
      <c r="D13">
        <f>Plat!H70</f>
        <v>4.560218</v>
      </c>
      <c r="E13">
        <v>1</v>
      </c>
      <c r="F13">
        <f>D13*E13</f>
        <v>4.560218</v>
      </c>
      <c r="G13">
        <f>Plat!I70</f>
        <v>0.6840326999999999</v>
      </c>
      <c r="H13">
        <f>Plat!J70</f>
        <v>0.2280109</v>
      </c>
      <c r="I13">
        <f>Plat!K70</f>
        <v>1.2975</v>
      </c>
      <c r="L13">
        <f>Plat!L70</f>
        <v>0</v>
      </c>
      <c r="N13">
        <f>Plat!M70</f>
        <v>0</v>
      </c>
      <c r="O13">
        <f>Plat!N70</f>
        <v>75.06994389856</v>
      </c>
      <c r="P13">
        <f>Plat!O70</f>
        <v>0</v>
      </c>
      <c r="Q13">
        <f>Plat!P70</f>
        <v>0</v>
      </c>
      <c r="R13">
        <f>Plat!Q70</f>
        <v>0</v>
      </c>
      <c r="S13">
        <f>SUM(N13:R13)</f>
        <v>75.06994389856</v>
      </c>
    </row>
    <row r="14">
      <c r="B14" t="str">
        <f>Plat!A71</f>
        <v>Terrace, FFL -0.10</v>
      </c>
      <c r="C14" t="str">
        <v>S1</v>
      </c>
      <c r="D14">
        <f>Plat!H71</f>
        <v>37.545727</v>
      </c>
      <c r="E14">
        <v>0.5</v>
      </c>
      <c r="F14">
        <f>D14*E14</f>
        <v>18.7728635</v>
      </c>
      <c r="G14">
        <f>Plat!I71</f>
        <v>5.63185905</v>
      </c>
      <c r="H14">
        <f>Plat!J71</f>
        <v>1.8772863499999999</v>
      </c>
      <c r="I14">
        <f>Plat!K71</f>
        <v>7.853249999999999</v>
      </c>
      <c r="L14">
        <f>Plat!L71</f>
        <v>0</v>
      </c>
      <c r="N14">
        <f>Plat!M71</f>
        <v>0</v>
      </c>
      <c r="O14">
        <f>Plat!N71</f>
        <v>618.07475421584</v>
      </c>
      <c r="P14">
        <f>Plat!O71</f>
        <v>0</v>
      </c>
      <c r="Q14">
        <f>Plat!P71</f>
        <v>0</v>
      </c>
      <c r="R14">
        <f>Plat!Q71</f>
        <v>0</v>
      </c>
      <c r="S14">
        <f>SUM(N14:R14)</f>
        <v>618.07475421584</v>
      </c>
    </row>
    <row r="15">
      <c r="B15" t="str">
        <f>Plat!A72</f>
        <v>Garden Terrace, FFL -0.05</v>
      </c>
      <c r="C15" t="str">
        <v>S1</v>
      </c>
      <c r="D15">
        <f>Plat!H72</f>
        <v>3.009993</v>
      </c>
      <c r="E15">
        <v>0.5</v>
      </c>
      <c r="F15">
        <f>D15*E15</f>
        <v>1.5049965</v>
      </c>
      <c r="G15">
        <f>Plat!I72</f>
        <v>0.45149895</v>
      </c>
      <c r="H15">
        <f>Plat!J72</f>
        <v>0.15049965</v>
      </c>
      <c r="I15">
        <f>Plat!K72</f>
        <v>1.1625</v>
      </c>
      <c r="L15">
        <f>Plat!L72</f>
        <v>0</v>
      </c>
      <c r="N15">
        <f>Plat!M72</f>
        <v>0</v>
      </c>
      <c r="O15">
        <f>Plat!N72</f>
        <v>49.55026396656</v>
      </c>
      <c r="P15">
        <f>Plat!O72</f>
        <v>0</v>
      </c>
      <c r="Q15">
        <f>Plat!P72</f>
        <v>0</v>
      </c>
      <c r="R15">
        <f>Plat!Q72</f>
        <v>0</v>
      </c>
      <c r="S15">
        <f>SUM(N15:R15)</f>
        <v>49.55026396656</v>
      </c>
    </row>
    <row r="16">
      <c r="B16" t="str">
        <f>Plat!A73</f>
        <v>Terrace, FFL -0.05</v>
      </c>
      <c r="C16" t="str">
        <v>S1</v>
      </c>
      <c r="D16">
        <f>Plat!H73</f>
        <v>16.274999</v>
      </c>
      <c r="E16">
        <v>0.5</v>
      </c>
      <c r="F16">
        <f>D16*E16</f>
        <v>8.1374995</v>
      </c>
      <c r="G16">
        <f>Plat!I73</f>
        <v>2.44124985</v>
      </c>
      <c r="H16">
        <f>Plat!J73</f>
        <v>0.81374995</v>
      </c>
      <c r="I16">
        <f>Plat!K73</f>
        <v>2.445</v>
      </c>
      <c r="L16">
        <f>Plat!L73</f>
        <v>0</v>
      </c>
      <c r="N16">
        <f>Plat!M73</f>
        <v>0</v>
      </c>
      <c r="O16">
        <f>Plat!N73</f>
        <v>267.91773153808003</v>
      </c>
      <c r="P16">
        <f>Plat!O73</f>
        <v>0</v>
      </c>
      <c r="Q16">
        <f>Plat!P73</f>
        <v>0</v>
      </c>
      <c r="R16">
        <f>Plat!Q73</f>
        <v>0</v>
      </c>
      <c r="S16">
        <f>SUM(N16:R16)</f>
        <v>267.91773153808003</v>
      </c>
    </row>
    <row r="18">
      <c r="B18" t="str">
        <v>Subtotal Lantai 1</v>
      </c>
      <c r="D18">
        <f>SUM(D4:D17)</f>
        <v>337.8395434</v>
      </c>
      <c r="F18">
        <f>SUM(F3:F17)</f>
        <v>288.0937839</v>
      </c>
      <c r="G18">
        <f>SUM(G4:G17)</f>
        <v>51.904365410000004</v>
      </c>
      <c r="H18">
        <f>SUM(H4:H17)</f>
        <v>16.891977169999997</v>
      </c>
      <c r="I18">
        <f>SUM(I4:I17)</f>
        <v>42.014415</v>
      </c>
      <c r="J18">
        <f>SUM(J4:J17)</f>
        <v>0</v>
      </c>
      <c r="K18">
        <f>SUM(K4:K17)</f>
        <v>0</v>
      </c>
      <c r="L18">
        <f>SUM(L4:L17)</f>
        <v>0</v>
      </c>
      <c r="M18">
        <f>SUM(M4:M17)</f>
        <v>0</v>
      </c>
      <c r="N18">
        <f>SUM(N4:N17)</f>
        <v>0</v>
      </c>
      <c r="O18">
        <f>SUM(O4:O17)</f>
        <v>5672.730824969628</v>
      </c>
      <c r="P18">
        <f>SUM(P4:P17)</f>
        <v>0</v>
      </c>
      <c r="Q18">
        <f>SUM(Q4:Q17)</f>
        <v>0</v>
      </c>
      <c r="R18">
        <f>SUM(R4:R17)</f>
        <v>0</v>
      </c>
      <c r="S18">
        <f>SUM(S4:S17)</f>
        <v>5672.730824969628</v>
      </c>
    </row>
    <row r="20">
      <c r="A20" t="str">
        <v>Lantai 2</v>
      </c>
    </row>
    <row r="22">
      <c r="B22" t="str">
        <f>Plat!A76</f>
        <v>Bathroom 3, FFL +4.48</v>
      </c>
      <c r="C22" t="str">
        <v>S1</v>
      </c>
      <c r="D22">
        <f>Plat!H76</f>
        <v>7.915187</v>
      </c>
      <c r="E22">
        <v>1</v>
      </c>
      <c r="F22">
        <f>D22*E22</f>
        <v>7.915187</v>
      </c>
      <c r="G22">
        <f>Plat!I76</f>
        <v>1.1872780500000002</v>
      </c>
      <c r="H22">
        <f>Plat!J76</f>
        <v>0</v>
      </c>
      <c r="I22">
        <f>Plat!K76</f>
        <v>9.610187</v>
      </c>
      <c r="L22">
        <f>Plat!L76</f>
        <v>0</v>
      </c>
      <c r="N22">
        <f>Plat!M76</f>
        <v>0</v>
      </c>
      <c r="O22">
        <f>Plat!N76</f>
        <v>130.29917517904002</v>
      </c>
      <c r="P22">
        <f>Plat!O76</f>
        <v>0</v>
      </c>
      <c r="Q22">
        <f>Plat!P76</f>
        <v>0</v>
      </c>
      <c r="R22">
        <f>Plat!Q76</f>
        <v>0</v>
      </c>
      <c r="S22">
        <f>SUM(N22:R22)</f>
        <v>130.29917517904002</v>
      </c>
      <c r="U22">
        <f>SUM(I22:I31)/SUM(G22:G31)</f>
        <v>8.004115755504392</v>
      </c>
      <c r="V22">
        <f>SUM(S22:S31)/SUM(G22:G31)</f>
        <v>109.74613333333335</v>
      </c>
    </row>
    <row r="23">
      <c r="B23" t="str">
        <f>Plat!A77</f>
        <v>Bedroom 3, FFL +4.50</v>
      </c>
      <c r="C23" t="str">
        <v>S1</v>
      </c>
      <c r="D23">
        <f>Plat!H77</f>
        <v>29.9875</v>
      </c>
      <c r="E23">
        <v>1</v>
      </c>
      <c r="F23">
        <f>D23*E23</f>
        <v>29.9875</v>
      </c>
      <c r="G23">
        <f>Plat!I77</f>
        <v>4.498125</v>
      </c>
      <c r="H23">
        <f>Plat!J77</f>
        <v>0</v>
      </c>
      <c r="I23">
        <f>Plat!K77</f>
        <v>33.61</v>
      </c>
      <c r="L23">
        <f>Plat!L77</f>
        <v>0</v>
      </c>
      <c r="N23">
        <f>Plat!M77</f>
        <v>0</v>
      </c>
      <c r="O23">
        <f>Plat!N77</f>
        <v>493.65182599999997</v>
      </c>
      <c r="P23">
        <f>Plat!O77</f>
        <v>0</v>
      </c>
      <c r="Q23">
        <f>Plat!P77</f>
        <v>0</v>
      </c>
      <c r="R23">
        <f>Plat!Q77</f>
        <v>0</v>
      </c>
      <c r="S23">
        <f>SUM(N23:R23)</f>
        <v>493.65182599999997</v>
      </c>
    </row>
    <row r="24">
      <c r="B24" t="str">
        <f>Plat!A78</f>
        <v>Balkon Bedroom 3, FFL +4.45</v>
      </c>
      <c r="C24" t="str">
        <v>S1</v>
      </c>
      <c r="D24">
        <f>Plat!H78</f>
        <v>3.645</v>
      </c>
      <c r="E24">
        <v>0.5</v>
      </c>
      <c r="F24">
        <f>D24*E24</f>
        <v>1.8225</v>
      </c>
      <c r="G24">
        <f>Plat!I78</f>
        <v>0.54675</v>
      </c>
      <c r="H24">
        <f>Plat!J78</f>
        <v>0</v>
      </c>
      <c r="I24">
        <f>Plat!K78</f>
        <v>5.0385</v>
      </c>
      <c r="L24">
        <f>Plat!L78</f>
        <v>0</v>
      </c>
      <c r="N24">
        <f>Plat!M78</f>
        <v>0</v>
      </c>
      <c r="O24">
        <f>Plat!N78</f>
        <v>60.0036984</v>
      </c>
      <c r="P24">
        <f>Plat!O78</f>
        <v>0</v>
      </c>
      <c r="Q24">
        <f>Plat!P78</f>
        <v>0</v>
      </c>
      <c r="R24">
        <f>Plat!Q78</f>
        <v>0</v>
      </c>
      <c r="S24">
        <f>SUM(N24:R24)</f>
        <v>60.0036984</v>
      </c>
    </row>
    <row r="25">
      <c r="B25" t="str">
        <f>Plat!A79</f>
        <v>Bathroom Maid, FFL +4.48</v>
      </c>
      <c r="C25" t="str">
        <v>S1</v>
      </c>
      <c r="D25">
        <f>Plat!H79</f>
        <v>4.123059</v>
      </c>
      <c r="E25">
        <v>1</v>
      </c>
      <c r="F25">
        <f>D25*E25</f>
        <v>4.123059</v>
      </c>
      <c r="G25">
        <f>Plat!I79</f>
        <v>0.61845885</v>
      </c>
      <c r="H25">
        <f>Plat!J79</f>
        <v>0</v>
      </c>
      <c r="I25">
        <f>Plat!K79</f>
        <v>5.368059</v>
      </c>
      <c r="L25">
        <f>Plat!L79</f>
        <v>0</v>
      </c>
      <c r="N25">
        <f>Plat!M79</f>
        <v>0</v>
      </c>
      <c r="O25">
        <f>Plat!N79</f>
        <v>67.87346741328</v>
      </c>
      <c r="P25">
        <f>Plat!O79</f>
        <v>0</v>
      </c>
      <c r="Q25">
        <f>Plat!P79</f>
        <v>0</v>
      </c>
      <c r="R25">
        <f>Plat!Q79</f>
        <v>0</v>
      </c>
      <c r="S25">
        <f>SUM(N25:R25)</f>
        <v>67.87346741328</v>
      </c>
    </row>
    <row r="26">
      <c r="B26" t="str">
        <f>Plat!A80</f>
        <v>Main Building, FFL +4.50</v>
      </c>
      <c r="C26" t="str">
        <v>S1</v>
      </c>
      <c r="D26">
        <f>Plat!H80</f>
        <v>101.34382</v>
      </c>
      <c r="E26">
        <v>1</v>
      </c>
      <c r="F26">
        <f>D26*E26</f>
        <v>101.34382</v>
      </c>
      <c r="G26">
        <f>Plat!I80</f>
        <v>15.201572999999998</v>
      </c>
      <c r="H26">
        <f>Plat!J80</f>
        <v>0</v>
      </c>
      <c r="I26">
        <f>Plat!K80</f>
        <v>121.07616999999999</v>
      </c>
      <c r="L26">
        <f>Plat!L80</f>
        <v>0</v>
      </c>
      <c r="N26">
        <f>Plat!M80</f>
        <v>0</v>
      </c>
      <c r="O26">
        <f>Plat!N80</f>
        <v>1668.3138573343997</v>
      </c>
      <c r="P26">
        <f>Plat!O80</f>
        <v>0</v>
      </c>
      <c r="Q26">
        <f>Plat!P80</f>
        <v>0</v>
      </c>
      <c r="R26">
        <f>Plat!Q80</f>
        <v>0</v>
      </c>
      <c r="S26">
        <f>SUM(N26:R26)</f>
        <v>1668.3138573343997</v>
      </c>
    </row>
    <row r="27">
      <c r="B27" t="str">
        <f>Plat!A81</f>
        <v>Kanopi Terrace Garden, FFL +4.45</v>
      </c>
      <c r="C27" t="str">
        <v>S1</v>
      </c>
      <c r="D27">
        <f>Plat!H81</f>
        <v>5.963328</v>
      </c>
      <c r="E27">
        <v>0.5</v>
      </c>
      <c r="F27">
        <f>D27*E27</f>
        <v>2.981664</v>
      </c>
      <c r="G27">
        <f>Plat!I81</f>
        <v>0.8944991999999999</v>
      </c>
      <c r="H27">
        <f>Plat!J81</f>
        <v>0</v>
      </c>
      <c r="I27">
        <f>Plat!K81</f>
        <v>7.4333279999999995</v>
      </c>
      <c r="L27">
        <f>Plat!L81</f>
        <v>0</v>
      </c>
      <c r="N27">
        <f>Plat!M81</f>
        <v>0</v>
      </c>
      <c r="O27">
        <f>Plat!N81</f>
        <v>98.16782846976</v>
      </c>
      <c r="P27">
        <f>Plat!O81</f>
        <v>0</v>
      </c>
      <c r="Q27">
        <f>Plat!P81</f>
        <v>0</v>
      </c>
      <c r="R27">
        <f>Plat!Q81</f>
        <v>0</v>
      </c>
      <c r="S27">
        <f>SUM(N27:R27)</f>
        <v>98.16782846976</v>
      </c>
    </row>
    <row r="28">
      <c r="B28" t="str">
        <f>Plat!A82</f>
        <v>Bathroom 2, FFL +4.48</v>
      </c>
      <c r="C28" t="str">
        <v>S1</v>
      </c>
      <c r="D28">
        <f>Plat!H82</f>
        <v>5.502342</v>
      </c>
      <c r="E28">
        <v>1</v>
      </c>
      <c r="F28">
        <f>D28*E28</f>
        <v>5.502342</v>
      </c>
      <c r="G28">
        <f>Plat!I82</f>
        <v>0.8253512999999999</v>
      </c>
      <c r="H28">
        <f>Plat!J82</f>
        <v>0</v>
      </c>
      <c r="I28">
        <f>Plat!K82</f>
        <v>6.920591999999999</v>
      </c>
      <c r="L28">
        <f>Plat!L82</f>
        <v>0</v>
      </c>
      <c r="N28">
        <f>Plat!M82</f>
        <v>0</v>
      </c>
      <c r="O28">
        <f>Plat!N82</f>
        <v>90.57911381663999</v>
      </c>
      <c r="P28">
        <f>Plat!O82</f>
        <v>0</v>
      </c>
      <c r="Q28">
        <f>Plat!P82</f>
        <v>0</v>
      </c>
      <c r="R28">
        <f>Plat!Q82</f>
        <v>0</v>
      </c>
      <c r="S28">
        <f>SUM(N28:R28)</f>
        <v>90.57911381663999</v>
      </c>
    </row>
    <row r="29">
      <c r="B29" t="str">
        <f>Plat!A83</f>
        <v>Bathroom 1, FFL +4.48</v>
      </c>
      <c r="C29" t="str">
        <v>S1</v>
      </c>
      <c r="D29">
        <f>Plat!H83</f>
        <v>8.9225</v>
      </c>
      <c r="E29">
        <v>1</v>
      </c>
      <c r="F29">
        <f>D29*E29</f>
        <v>8.9225</v>
      </c>
      <c r="G29">
        <f>Plat!I83</f>
        <v>1.338375</v>
      </c>
      <c r="H29">
        <f>Plat!J83</f>
        <v>0</v>
      </c>
      <c r="I29">
        <f>Plat!K83</f>
        <v>10.8125</v>
      </c>
      <c r="L29">
        <f>Plat!L83</f>
        <v>0</v>
      </c>
      <c r="N29">
        <f>Plat!M83</f>
        <v>0</v>
      </c>
      <c r="O29">
        <f>Plat!N83</f>
        <v>146.8814812</v>
      </c>
      <c r="P29">
        <f>Plat!O83</f>
        <v>0</v>
      </c>
      <c r="Q29">
        <f>Plat!P83</f>
        <v>0</v>
      </c>
      <c r="R29">
        <f>Plat!Q83</f>
        <v>0</v>
      </c>
      <c r="S29">
        <f>SUM(N29:R29)</f>
        <v>146.8814812</v>
      </c>
    </row>
    <row r="30">
      <c r="B30" t="str">
        <f>Plat!A84</f>
        <v>Balkon Bedroom 2, FFL +4.45</v>
      </c>
      <c r="C30" t="str">
        <v>S1</v>
      </c>
      <c r="D30">
        <f>Plat!H84</f>
        <v>3.009947</v>
      </c>
      <c r="E30">
        <v>0.5</v>
      </c>
      <c r="F30">
        <f>D30*E30</f>
        <v>1.5049735</v>
      </c>
      <c r="G30">
        <f>Plat!I84</f>
        <v>0.45149205000000003</v>
      </c>
      <c r="H30">
        <f>Plat!J84</f>
        <v>0</v>
      </c>
      <c r="I30">
        <f>Plat!K84</f>
        <v>4.172447</v>
      </c>
      <c r="L30">
        <f>Plat!L84</f>
        <v>0</v>
      </c>
      <c r="N30">
        <f>Plat!M84</f>
        <v>0</v>
      </c>
      <c r="O30">
        <f>Plat!N84</f>
        <v>49.54950671824</v>
      </c>
      <c r="P30">
        <f>Plat!O84</f>
        <v>0</v>
      </c>
      <c r="Q30">
        <f>Plat!P84</f>
        <v>0</v>
      </c>
      <c r="R30">
        <f>Plat!Q84</f>
        <v>0</v>
      </c>
      <c r="S30">
        <f>SUM(N30:R30)</f>
        <v>49.54950671824</v>
      </c>
    </row>
    <row r="31">
      <c r="B31" t="str">
        <f>Plat!A85</f>
        <v>Balkon Bedroom 1, FFL +4.45</v>
      </c>
      <c r="C31" t="str">
        <v>S1</v>
      </c>
      <c r="D31">
        <f>Plat!H85</f>
        <v>3.009993</v>
      </c>
      <c r="E31">
        <v>0.5</v>
      </c>
      <c r="F31">
        <f>D31*E31</f>
        <v>1.5049965</v>
      </c>
      <c r="G31">
        <f>Plat!I85</f>
        <v>0.45149895</v>
      </c>
      <c r="H31">
        <f>Plat!J85</f>
        <v>0</v>
      </c>
      <c r="I31">
        <f>Plat!K85</f>
        <v>4.172493</v>
      </c>
      <c r="L31">
        <f>Plat!L85</f>
        <v>0</v>
      </c>
      <c r="N31">
        <f>Plat!M85</f>
        <v>0</v>
      </c>
      <c r="O31">
        <f>Plat!N85</f>
        <v>49.55026396656</v>
      </c>
      <c r="P31">
        <f>Plat!O85</f>
        <v>0</v>
      </c>
      <c r="Q31">
        <f>Plat!P85</f>
        <v>0</v>
      </c>
      <c r="R31">
        <f>Plat!Q85</f>
        <v>0</v>
      </c>
      <c r="S31">
        <f>SUM(N31:R31)</f>
        <v>49.55026396656</v>
      </c>
    </row>
    <row r="32">
      <c r="B32" t="str">
        <f>Plat!A86</f>
        <v>Kanopi Bawah Balkon Bedroom 2, FFL +4.45</v>
      </c>
      <c r="C32" t="str">
        <v>S1</v>
      </c>
      <c r="D32">
        <f>Plat!H86</f>
        <v>1.887497</v>
      </c>
      <c r="E32">
        <v>0.5</v>
      </c>
      <c r="F32">
        <f>D32*E32</f>
        <v>0.9437485</v>
      </c>
      <c r="G32">
        <f>Plat!I86</f>
        <v>0.28312455</v>
      </c>
      <c r="H32">
        <f>Plat!J86</f>
        <v>0</v>
      </c>
      <c r="I32">
        <f>Plat!K86</f>
        <v>3.169997</v>
      </c>
      <c r="L32">
        <f>Plat!L86</f>
        <v>0</v>
      </c>
      <c r="N32">
        <f>Plat!M86</f>
        <v>0</v>
      </c>
      <c r="O32">
        <f>Plat!N86</f>
        <v>31.071824614239997</v>
      </c>
      <c r="P32">
        <f>Plat!O86</f>
        <v>0</v>
      </c>
      <c r="Q32">
        <f>Plat!P86</f>
        <v>0</v>
      </c>
      <c r="R32">
        <f>Plat!Q86</f>
        <v>0</v>
      </c>
      <c r="S32">
        <f>SUM(N32:R32)</f>
        <v>31.071824614239997</v>
      </c>
    </row>
    <row r="33">
      <c r="B33" t="str">
        <f>Plat!A87</f>
        <v>Kanopi Carport, FFL +4.45</v>
      </c>
      <c r="C33" t="str">
        <v>S1</v>
      </c>
      <c r="D33">
        <f>Plat!H87</f>
        <v>25.982437</v>
      </c>
      <c r="E33">
        <v>0.5</v>
      </c>
      <c r="F33">
        <f>D33*E33</f>
        <v>12.9912185</v>
      </c>
      <c r="G33">
        <f>Plat!I87</f>
        <v>3.89736555</v>
      </c>
      <c r="H33">
        <f>Plat!J87</f>
        <v>0</v>
      </c>
      <c r="I33">
        <f>Plat!K87</f>
        <v>31.777687</v>
      </c>
      <c r="L33">
        <f>Plat!L87</f>
        <v>0</v>
      </c>
      <c r="N33">
        <f>Plat!M87</f>
        <v>0</v>
      </c>
      <c r="O33">
        <f>Plat!N87</f>
        <v>427.72079929904</v>
      </c>
      <c r="P33">
        <f>Plat!O87</f>
        <v>0</v>
      </c>
      <c r="Q33">
        <f>Plat!P87</f>
        <v>0</v>
      </c>
      <c r="R33">
        <f>Plat!Q87</f>
        <v>0</v>
      </c>
      <c r="S33">
        <f>SUM(N33:R33)</f>
        <v>427.72079929904</v>
      </c>
    </row>
    <row r="34">
      <c r="B34" t="str">
        <f>Plat!A88</f>
        <v>Kanopi Depan, FFL +4.45</v>
      </c>
      <c r="C34" t="str">
        <v>S1</v>
      </c>
      <c r="D34">
        <f>Plat!H88</f>
        <v>12.372499</v>
      </c>
      <c r="E34">
        <v>0.5</v>
      </c>
      <c r="F34">
        <f>D34*E34</f>
        <v>6.1862495</v>
      </c>
      <c r="G34">
        <f>Plat!I88</f>
        <v>1.85587485</v>
      </c>
      <c r="H34">
        <f>Plat!J88</f>
        <v>0</v>
      </c>
      <c r="I34">
        <f>Plat!K88</f>
        <v>14.622499</v>
      </c>
      <c r="L34">
        <f>Plat!L88</f>
        <v>0</v>
      </c>
      <c r="N34">
        <f>Plat!M88</f>
        <v>0</v>
      </c>
      <c r="O34">
        <f>Plat!N88</f>
        <v>203.67508873808</v>
      </c>
      <c r="P34">
        <f>Plat!O88</f>
        <v>0</v>
      </c>
      <c r="Q34">
        <f>Plat!P88</f>
        <v>0</v>
      </c>
      <c r="R34">
        <f>Plat!Q88</f>
        <v>0</v>
      </c>
      <c r="S34">
        <f>SUM(N34:R34)</f>
        <v>203.67508873808</v>
      </c>
    </row>
    <row r="36">
      <c r="B36" t="str">
        <v>Subtotal Lantai 2</v>
      </c>
      <c r="D36">
        <f>SUM(D20:D35)</f>
        <v>213.66510900000003</v>
      </c>
      <c r="F36">
        <f>SUM(F19:F35)</f>
        <v>185.7297585</v>
      </c>
      <c r="G36">
        <f>SUM(G20:G35)</f>
        <v>32.04976635</v>
      </c>
      <c r="H36">
        <f>SUM(H20:H35)</f>
        <v>0</v>
      </c>
      <c r="I36">
        <f>SUM(I20:I35)</f>
        <v>257.78445899999997</v>
      </c>
      <c r="J36">
        <f>SUM(J20:J35)</f>
        <v>0</v>
      </c>
      <c r="K36">
        <f>SUM(K20:K35)</f>
        <v>0</v>
      </c>
      <c r="L36">
        <f>SUM(L20:L35)</f>
        <v>0</v>
      </c>
      <c r="M36">
        <f>SUM(M20:M35)</f>
        <v>0</v>
      </c>
      <c r="N36">
        <f>SUM(N20:N35)</f>
        <v>0</v>
      </c>
      <c r="O36">
        <f>SUM(O20:O35)</f>
        <v>3517.3379311492795</v>
      </c>
      <c r="P36">
        <f>SUM(P20:P35)</f>
        <v>0</v>
      </c>
      <c r="Q36">
        <f>SUM(Q20:Q35)</f>
        <v>0</v>
      </c>
      <c r="R36">
        <f>SUM(R20:R35)</f>
        <v>0</v>
      </c>
      <c r="S36">
        <f>SUM(S20:S35)</f>
        <v>3517.3379311492795</v>
      </c>
    </row>
    <row r="38">
      <c r="A38" t="str">
        <v>Lantai 3</v>
      </c>
    </row>
    <row r="40">
      <c r="B40" t="str">
        <f>Plat!A91</f>
        <v>Deck Belakang, FFL +8.87</v>
      </c>
      <c r="C40" t="str">
        <v>S1</v>
      </c>
      <c r="D40">
        <f>Plat!H91</f>
        <v>30.005121</v>
      </c>
      <c r="E40">
        <v>0.5</v>
      </c>
      <c r="F40">
        <f>D40*E40</f>
        <v>15.0025605</v>
      </c>
      <c r="G40">
        <f>Plat!I91</f>
        <v>4.50076815</v>
      </c>
      <c r="H40">
        <f>Plat!J91</f>
        <v>0</v>
      </c>
      <c r="I40">
        <f>Plat!K91</f>
        <v>34.708071</v>
      </c>
      <c r="L40">
        <f>Plat!L91</f>
        <v>0</v>
      </c>
      <c r="N40">
        <f>Plat!M91</f>
        <v>0</v>
      </c>
      <c r="O40">
        <f>Plat!N91</f>
        <v>493.94190149231997</v>
      </c>
      <c r="P40">
        <f>Plat!O91</f>
        <v>0</v>
      </c>
      <c r="Q40">
        <f>Plat!P91</f>
        <v>0</v>
      </c>
      <c r="R40">
        <f>Plat!Q91</f>
        <v>0</v>
      </c>
      <c r="S40">
        <f>SUM(N40:R40)</f>
        <v>493.94190149231997</v>
      </c>
      <c r="U40">
        <f>SUM(I40:I42)/SUM(G40:G42)</f>
        <v>7.4150240489140185</v>
      </c>
      <c r="V40">
        <f>SUM(S40:S42)/SUM(G40:G42)</f>
        <v>109.74613333333335</v>
      </c>
    </row>
    <row r="41">
      <c r="B41" t="str">
        <f>Plat!A92</f>
        <v>Main Building, FFL +9.00</v>
      </c>
      <c r="C41" t="str">
        <v>S1</v>
      </c>
      <c r="D41">
        <f>Plat!H92</f>
        <v>172.01331199999998</v>
      </c>
      <c r="E41">
        <v>1</v>
      </c>
      <c r="F41">
        <f>D41*E41</f>
        <v>172.01331199999998</v>
      </c>
      <c r="G41">
        <f>Plat!I92</f>
        <v>25.801996799999998</v>
      </c>
      <c r="H41">
        <f>Plat!J92</f>
        <v>0</v>
      </c>
      <c r="I41">
        <f>Plat!K92</f>
        <v>189.200312</v>
      </c>
      <c r="L41">
        <f>Plat!L92</f>
        <v>0</v>
      </c>
      <c r="N41">
        <f>Plat!M92</f>
        <v>0</v>
      </c>
      <c r="O41">
        <f>Plat!N92</f>
        <v>2831.66938107904</v>
      </c>
      <c r="P41">
        <f>Plat!O92</f>
        <v>0</v>
      </c>
      <c r="Q41">
        <f>Plat!P92</f>
        <v>0</v>
      </c>
      <c r="R41">
        <f>Plat!Q92</f>
        <v>0</v>
      </c>
      <c r="S41">
        <f>SUM(N41:R41)</f>
        <v>2831.66938107904</v>
      </c>
    </row>
    <row r="42">
      <c r="B42" t="str">
        <f>Plat!A93</f>
        <v>Balkon Depan, FFL +8.90</v>
      </c>
      <c r="C42" t="str">
        <v>S1</v>
      </c>
      <c r="D42">
        <f>Plat!H93</f>
        <v>10.891874</v>
      </c>
      <c r="E42">
        <v>0.5</v>
      </c>
      <c r="F42">
        <f>D42*E42</f>
        <v>5.445937</v>
      </c>
      <c r="G42">
        <f>Plat!I93</f>
        <v>1.6337811</v>
      </c>
      <c r="H42">
        <f>Plat!J93</f>
        <v>0</v>
      </c>
      <c r="I42">
        <f>Plat!K93</f>
        <v>12.901874</v>
      </c>
      <c r="L42">
        <f>Plat!L93</f>
        <v>0</v>
      </c>
      <c r="N42">
        <f>Plat!M93</f>
        <v>0</v>
      </c>
      <c r="O42">
        <f>Plat!N93</f>
        <v>179.30115843808</v>
      </c>
      <c r="P42">
        <f>Plat!O93</f>
        <v>0</v>
      </c>
      <c r="Q42">
        <f>Plat!P93</f>
        <v>0</v>
      </c>
      <c r="R42">
        <f>Plat!Q93</f>
        <v>0</v>
      </c>
      <c r="S42">
        <f>SUM(N42:R42)</f>
        <v>179.30115843808</v>
      </c>
    </row>
    <row r="44">
      <c r="B44" t="str">
        <v>Subtotal Lantai 3</v>
      </c>
      <c r="D44">
        <f>SUM(D38:D43)</f>
        <v>212.910307</v>
      </c>
      <c r="F44">
        <f>SUM(F37:F43)</f>
        <v>192.46180949999996</v>
      </c>
      <c r="G44">
        <f>SUM(G38:G43)</f>
        <v>31.936546049999997</v>
      </c>
      <c r="H44">
        <f>SUM(H38:H43)</f>
        <v>0</v>
      </c>
      <c r="I44">
        <f>SUM(I38:I43)</f>
        <v>236.81025699999998</v>
      </c>
      <c r="J44">
        <f>SUM(J38:J43)</f>
        <v>0</v>
      </c>
      <c r="K44">
        <f>SUM(K38:K43)</f>
        <v>0</v>
      </c>
      <c r="L44">
        <f>SUM(L38:L43)</f>
        <v>0</v>
      </c>
      <c r="M44">
        <f>SUM(M38:M43)</f>
        <v>0</v>
      </c>
      <c r="N44">
        <f>SUM(N38:N43)</f>
        <v>0</v>
      </c>
      <c r="O44">
        <f>SUM(O38:O43)</f>
        <v>3504.91244100944</v>
      </c>
      <c r="P44">
        <f>SUM(P38:P43)</f>
        <v>0</v>
      </c>
      <c r="Q44">
        <f>SUM(Q38:Q43)</f>
        <v>0</v>
      </c>
      <c r="R44">
        <f>SUM(R38:R43)</f>
        <v>0</v>
      </c>
      <c r="S44">
        <f>SUM(S38:S43)</f>
        <v>3504.91244100944</v>
      </c>
    </row>
    <row r="46">
      <c r="A46" t="str">
        <v>Lantai Dak Atap</v>
      </c>
    </row>
    <row r="48">
      <c r="B48" t="str">
        <f>Plat!A96</f>
        <v>Deck Atap, FFL +12.50</v>
      </c>
      <c r="C48" t="str">
        <v>S1</v>
      </c>
      <c r="D48">
        <f>Plat!H96</f>
        <v>12.765228</v>
      </c>
      <c r="E48">
        <v>0.5</v>
      </c>
      <c r="F48">
        <f>D48*E48</f>
        <v>6.382614</v>
      </c>
      <c r="G48">
        <f>Plat!I96</f>
        <v>1.9147842000000002</v>
      </c>
      <c r="H48">
        <f>Plat!J96</f>
        <v>0</v>
      </c>
      <c r="I48">
        <f>Plat!K96</f>
        <v>14.921478</v>
      </c>
      <c r="L48">
        <f>Plat!L96</f>
        <v>0</v>
      </c>
      <c r="N48">
        <f>Plat!M96</f>
        <v>0</v>
      </c>
      <c r="O48">
        <f>Plat!N96</f>
        <v>210.14016211776</v>
      </c>
      <c r="P48">
        <f>Plat!O96</f>
        <v>0</v>
      </c>
      <c r="Q48">
        <f>Plat!P96</f>
        <v>0</v>
      </c>
      <c r="R48">
        <f>Plat!Q96</f>
        <v>0</v>
      </c>
      <c r="S48">
        <f>SUM(N48:R48)</f>
        <v>210.14016211776</v>
      </c>
      <c r="U48">
        <f>SUM(I48:I49)/SUM(G48:G49)</f>
        <v>7.545051756602655</v>
      </c>
      <c r="V48">
        <f>SUM(S48:S49)/SUM(G48:G49)</f>
        <v>109.74613333333332</v>
      </c>
    </row>
    <row r="49">
      <c r="B49" t="str">
        <f>Plat!A97</f>
        <v>Deck Atap, FFL +13.70</v>
      </c>
      <c r="C49" t="str">
        <v>S1</v>
      </c>
      <c r="D49">
        <f>Plat!H97</f>
        <v>27.826308</v>
      </c>
      <c r="E49">
        <v>0.5</v>
      </c>
      <c r="F49">
        <f>D49*E49</f>
        <v>13.913154</v>
      </c>
      <c r="G49">
        <f>Plat!I97</f>
        <v>4.1739462000000005</v>
      </c>
      <c r="H49">
        <f>Plat!J97</f>
        <v>0</v>
      </c>
      <c r="I49">
        <f>Plat!K97</f>
        <v>31.018308</v>
      </c>
      <c r="L49">
        <f>Plat!L97</f>
        <v>0</v>
      </c>
      <c r="N49">
        <f>Plat!M97</f>
        <v>0</v>
      </c>
      <c r="O49">
        <f>Plat!N97</f>
        <v>458.07445619136007</v>
      </c>
      <c r="P49">
        <f>Plat!O97</f>
        <v>0</v>
      </c>
      <c r="Q49">
        <f>Plat!P97</f>
        <v>0</v>
      </c>
      <c r="R49">
        <f>Plat!Q97</f>
        <v>0</v>
      </c>
      <c r="S49">
        <f>SUM(N49:R49)</f>
        <v>458.07445619136007</v>
      </c>
    </row>
    <row r="51">
      <c r="B51" t="str">
        <v>Subtotal Lantai Dak Atap</v>
      </c>
      <c r="D51">
        <f>SUM(D45:D50)</f>
        <v>40.591536000000005</v>
      </c>
      <c r="F51">
        <f>SUM(F45:F50)</f>
        <v>20.295768000000002</v>
      </c>
      <c r="G51">
        <f>SUM(G45:G50)</f>
        <v>6.088730400000001</v>
      </c>
      <c r="H51">
        <f>SUM(H45:H50)</f>
        <v>0</v>
      </c>
      <c r="I51">
        <f>SUM(I45:I50)</f>
        <v>45.939786</v>
      </c>
      <c r="J51">
        <f>SUM(J45:J50)</f>
        <v>0</v>
      </c>
      <c r="K51">
        <f>SUM(K45:K50)</f>
        <v>0</v>
      </c>
      <c r="L51">
        <f>SUM(L45:L50)</f>
        <v>0</v>
      </c>
      <c r="M51">
        <f>SUM(M45:M50)</f>
        <v>0</v>
      </c>
      <c r="N51">
        <f>SUM(N45:N50)</f>
        <v>0</v>
      </c>
      <c r="O51">
        <f>SUM(O45:O50)</f>
        <v>668.21461830912</v>
      </c>
      <c r="P51">
        <f>SUM(P45:P50)</f>
        <v>0</v>
      </c>
      <c r="Q51">
        <f>SUM(Q45:Q50)</f>
        <v>0</v>
      </c>
      <c r="R51">
        <f>SUM(R45:R50)</f>
        <v>0</v>
      </c>
      <c r="S51">
        <f>SUM(S45:S50)</f>
        <v>668.21461830912</v>
      </c>
    </row>
    <row r="55">
      <c r="A55" t="str">
        <v>TOTAL</v>
      </c>
      <c r="D55">
        <f>SUM(D3:D54)/2</f>
        <v>805.0064953999997</v>
      </c>
      <c r="F55">
        <f>SUM(F3:F54)/2</f>
        <v>686.5811198999999</v>
      </c>
      <c r="G55">
        <f>SUM(G3:G54)/2</f>
        <v>121.97940820999999</v>
      </c>
      <c r="H55">
        <f>SUM(H3:H54)/2</f>
        <v>16.891977169999997</v>
      </c>
      <c r="I55">
        <f>SUM(I3:I54)/2</f>
        <v>582.5489169999998</v>
      </c>
      <c r="J55">
        <f>SUM(J3:J54)/2</f>
        <v>0</v>
      </c>
      <c r="L55">
        <f>SUM(L3:L54)/2</f>
        <v>0</v>
      </c>
      <c r="N55">
        <f>SUM(N3:N54)/2</f>
        <v>0</v>
      </c>
      <c r="O55">
        <f>SUM(O3:O54)/2</f>
        <v>13363.195815437468</v>
      </c>
      <c r="P55">
        <f>SUM(P3:P54)/2</f>
        <v>0</v>
      </c>
      <c r="Q55">
        <f>SUM(Q3:Q54)/2</f>
        <v>0</v>
      </c>
      <c r="R55">
        <f>SUM(R3:R54)/2</f>
        <v>0</v>
      </c>
      <c r="S55">
        <f>SUM(S3:S54)/2</f>
        <v>13363.195815437468</v>
      </c>
    </row>
    <row r="56">
      <c r="R56" t="str">
        <v>Cek</v>
      </c>
      <c r="S56">
        <f>S55-Plat!R102</f>
        <v>0</v>
      </c>
    </row>
  </sheetData>
  <mergeCells count="12">
    <mergeCell ref="H1:J1"/>
    <mergeCell ref="N1:R1"/>
    <mergeCell ref="S1:S2"/>
    <mergeCell ref="U1:U2"/>
    <mergeCell ref="V1:V2"/>
    <mergeCell ref="F1:F2"/>
    <mergeCell ref="G1:G2"/>
    <mergeCell ref="A55:C55"/>
    <mergeCell ref="A1:B2"/>
    <mergeCell ref="C1:C2"/>
    <mergeCell ref="D1:D2"/>
    <mergeCell ref="E1:E2"/>
  </mergeCells>
  <pageMargins left="0.7086614173228347" right="0.7086614173228347" top="0.7480314960629921" bottom="0.7480314960629921" header="0.31496062992125984" footer="0.31496062992125984"/>
  <ignoredErrors>
    <ignoredError numberStoredAsText="1" sqref="A1:V5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104"/>
  <sheetViews>
    <sheetView workbookViewId="0" rightToLeft="0"/>
  </sheetViews>
  <sheetData>
    <row r="1">
      <c r="A1" t="str">
        <v>PERHITUNGAN VOLUME PLAT</v>
      </c>
    </row>
    <row r="3">
      <c r="A3" t="str">
        <v>Pnjng lewatan atas</v>
      </c>
      <c r="B3" t="str">
        <v>:</v>
      </c>
      <c r="C3">
        <v>15</v>
      </c>
      <c r="D3" t="str">
        <v>D</v>
      </c>
      <c r="F3" t="str">
        <v>Over lap</v>
      </c>
      <c r="I3" t="str">
        <v>:</v>
      </c>
      <c r="J3">
        <v>40</v>
      </c>
      <c r="K3" t="str">
        <v>mm</v>
      </c>
    </row>
    <row r="4">
      <c r="A4" t="str">
        <v>Pnjng lewatan bwh</v>
      </c>
      <c r="B4" t="str">
        <v>:</v>
      </c>
      <c r="C4">
        <v>20</v>
      </c>
      <c r="D4" t="str">
        <v>D</v>
      </c>
      <c r="F4" t="str">
        <v>Panjang tul. Datar kaki ayam</v>
      </c>
      <c r="I4" t="str">
        <v>:</v>
      </c>
      <c r="J4">
        <v>300</v>
      </c>
      <c r="K4" t="str">
        <v>mm</v>
      </c>
    </row>
    <row r="5">
      <c r="A5" t="str">
        <v>Panjang kait</v>
      </c>
      <c r="B5" t="str">
        <v>:</v>
      </c>
      <c r="C5">
        <v>12</v>
      </c>
      <c r="D5" t="str">
        <v>D</v>
      </c>
      <c r="F5" t="str">
        <v>Selimut beton</v>
      </c>
      <c r="I5" t="str">
        <v>:</v>
      </c>
      <c r="J5">
        <v>20</v>
      </c>
      <c r="K5" t="str">
        <v>mm</v>
      </c>
    </row>
    <row r="6">
      <c r="A6" t="str">
        <v>Tebal lantai kerja</v>
      </c>
      <c r="B6" t="str">
        <v>:</v>
      </c>
      <c r="C6">
        <v>50</v>
      </c>
      <c r="D6" t="str">
        <v>mm</v>
      </c>
    </row>
    <row r="8">
      <c r="A8" t="str">
        <v>PLAT DENGAN TULANGAN MENERUS 2 ARAH</v>
      </c>
    </row>
    <row r="12">
      <c r="F12" t="str">
        <v>Tipe Plat</v>
      </c>
      <c r="I12" t="str">
        <v>:</v>
      </c>
      <c r="J12" t="str">
        <v>S2</v>
      </c>
    </row>
    <row r="13">
      <c r="F13" t="str">
        <v>Ukuran Modul Dominan</v>
      </c>
      <c r="H13" t="str">
        <v>Sisi pendek (lx)</v>
      </c>
      <c r="I13" t="str">
        <v>:</v>
      </c>
      <c r="J13">
        <v>3</v>
      </c>
      <c r="K13" t="str">
        <v>m</v>
      </c>
      <c r="L13">
        <v>2.85</v>
      </c>
    </row>
    <row r="14">
      <c r="H14" t="str">
        <v>Sisi panjang (ly)</v>
      </c>
      <c r="I14" t="str">
        <v>:</v>
      </c>
      <c r="J14">
        <v>3</v>
      </c>
      <c r="K14" t="str">
        <v>m</v>
      </c>
      <c r="L14">
        <v>2.85</v>
      </c>
    </row>
    <row r="15">
      <c r="H15" t="str">
        <v>Tebal plat</v>
      </c>
      <c r="I15" t="str">
        <v>:</v>
      </c>
      <c r="J15">
        <v>200</v>
      </c>
      <c r="K15" t="str">
        <v>mm</v>
      </c>
    </row>
    <row r="17">
      <c r="F17" t="str">
        <v>Tipe Tulangan</v>
      </c>
      <c r="G17" t="str">
        <v>Diameter</v>
      </c>
      <c r="H17" t="str">
        <v>Jarak</v>
      </c>
      <c r="I17" t="str">
        <v>Jumlah</v>
      </c>
      <c r="J17" t="str">
        <v>Overlap dan Kait</v>
      </c>
      <c r="K17" t="str">
        <v>Panjang Tul. Total</v>
      </c>
      <c r="L17" t="str">
        <v>Wire Mesh</v>
      </c>
      <c r="M17" t="str">
        <v>Berat Tulangan per Diameter (kg)</v>
      </c>
      <c r="R17" t="str">
        <v>Total</v>
      </c>
    </row>
    <row r="18">
      <c r="G18" t="str">
        <v>mm</v>
      </c>
      <c r="H18" t="str">
        <v>mm</v>
      </c>
      <c r="I18" t="str">
        <v>bh</v>
      </c>
      <c r="J18" t="str">
        <v>m</v>
      </c>
      <c r="K18" t="str">
        <v>m</v>
      </c>
      <c r="L18" t="str">
        <v>m2</v>
      </c>
      <c r="M18">
        <v>8</v>
      </c>
      <c r="N18">
        <v>10</v>
      </c>
      <c r="O18">
        <v>13</v>
      </c>
      <c r="P18">
        <v>16</v>
      </c>
      <c r="Q18">
        <v>25</v>
      </c>
      <c r="R18" t="str">
        <v>kg</v>
      </c>
    </row>
    <row r="19">
      <c r="F19" t="str">
        <v>A</v>
      </c>
      <c r="G19">
        <v>10</v>
      </c>
      <c r="H19">
        <v>150</v>
      </c>
      <c r="I19">
        <f>ROUND($J14/($H19/1000),0)+1</f>
        <v>21</v>
      </c>
      <c r="J19">
        <f>J13/12*50*G19/1000</f>
        <v>0.125</v>
      </c>
      <c r="K19">
        <f>J13+J19</f>
        <v>3.125</v>
      </c>
      <c r="M19">
        <f>IF($G19=M$18,0.006165*$G19^2*$K19*$I19,0)</f>
        <v>0</v>
      </c>
      <c r="N19">
        <f>IF($G19=N$18,0.006165*$G19^2*$K19*$I19,0)</f>
        <v>40.4578125</v>
      </c>
      <c r="O19">
        <f>IF($G19=O$18,0.006165*$G19^2*$K19*$I19,0)</f>
        <v>0</v>
      </c>
      <c r="P19">
        <f>IF($G19=P$18,0.006165*$G19^2*$K19*$I19,0)</f>
        <v>0</v>
      </c>
      <c r="Q19">
        <f>IF($G19=Q$18,0.006165*$G19^2*$K19*$I19,0)</f>
        <v>0</v>
      </c>
      <c r="R19">
        <f>SUM(M19:Q19)</f>
        <v>40.4578125</v>
      </c>
    </row>
    <row r="20">
      <c r="F20" t="str">
        <v>B</v>
      </c>
      <c r="G20">
        <v>10</v>
      </c>
      <c r="H20">
        <v>150</v>
      </c>
      <c r="I20">
        <f>ROUND($J14/($H20/1000),0)+1</f>
        <v>21</v>
      </c>
      <c r="J20">
        <f>J13/12*50*G20/1000</f>
        <v>0.125</v>
      </c>
      <c r="K20">
        <f>J13+J20</f>
        <v>3.125</v>
      </c>
      <c r="M20">
        <f>IF($G20=M$18,0.006165*$G20^2*$K20*$I20,0)</f>
        <v>0</v>
      </c>
      <c r="N20">
        <f>IF($G20=N$18,0.006165*$G20^2*$K20*$I20,0)</f>
        <v>40.4578125</v>
      </c>
      <c r="O20">
        <f>IF($G20=O$18,0.006165*$G20^2*$K20*$I20,0)</f>
        <v>0</v>
      </c>
      <c r="P20">
        <f>IF($G20=P$18,0.006165*$G20^2*$K20*$I20,0)</f>
        <v>0</v>
      </c>
      <c r="Q20">
        <f>IF($G20=Q$18,0.006165*$G20^2*$K20*$I20,0)</f>
        <v>0</v>
      </c>
      <c r="R20">
        <f>SUM(M20:Q20)</f>
        <v>40.4578125</v>
      </c>
    </row>
    <row r="21">
      <c r="F21" t="str">
        <v>C</v>
      </c>
      <c r="G21">
        <v>10</v>
      </c>
      <c r="H21">
        <v>150</v>
      </c>
      <c r="I21">
        <f>ROUND($J13/($H21/1000),0)+1</f>
        <v>21</v>
      </c>
      <c r="J21">
        <f>J14/12*50*G21/1000</f>
        <v>0.125</v>
      </c>
      <c r="K21">
        <f>J14+J21</f>
        <v>3.125</v>
      </c>
      <c r="M21">
        <f>IF($G21=M$18,0.006165*$G21^2*$K21*$I21,0)</f>
        <v>0</v>
      </c>
      <c r="N21">
        <f>IF($G21=N$18,0.006165*$G21^2*$K21*$I21,0)</f>
        <v>40.4578125</v>
      </c>
      <c r="O21">
        <f>IF($G21=O$18,0.006165*$G21^2*$K21*$I21,0)</f>
        <v>0</v>
      </c>
      <c r="P21">
        <f>IF($G21=P$18,0.006165*$G21^2*$K21*$I21,0)</f>
        <v>0</v>
      </c>
      <c r="Q21">
        <f>IF($G21=Q$18,0.006165*$G21^2*$K21*$I21,0)</f>
        <v>0</v>
      </c>
      <c r="R21">
        <f>SUM(M21:Q21)</f>
        <v>40.4578125</v>
      </c>
    </row>
    <row r="22">
      <c r="F22" t="str">
        <v>D</v>
      </c>
      <c r="G22">
        <v>10</v>
      </c>
      <c r="H22">
        <v>150</v>
      </c>
      <c r="I22">
        <f>ROUND($J13/($H22/1000),0)+1</f>
        <v>21</v>
      </c>
      <c r="J22">
        <f>J14/12*50*G22/1000</f>
        <v>0.125</v>
      </c>
      <c r="K22">
        <f>J14+J22</f>
        <v>3.125</v>
      </c>
      <c r="M22">
        <f>IF($G22=M$18,0.006165*$G22^2*$K22*$I22,0)</f>
        <v>0</v>
      </c>
      <c r="N22">
        <f>IF($G22=N$18,0.006165*$G22^2*$K22*$I22,0)</f>
        <v>40.4578125</v>
      </c>
      <c r="O22">
        <f>IF($G22=O$18,0.006165*$G22^2*$K22*$I22,0)</f>
        <v>0</v>
      </c>
      <c r="P22">
        <f>IF($G22=P$18,0.006165*$G22^2*$K22*$I22,0)</f>
        <v>0</v>
      </c>
      <c r="Q22">
        <f>IF($G22=Q$18,0.006165*$G22^2*$K22*$I22,0)</f>
        <v>0</v>
      </c>
      <c r="R22">
        <f>SUM(M22:Q22)</f>
        <v>40.4578125</v>
      </c>
    </row>
    <row r="24">
      <c r="F24" t="str">
        <v>Kaki Ayam</v>
      </c>
      <c r="G24">
        <v>10</v>
      </c>
      <c r="H24">
        <v>500</v>
      </c>
      <c r="I24">
        <f>ROUND(J13/(H24/1000),0)*ROUND(J14/(H24/1000),0)</f>
        <v>36</v>
      </c>
      <c r="J24">
        <f>3*$J$4/1000</f>
        <v>0.9</v>
      </c>
      <c r="K24">
        <f>2*(J15-2*$J$5)/1000+J24</f>
        <v>1.22</v>
      </c>
      <c r="M24">
        <f>IF($G24=M$18,0.006165*$G24^2*$K24*$I24,0)</f>
        <v>0</v>
      </c>
      <c r="N24">
        <f>IF($G24=N$18,0.006165*$G24^2*$K24*$I24,0)</f>
        <v>27.076680000000003</v>
      </c>
      <c r="O24">
        <f>IF($G24=O$18,0.006165*$G24^2*$K24*$I24,0)</f>
        <v>0</v>
      </c>
      <c r="P24">
        <f>IF($G24=P$18,0.006165*$G24^2*$K24*$I24,0)</f>
        <v>0</v>
      </c>
      <c r="Q24">
        <f>IF($G24=Q$18,0.006165*$G24^2*$K24*$I24,0)</f>
        <v>0</v>
      </c>
      <c r="R24">
        <f>SUM(M24:Q24)</f>
        <v>27.076680000000003</v>
      </c>
    </row>
    <row r="28">
      <c r="F28" t="str">
        <v>Berat Total Tulangan</v>
      </c>
      <c r="M28">
        <f>SUM(M19:M27)</f>
        <v>0</v>
      </c>
      <c r="N28">
        <f>SUM(N19:N27)</f>
        <v>188.90793000000002</v>
      </c>
      <c r="O28">
        <f>SUM(O19:O27)</f>
        <v>0</v>
      </c>
      <c r="P28">
        <f>SUM(P19:P27)</f>
        <v>0</v>
      </c>
      <c r="Q28">
        <f>SUM(Q19:Q27)</f>
        <v>0</v>
      </c>
      <c r="R28">
        <f>SUM(R19:R27)</f>
        <v>188.90793000000002</v>
      </c>
    </row>
    <row r="29">
      <c r="F29" t="str">
        <v>Volume Beton</v>
      </c>
      <c r="R29">
        <f>J14*J13*J15/1000</f>
        <v>1.8</v>
      </c>
    </row>
    <row r="30">
      <c r="F30" t="str">
        <v>Rasio Tulangan per Diameter</v>
      </c>
      <c r="M30">
        <f>M28/$R29</f>
        <v>0</v>
      </c>
      <c r="N30">
        <f>N28/$R29</f>
        <v>104.94885000000001</v>
      </c>
      <c r="O30">
        <f>O28/$R29</f>
        <v>0</v>
      </c>
      <c r="P30">
        <f>P28/$R29</f>
        <v>0</v>
      </c>
      <c r="Q30">
        <f>Q28/$R29</f>
        <v>0</v>
      </c>
      <c r="R30">
        <f>R28/R29</f>
        <v>104.94885000000001</v>
      </c>
    </row>
    <row r="32" xml:space="preserve">
      <c r="A32" t="str">
        <v>Keterangan Area yang Dihitung</v>
      </c>
      <c r="D32" t="str" xml:space="preserve">
        <v xml:space="preserve">Luas_x000d_
(m2)</v>
      </c>
      <c r="E32" t="str" xml:space="preserve">
        <v xml:space="preserve">Keliling_x000d_
(m)</v>
      </c>
      <c r="F32" t="str">
        <v>Void</v>
      </c>
      <c r="H32" t="str">
        <v>Luas Net (m2)</v>
      </c>
      <c r="I32" t="str">
        <v>Vol. Beton (m3)</v>
      </c>
      <c r="J32" t="str">
        <v>Vol. Bekisting</v>
      </c>
      <c r="L32" t="str">
        <v>Wire Mesh</v>
      </c>
      <c r="M32" t="str">
        <v>Vol. Besi per Diameter (kg)</v>
      </c>
      <c r="R32" t="str">
        <v>Total Besi (kg)</v>
      </c>
    </row>
    <row r="33" xml:space="preserve">
      <c r="F33" t="str">
        <v>Luas (m2)</v>
      </c>
      <c r="G33" t="str">
        <v>Keliling (m)</v>
      </c>
      <c r="J33" t="str" xml:space="preserve">
        <v xml:space="preserve">Lantai Kerja_x000d_
(m3)</v>
      </c>
      <c r="K33" t="str" xml:space="preserve">
        <v xml:space="preserve">Kayu_x000d_
(m2)</v>
      </c>
      <c r="L33" t="str">
        <v>m2</v>
      </c>
      <c r="M33">
        <v>8</v>
      </c>
      <c r="N33">
        <v>10</v>
      </c>
      <c r="O33">
        <v>13</v>
      </c>
      <c r="P33">
        <v>16</v>
      </c>
      <c r="Q33">
        <v>25</v>
      </c>
    </row>
    <row r="35">
      <c r="A35" t="str">
        <v>Lantai 1</v>
      </c>
    </row>
    <row r="36">
      <c r="A36" t="str">
        <v>Pool, FFL -1.60</v>
      </c>
      <c r="D36">
        <v>24.568678</v>
      </c>
      <c r="E36">
        <v>22.05</v>
      </c>
      <c r="H36">
        <f>D36-F36</f>
        <v>24.568678</v>
      </c>
      <c r="I36">
        <f>H36*$J$15/1000</f>
        <v>4.9137356</v>
      </c>
      <c r="J36">
        <f>H36*$C$6/1000</f>
        <v>1.2284339</v>
      </c>
      <c r="K36">
        <f>(E36+G36)*$J$15/1000</f>
        <v>4.41</v>
      </c>
      <c r="M36">
        <f>$M$30*$I36</f>
        <v>0</v>
      </c>
      <c r="N36">
        <f>$N$30*$I36</f>
        <v>515.69090042406</v>
      </c>
      <c r="O36">
        <f>$O$30*$I36</f>
        <v>0</v>
      </c>
      <c r="P36">
        <f>$P$30*$I36</f>
        <v>0</v>
      </c>
      <c r="Q36">
        <f>$Q$30*$I36</f>
        <v>0</v>
      </c>
      <c r="R36">
        <f>SUM(M36:Q36)</f>
        <v>515.69090042406</v>
      </c>
    </row>
    <row r="41">
      <c r="F41" t="str">
        <v>Tipe Plat</v>
      </c>
      <c r="I41" t="str">
        <v>:</v>
      </c>
      <c r="J41" t="str">
        <v>S1</v>
      </c>
    </row>
    <row r="42">
      <c r="F42" t="str">
        <v>Ukuran Modul Dominan</v>
      </c>
      <c r="H42" t="str">
        <v>Sisi pendek (lx)</v>
      </c>
      <c r="I42" t="str">
        <v>:</v>
      </c>
      <c r="J42">
        <v>3</v>
      </c>
      <c r="K42" t="str">
        <v>m</v>
      </c>
    </row>
    <row r="43">
      <c r="H43" t="str">
        <v>Sisi panjang (ly)</v>
      </c>
      <c r="I43" t="str">
        <v>:</v>
      </c>
      <c r="J43">
        <v>3</v>
      </c>
      <c r="K43" t="str">
        <v>m</v>
      </c>
    </row>
    <row r="44">
      <c r="H44" t="str">
        <v>Tebal plat</v>
      </c>
      <c r="I44" t="str">
        <v>:</v>
      </c>
      <c r="J44">
        <v>150</v>
      </c>
      <c r="K44" t="str">
        <v>mm</v>
      </c>
    </row>
    <row r="46">
      <c r="F46" t="str">
        <v>Tipe Tulangan</v>
      </c>
      <c r="G46" t="str">
        <v>Diameter</v>
      </c>
      <c r="H46" t="str">
        <v>Jarak</v>
      </c>
      <c r="I46" t="str">
        <v>Jumlah</v>
      </c>
      <c r="J46" t="str">
        <v>Overlap dan Kait</v>
      </c>
      <c r="K46" t="str">
        <v>Panjang Tul. Total</v>
      </c>
      <c r="L46" t="str">
        <v>Wire Mesh</v>
      </c>
      <c r="M46" t="str">
        <v>Berat Tulangan per Diameter (kg)</v>
      </c>
      <c r="R46" t="str">
        <v>Total</v>
      </c>
    </row>
    <row r="47">
      <c r="G47" t="str">
        <v>mm</v>
      </c>
      <c r="H47" t="str">
        <v>mm</v>
      </c>
      <c r="I47" t="str">
        <v>bh</v>
      </c>
      <c r="J47" t="str">
        <v>m</v>
      </c>
      <c r="K47" t="str">
        <v>m</v>
      </c>
      <c r="L47" t="str">
        <v>m2</v>
      </c>
      <c r="M47">
        <v>8</v>
      </c>
      <c r="N47">
        <v>10</v>
      </c>
      <c r="O47">
        <v>13</v>
      </c>
      <c r="P47">
        <v>16</v>
      </c>
      <c r="Q47">
        <v>25</v>
      </c>
      <c r="R47" t="str">
        <v>kg</v>
      </c>
    </row>
    <row r="48">
      <c r="F48" t="str">
        <v>A</v>
      </c>
      <c r="G48">
        <v>10</v>
      </c>
      <c r="H48">
        <v>200</v>
      </c>
      <c r="I48">
        <f>ROUND($J43/($H48/1000),0)+1</f>
        <v>16</v>
      </c>
      <c r="J48">
        <f>J42/12*50*G48/1000</f>
        <v>0.125</v>
      </c>
      <c r="K48">
        <f>J42+J48</f>
        <v>3.125</v>
      </c>
      <c r="M48">
        <f>IF($G48=M$18,0.006165*$G48^2*$K48*$I48,0)</f>
        <v>0</v>
      </c>
      <c r="N48">
        <f>IF($G48=N$18,0.006165*$G48^2*$K48*$I48,0)</f>
        <v>30.825000000000003</v>
      </c>
      <c r="O48">
        <f>IF($G48=O$18,0.006165*$G48^2*$K48*$I48,0)</f>
        <v>0</v>
      </c>
      <c r="P48">
        <f>IF($G48=P$18,0.006165*$G48^2*$K48*$I48,0)</f>
        <v>0</v>
      </c>
      <c r="Q48">
        <f>IF($G48=Q$18,0.006165*$G48^2*$K48*$I48,0)</f>
        <v>0</v>
      </c>
      <c r="R48">
        <f>SUM(M48:Q48)</f>
        <v>30.825000000000003</v>
      </c>
    </row>
    <row r="49">
      <c r="F49" t="str">
        <v>B</v>
      </c>
      <c r="G49">
        <v>10</v>
      </c>
      <c r="H49">
        <v>200</v>
      </c>
      <c r="I49">
        <f>ROUND($J43/($H49/1000),0)+1</f>
        <v>16</v>
      </c>
      <c r="J49">
        <f>J42/12*50*G49/1000</f>
        <v>0.125</v>
      </c>
      <c r="K49">
        <f>J42+J49</f>
        <v>3.125</v>
      </c>
      <c r="M49">
        <f>IF($G49=M$18,0.006165*$G49^2*$K49*$I49,0)</f>
        <v>0</v>
      </c>
      <c r="N49">
        <f>IF($G49=N$18,0.006165*$G49^2*$K49*$I49,0)</f>
        <v>30.825000000000003</v>
      </c>
      <c r="O49">
        <f>IF($G49=O$18,0.006165*$G49^2*$K49*$I49,0)</f>
        <v>0</v>
      </c>
      <c r="P49">
        <f>IF($G49=P$18,0.006165*$G49^2*$K49*$I49,0)</f>
        <v>0</v>
      </c>
      <c r="Q49">
        <f>IF($G49=Q$18,0.006165*$G49^2*$K49*$I49,0)</f>
        <v>0</v>
      </c>
      <c r="R49">
        <f>SUM(M49:Q49)</f>
        <v>30.825000000000003</v>
      </c>
    </row>
    <row r="50">
      <c r="F50" t="str">
        <v>C</v>
      </c>
      <c r="G50">
        <v>10</v>
      </c>
      <c r="H50">
        <v>200</v>
      </c>
      <c r="I50">
        <f>ROUND($J42/($H50/1000),0)+1</f>
        <v>16</v>
      </c>
      <c r="J50">
        <f>J43/12*50*G50/1000</f>
        <v>0.125</v>
      </c>
      <c r="K50">
        <f>J43+J50</f>
        <v>3.125</v>
      </c>
      <c r="M50">
        <f>IF($G50=M$18,0.006165*$G50^2*$K50*$I50,0)</f>
        <v>0</v>
      </c>
      <c r="N50">
        <f>IF($G50=N$18,0.006165*$G50^2*$K50*$I50,0)</f>
        <v>30.825000000000003</v>
      </c>
      <c r="O50">
        <f>IF($G50=O$18,0.006165*$G50^2*$K50*$I50,0)</f>
        <v>0</v>
      </c>
      <c r="P50">
        <f>IF($G50=P$18,0.006165*$G50^2*$K50*$I50,0)</f>
        <v>0</v>
      </c>
      <c r="Q50">
        <f>IF($G50=Q$18,0.006165*$G50^2*$K50*$I50,0)</f>
        <v>0</v>
      </c>
      <c r="R50">
        <f>SUM(M50:Q50)</f>
        <v>30.825000000000003</v>
      </c>
    </row>
    <row r="51">
      <c r="F51" t="str">
        <v>D</v>
      </c>
      <c r="G51">
        <v>10</v>
      </c>
      <c r="H51">
        <v>200</v>
      </c>
      <c r="I51">
        <f>ROUND($J42/($H51/1000),0)+1</f>
        <v>16</v>
      </c>
      <c r="J51">
        <f>J43/12*50*G51/1000</f>
        <v>0.125</v>
      </c>
      <c r="K51">
        <f>J43+J51</f>
        <v>3.125</v>
      </c>
      <c r="M51">
        <f>IF($G51=M$18,0.006165*$G51^2*$K51*$I51,0)</f>
        <v>0</v>
      </c>
      <c r="N51">
        <f>IF($G51=N$18,0.006165*$G51^2*$K51*$I51,0)</f>
        <v>30.825000000000003</v>
      </c>
      <c r="O51">
        <f>IF($G51=O$18,0.006165*$G51^2*$K51*$I51,0)</f>
        <v>0</v>
      </c>
      <c r="P51">
        <f>IF($G51=P$18,0.006165*$G51^2*$K51*$I51,0)</f>
        <v>0</v>
      </c>
      <c r="Q51">
        <f>IF($G51=Q$18,0.006165*$G51^2*$K51*$I51,0)</f>
        <v>0</v>
      </c>
      <c r="R51">
        <f>SUM(M51:Q51)</f>
        <v>30.825000000000003</v>
      </c>
    </row>
    <row r="53">
      <c r="F53" t="str">
        <v>Kaki Ayam</v>
      </c>
      <c r="G53">
        <v>10</v>
      </c>
      <c r="H53">
        <v>500</v>
      </c>
      <c r="I53">
        <f>ROUND(J42/(H53/1000),0)*ROUND(J43/(H53/1000),0)</f>
        <v>36</v>
      </c>
      <c r="J53">
        <f>3*$J$4/1000</f>
        <v>0.9</v>
      </c>
      <c r="K53">
        <f>2*(J44-2*$J$5)/1000+J53</f>
        <v>1.12</v>
      </c>
      <c r="M53">
        <f>IF($G53=M$18,0.006165*$G53^2*$K53*$I53,0)</f>
        <v>0</v>
      </c>
      <c r="N53">
        <f>IF($G53=N$18,0.006165*$G53^2*$K53*$I53,0)</f>
        <v>24.857280000000003</v>
      </c>
      <c r="O53">
        <f>IF($G53=O$18,0.006165*$G53^2*$K53*$I53,0)</f>
        <v>0</v>
      </c>
      <c r="P53">
        <f>IF($G53=P$18,0.006165*$G53^2*$K53*$I53,0)</f>
        <v>0</v>
      </c>
      <c r="Q53">
        <f>IF($G53=Q$18,0.006165*$G53^2*$K53*$I53,0)</f>
        <v>0</v>
      </c>
      <c r="R53">
        <f>SUM(M53:Q53)</f>
        <v>24.857280000000003</v>
      </c>
    </row>
    <row r="57">
      <c r="F57" t="str">
        <v>Berat Total Tulangan</v>
      </c>
      <c r="M57">
        <f>SUM(M48:M56)</f>
        <v>0</v>
      </c>
      <c r="N57">
        <f>SUM(N48:N56)</f>
        <v>148.15728000000001</v>
      </c>
      <c r="O57">
        <f>SUM(O48:O56)</f>
        <v>0</v>
      </c>
      <c r="P57">
        <f>SUM(P48:P56)</f>
        <v>0</v>
      </c>
      <c r="Q57">
        <f>SUM(Q48:Q56)</f>
        <v>0</v>
      </c>
      <c r="R57">
        <f>SUM(R48:R56)</f>
        <v>148.15728000000001</v>
      </c>
    </row>
    <row r="58">
      <c r="F58" t="str">
        <v>Volume Beton</v>
      </c>
      <c r="R58">
        <f>J43*J42*J44/1000</f>
        <v>1.35</v>
      </c>
    </row>
    <row r="59">
      <c r="F59" t="str">
        <v>Rasio Tulangan per Diameter</v>
      </c>
      <c r="M59">
        <f>M57/$R58</f>
        <v>0</v>
      </c>
      <c r="N59">
        <f>N57/$R58</f>
        <v>109.74613333333333</v>
      </c>
      <c r="O59">
        <f>O57/$R58</f>
        <v>0</v>
      </c>
      <c r="P59">
        <f>P57/$R58</f>
        <v>0</v>
      </c>
      <c r="Q59">
        <f>Q57/$R58</f>
        <v>0</v>
      </c>
      <c r="R59">
        <f>R57/R58</f>
        <v>109.74613333333333</v>
      </c>
    </row>
    <row r="61" xml:space="preserve">
      <c r="A61" t="str">
        <v>Keterangan Area yang Dihitung</v>
      </c>
      <c r="D61" t="str" xml:space="preserve">
        <v xml:space="preserve">Luas_x000d_
(m2)</v>
      </c>
      <c r="E61" t="str" xml:space="preserve">
        <v xml:space="preserve">Keliling_x000d_
(m)</v>
      </c>
      <c r="F61" t="str">
        <v>Void</v>
      </c>
      <c r="H61" t="str">
        <v>Luas Net (m2)</v>
      </c>
      <c r="I61" t="str">
        <v>Vol. Beton (m3)</v>
      </c>
      <c r="J61" t="str">
        <v>Vol. Bekisting</v>
      </c>
      <c r="L61" t="str">
        <v>Wire Mesh</v>
      </c>
      <c r="M61" t="str">
        <v>Vol. Besi per Diameter (kg)</v>
      </c>
      <c r="R61" t="str">
        <v>Total Besi (kg)</v>
      </c>
    </row>
    <row r="62" xml:space="preserve">
      <c r="F62" t="str">
        <v>Luas (m2)</v>
      </c>
      <c r="G62" t="str">
        <v>Keliling (m)</v>
      </c>
      <c r="J62" t="str" xml:space="preserve">
        <v xml:space="preserve">Lantai Kerja_x000d_
(m3)</v>
      </c>
      <c r="K62" t="str" xml:space="preserve">
        <v xml:space="preserve">Kayu_x000d_
(m2)</v>
      </c>
      <c r="L62" t="str">
        <v>m2</v>
      </c>
      <c r="M62">
        <v>8</v>
      </c>
      <c r="N62">
        <v>10</v>
      </c>
      <c r="O62">
        <v>13</v>
      </c>
      <c r="P62">
        <v>16</v>
      </c>
      <c r="Q62">
        <v>25</v>
      </c>
    </row>
    <row r="64">
      <c r="A64" t="str">
        <v>Lantai 1</v>
      </c>
    </row>
    <row r="65">
      <c r="A65" t="str">
        <v>Area Service, FFL ±0.00</v>
      </c>
      <c r="D65">
        <v>35.442034</v>
      </c>
      <c r="E65">
        <v>26.7</v>
      </c>
      <c r="H65">
        <f>D65-F65</f>
        <v>35.442034</v>
      </c>
      <c r="I65">
        <f>H65*$J$44/1000</f>
        <v>5.316305099999999</v>
      </c>
      <c r="J65">
        <f>H65*$C$6/1000</f>
        <v>1.7721017</v>
      </c>
      <c r="K65">
        <f>(E65+G65)*$J$44/1000</f>
        <v>4.005</v>
      </c>
      <c r="M65">
        <f>$M$59*$I65</f>
        <v>0</v>
      </c>
      <c r="N65">
        <f>$N$59*$I65</f>
        <v>583.4439283452799</v>
      </c>
      <c r="O65">
        <f>$O$59*$I65</f>
        <v>0</v>
      </c>
      <c r="P65">
        <f>$P$59*$I65</f>
        <v>0</v>
      </c>
      <c r="Q65">
        <f>$Q$59*$I65</f>
        <v>0</v>
      </c>
      <c r="R65">
        <f>SUM(M65:Q65)</f>
        <v>583.4439283452799</v>
      </c>
    </row>
    <row r="66">
      <c r="A66" t="str">
        <v>Ramp, FFL ±0.00</v>
      </c>
      <c r="D66">
        <f>9.004708*1.3</f>
        <v>11.706120400000001</v>
      </c>
      <c r="E66">
        <f>16.447*1.3</f>
        <v>21.3811</v>
      </c>
      <c r="H66">
        <f>D66-F66</f>
        <v>11.706120400000001</v>
      </c>
      <c r="I66">
        <f>H66*$J$44/1000</f>
        <v>1.7559180600000002</v>
      </c>
      <c r="J66">
        <f>H66*$C$6/1000</f>
        <v>0.5853060200000001</v>
      </c>
      <c r="K66">
        <f>(E66+G66)*$J$44/1000</f>
        <v>3.207165</v>
      </c>
      <c r="M66">
        <f>$M$59*$I66</f>
        <v>0</v>
      </c>
      <c r="N66">
        <f>$N$59*$I66</f>
        <v>192.70521753516803</v>
      </c>
      <c r="O66">
        <f>$O$59*$I66</f>
        <v>0</v>
      </c>
      <c r="P66">
        <f>$P$59*$I66</f>
        <v>0</v>
      </c>
      <c r="Q66">
        <f>$Q$59*$I66</f>
        <v>0</v>
      </c>
      <c r="R66">
        <f>SUM(M66:Q66)</f>
        <v>192.70521753516803</v>
      </c>
    </row>
    <row r="67">
      <c r="A67" t="str">
        <v>Garage, FFL -0.75</v>
      </c>
      <c r="D67">
        <v>33.446193</v>
      </c>
      <c r="E67">
        <v>28.45</v>
      </c>
      <c r="H67">
        <f>D67-F67</f>
        <v>33.446193</v>
      </c>
      <c r="I67">
        <f>H67*$J$44/1000</f>
        <v>5.0169289500000005</v>
      </c>
      <c r="J67">
        <f>H67*$C$6/1000</f>
        <v>1.67230965</v>
      </c>
      <c r="K67">
        <f>(E67+G67)*$J$44/1000</f>
        <v>4.2675</v>
      </c>
      <c r="M67">
        <f>$M$59*$I67</f>
        <v>0</v>
      </c>
      <c r="N67">
        <f>$N$59*$I67</f>
        <v>550.5885534705601</v>
      </c>
      <c r="O67">
        <f>$O$59*$I67</f>
        <v>0</v>
      </c>
      <c r="P67">
        <f>$P$59*$I67</f>
        <v>0</v>
      </c>
      <c r="Q67">
        <f>$Q$59*$I67</f>
        <v>0</v>
      </c>
      <c r="R67">
        <f>SUM(M67:Q67)</f>
        <v>550.5885534705601</v>
      </c>
    </row>
    <row r="68">
      <c r="A68" t="str">
        <v>Carport, FFL -1.00</v>
      </c>
      <c r="D68">
        <v>42.6608</v>
      </c>
      <c r="E68">
        <v>27.76</v>
      </c>
      <c r="H68">
        <f>D68-F68</f>
        <v>42.6608</v>
      </c>
      <c r="I68">
        <f>H68*$J$44/1000</f>
        <v>6.39912</v>
      </c>
      <c r="J68">
        <f>H68*$C$6/1000</f>
        <v>2.13304</v>
      </c>
      <c r="K68">
        <f>(E68+G68)*$J$44/1000</f>
        <v>4.164</v>
      </c>
      <c r="M68">
        <f>$M$59*$I68</f>
        <v>0</v>
      </c>
      <c r="N68">
        <f>$N$59*$I68</f>
        <v>702.278676736</v>
      </c>
      <c r="O68">
        <f>$O$59*$I68</f>
        <v>0</v>
      </c>
      <c r="P68">
        <f>$P$59*$I68</f>
        <v>0</v>
      </c>
      <c r="Q68">
        <f>$Q$59*$I68</f>
        <v>0</v>
      </c>
      <c r="R68">
        <f>SUM(M68:Q68)</f>
        <v>702.278676736</v>
      </c>
    </row>
    <row r="69">
      <c r="A69" t="str">
        <v>Living Room, FFL ±0.00</v>
      </c>
      <c r="D69">
        <v>131.864781</v>
      </c>
      <c r="E69">
        <v>54.15</v>
      </c>
      <c r="F69">
        <f>(3240000)/1000000</f>
        <v>3.24</v>
      </c>
      <c r="G69">
        <f>7.2</f>
        <v>7.2</v>
      </c>
      <c r="H69">
        <f>D69-F69</f>
        <v>128.62478099999998</v>
      </c>
      <c r="I69">
        <f>H69*$J$44/1000</f>
        <v>19.293717149999996</v>
      </c>
      <c r="J69">
        <f>H69*$C$6/1000</f>
        <v>6.431239049999999</v>
      </c>
      <c r="K69">
        <f>(E69+G69)*$J$44/1000</f>
        <v>9.2025</v>
      </c>
      <c r="M69">
        <f>$M$59*$I69</f>
        <v>0</v>
      </c>
      <c r="N69">
        <f>$N$59*$I69</f>
        <v>2117.4108548395193</v>
      </c>
      <c r="O69">
        <f>$O$59*$I69</f>
        <v>0</v>
      </c>
      <c r="P69">
        <f>$P$59*$I69</f>
        <v>0</v>
      </c>
      <c r="Q69">
        <f>$Q$59*$I69</f>
        <v>0</v>
      </c>
      <c r="R69">
        <f>SUM(M69:Q69)</f>
        <v>2117.4108548395193</v>
      </c>
    </row>
    <row r="70">
      <c r="A70" t="str">
        <v>PWD Room, FFL -0.47</v>
      </c>
      <c r="D70">
        <v>4.560218</v>
      </c>
      <c r="E70">
        <v>8.65</v>
      </c>
      <c r="H70">
        <f>D70-F70</f>
        <v>4.560218</v>
      </c>
      <c r="I70">
        <f>H70*$J$44/1000</f>
        <v>0.6840326999999999</v>
      </c>
      <c r="J70">
        <f>H70*$C$6/1000</f>
        <v>0.2280109</v>
      </c>
      <c r="K70">
        <f>(E70+G70)*$J$44/1000</f>
        <v>1.2975</v>
      </c>
      <c r="M70">
        <f>$M$59*$I70</f>
        <v>0</v>
      </c>
      <c r="N70">
        <f>$N$59*$I70</f>
        <v>75.06994389856</v>
      </c>
      <c r="O70">
        <f>$O$59*$I70</f>
        <v>0</v>
      </c>
      <c r="P70">
        <f>$P$59*$I70</f>
        <v>0</v>
      </c>
      <c r="Q70">
        <f>$Q$59*$I70</f>
        <v>0</v>
      </c>
      <c r="R70">
        <f>SUM(M70:Q70)</f>
        <v>75.06994389856</v>
      </c>
    </row>
    <row r="71">
      <c r="A71" t="str">
        <v>Terrace, FFL -0.10</v>
      </c>
      <c r="D71">
        <v>37.545727</v>
      </c>
      <c r="E71">
        <v>52.355</v>
      </c>
      <c r="H71">
        <f>D71-F71</f>
        <v>37.545727</v>
      </c>
      <c r="I71">
        <f>H71*$J$44/1000</f>
        <v>5.63185905</v>
      </c>
      <c r="J71">
        <f>H71*$C$6/1000</f>
        <v>1.8772863499999999</v>
      </c>
      <c r="K71">
        <f>(E71+G71)*$J$44/1000</f>
        <v>7.853249999999999</v>
      </c>
      <c r="M71">
        <f>$M$59*$I71</f>
        <v>0</v>
      </c>
      <c r="N71">
        <f>$N$59*$I71</f>
        <v>618.07475421584</v>
      </c>
      <c r="O71">
        <f>$O$59*$I71</f>
        <v>0</v>
      </c>
      <c r="P71">
        <f>$P$59*$I71</f>
        <v>0</v>
      </c>
      <c r="Q71">
        <f>$Q$59*$I71</f>
        <v>0</v>
      </c>
      <c r="R71">
        <f>SUM(M71:Q71)</f>
        <v>618.07475421584</v>
      </c>
    </row>
    <row r="72">
      <c r="A72" t="str">
        <v>Garden Terrace, FFL -0.05</v>
      </c>
      <c r="D72">
        <v>3.009993</v>
      </c>
      <c r="E72">
        <v>7.75</v>
      </c>
      <c r="H72">
        <f>D72-F72</f>
        <v>3.009993</v>
      </c>
      <c r="I72">
        <f>H72*$J$44/1000</f>
        <v>0.45149895</v>
      </c>
      <c r="J72">
        <f>H72*$C$6/1000</f>
        <v>0.15049965</v>
      </c>
      <c r="K72">
        <f>(E72+G72)*$J$44/1000</f>
        <v>1.1625</v>
      </c>
      <c r="M72">
        <f>$M$59*$I72</f>
        <v>0</v>
      </c>
      <c r="N72">
        <f>$N$59*$I72</f>
        <v>49.55026396656</v>
      </c>
      <c r="O72">
        <f>$O$59*$I72</f>
        <v>0</v>
      </c>
      <c r="P72">
        <f>$P$59*$I72</f>
        <v>0</v>
      </c>
      <c r="Q72">
        <f>$Q$59*$I72</f>
        <v>0</v>
      </c>
      <c r="R72">
        <f>SUM(M72:Q72)</f>
        <v>49.55026396656</v>
      </c>
    </row>
    <row r="73">
      <c r="A73" t="str">
        <v>Terrace, FFL -0.05</v>
      </c>
      <c r="D73">
        <v>16.274999</v>
      </c>
      <c r="E73">
        <v>16.3</v>
      </c>
      <c r="H73">
        <f>D73-F73</f>
        <v>16.274999</v>
      </c>
      <c r="I73">
        <f>H73*$J$44/1000</f>
        <v>2.44124985</v>
      </c>
      <c r="J73">
        <f>H73*$C$6/1000</f>
        <v>0.81374995</v>
      </c>
      <c r="K73">
        <f>(E73+G73)*$J$44/1000</f>
        <v>2.445</v>
      </c>
      <c r="M73">
        <f>$M$59*$I73</f>
        <v>0</v>
      </c>
      <c r="N73">
        <f>$N$59*$I73</f>
        <v>267.91773153808003</v>
      </c>
      <c r="O73">
        <f>$O$59*$I73</f>
        <v>0</v>
      </c>
      <c r="P73">
        <f>$P$59*$I73</f>
        <v>0</v>
      </c>
      <c r="Q73">
        <f>$Q$59*$I73</f>
        <v>0</v>
      </c>
      <c r="R73">
        <f>SUM(M73:Q73)</f>
        <v>267.91773153808003</v>
      </c>
    </row>
    <row r="75">
      <c r="A75" t="str">
        <v>Lantai 2</v>
      </c>
    </row>
    <row r="76">
      <c r="A76" t="str">
        <v>Bathroom 3, FFL +4.48</v>
      </c>
      <c r="D76">
        <v>7.915187</v>
      </c>
      <c r="E76">
        <v>11.3</v>
      </c>
      <c r="H76">
        <f>D76-F76</f>
        <v>7.915187</v>
      </c>
      <c r="I76">
        <f>H76*$J$44/1000</f>
        <v>1.1872780500000002</v>
      </c>
      <c r="K76">
        <f>(E76+G76)*$J$44/1000+H76</f>
        <v>9.610187</v>
      </c>
      <c r="M76">
        <f>$M$59*$I76</f>
        <v>0</v>
      </c>
      <c r="N76">
        <f>$N$59*$I76</f>
        <v>130.29917517904002</v>
      </c>
      <c r="O76">
        <f>$O$59*$I76</f>
        <v>0</v>
      </c>
      <c r="P76">
        <f>$P$59*$I76</f>
        <v>0</v>
      </c>
      <c r="Q76">
        <f>$Q$59*$I76</f>
        <v>0</v>
      </c>
      <c r="R76">
        <f>SUM(M76:Q76)</f>
        <v>130.29917517904002</v>
      </c>
    </row>
    <row r="77">
      <c r="A77" t="str">
        <v>Bedroom 3, FFL +4.50</v>
      </c>
      <c r="D77">
        <v>29.9875</v>
      </c>
      <c r="E77">
        <v>24.15</v>
      </c>
      <c r="H77">
        <f>D77-F77</f>
        <v>29.9875</v>
      </c>
      <c r="I77">
        <f>H77*$J$44/1000</f>
        <v>4.498125</v>
      </c>
      <c r="K77">
        <f>(E77+G77)*$J$44/1000+H77</f>
        <v>33.61</v>
      </c>
      <c r="M77">
        <f>$M$59*$I77</f>
        <v>0</v>
      </c>
      <c r="N77">
        <f>$N$59*$I77</f>
        <v>493.65182599999997</v>
      </c>
      <c r="O77">
        <f>$O$59*$I77</f>
        <v>0</v>
      </c>
      <c r="P77">
        <f>$P$59*$I77</f>
        <v>0</v>
      </c>
      <c r="Q77">
        <f>$Q$59*$I77</f>
        <v>0</v>
      </c>
      <c r="R77">
        <f>SUM(M77:Q77)</f>
        <v>493.65182599999997</v>
      </c>
    </row>
    <row r="78">
      <c r="A78" t="str">
        <v>Balkon Bedroom 3, FFL +4.45</v>
      </c>
      <c r="D78">
        <v>3.645</v>
      </c>
      <c r="E78">
        <v>9.29</v>
      </c>
      <c r="H78">
        <f>D78-F78</f>
        <v>3.645</v>
      </c>
      <c r="I78">
        <f>H78*$J$44/1000</f>
        <v>0.54675</v>
      </c>
      <c r="K78">
        <f>(E78+G78)*$J$44/1000+H78</f>
        <v>5.0385</v>
      </c>
      <c r="M78">
        <f>$M$59*$I78</f>
        <v>0</v>
      </c>
      <c r="N78">
        <f>$N$59*$I78</f>
        <v>60.0036984</v>
      </c>
      <c r="O78">
        <f>$O$59*$I78</f>
        <v>0</v>
      </c>
      <c r="P78">
        <f>$P$59*$I78</f>
        <v>0</v>
      </c>
      <c r="Q78">
        <f>$Q$59*$I78</f>
        <v>0</v>
      </c>
      <c r="R78">
        <f>SUM(M78:Q78)</f>
        <v>60.0036984</v>
      </c>
    </row>
    <row r="79">
      <c r="A79" t="str">
        <v>Bathroom Maid, FFL +4.48</v>
      </c>
      <c r="D79">
        <v>4.123059</v>
      </c>
      <c r="E79">
        <v>8.3</v>
      </c>
      <c r="H79">
        <f>D79-F79</f>
        <v>4.123059</v>
      </c>
      <c r="I79">
        <f>H79*$J$44/1000</f>
        <v>0.61845885</v>
      </c>
      <c r="K79">
        <f>(E79+G79)*$J$44/1000+H79</f>
        <v>5.368059</v>
      </c>
      <c r="M79">
        <f>$M$59*$I79</f>
        <v>0</v>
      </c>
      <c r="N79">
        <f>$N$59*$I79</f>
        <v>67.87346741328</v>
      </c>
      <c r="O79">
        <f>$O$59*$I79</f>
        <v>0</v>
      </c>
      <c r="P79">
        <f>$P$59*$I79</f>
        <v>0</v>
      </c>
      <c r="Q79">
        <f>$Q$59*$I79</f>
        <v>0</v>
      </c>
      <c r="R79">
        <f>SUM(M79:Q79)</f>
        <v>67.87346741328</v>
      </c>
    </row>
    <row r="80">
      <c r="A80" t="str">
        <v>Main Building, FFL +4.50</v>
      </c>
      <c r="D80">
        <v>146.917137</v>
      </c>
      <c r="E80">
        <v>67.88</v>
      </c>
      <c r="F80">
        <f>(4398650+22522499+14557168+3240000+855000)/1000000</f>
        <v>45.573317</v>
      </c>
      <c r="G80">
        <f>9.289+19.4+23.23+7.2+4.55</f>
        <v>63.669</v>
      </c>
      <c r="H80">
        <f>D80-F80</f>
        <v>101.34382</v>
      </c>
      <c r="I80">
        <f>H80*$J$44/1000</f>
        <v>15.201572999999998</v>
      </c>
      <c r="K80">
        <f>(E80+G80)*$J$44/1000+H80</f>
        <v>121.07616999999999</v>
      </c>
      <c r="M80">
        <f>$M$59*$I80</f>
        <v>0</v>
      </c>
      <c r="N80">
        <f>$N$59*$I80</f>
        <v>1668.3138573343997</v>
      </c>
      <c r="O80">
        <f>$O$59*$I80</f>
        <v>0</v>
      </c>
      <c r="P80">
        <f>$P$59*$I80</f>
        <v>0</v>
      </c>
      <c r="Q80">
        <f>$Q$59*$I80</f>
        <v>0</v>
      </c>
      <c r="R80">
        <f>SUM(M80:Q80)</f>
        <v>1668.3138573343997</v>
      </c>
    </row>
    <row r="81">
      <c r="A81" t="str">
        <v>Kanopi Terrace Garden, FFL +4.45</v>
      </c>
      <c r="D81">
        <v>5.963328</v>
      </c>
      <c r="E81">
        <v>9.8</v>
      </c>
      <c r="H81">
        <f>D81-F81</f>
        <v>5.963328</v>
      </c>
      <c r="I81">
        <f>H81*$J$44/1000</f>
        <v>0.8944991999999999</v>
      </c>
      <c r="K81">
        <f>(E81+G81)*$J$44/1000+H81</f>
        <v>7.4333279999999995</v>
      </c>
      <c r="M81">
        <f>$M$59*$I81</f>
        <v>0</v>
      </c>
      <c r="N81">
        <f>$N$59*$I81</f>
        <v>98.16782846976</v>
      </c>
      <c r="O81">
        <f>$O$59*$I81</f>
        <v>0</v>
      </c>
      <c r="P81">
        <f>$P$59*$I81</f>
        <v>0</v>
      </c>
      <c r="Q81">
        <f>$Q$59*$I81</f>
        <v>0</v>
      </c>
      <c r="R81">
        <f>SUM(M81:Q81)</f>
        <v>98.16782846976</v>
      </c>
    </row>
    <row r="82">
      <c r="A82" t="str">
        <v>Bathroom 2, FFL +4.48</v>
      </c>
      <c r="D82">
        <v>5.502342</v>
      </c>
      <c r="E82">
        <v>9.455</v>
      </c>
      <c r="H82">
        <f>D82-F82</f>
        <v>5.502342</v>
      </c>
      <c r="I82">
        <f>H82*$J$44/1000</f>
        <v>0.8253512999999999</v>
      </c>
      <c r="K82">
        <f>(E82+G82)*$J$44/1000+H82</f>
        <v>6.920591999999999</v>
      </c>
      <c r="M82">
        <f>$M$59*$I82</f>
        <v>0</v>
      </c>
      <c r="N82">
        <f>$N$59*$I82</f>
        <v>90.57911381663999</v>
      </c>
      <c r="O82">
        <f>$O$59*$I82</f>
        <v>0</v>
      </c>
      <c r="P82">
        <f>$P$59*$I82</f>
        <v>0</v>
      </c>
      <c r="Q82">
        <f>$Q$59*$I82</f>
        <v>0</v>
      </c>
      <c r="R82">
        <f>SUM(M82:Q82)</f>
        <v>90.57911381663999</v>
      </c>
    </row>
    <row r="83">
      <c r="A83" t="str">
        <v>Bathroom 1, FFL +4.48</v>
      </c>
      <c r="D83">
        <v>8.9225</v>
      </c>
      <c r="E83">
        <v>12.6</v>
      </c>
      <c r="H83">
        <f>D83-F83</f>
        <v>8.9225</v>
      </c>
      <c r="I83">
        <f>H83*$J$44/1000</f>
        <v>1.338375</v>
      </c>
      <c r="K83">
        <f>(E83+G83)*$J$44/1000+H83</f>
        <v>10.8125</v>
      </c>
      <c r="M83">
        <f>$M$59*$I83</f>
        <v>0</v>
      </c>
      <c r="N83">
        <f>$N$59*$I83</f>
        <v>146.8814812</v>
      </c>
      <c r="O83">
        <f>$O$59*$I83</f>
        <v>0</v>
      </c>
      <c r="P83">
        <f>$P$59*$I83</f>
        <v>0</v>
      </c>
      <c r="Q83">
        <f>$Q$59*$I83</f>
        <v>0</v>
      </c>
      <c r="R83">
        <f>SUM(M83:Q83)</f>
        <v>146.8814812</v>
      </c>
    </row>
    <row r="84">
      <c r="A84" t="str">
        <v>Balkon Bedroom 2, FFL +4.45</v>
      </c>
      <c r="D84">
        <v>3.009947</v>
      </c>
      <c r="E84">
        <v>7.75</v>
      </c>
      <c r="H84">
        <f>D84-F84</f>
        <v>3.009947</v>
      </c>
      <c r="I84">
        <f>H84*$J$44/1000</f>
        <v>0.45149205000000003</v>
      </c>
      <c r="K84">
        <f>(E84+G84)*$J$44/1000+H84</f>
        <v>4.172447</v>
      </c>
      <c r="M84">
        <f>$M$59*$I84</f>
        <v>0</v>
      </c>
      <c r="N84">
        <f>$N$59*$I84</f>
        <v>49.54950671824</v>
      </c>
      <c r="O84">
        <f>$O$59*$I84</f>
        <v>0</v>
      </c>
      <c r="P84">
        <f>$P$59*$I84</f>
        <v>0</v>
      </c>
      <c r="Q84">
        <f>$Q$59*$I84</f>
        <v>0</v>
      </c>
      <c r="R84">
        <f>SUM(M84:Q84)</f>
        <v>49.54950671824</v>
      </c>
    </row>
    <row r="85">
      <c r="A85" t="str">
        <v>Balkon Bedroom 1, FFL +4.45</v>
      </c>
      <c r="D85">
        <v>3.009993</v>
      </c>
      <c r="E85">
        <v>7.75</v>
      </c>
      <c r="H85">
        <f>D85-F85</f>
        <v>3.009993</v>
      </c>
      <c r="I85">
        <f>H85*$J$44/1000</f>
        <v>0.45149895</v>
      </c>
      <c r="K85">
        <f>(E85+G85)*$J$44/1000+H85</f>
        <v>4.172493</v>
      </c>
      <c r="M85">
        <f>$M$59*$I85</f>
        <v>0</v>
      </c>
      <c r="N85">
        <f>$N$59*$I85</f>
        <v>49.55026396656</v>
      </c>
      <c r="O85">
        <f>$O$59*$I85</f>
        <v>0</v>
      </c>
      <c r="P85">
        <f>$P$59*$I85</f>
        <v>0</v>
      </c>
      <c r="Q85">
        <f>$Q$59*$I85</f>
        <v>0</v>
      </c>
      <c r="R85">
        <f>SUM(M85:Q85)</f>
        <v>49.55026396656</v>
      </c>
    </row>
    <row r="86">
      <c r="A86" t="str">
        <v>Kanopi Bawah Balkon Bedroom 2, FFL +4.45</v>
      </c>
      <c r="D86">
        <v>1.887497</v>
      </c>
      <c r="E86">
        <v>8.55</v>
      </c>
      <c r="H86">
        <f>D86-F86</f>
        <v>1.887497</v>
      </c>
      <c r="I86">
        <f>H86*$J$44/1000</f>
        <v>0.28312455</v>
      </c>
      <c r="K86">
        <f>(E86+G86)*$J$44/1000+H86</f>
        <v>3.169997</v>
      </c>
      <c r="M86">
        <f>$M$59*$I86</f>
        <v>0</v>
      </c>
      <c r="N86">
        <f>$N$59*$I86</f>
        <v>31.071824614239997</v>
      </c>
      <c r="O86">
        <f>$O$59*$I86</f>
        <v>0</v>
      </c>
      <c r="P86">
        <f>$P$59*$I86</f>
        <v>0</v>
      </c>
      <c r="Q86">
        <f>$Q$59*$I86</f>
        <v>0</v>
      </c>
      <c r="R86">
        <f>SUM(M86:Q86)</f>
        <v>31.071824614239997</v>
      </c>
    </row>
    <row r="87">
      <c r="A87" t="str">
        <v>Kanopi Carport, FFL +4.45</v>
      </c>
      <c r="D87">
        <v>38.007826</v>
      </c>
      <c r="E87">
        <v>24.672</v>
      </c>
      <c r="F87">
        <v>12.025389</v>
      </c>
      <c r="G87">
        <v>13.963</v>
      </c>
      <c r="H87">
        <f>D87-F87</f>
        <v>25.982437</v>
      </c>
      <c r="I87">
        <f>H87*$J$44/1000</f>
        <v>3.89736555</v>
      </c>
      <c r="K87">
        <f>(E87+G87)*$J$44/1000+H87</f>
        <v>31.777687</v>
      </c>
      <c r="M87">
        <f>$M$59*$I87</f>
        <v>0</v>
      </c>
      <c r="N87">
        <f>$N$59*$I87</f>
        <v>427.72079929904</v>
      </c>
      <c r="O87">
        <f>$O$59*$I87</f>
        <v>0</v>
      </c>
      <c r="P87">
        <f>$P$59*$I87</f>
        <v>0</v>
      </c>
      <c r="Q87">
        <f>$Q$59*$I87</f>
        <v>0</v>
      </c>
      <c r="R87">
        <f>SUM(M87:Q87)</f>
        <v>427.72079929904</v>
      </c>
    </row>
    <row r="88">
      <c r="A88" t="str">
        <v>Kanopi Depan, FFL +4.45</v>
      </c>
      <c r="D88">
        <v>12.372499</v>
      </c>
      <c r="E88">
        <v>15</v>
      </c>
      <c r="H88">
        <f>D88-F88</f>
        <v>12.372499</v>
      </c>
      <c r="I88">
        <f>H88*$J$44/1000</f>
        <v>1.85587485</v>
      </c>
      <c r="K88">
        <f>(E88+G88)*$J$44/1000+H88</f>
        <v>14.622499</v>
      </c>
      <c r="M88">
        <f>$M$59*$I88</f>
        <v>0</v>
      </c>
      <c r="N88">
        <f>$N$59*$I88</f>
        <v>203.67508873808</v>
      </c>
      <c r="O88">
        <f>$O$59*$I88</f>
        <v>0</v>
      </c>
      <c r="P88">
        <f>$P$59*$I88</f>
        <v>0</v>
      </c>
      <c r="Q88">
        <f>$Q$59*$I88</f>
        <v>0</v>
      </c>
      <c r="R88">
        <f>SUM(M88:Q88)</f>
        <v>203.67508873808</v>
      </c>
    </row>
    <row r="90">
      <c r="A90" t="str">
        <v>Lantai 3</v>
      </c>
    </row>
    <row r="91">
      <c r="A91" t="str">
        <v>Deck Belakang, FFL +8.87</v>
      </c>
      <c r="D91">
        <v>30.005121</v>
      </c>
      <c r="E91">
        <v>31.353</v>
      </c>
      <c r="H91">
        <f>D91-F91</f>
        <v>30.005121</v>
      </c>
      <c r="I91">
        <f>H91*$J$44/1000</f>
        <v>4.50076815</v>
      </c>
      <c r="K91">
        <f>(E91+G91)*$J$44/1000+H91</f>
        <v>34.708071</v>
      </c>
      <c r="M91">
        <f>$M$59*$I91</f>
        <v>0</v>
      </c>
      <c r="N91">
        <f>$N$59*$I91</f>
        <v>493.94190149231997</v>
      </c>
      <c r="O91">
        <f>$O$59*$I91</f>
        <v>0</v>
      </c>
      <c r="P91">
        <f>$P$59*$I91</f>
        <v>0</v>
      </c>
      <c r="Q91">
        <f>$Q$59*$I91</f>
        <v>0</v>
      </c>
      <c r="R91">
        <f>SUM(M91:Q91)</f>
        <v>493.94190149231997</v>
      </c>
    </row>
    <row r="92">
      <c r="A92" t="str">
        <v>Main Building, FFL +9.00</v>
      </c>
      <c r="D92">
        <v>200.463609</v>
      </c>
      <c r="E92">
        <v>66.65</v>
      </c>
      <c r="F92">
        <f>9.720625+14.634672+3.24+0.855</f>
        <v>28.450297000000003</v>
      </c>
      <c r="G92">
        <f>12.7+23.48+7.2+4.55</f>
        <v>47.93</v>
      </c>
      <c r="H92">
        <f>D92-F92</f>
        <v>172.01331199999998</v>
      </c>
      <c r="I92">
        <f>H92*$J$44/1000</f>
        <v>25.801996799999998</v>
      </c>
      <c r="K92">
        <f>(E92+G92)*$J$44/1000+H92</f>
        <v>189.200312</v>
      </c>
      <c r="M92">
        <f>$M$59*$I92</f>
        <v>0</v>
      </c>
      <c r="N92">
        <f>$N$59*$I92</f>
        <v>2831.66938107904</v>
      </c>
      <c r="O92">
        <f>$O$59*$I92</f>
        <v>0</v>
      </c>
      <c r="P92">
        <f>$P$59*$I92</f>
        <v>0</v>
      </c>
      <c r="Q92">
        <f>$Q$59*$I92</f>
        <v>0</v>
      </c>
      <c r="R92">
        <f>SUM(M92:Q92)</f>
        <v>2831.66938107904</v>
      </c>
    </row>
    <row r="93">
      <c r="A93" t="str">
        <v>Balkon Depan, FFL +8.90</v>
      </c>
      <c r="D93">
        <v>10.891874</v>
      </c>
      <c r="E93">
        <v>13.4</v>
      </c>
      <c r="H93">
        <f>D93-F93</f>
        <v>10.891874</v>
      </c>
      <c r="I93">
        <f>H93*$J$44/1000</f>
        <v>1.6337811</v>
      </c>
      <c r="K93">
        <f>(E93+G93)*$J$44/1000+H93</f>
        <v>12.901874</v>
      </c>
      <c r="M93">
        <f>$M$59*$I93</f>
        <v>0</v>
      </c>
      <c r="N93">
        <f>$N$59*$I93</f>
        <v>179.30115843808</v>
      </c>
      <c r="O93">
        <f>$O$59*$I93</f>
        <v>0</v>
      </c>
      <c r="P93">
        <f>$P$59*$I93</f>
        <v>0</v>
      </c>
      <c r="Q93">
        <f>$Q$59*$I93</f>
        <v>0</v>
      </c>
      <c r="R93">
        <f>SUM(M93:Q93)</f>
        <v>179.30115843808</v>
      </c>
    </row>
    <row r="95">
      <c r="A95" t="str">
        <v>Lantai Dak Atap</v>
      </c>
    </row>
    <row r="96">
      <c r="A96" t="str">
        <v>Deck Atap, FFL +12.50</v>
      </c>
      <c r="D96">
        <v>12.765228</v>
      </c>
      <c r="E96">
        <v>14.375</v>
      </c>
      <c r="H96">
        <f>D96-F96</f>
        <v>12.765228</v>
      </c>
      <c r="I96">
        <f>H96*$J$44/1000</f>
        <v>1.9147842000000002</v>
      </c>
      <c r="K96">
        <f>(E96+G96)*$J$44/1000+H96</f>
        <v>14.921478</v>
      </c>
      <c r="M96">
        <f>$M$59*$I96</f>
        <v>0</v>
      </c>
      <c r="N96">
        <f>$N$59*$I96</f>
        <v>210.14016211776</v>
      </c>
      <c r="O96">
        <f>$O$59*$I96</f>
        <v>0</v>
      </c>
      <c r="P96">
        <f>$P$59*$I96</f>
        <v>0</v>
      </c>
      <c r="Q96">
        <f>$Q$59*$I96</f>
        <v>0</v>
      </c>
      <c r="R96">
        <f>SUM(M96:Q96)</f>
        <v>210.14016211776</v>
      </c>
    </row>
    <row r="97">
      <c r="A97" t="str">
        <v>Deck Atap, FFL +13.70</v>
      </c>
      <c r="D97">
        <v>27.826308</v>
      </c>
      <c r="E97">
        <v>21.28</v>
      </c>
      <c r="H97">
        <f>D97-F97</f>
        <v>27.826308</v>
      </c>
      <c r="I97">
        <f>H97*$J$44/1000</f>
        <v>4.1739462000000005</v>
      </c>
      <c r="K97">
        <f>(E97+G97)*$J$44/1000+H97</f>
        <v>31.018308</v>
      </c>
      <c r="M97">
        <f>$M$59*$I97</f>
        <v>0</v>
      </c>
      <c r="N97">
        <f>$N$59*$I97</f>
        <v>458.07445619136007</v>
      </c>
      <c r="O97">
        <f>$O$59*$I97</f>
        <v>0</v>
      </c>
      <c r="P97">
        <f>$P$59*$I97</f>
        <v>0</v>
      </c>
      <c r="Q97">
        <f>$Q$59*$I97</f>
        <v>0</v>
      </c>
      <c r="R97">
        <f>SUM(M97:Q97)</f>
        <v>458.07445619136007</v>
      </c>
    </row>
    <row r="102">
      <c r="A102" t="str">
        <v>VOLUME TOTAL</v>
      </c>
      <c r="I102">
        <f>SUM(I34:I37,I63:I98)</f>
        <v>121.97940821</v>
      </c>
      <c r="J102">
        <f>SUM(J34:J37,J63:J98)</f>
        <v>16.891977169999997</v>
      </c>
      <c r="K102">
        <f>SUM(K34:K37,K63:K98)</f>
        <v>582.5489170000001</v>
      </c>
      <c r="L102">
        <f>SUM(L34:L37,L63:L98)</f>
        <v>0</v>
      </c>
      <c r="M102">
        <f>SUM(M34:M37,M63:M98)</f>
        <v>0</v>
      </c>
      <c r="N102">
        <f>SUM(N34:N37,N63:N98)</f>
        <v>13363.195815437468</v>
      </c>
      <c r="O102">
        <f>SUM(O34:O37,O63:O98)</f>
        <v>0</v>
      </c>
      <c r="P102">
        <f>SUM(P34:P37,P63:P98)</f>
        <v>0</v>
      </c>
      <c r="Q102">
        <f>SUM(Q34:Q37,Q63:Q98)</f>
        <v>0</v>
      </c>
      <c r="R102">
        <f>SUM(R34:R37,R63:R98)</f>
        <v>13363.195815437468</v>
      </c>
    </row>
    <row r="103">
      <c r="Q103" t="str">
        <v>rasio</v>
      </c>
      <c r="R103">
        <f>R102/I102</f>
        <v>109.55288283110345</v>
      </c>
    </row>
  </sheetData>
  <mergeCells count="35">
    <mergeCell ref="R32:R33"/>
    <mergeCell ref="A37:C37"/>
    <mergeCell ref="R61:R62"/>
    <mergeCell ref="M61:Q61"/>
    <mergeCell ref="M46:Q46"/>
    <mergeCell ref="A98:C98"/>
    <mergeCell ref="A63:C63"/>
    <mergeCell ref="A34:C34"/>
    <mergeCell ref="A32:C33"/>
    <mergeCell ref="F46:F47"/>
    <mergeCell ref="F57:K57"/>
    <mergeCell ref="E32:E33"/>
    <mergeCell ref="F32:G32"/>
    <mergeCell ref="H32:H33"/>
    <mergeCell ref="I32:I33"/>
    <mergeCell ref="E61:E62"/>
    <mergeCell ref="D61:D62"/>
    <mergeCell ref="I61:I62"/>
    <mergeCell ref="J61:K61"/>
    <mergeCell ref="F30:K30"/>
    <mergeCell ref="A102:H102"/>
    <mergeCell ref="F17:F18"/>
    <mergeCell ref="M17:Q17"/>
    <mergeCell ref="F28:K28"/>
    <mergeCell ref="F29:K29"/>
    <mergeCell ref="M29:Q29"/>
    <mergeCell ref="D32:D33"/>
    <mergeCell ref="J32:K32"/>
    <mergeCell ref="M32:Q32"/>
    <mergeCell ref="F58:K58"/>
    <mergeCell ref="M58:Q58"/>
    <mergeCell ref="F59:K59"/>
    <mergeCell ref="A61:C62"/>
    <mergeCell ref="F61:G61"/>
    <mergeCell ref="H61:H62"/>
  </mergeCells>
  <pageMargins left="0.5" right="0" top="0.6" bottom="0.6" header="0" footer="0.3"/>
  <ignoredErrors>
    <ignoredError numberStoredAsText="1" sqref="A1:R10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A226"/>
  <sheetViews>
    <sheetView workbookViewId="0" rightToLeft="0"/>
  </sheetViews>
  <sheetData>
    <row r="1">
      <c r="A1" t="str">
        <v>Program Perhitungan Volume Kolom</v>
      </c>
      <c r="V1" t="str">
        <v>D</v>
      </c>
      <c r="W1" t="str">
        <v>ls</v>
      </c>
      <c r="X1" t="str">
        <v>ld</v>
      </c>
      <c r="Y1" t="str">
        <v>(u/ fc' 30 Mpa)</v>
      </c>
    </row>
    <row r="2">
      <c r="V2">
        <v>10</v>
      </c>
      <c r="W2">
        <v>640</v>
      </c>
      <c r="X2">
        <v>490</v>
      </c>
    </row>
    <row r="3">
      <c r="A3" t="str">
        <f>'Data-Kolom'!A3</f>
        <v>Project</v>
      </c>
      <c r="E3" t="str">
        <f>'Data-Kolom'!E3</f>
        <v>:</v>
      </c>
      <c r="F3" t="str">
        <v>PAKUWON INDAH AH1 27</v>
      </c>
      <c r="V3">
        <v>13</v>
      </c>
      <c r="W3">
        <v>820</v>
      </c>
      <c r="X3">
        <v>630</v>
      </c>
    </row>
    <row r="4">
      <c r="A4" t="str">
        <f>'Data-Kolom'!A4</f>
        <v>Tower</v>
      </c>
      <c r="E4" t="str">
        <f>'Data-Kolom'!E4</f>
        <v>:</v>
      </c>
      <c r="F4">
        <f>'Data-Kolom'!F4</f>
        <v>0</v>
      </c>
      <c r="V4">
        <v>16</v>
      </c>
      <c r="W4">
        <v>1010</v>
      </c>
      <c r="X4">
        <v>770</v>
      </c>
    </row>
    <row r="5">
      <c r="A5" t="str">
        <f>'Data-Kolom'!A5</f>
        <v xml:space="preserve">Panjang kait sengkang                         </v>
      </c>
      <c r="E5" t="str">
        <f>'Data-Kolom'!E5</f>
        <v>:</v>
      </c>
      <c r="F5">
        <f>'Data-Kolom'!F5</f>
        <v>6</v>
      </c>
      <c r="G5" t="str">
        <v>D</v>
      </c>
      <c r="J5" t="str">
        <f>'Data-Kolom'!K5</f>
        <v>Tebal selimut beton</v>
      </c>
      <c r="M5" t="str">
        <f>'Data-Kolom'!M5</f>
        <v>:</v>
      </c>
      <c r="N5">
        <v>20</v>
      </c>
      <c r="O5" t="str">
        <f>'Data-Kolom'!O5</f>
        <v>mm</v>
      </c>
      <c r="Q5" t="str">
        <f>'Data-Kolom'!P5</f>
        <v>Waste</v>
      </c>
      <c r="R5" t="str">
        <f>'Data-Kolom'!Q5</f>
        <v xml:space="preserve">Beton </v>
      </c>
      <c r="S5" t="str">
        <f>'Data-Kolom'!R5</f>
        <v>:</v>
      </c>
      <c r="T5">
        <f>'Data-Kolom'!S5</f>
        <v>0</v>
      </c>
      <c r="V5">
        <v>19</v>
      </c>
      <c r="W5">
        <v>1190</v>
      </c>
      <c r="X5">
        <v>910</v>
      </c>
    </row>
    <row r="6">
      <c r="A6" t="str">
        <f>'Data-Kolom'!A6</f>
        <v>Panjang sambungan lewatan</v>
      </c>
      <c r="E6" t="str">
        <f>'Data-Kolom'!E6</f>
        <v>:</v>
      </c>
      <c r="F6" t="str">
        <f>'Data-Kolom'!F6</f>
        <v>IKUTI STANDAR DETAIL</v>
      </c>
      <c r="J6" t="str">
        <v>Kait tulangan utama</v>
      </c>
      <c r="M6" t="str">
        <v>:</v>
      </c>
      <c r="N6">
        <v>12</v>
      </c>
      <c r="O6" t="str">
        <v>D</v>
      </c>
      <c r="R6" t="str">
        <f>'Data-Kolom'!Q6</f>
        <v>Besi</v>
      </c>
      <c r="S6" t="str">
        <f>'Data-Kolom'!R6</f>
        <v>:</v>
      </c>
      <c r="T6">
        <v>0</v>
      </c>
      <c r="V6">
        <v>22</v>
      </c>
      <c r="W6">
        <v>1700</v>
      </c>
      <c r="X6">
        <v>1300</v>
      </c>
    </row>
    <row r="7">
      <c r="A7" t="str">
        <f>'Data-Kolom'!A7</f>
        <v>Panjang penjangkaran</v>
      </c>
      <c r="E7" t="str">
        <f>'Data-Kolom'!E7</f>
        <v>:</v>
      </c>
      <c r="F7" t="str">
        <f>'Data-Kolom'!F7</f>
        <v>IKUTI STANDAR DETAIL</v>
      </c>
      <c r="J7" t="str">
        <f>'Data-Kolom'!K6</f>
        <v>Last Update</v>
      </c>
      <c r="M7" t="str">
        <f>'Data-Kolom'!M6</f>
        <v>:</v>
      </c>
      <c r="R7" t="str">
        <f>'Data-Kolom'!Q7</f>
        <v>Bekisting</v>
      </c>
      <c r="S7" t="str">
        <f>'Data-Kolom'!R7</f>
        <v>:</v>
      </c>
      <c r="T7">
        <f>'Data-Kolom'!S7</f>
        <v>0</v>
      </c>
      <c r="V7">
        <v>25</v>
      </c>
      <c r="W7">
        <v>1920</v>
      </c>
      <c r="X7">
        <v>1480</v>
      </c>
    </row>
    <row r="8">
      <c r="A8" t="str">
        <f>'Data-Kolom'!A8</f>
        <v>Mutu Beton</v>
      </c>
      <c r="E8" t="str">
        <f>'Data-Kolom'!E8</f>
        <v>:</v>
      </c>
      <c r="F8" t="str">
        <f>'Data-Kolom'!F8</f>
        <v>VARIABLE</v>
      </c>
      <c r="V8">
        <v>29</v>
      </c>
      <c r="W8">
        <v>2230</v>
      </c>
      <c r="X8">
        <v>1710</v>
      </c>
    </row>
    <row r="9">
      <c r="V9">
        <v>32</v>
      </c>
      <c r="W9">
        <v>2460</v>
      </c>
      <c r="X9">
        <v>1890</v>
      </c>
    </row>
    <row r="11">
      <c r="A11" t="str">
        <v>No. Kolom</v>
      </c>
      <c r="B11" t="str">
        <v>Lt.</v>
      </c>
      <c r="C11" t="str">
        <v>As</v>
      </c>
      <c r="D11" t="str">
        <v>Tipe Kolom</v>
      </c>
      <c r="F11" t="str">
        <v>Mutu (fc')</v>
      </c>
      <c r="G11" t="str">
        <v>Mutu (K)</v>
      </c>
      <c r="H11" t="str">
        <v>b (lebar)</v>
      </c>
      <c r="I11" t="str">
        <v>h (tinggi)</v>
      </c>
      <c r="J11" t="str">
        <v>H (panjang)</v>
      </c>
      <c r="K11" t="str">
        <v>Jumlah</v>
      </c>
      <c r="L11" t="str">
        <v>Pile Cap</v>
      </c>
      <c r="N11" t="str">
        <v>Tul. Utama</v>
      </c>
      <c r="V11" t="str">
        <v>Tul. Extra</v>
      </c>
      <c r="AD11" t="str">
        <v>Sengkang Utama</v>
      </c>
      <c r="AH11" t="str">
        <v>Skg. Tambahan Arah b</v>
      </c>
      <c r="AJ11" t="str">
        <v>Skg. Tambahan Arah h</v>
      </c>
      <c r="AL11" t="str">
        <v>Pjg. Skg. Utama</v>
      </c>
      <c r="AM11" t="str">
        <v>Pjg. Skg Tmbhn</v>
      </c>
      <c r="AN11" t="str">
        <v>Total Jumlah Sengkang</v>
      </c>
      <c r="AO11" t="str">
        <v>Vol. Beton</v>
      </c>
      <c r="AP11" t="str">
        <v>Besi (kg)</v>
      </c>
      <c r="AT11" t="str">
        <v>Bekisting</v>
      </c>
      <c r="AU11" t="str">
        <v>Rasio</v>
      </c>
    </row>
    <row r="12">
      <c r="N12" t="str">
        <v>Σ</v>
      </c>
      <c r="O12" t="str">
        <v>D (mm)</v>
      </c>
      <c r="P12" t="str">
        <v>Samb. Lewatan</v>
      </c>
      <c r="Q12" t="str">
        <v>Pjg. Penjangkaran</v>
      </c>
      <c r="R12" t="str">
        <v>Pjg. @Tul. Utama</v>
      </c>
      <c r="S12" t="str">
        <v>Pembulatan BBS</v>
      </c>
      <c r="T12" t="str">
        <v>Pjg. Final</v>
      </c>
      <c r="U12" t="str">
        <v>Total Jumlah Tul. Utama</v>
      </c>
      <c r="V12" t="str">
        <v>Σ</v>
      </c>
      <c r="W12" t="str">
        <v>D (mm)</v>
      </c>
      <c r="X12" t="str">
        <v>Samb. Lewatan</v>
      </c>
      <c r="Y12" t="str">
        <v>Pjg. Penjangkaran</v>
      </c>
      <c r="Z12" t="str">
        <v>Pjg. @Tul. Utama</v>
      </c>
      <c r="AA12" t="str">
        <v>Pembulatan BBS</v>
      </c>
      <c r="AB12" t="str">
        <v>Pjg. Final</v>
      </c>
      <c r="AC12" t="str">
        <v>Total Jumlah Tul. Extra</v>
      </c>
    </row>
    <row r="13">
      <c r="H13" t="str">
        <v>mm</v>
      </c>
      <c r="I13" t="str">
        <v>mm</v>
      </c>
      <c r="J13" t="str">
        <v>mm</v>
      </c>
      <c r="K13" t="str">
        <v>bh</v>
      </c>
      <c r="L13" t="str">
        <v>Kode</v>
      </c>
      <c r="M13" t="str">
        <v>Tebal</v>
      </c>
      <c r="P13" t="str">
        <v>mm</v>
      </c>
      <c r="Q13" t="str">
        <v>mm</v>
      </c>
      <c r="R13" t="str">
        <v>mm</v>
      </c>
      <c r="S13" t="str">
        <v>mm</v>
      </c>
      <c r="T13" t="str">
        <v>mm</v>
      </c>
      <c r="U13" t="str">
        <v>bh</v>
      </c>
      <c r="X13" t="str">
        <v>mm</v>
      </c>
      <c r="Y13" t="str">
        <v>mm</v>
      </c>
      <c r="Z13" t="str">
        <v>mm</v>
      </c>
      <c r="AA13" t="str">
        <v>mm</v>
      </c>
      <c r="AB13" t="str">
        <v>mm</v>
      </c>
      <c r="AC13" t="str">
        <v>bh</v>
      </c>
      <c r="AD13" t="str">
        <v>D (mm)</v>
      </c>
      <c r="AE13" t="str">
        <v>Bawah (mm)</v>
      </c>
      <c r="AF13" t="str">
        <v>Tengah (mm)</v>
      </c>
      <c r="AG13" t="str">
        <v>Atas (mm)</v>
      </c>
      <c r="AH13" t="str">
        <v>Σ</v>
      </c>
      <c r="AI13" t="str">
        <v>D (mm)</v>
      </c>
      <c r="AJ13" t="str">
        <v>Σ</v>
      </c>
      <c r="AK13" t="str">
        <v>D (mm)</v>
      </c>
      <c r="AL13" t="str">
        <v>mm</v>
      </c>
      <c r="AM13" t="str">
        <v>mm</v>
      </c>
      <c r="AN13" t="str">
        <v>pcs</v>
      </c>
      <c r="AO13" t="str">
        <v>m3</v>
      </c>
      <c r="AP13" t="str">
        <v>Tul. Utama</v>
      </c>
      <c r="AQ13" t="str">
        <v>Tul. Extra</v>
      </c>
      <c r="AR13" t="str">
        <v>Sengkang Utama</v>
      </c>
      <c r="AS13" t="str">
        <v>Sengkang Extra</v>
      </c>
      <c r="AT13" t="str">
        <v>m2</v>
      </c>
      <c r="AU13" t="str">
        <v>Besi</v>
      </c>
      <c r="AV13" t="str">
        <v>Bekisting</v>
      </c>
      <c r="AX13" t="str">
        <v>Tul. Utama</v>
      </c>
      <c r="AZ13" t="str">
        <v>Waste BBS Tul. Utama</v>
      </c>
    </row>
    <row r="15">
      <c r="A15">
        <f>'Data-Kolom'!A16</f>
        <v>1</v>
      </c>
      <c r="B15" t="str">
        <f>'Data-Kolom'!B16</f>
        <v>Lantai 1</v>
      </c>
      <c r="C15">
        <f>'Data-Kolom'!C16</f>
        <v>0</v>
      </c>
      <c r="D15" t="str">
        <f>'Data-Kolom'!D16</f>
        <v>KL66</v>
      </c>
      <c r="E15" t="str">
        <v>D</v>
      </c>
      <c r="F15">
        <f>'Data-Kolom'!U16</f>
        <v>0</v>
      </c>
      <c r="G15">
        <f>'Data-Kolom'!T16</f>
        <v>0</v>
      </c>
      <c r="H15">
        <f>'Data-Kolom'!E16</f>
        <v>170</v>
      </c>
      <c r="I15">
        <f>'Data-Kolom'!F16</f>
        <v>600</v>
      </c>
      <c r="J15">
        <f>'Data-Kolom'!G16</f>
        <v>4600</v>
      </c>
      <c r="K15">
        <v>2</v>
      </c>
      <c r="M15">
        <f>IF(L15&gt;0,VLOOKUP(L15,'Data-PC'!$B$14:$F$56,4,FALSE),0)</f>
        <v>0</v>
      </c>
      <c r="N15">
        <f>'Data-Kolom'!H16</f>
        <v>8</v>
      </c>
      <c r="O15">
        <f>'Data-Kolom'!I16</f>
        <v>16</v>
      </c>
      <c r="P15">
        <f>IF(N15&gt;0,VLOOKUP(O15,$V$2:$X$9,2,FALSE),0)</f>
        <v>1010</v>
      </c>
      <c r="Q15">
        <f>IF(L15&gt;0,M15-50+$N$6*O15,VLOOKUP(O15,$V$2:$X$9,3,FALSE))</f>
        <v>770</v>
      </c>
      <c r="R15">
        <f>IF(E15="F",J15-$N$5+$N$6*O15+Q15,IF(E15="D",J15+Q15+P15,IF(E15="T",J15+P15,IF(E15="A",J15-$N$5+$N$6*O15,0))))</f>
        <v>6380</v>
      </c>
      <c r="T15">
        <f>SUM(R15:S15)</f>
        <v>6380</v>
      </c>
      <c r="U15">
        <f>K15*N15</f>
        <v>16</v>
      </c>
      <c r="V15">
        <f>'Data-Kolom'!J16</f>
        <v>0</v>
      </c>
      <c r="W15">
        <f>'Data-Kolom'!K16</f>
        <v>0</v>
      </c>
      <c r="X15">
        <f>IF(V15&gt;0,VLOOKUP(W15,$V$2:$X$9,2,FALSE),0)</f>
        <v>0</v>
      </c>
      <c r="Y15">
        <f>IF(V15&gt;0,IF(L15&gt;0,M15-50+$N$6*W15,VLOOKUP(W15,$V$2:$X$9,3,FALSE)),0)</f>
        <v>0</v>
      </c>
      <c r="Z15">
        <f>IF(E15="F",J15-$N$5+$N$6*W15+Y15,IF(E15="D",J15+Y15+X15,IF(E15="T",J15+X15,IF(E15="A",J15-$N$5+$N$6*W15,0))))</f>
        <v>4600</v>
      </c>
      <c r="AB15">
        <f>SUM(Z15:AA15)</f>
        <v>4600</v>
      </c>
      <c r="AC15">
        <f>V15*K15</f>
        <v>0</v>
      </c>
      <c r="AD15">
        <f>'Data-Kolom'!L16</f>
        <v>10</v>
      </c>
      <c r="AE15">
        <f>'Data-Kolom'!M16</f>
        <v>100</v>
      </c>
      <c r="AF15">
        <f>'Data-Kolom'!N16</f>
        <v>100</v>
      </c>
      <c r="AG15">
        <f>'Data-Kolom'!O16</f>
        <v>100</v>
      </c>
      <c r="AH15">
        <f>'Data-Kolom'!P16</f>
        <v>2</v>
      </c>
      <c r="AI15">
        <f>'Data-Kolom'!Q16</f>
        <v>10</v>
      </c>
      <c r="AJ15">
        <f>'Data-Kolom'!R16</f>
        <v>0</v>
      </c>
      <c r="AK15">
        <f>'Data-Kolom'!S16</f>
        <v>0</v>
      </c>
      <c r="AL15">
        <f>2*(H15+I15-4*$N$5)+2*MAX($F$5*AD15,75)</f>
        <v>1530</v>
      </c>
      <c r="AM15">
        <f>+AH15*(H15-2*$N$5+2*MAX($F$5*AI15,75))+AJ15*(I15-2*$N$5+2*MAX($F$5*AK15,75))</f>
        <v>560</v>
      </c>
      <c r="AN15">
        <f>(ROUND((1/2*J15+IF(M15&gt;0,(Q15-$N$6*AD15),0))/AE15,0)+(ROUND(1/2*J15/AF15,0)+1))*K15</f>
        <v>94</v>
      </c>
      <c r="AO15">
        <f>H15*I15*J15/1000000000*K15*(1+$T$5)</f>
        <v>0.9384</v>
      </c>
      <c r="AP15">
        <f>0.006165*O15^2*T15*U15/1000*(1+$T$6)</f>
        <v>161.10673920000002</v>
      </c>
      <c r="AQ15">
        <f>0.006165*W15^2*AB15*AC15/1000*(1+$T$6)</f>
        <v>0</v>
      </c>
      <c r="AR15">
        <f>AN15*0.006165*AD15^2*AL15/1000*(1+$T$6)</f>
        <v>88.66503000000002</v>
      </c>
      <c r="AS15">
        <f>AN15*0.006165*AI15^2*AM15/1000*(1+$T$6)</f>
        <v>32.452560000000005</v>
      </c>
      <c r="AT15">
        <f>K15*2*J15*(H15+I15)/1000000*(1+$T$7)</f>
        <v>14.168</v>
      </c>
      <c r="AU15">
        <f>SUM(AP15:AS15)/AO15</f>
        <v>300.750563938619</v>
      </c>
      <c r="AV15">
        <f>AT15/AO15</f>
        <v>15.098039215686274</v>
      </c>
      <c r="AX15">
        <f>0.006165*O15^2*R15*U15/1000*(1+$T$6)</f>
        <v>161.10673920000002</v>
      </c>
      <c r="AZ15">
        <f>0.006165*O15^2*S15*U15/1000*(1+$T$6)</f>
        <v>0</v>
      </c>
      <c r="BA15">
        <f>AZ15/AP15</f>
        <v>0</v>
      </c>
    </row>
    <row r="16">
      <c r="A16">
        <f>'Data-Kolom'!A17</f>
        <v>2</v>
      </c>
      <c r="B16" t="str">
        <f>'Data-Kolom'!B17</f>
        <v>Lantai 1</v>
      </c>
      <c r="C16">
        <f>'Data-Kolom'!C17</f>
        <v>0</v>
      </c>
      <c r="D16" t="str">
        <f>'Data-Kolom'!D17</f>
        <v>KL66</v>
      </c>
      <c r="E16" t="str">
        <v>D</v>
      </c>
      <c r="F16">
        <f>'Data-Kolom'!U17</f>
        <v>0</v>
      </c>
      <c r="G16">
        <f>'Data-Kolom'!T17</f>
        <v>0</v>
      </c>
      <c r="H16">
        <f>'Data-Kolom'!E17</f>
        <v>170</v>
      </c>
      <c r="I16">
        <f>'Data-Kolom'!F17</f>
        <v>600</v>
      </c>
      <c r="J16">
        <f>'Data-Kolom'!G17</f>
        <v>4600</v>
      </c>
      <c r="K16">
        <v>2</v>
      </c>
      <c r="M16">
        <f>IF(L16&gt;0,VLOOKUP(L16,'Data-PC'!$B$14:$F$56,4,FALSE),0)</f>
        <v>0</v>
      </c>
      <c r="N16">
        <f>'Data-Kolom'!H17</f>
        <v>8</v>
      </c>
      <c r="O16">
        <f>'Data-Kolom'!I17</f>
        <v>16</v>
      </c>
      <c r="P16">
        <f>IF(N16&gt;0,VLOOKUP(O16,$V$2:$X$9,2,FALSE),0)</f>
        <v>1010</v>
      </c>
      <c r="Q16">
        <f>IF(L16&gt;0,M16-50+$N$6*O16,VLOOKUP(O16,$V$2:$X$9,3,FALSE))</f>
        <v>770</v>
      </c>
      <c r="R16">
        <f>IF(E16="F",J16-$N$5+$N$6*O16+Q16,IF(E16="D",J16+Q16+P16,IF(E16="T",J16+P16,IF(E16="A",J16-$N$5+$N$6*O16,0))))</f>
        <v>6380</v>
      </c>
      <c r="T16">
        <f>SUM(R16:S16)</f>
        <v>6380</v>
      </c>
      <c r="U16">
        <f>K16*N16</f>
        <v>16</v>
      </c>
      <c r="V16">
        <f>'Data-Kolom'!J17</f>
        <v>0</v>
      </c>
      <c r="W16">
        <f>'Data-Kolom'!K17</f>
        <v>0</v>
      </c>
      <c r="X16">
        <f>IF(V16&gt;0,VLOOKUP(W16,$V$2:$X$9,2,FALSE),0)</f>
        <v>0</v>
      </c>
      <c r="Y16">
        <f>IF(V16&gt;0,IF(L16&gt;0,M16-50+$N$6*W16,VLOOKUP(W16,$V$2:$X$9,3,FALSE)),0)</f>
        <v>0</v>
      </c>
      <c r="Z16">
        <f>IF(E16="F",J16-$N$5+$N$6*W16+Y16,IF(E16="D",J16+Y16+X16,IF(E16="T",J16+X16,IF(E16="A",J16-$N$5+$N$6*W16,0))))</f>
        <v>4600</v>
      </c>
      <c r="AB16">
        <f>SUM(Z16:AA16)</f>
        <v>4600</v>
      </c>
      <c r="AC16">
        <f>V16*K16</f>
        <v>0</v>
      </c>
      <c r="AD16">
        <f>'Data-Kolom'!L17</f>
        <v>10</v>
      </c>
      <c r="AE16">
        <f>'Data-Kolom'!M17</f>
        <v>100</v>
      </c>
      <c r="AF16">
        <f>'Data-Kolom'!N17</f>
        <v>100</v>
      </c>
      <c r="AG16">
        <f>'Data-Kolom'!O17</f>
        <v>100</v>
      </c>
      <c r="AH16">
        <f>'Data-Kolom'!P17</f>
        <v>2</v>
      </c>
      <c r="AI16">
        <f>'Data-Kolom'!Q17</f>
        <v>10</v>
      </c>
      <c r="AJ16">
        <f>'Data-Kolom'!R17</f>
        <v>0</v>
      </c>
      <c r="AK16">
        <f>'Data-Kolom'!S17</f>
        <v>0</v>
      </c>
      <c r="AL16">
        <f>2*(H16+I16-4*$N$5)+2*MAX($F$5*AD16,75)</f>
        <v>1530</v>
      </c>
      <c r="AM16">
        <f>+AH16*(H16-2*$N$5+2*MAX($F$5*AI16,75))+AJ16*(I16-2*$N$5+2*MAX($F$5*AK16,75))</f>
        <v>560</v>
      </c>
      <c r="AN16">
        <f>(ROUND((1/2*J16+IF(M16&gt;0,(Q16-$N$6*AD16),0))/AE16,0)+(ROUND(1/2*J16/AF16,0)+1))*K16</f>
        <v>94</v>
      </c>
      <c r="AO16">
        <f>H16*I16*J16/1000000000*K16*(1+$T$5)</f>
        <v>0.9384</v>
      </c>
      <c r="AP16">
        <f>0.006165*O16^2*T16*U16/1000*(1+$T$6)</f>
        <v>161.10673920000002</v>
      </c>
      <c r="AQ16">
        <f>0.006165*W16^2*AB16*AC16/1000*(1+$T$6)</f>
        <v>0</v>
      </c>
      <c r="AR16">
        <f>AN16*0.006165*AD16^2*AL16/1000*(1+$T$6)</f>
        <v>88.66503000000002</v>
      </c>
      <c r="AS16">
        <f>AN16*0.006165*AI16^2*AM16/1000*(1+$T$6)</f>
        <v>32.452560000000005</v>
      </c>
      <c r="AT16">
        <f>K16*2*J16*(H16+I16)/1000000*(1+$T$7)</f>
        <v>14.168</v>
      </c>
      <c r="AU16">
        <f>SUM(AP16:AS16)/AO16</f>
        <v>300.750563938619</v>
      </c>
      <c r="AV16">
        <f>AT16/AO16</f>
        <v>15.098039215686274</v>
      </c>
      <c r="AX16">
        <f>0.006165*O16^2*R16*U16/1000*(1+$T$6)</f>
        <v>161.10673920000002</v>
      </c>
      <c r="AZ16">
        <f>0.006165*O16^2*S16*U16/1000*(1+$T$6)</f>
        <v>0</v>
      </c>
      <c r="BA16">
        <f>AZ16/AP16</f>
        <v>0</v>
      </c>
    </row>
    <row r="17">
      <c r="A17">
        <f>'Data-Kolom'!A18</f>
        <v>3</v>
      </c>
      <c r="B17" t="str">
        <f>'Data-Kolom'!B18</f>
        <v>Lantai 1</v>
      </c>
      <c r="C17">
        <f>'Data-Kolom'!C18</f>
        <v>0</v>
      </c>
      <c r="D17" t="str">
        <f>'Data-Kolom'!D18</f>
        <v>KL55</v>
      </c>
      <c r="E17" t="str">
        <v>D</v>
      </c>
      <c r="F17">
        <f>'Data-Kolom'!U18</f>
        <v>0</v>
      </c>
      <c r="G17">
        <f>'Data-Kolom'!T18</f>
        <v>0</v>
      </c>
      <c r="H17">
        <f>'Data-Kolom'!E18</f>
        <v>170</v>
      </c>
      <c r="I17">
        <f>'Data-Kolom'!F18</f>
        <v>500</v>
      </c>
      <c r="J17">
        <f>'Data-Kolom'!G18</f>
        <v>4600</v>
      </c>
      <c r="K17">
        <v>2</v>
      </c>
      <c r="M17">
        <f>IF(L17&gt;0,VLOOKUP(L17,'Data-PC'!$B$14:$F$56,4,FALSE),0)</f>
        <v>0</v>
      </c>
      <c r="N17">
        <f>'Data-Kolom'!H18</f>
        <v>6</v>
      </c>
      <c r="O17">
        <f>'Data-Kolom'!I18</f>
        <v>16</v>
      </c>
      <c r="P17">
        <f>IF(N17&gt;0,VLOOKUP(O17,$V$2:$X$9,2,FALSE),0)</f>
        <v>1010</v>
      </c>
      <c r="Q17">
        <f>IF(L17&gt;0,M17-50+$N$6*O17,VLOOKUP(O17,$V$2:$X$9,3,FALSE))</f>
        <v>770</v>
      </c>
      <c r="R17">
        <f>IF(E17="F",J17-$N$5+$N$6*O17+Q17,IF(E17="D",J17+Q17+P17,IF(E17="T",J17+P17,IF(E17="A",J17-$N$5+$N$6*O17,0))))</f>
        <v>6380</v>
      </c>
      <c r="T17">
        <f>SUM(R17:S17)</f>
        <v>6380</v>
      </c>
      <c r="U17">
        <f>K17*N17</f>
        <v>12</v>
      </c>
      <c r="V17">
        <f>'Data-Kolom'!J18</f>
        <v>0</v>
      </c>
      <c r="W17">
        <f>'Data-Kolom'!K18</f>
        <v>0</v>
      </c>
      <c r="X17">
        <f>IF(V17&gt;0,VLOOKUP(W17,$V$2:$X$9,2,FALSE),0)</f>
        <v>0</v>
      </c>
      <c r="Y17">
        <f>IF(V17&gt;0,IF(L17&gt;0,M17-50+$N$6*W17,VLOOKUP(W17,$V$2:$X$9,3,FALSE)),0)</f>
        <v>0</v>
      </c>
      <c r="Z17">
        <f>IF(E17="F",J17-$N$5+$N$6*W17+Y17,IF(E17="D",J17+Y17+X17,IF(E17="T",J17+X17,IF(E17="A",J17-$N$5+$N$6*W17,0))))</f>
        <v>4600</v>
      </c>
      <c r="AB17">
        <f>SUM(Z17:AA17)</f>
        <v>4600</v>
      </c>
      <c r="AC17">
        <f>V17*K17</f>
        <v>0</v>
      </c>
      <c r="AD17">
        <f>'Data-Kolom'!L18</f>
        <v>10</v>
      </c>
      <c r="AE17">
        <f>'Data-Kolom'!M18</f>
        <v>100</v>
      </c>
      <c r="AF17">
        <f>'Data-Kolom'!N18</f>
        <v>100</v>
      </c>
      <c r="AG17">
        <f>'Data-Kolom'!O18</f>
        <v>100</v>
      </c>
      <c r="AH17">
        <f>'Data-Kolom'!P18</f>
        <v>0</v>
      </c>
      <c r="AI17">
        <f>'Data-Kolom'!Q18</f>
        <v>0</v>
      </c>
      <c r="AJ17">
        <f>'Data-Kolom'!R18</f>
        <v>0</v>
      </c>
      <c r="AK17">
        <f>'Data-Kolom'!S18</f>
        <v>0</v>
      </c>
      <c r="AL17">
        <f>2*(H17+I17-4*$N$5)+2*MAX($F$5*AD17,75)</f>
        <v>1330</v>
      </c>
      <c r="AM17">
        <f>+AH17*(H17-2*$N$5+2*MAX($F$5*AI17,75))+AJ17*(I17-2*$N$5+2*MAX($F$5*AK17,75))</f>
        <v>0</v>
      </c>
      <c r="AN17">
        <f>(ROUND((1/2*J17+IF(M17&gt;0,(Q17-$N$6*AD17),0))/AE17,0)+(ROUND(1/2*J17/AF17,0)+1))*K17</f>
        <v>94</v>
      </c>
      <c r="AO17">
        <f>H17*I17*J17/1000000000*K17*(1+$T$5)</f>
        <v>0.782</v>
      </c>
      <c r="AP17">
        <f>0.006165*O17^2*T17*U17/1000*(1+$T$6)</f>
        <v>120.83005440000001</v>
      </c>
      <c r="AQ17">
        <f>0.006165*W17^2*AB17*AC17/1000*(1+$T$6)</f>
        <v>0</v>
      </c>
      <c r="AR17">
        <f>AN17*0.006165*AD17^2*AL17/1000*(1+$T$6)</f>
        <v>77.07483000000002</v>
      </c>
      <c r="AS17">
        <f>AN17*0.006165*AI17^2*AM17/1000*(1+$T$6)</f>
        <v>0</v>
      </c>
      <c r="AT17">
        <f>K17*2*J17*(H17+I17)/1000000*(1+$T$7)</f>
        <v>12.328</v>
      </c>
      <c r="AU17">
        <f>SUM(AP17:AS17)/AO17</f>
        <v>253.07529974424554</v>
      </c>
      <c r="AV17">
        <f>AT17/AO17</f>
        <v>15.76470588235294</v>
      </c>
      <c r="AX17">
        <f>0.006165*O17^2*R17*U17/1000*(1+$T$6)</f>
        <v>120.83005440000001</v>
      </c>
      <c r="AZ17">
        <f>0.006165*O17^2*S17*U17/1000*(1+$T$6)</f>
        <v>0</v>
      </c>
      <c r="BA17">
        <f>AZ17/AP17</f>
        <v>0</v>
      </c>
    </row>
    <row r="18">
      <c r="A18">
        <f>'Data-Kolom'!A19</f>
        <v>4</v>
      </c>
      <c r="B18" t="str">
        <f>'Data-Kolom'!B19</f>
        <v>Lantai 1</v>
      </c>
      <c r="C18">
        <f>'Data-Kolom'!C19</f>
        <v>0</v>
      </c>
      <c r="D18" t="str">
        <f>'Data-Kolom'!D19</f>
        <v>K4</v>
      </c>
      <c r="E18" t="str">
        <v>D</v>
      </c>
      <c r="F18">
        <f>'Data-Kolom'!U19</f>
        <v>0</v>
      </c>
      <c r="G18">
        <f>'Data-Kolom'!T19</f>
        <v>0</v>
      </c>
      <c r="H18">
        <f>'Data-Kolom'!E19</f>
        <v>170</v>
      </c>
      <c r="I18">
        <f>'Data-Kolom'!F19</f>
        <v>400</v>
      </c>
      <c r="J18">
        <f>'Data-Kolom'!G19</f>
        <v>6200</v>
      </c>
      <c r="K18">
        <v>1</v>
      </c>
      <c r="M18">
        <f>IF(L18&gt;0,VLOOKUP(L18,'Data-PC'!$B$14:$F$56,4,FALSE),0)</f>
        <v>0</v>
      </c>
      <c r="N18">
        <f>'Data-Kolom'!H19</f>
        <v>6</v>
      </c>
      <c r="O18">
        <f>'Data-Kolom'!I19</f>
        <v>16</v>
      </c>
      <c r="P18">
        <f>IF(N18&gt;0,VLOOKUP(O18,$V$2:$X$9,2,FALSE),0)</f>
        <v>1010</v>
      </c>
      <c r="Q18">
        <f>IF(L18&gt;0,M18-50+$N$6*O18,VLOOKUP(O18,$V$2:$X$9,3,FALSE))</f>
        <v>770</v>
      </c>
      <c r="R18">
        <f>IF(E18="F",J18-$N$5+$N$6*O18+Q18,IF(E18="D",J18+Q18+P18,IF(E18="T",J18+P18,IF(E18="A",J18-$N$5+$N$6*O18,0))))</f>
        <v>7980</v>
      </c>
      <c r="T18">
        <f>SUM(R18:S18)</f>
        <v>7980</v>
      </c>
      <c r="U18">
        <f>K18*N18</f>
        <v>6</v>
      </c>
      <c r="V18">
        <f>'Data-Kolom'!J19</f>
        <v>0</v>
      </c>
      <c r="W18">
        <f>'Data-Kolom'!K19</f>
        <v>0</v>
      </c>
      <c r="X18">
        <f>IF(V18&gt;0,VLOOKUP(W18,$V$2:$X$9,2,FALSE),0)</f>
        <v>0</v>
      </c>
      <c r="Y18">
        <f>IF(V18&gt;0,IF(L18&gt;0,M18-50+$N$6*W18,VLOOKUP(W18,$V$2:$X$9,3,FALSE)),0)</f>
        <v>0</v>
      </c>
      <c r="Z18">
        <f>IF(E18="F",J18-$N$5+$N$6*W18+Y18,IF(E18="D",J18+Y18+X18,IF(E18="T",J18+X18,IF(E18="A",J18-$N$5+$N$6*W18,0))))</f>
        <v>6200</v>
      </c>
      <c r="AB18">
        <f>SUM(Z18:AA18)</f>
        <v>6200</v>
      </c>
      <c r="AC18">
        <f>V18*K18</f>
        <v>0</v>
      </c>
      <c r="AD18">
        <f>'Data-Kolom'!L19</f>
        <v>10</v>
      </c>
      <c r="AE18">
        <f>'Data-Kolom'!M19</f>
        <v>100</v>
      </c>
      <c r="AF18">
        <f>'Data-Kolom'!N19</f>
        <v>100</v>
      </c>
      <c r="AG18">
        <f>'Data-Kolom'!O19</f>
        <v>100</v>
      </c>
      <c r="AH18">
        <f>'Data-Kolom'!P19</f>
        <v>0</v>
      </c>
      <c r="AI18">
        <f>'Data-Kolom'!Q19</f>
        <v>0</v>
      </c>
      <c r="AJ18">
        <f>'Data-Kolom'!R19</f>
        <v>0</v>
      </c>
      <c r="AK18">
        <f>'Data-Kolom'!S19</f>
        <v>0</v>
      </c>
      <c r="AL18">
        <f>2*(H18+I18-4*$N$5)+2*MAX($F$5*AD18,75)</f>
        <v>1130</v>
      </c>
      <c r="AM18">
        <f>+AH18*(H18-2*$N$5+2*MAX($F$5*AI18,75))+AJ18*(I18-2*$N$5+2*MAX($F$5*AK18,75))</f>
        <v>0</v>
      </c>
      <c r="AN18">
        <f>(ROUND((1/2*J18+IF(M18&gt;0,(Q18-$N$6*AD18),0))/AE18,0)+(ROUND(1/2*J18/AF18,0)+1))*K18</f>
        <v>63</v>
      </c>
      <c r="AO18">
        <f>H18*I18*J18/1000000000*K18*(1+$T$5)</f>
        <v>0.4216</v>
      </c>
      <c r="AP18">
        <f>0.006165*O18^2*T18*U18/1000*(1+$T$6)</f>
        <v>75.5661312</v>
      </c>
      <c r="AQ18">
        <f>0.006165*W18^2*AB18*AC18/1000*(1+$T$6)</f>
        <v>0</v>
      </c>
      <c r="AR18">
        <f>AN18*0.006165*AD18^2*AL18/1000*(1+$T$6)</f>
        <v>43.888635</v>
      </c>
      <c r="AS18">
        <f>AN18*0.006165*AI18^2*AM18/1000*(1+$T$6)</f>
        <v>0</v>
      </c>
      <c r="AT18">
        <f>K18*2*J18*(H18+I18)/1000000*(1+$T$7)</f>
        <v>7.068</v>
      </c>
      <c r="AU18">
        <f>SUM(AP18:AS18)/AO18</f>
        <v>283.33673197343455</v>
      </c>
      <c r="AV18">
        <f>AT18/AO18</f>
        <v>16.764705882352942</v>
      </c>
      <c r="AX18">
        <f>0.006165*O18^2*R18*U18/1000*(1+$T$6)</f>
        <v>75.5661312</v>
      </c>
      <c r="AZ18">
        <f>0.006165*O18^2*S18*U18/1000*(1+$T$6)</f>
        <v>0</v>
      </c>
      <c r="BA18">
        <f>AZ18/AP18</f>
        <v>0</v>
      </c>
    </row>
    <row r="19">
      <c r="A19">
        <f>'Data-Kolom'!A20</f>
        <v>5</v>
      </c>
      <c r="B19" t="str">
        <f>'Data-Kolom'!B20</f>
        <v>Lantai 1</v>
      </c>
      <c r="C19">
        <f>'Data-Kolom'!C20</f>
        <v>0</v>
      </c>
      <c r="D19" t="str">
        <f>'Data-Kolom'!D20</f>
        <v>K4</v>
      </c>
      <c r="E19" t="str">
        <v>D</v>
      </c>
      <c r="F19">
        <f>'Data-Kolom'!U20</f>
        <v>0</v>
      </c>
      <c r="G19">
        <f>'Data-Kolom'!T20</f>
        <v>0</v>
      </c>
      <c r="H19">
        <f>'Data-Kolom'!E20</f>
        <v>170</v>
      </c>
      <c r="I19">
        <f>'Data-Kolom'!F20</f>
        <v>400</v>
      </c>
      <c r="J19">
        <f>'Data-Kolom'!G20</f>
        <v>6200</v>
      </c>
      <c r="K19">
        <v>1</v>
      </c>
      <c r="M19">
        <f>IF(L19&gt;0,VLOOKUP(L19,'Data-PC'!$B$14:$F$56,4,FALSE),0)</f>
        <v>0</v>
      </c>
      <c r="N19">
        <f>'Data-Kolom'!H20</f>
        <v>6</v>
      </c>
      <c r="O19">
        <f>'Data-Kolom'!I20</f>
        <v>16</v>
      </c>
      <c r="P19">
        <f>IF(N19&gt;0,VLOOKUP(O19,$V$2:$X$9,2,FALSE),0)</f>
        <v>1010</v>
      </c>
      <c r="Q19">
        <f>IF(L19&gt;0,M19-50+$N$6*O19,VLOOKUP(O19,$V$2:$X$9,3,FALSE))</f>
        <v>770</v>
      </c>
      <c r="R19">
        <f>IF(E19="F",J19-$N$5+$N$6*O19+Q19,IF(E19="D",J19+Q19+P19,IF(E19="T",J19+P19,IF(E19="A",J19-$N$5+$N$6*O19,0))))</f>
        <v>7980</v>
      </c>
      <c r="T19">
        <f>SUM(R19:S19)</f>
        <v>7980</v>
      </c>
      <c r="U19">
        <f>K19*N19</f>
        <v>6</v>
      </c>
      <c r="V19">
        <f>'Data-Kolom'!J20</f>
        <v>0</v>
      </c>
      <c r="W19">
        <f>'Data-Kolom'!K20</f>
        <v>0</v>
      </c>
      <c r="X19">
        <f>IF(V19&gt;0,VLOOKUP(W19,$V$2:$X$9,2,FALSE),0)</f>
        <v>0</v>
      </c>
      <c r="Y19">
        <f>IF(V19&gt;0,IF(L19&gt;0,M19-50+$N$6*W19,VLOOKUP(W19,$V$2:$X$9,3,FALSE)),0)</f>
        <v>0</v>
      </c>
      <c r="Z19">
        <f>IF(E19="F",J19-$N$5+$N$6*W19+Y19,IF(E19="D",J19+Y19+X19,IF(E19="T",J19+X19,IF(E19="A",J19-$N$5+$N$6*W19,0))))</f>
        <v>6200</v>
      </c>
      <c r="AB19">
        <f>SUM(Z19:AA19)</f>
        <v>6200</v>
      </c>
      <c r="AC19">
        <f>V19*K19</f>
        <v>0</v>
      </c>
      <c r="AD19">
        <f>'Data-Kolom'!L20</f>
        <v>10</v>
      </c>
      <c r="AE19">
        <f>'Data-Kolom'!M20</f>
        <v>100</v>
      </c>
      <c r="AF19">
        <f>'Data-Kolom'!N20</f>
        <v>100</v>
      </c>
      <c r="AG19">
        <f>'Data-Kolom'!O20</f>
        <v>100</v>
      </c>
      <c r="AH19">
        <f>'Data-Kolom'!P20</f>
        <v>0</v>
      </c>
      <c r="AI19">
        <f>'Data-Kolom'!Q20</f>
        <v>0</v>
      </c>
      <c r="AJ19">
        <f>'Data-Kolom'!R20</f>
        <v>0</v>
      </c>
      <c r="AK19">
        <f>'Data-Kolom'!S20</f>
        <v>0</v>
      </c>
      <c r="AL19">
        <f>2*(H19+I19-4*$N$5)+2*MAX($F$5*AD19,75)</f>
        <v>1130</v>
      </c>
      <c r="AM19">
        <f>+AH19*(H19-2*$N$5+2*MAX($F$5*AI19,75))+AJ19*(I19-2*$N$5+2*MAX($F$5*AK19,75))</f>
        <v>0</v>
      </c>
      <c r="AN19">
        <f>(ROUND((1/2*J19+IF(M19&gt;0,(Q19-$N$6*AD19),0))/AE19,0)+(ROUND(1/2*J19/AF19,0)+1))*K19</f>
        <v>63</v>
      </c>
      <c r="AO19">
        <f>H19*I19*J19/1000000000*K19*(1+$T$5)</f>
        <v>0.4216</v>
      </c>
      <c r="AP19">
        <f>0.006165*O19^2*T19*U19/1000*(1+$T$6)</f>
        <v>75.5661312</v>
      </c>
      <c r="AQ19">
        <f>0.006165*W19^2*AB19*AC19/1000*(1+$T$6)</f>
        <v>0</v>
      </c>
      <c r="AR19">
        <f>AN19*0.006165*AD19^2*AL19/1000*(1+$T$6)</f>
        <v>43.888635</v>
      </c>
      <c r="AS19">
        <f>AN19*0.006165*AI19^2*AM19/1000*(1+$T$6)</f>
        <v>0</v>
      </c>
      <c r="AT19">
        <f>K19*2*J19*(H19+I19)/1000000*(1+$T$7)</f>
        <v>7.068</v>
      </c>
      <c r="AU19">
        <f>SUM(AP19:AS19)/AO19</f>
        <v>283.33673197343455</v>
      </c>
      <c r="AV19">
        <f>AT19/AO19</f>
        <v>16.764705882352942</v>
      </c>
      <c r="AX19">
        <f>0.006165*O19^2*R19*U19/1000*(1+$T$6)</f>
        <v>75.5661312</v>
      </c>
      <c r="AZ19">
        <f>0.006165*O19^2*S19*U19/1000*(1+$T$6)</f>
        <v>0</v>
      </c>
      <c r="BA19">
        <f>AZ19/AP19</f>
        <v>0</v>
      </c>
    </row>
    <row r="20">
      <c r="A20">
        <f>'Data-Kolom'!A21</f>
        <v>6</v>
      </c>
      <c r="B20" t="str">
        <f>'Data-Kolom'!B21</f>
        <v>Lantai 1</v>
      </c>
      <c r="C20">
        <f>'Data-Kolom'!C21</f>
        <v>0</v>
      </c>
      <c r="D20" t="str">
        <f>'Data-Kolom'!D21</f>
        <v>K4</v>
      </c>
      <c r="E20" t="str">
        <v>D</v>
      </c>
      <c r="F20">
        <f>'Data-Kolom'!U21</f>
        <v>0</v>
      </c>
      <c r="G20">
        <f>'Data-Kolom'!T21</f>
        <v>0</v>
      </c>
      <c r="H20">
        <f>'Data-Kolom'!E21</f>
        <v>170</v>
      </c>
      <c r="I20">
        <f>'Data-Kolom'!F21</f>
        <v>400</v>
      </c>
      <c r="J20">
        <f>'Data-Kolom'!G21</f>
        <v>6200</v>
      </c>
      <c r="K20">
        <v>1</v>
      </c>
      <c r="M20">
        <f>IF(L20&gt;0,VLOOKUP(L20,'Data-PC'!$B$14:$F$56,4,FALSE),0)</f>
        <v>0</v>
      </c>
      <c r="N20">
        <f>'Data-Kolom'!H21</f>
        <v>6</v>
      </c>
      <c r="O20">
        <f>'Data-Kolom'!I21</f>
        <v>16</v>
      </c>
      <c r="P20">
        <f>IF(N20&gt;0,VLOOKUP(O20,$V$2:$X$9,2,FALSE),0)</f>
        <v>1010</v>
      </c>
      <c r="Q20">
        <f>IF(L20&gt;0,M20-50+$N$6*O20,VLOOKUP(O20,$V$2:$X$9,3,FALSE))</f>
        <v>770</v>
      </c>
      <c r="R20">
        <f>IF(E20="F",J20-$N$5+$N$6*O20+Q20,IF(E20="D",J20+Q20+P20,IF(E20="T",J20+P20,IF(E20="A",J20-$N$5+$N$6*O20,0))))</f>
        <v>7980</v>
      </c>
      <c r="T20">
        <f>SUM(R20:S20)</f>
        <v>7980</v>
      </c>
      <c r="U20">
        <f>K20*N20</f>
        <v>6</v>
      </c>
      <c r="V20">
        <f>'Data-Kolom'!J21</f>
        <v>0</v>
      </c>
      <c r="W20">
        <f>'Data-Kolom'!K21</f>
        <v>0</v>
      </c>
      <c r="X20">
        <f>IF(V20&gt;0,VLOOKUP(W20,$V$2:$X$9,2,FALSE),0)</f>
        <v>0</v>
      </c>
      <c r="Y20">
        <f>IF(V20&gt;0,IF(L20&gt;0,M20-50+$N$6*W20,VLOOKUP(W20,$V$2:$X$9,3,FALSE)),0)</f>
        <v>0</v>
      </c>
      <c r="Z20">
        <f>IF(E20="F",J20-$N$5+$N$6*W20+Y20,IF(E20="D",J20+Y20+X20,IF(E20="T",J20+X20,IF(E20="A",J20-$N$5+$N$6*W20,0))))</f>
        <v>6200</v>
      </c>
      <c r="AB20">
        <f>SUM(Z20:AA20)</f>
        <v>6200</v>
      </c>
      <c r="AC20">
        <f>V20*K20</f>
        <v>0</v>
      </c>
      <c r="AD20">
        <f>'Data-Kolom'!L21</f>
        <v>10</v>
      </c>
      <c r="AE20">
        <f>'Data-Kolom'!M21</f>
        <v>100</v>
      </c>
      <c r="AF20">
        <f>'Data-Kolom'!N21</f>
        <v>100</v>
      </c>
      <c r="AG20">
        <f>'Data-Kolom'!O21</f>
        <v>100</v>
      </c>
      <c r="AH20">
        <f>'Data-Kolom'!P21</f>
        <v>0</v>
      </c>
      <c r="AI20">
        <f>'Data-Kolom'!Q21</f>
        <v>0</v>
      </c>
      <c r="AJ20">
        <f>'Data-Kolom'!R21</f>
        <v>0</v>
      </c>
      <c r="AK20">
        <f>'Data-Kolom'!S21</f>
        <v>0</v>
      </c>
      <c r="AL20">
        <f>2*(H20+I20-4*$N$5)+2*MAX($F$5*AD20,75)</f>
        <v>1130</v>
      </c>
      <c r="AM20">
        <f>+AH20*(H20-2*$N$5+2*MAX($F$5*AI20,75))+AJ20*(I20-2*$N$5+2*MAX($F$5*AK20,75))</f>
        <v>0</v>
      </c>
      <c r="AN20">
        <f>(ROUND((1/2*J20+IF(M20&gt;0,(Q20-$N$6*AD20),0))/AE20,0)+(ROUND(1/2*J20/AF20,0)+1))*K20</f>
        <v>63</v>
      </c>
      <c r="AO20">
        <f>H20*I20*J20/1000000000*K20*(1+$T$5)</f>
        <v>0.4216</v>
      </c>
      <c r="AP20">
        <f>0.006165*O20^2*T20*U20/1000*(1+$T$6)</f>
        <v>75.5661312</v>
      </c>
      <c r="AQ20">
        <f>0.006165*W20^2*AB20*AC20/1000*(1+$T$6)</f>
        <v>0</v>
      </c>
      <c r="AR20">
        <f>AN20*0.006165*AD20^2*AL20/1000*(1+$T$6)</f>
        <v>43.888635</v>
      </c>
      <c r="AS20">
        <f>AN20*0.006165*AI20^2*AM20/1000*(1+$T$6)</f>
        <v>0</v>
      </c>
      <c r="AT20">
        <f>K20*2*J20*(H20+I20)/1000000*(1+$T$7)</f>
        <v>7.068</v>
      </c>
      <c r="AU20">
        <f>SUM(AP20:AS20)/AO20</f>
        <v>283.33673197343455</v>
      </c>
      <c r="AV20">
        <f>AT20/AO20</f>
        <v>16.764705882352942</v>
      </c>
      <c r="AX20">
        <f>0.006165*O20^2*R20*U20/1000*(1+$T$6)</f>
        <v>75.5661312</v>
      </c>
      <c r="AZ20">
        <f>0.006165*O20^2*S20*U20/1000*(1+$T$6)</f>
        <v>0</v>
      </c>
      <c r="BA20">
        <f>AZ20/AP20</f>
        <v>0</v>
      </c>
    </row>
    <row r="21">
      <c r="A21">
        <f>'Data-Kolom'!A22</f>
        <v>7</v>
      </c>
      <c r="B21" t="str">
        <f>'Data-Kolom'!B22</f>
        <v>Lantai 1</v>
      </c>
      <c r="C21">
        <f>'Data-Kolom'!C22</f>
        <v>0</v>
      </c>
      <c r="D21" t="str">
        <f>'Data-Kolom'!D22</f>
        <v>K4</v>
      </c>
      <c r="E21" t="str">
        <v>D</v>
      </c>
      <c r="F21">
        <f>'Data-Kolom'!U22</f>
        <v>0</v>
      </c>
      <c r="G21">
        <f>'Data-Kolom'!T22</f>
        <v>0</v>
      </c>
      <c r="H21">
        <f>'Data-Kolom'!E22</f>
        <v>170</v>
      </c>
      <c r="I21">
        <f>'Data-Kolom'!F22</f>
        <v>400</v>
      </c>
      <c r="J21">
        <f>'Data-Kolom'!G22</f>
        <v>6200</v>
      </c>
      <c r="K21">
        <v>1</v>
      </c>
      <c r="M21">
        <f>IF(L21&gt;0,VLOOKUP(L21,'Data-PC'!$B$14:$F$56,4,FALSE),0)</f>
        <v>0</v>
      </c>
      <c r="N21">
        <f>'Data-Kolom'!H22</f>
        <v>6</v>
      </c>
      <c r="O21">
        <f>'Data-Kolom'!I22</f>
        <v>16</v>
      </c>
      <c r="P21">
        <f>IF(N21&gt;0,VLOOKUP(O21,$V$2:$X$9,2,FALSE),0)</f>
        <v>1010</v>
      </c>
      <c r="Q21">
        <f>IF(L21&gt;0,M21-50+$N$6*O21,VLOOKUP(O21,$V$2:$X$9,3,FALSE))</f>
        <v>770</v>
      </c>
      <c r="R21">
        <f>IF(E21="F",J21-$N$5+$N$6*O21+Q21,IF(E21="D",J21+Q21+P21,IF(E21="T",J21+P21,IF(E21="A",J21-$N$5+$N$6*O21,0))))</f>
        <v>7980</v>
      </c>
      <c r="T21">
        <f>SUM(R21:S21)</f>
        <v>7980</v>
      </c>
      <c r="U21">
        <f>K21*N21</f>
        <v>6</v>
      </c>
      <c r="V21">
        <f>'Data-Kolom'!J22</f>
        <v>0</v>
      </c>
      <c r="W21">
        <f>'Data-Kolom'!K22</f>
        <v>0</v>
      </c>
      <c r="X21">
        <f>IF(V21&gt;0,VLOOKUP(W21,$V$2:$X$9,2,FALSE),0)</f>
        <v>0</v>
      </c>
      <c r="Y21">
        <f>IF(V21&gt;0,IF(L21&gt;0,M21-50+$N$6*W21,VLOOKUP(W21,$V$2:$X$9,3,FALSE)),0)</f>
        <v>0</v>
      </c>
      <c r="Z21">
        <f>IF(E21="F",J21-$N$5+$N$6*W21+Y21,IF(E21="D",J21+Y21+X21,IF(E21="T",J21+X21,IF(E21="A",J21-$N$5+$N$6*W21,0))))</f>
        <v>6200</v>
      </c>
      <c r="AB21">
        <f>SUM(Z21:AA21)</f>
        <v>6200</v>
      </c>
      <c r="AC21">
        <f>V21*K21</f>
        <v>0</v>
      </c>
      <c r="AD21">
        <f>'Data-Kolom'!L22</f>
        <v>10</v>
      </c>
      <c r="AE21">
        <f>'Data-Kolom'!M22</f>
        <v>100</v>
      </c>
      <c r="AF21">
        <f>'Data-Kolom'!N22</f>
        <v>100</v>
      </c>
      <c r="AG21">
        <f>'Data-Kolom'!O22</f>
        <v>100</v>
      </c>
      <c r="AH21">
        <f>'Data-Kolom'!P22</f>
        <v>0</v>
      </c>
      <c r="AI21">
        <f>'Data-Kolom'!Q22</f>
        <v>0</v>
      </c>
      <c r="AJ21">
        <f>'Data-Kolom'!R22</f>
        <v>0</v>
      </c>
      <c r="AK21">
        <f>'Data-Kolom'!S22</f>
        <v>0</v>
      </c>
      <c r="AL21">
        <f>2*(H21+I21-4*$N$5)+2*MAX($F$5*AD21,75)</f>
        <v>1130</v>
      </c>
      <c r="AM21">
        <f>+AH21*(H21-2*$N$5+2*MAX($F$5*AI21,75))+AJ21*(I21-2*$N$5+2*MAX($F$5*AK21,75))</f>
        <v>0</v>
      </c>
      <c r="AN21">
        <f>(ROUND((1/2*J21+IF(M21&gt;0,(Q21-$N$6*AD21),0))/AE21,0)+(ROUND(1/2*J21/AF21,0)+1))*K21</f>
        <v>63</v>
      </c>
      <c r="AO21">
        <f>H21*I21*J21/1000000000*K21*(1+$T$5)</f>
        <v>0.4216</v>
      </c>
      <c r="AP21">
        <f>0.006165*O21^2*T21*U21/1000*(1+$T$6)</f>
        <v>75.5661312</v>
      </c>
      <c r="AQ21">
        <f>0.006165*W21^2*AB21*AC21/1000*(1+$T$6)</f>
        <v>0</v>
      </c>
      <c r="AR21">
        <f>AN21*0.006165*AD21^2*AL21/1000*(1+$T$6)</f>
        <v>43.888635</v>
      </c>
      <c r="AS21">
        <f>AN21*0.006165*AI21^2*AM21/1000*(1+$T$6)</f>
        <v>0</v>
      </c>
      <c r="AT21">
        <f>K21*2*J21*(H21+I21)/1000000*(1+$T$7)</f>
        <v>7.068</v>
      </c>
      <c r="AU21">
        <f>SUM(AP21:AS21)/AO21</f>
        <v>283.33673197343455</v>
      </c>
      <c r="AV21">
        <f>AT21/AO21</f>
        <v>16.764705882352942</v>
      </c>
      <c r="AX21">
        <f>0.006165*O21^2*R21*U21/1000*(1+$T$6)</f>
        <v>75.5661312</v>
      </c>
      <c r="AZ21">
        <f>0.006165*O21^2*S21*U21/1000*(1+$T$6)</f>
        <v>0</v>
      </c>
      <c r="BA21">
        <f>AZ21/AP21</f>
        <v>0</v>
      </c>
    </row>
    <row r="22">
      <c r="A22">
        <f>'Data-Kolom'!A23</f>
        <v>8</v>
      </c>
      <c r="B22" t="str">
        <f>'Data-Kolom'!B23</f>
        <v>Lantai 1</v>
      </c>
      <c r="C22">
        <f>'Data-Kolom'!C23</f>
        <v>0</v>
      </c>
      <c r="D22" t="str">
        <f>'Data-Kolom'!D23</f>
        <v>K26</v>
      </c>
      <c r="E22" t="str">
        <v>D</v>
      </c>
      <c r="F22">
        <f>'Data-Kolom'!U23</f>
        <v>0</v>
      </c>
      <c r="G22">
        <f>'Data-Kolom'!T23</f>
        <v>0</v>
      </c>
      <c r="H22">
        <f>'Data-Kolom'!E23</f>
        <v>200</v>
      </c>
      <c r="I22">
        <f>'Data-Kolom'!F23</f>
        <v>600</v>
      </c>
      <c r="J22">
        <f>'Data-Kolom'!G23</f>
        <v>4600</v>
      </c>
      <c r="K22">
        <v>1</v>
      </c>
      <c r="M22">
        <f>IF(L22&gt;0,VLOOKUP(L22,'Data-PC'!$B$14:$F$56,4,FALSE),0)</f>
        <v>0</v>
      </c>
      <c r="N22">
        <f>'Data-Kolom'!H23</f>
        <v>10</v>
      </c>
      <c r="O22">
        <f>'Data-Kolom'!I23</f>
        <v>16</v>
      </c>
      <c r="P22">
        <f>IF(N22&gt;0,VLOOKUP(O22,$V$2:$X$9,2,FALSE),0)</f>
        <v>1010</v>
      </c>
      <c r="Q22">
        <f>IF(L22&gt;0,M22-50+$N$6*O22,VLOOKUP(O22,$V$2:$X$9,3,FALSE))</f>
        <v>770</v>
      </c>
      <c r="R22">
        <f>IF(E22="F",J22-$N$5+$N$6*O22+Q22,IF(E22="D",J22+Q22+P22,IF(E22="T",J22+P22,IF(E22="A",J22-$N$5+$N$6*O22,0))))</f>
        <v>6380</v>
      </c>
      <c r="T22">
        <f>SUM(R22:S22)</f>
        <v>6380</v>
      </c>
      <c r="U22">
        <f>K22*N22</f>
        <v>10</v>
      </c>
      <c r="V22">
        <f>'Data-Kolom'!J23</f>
        <v>0</v>
      </c>
      <c r="W22">
        <f>'Data-Kolom'!K23</f>
        <v>0</v>
      </c>
      <c r="X22">
        <f>IF(V22&gt;0,VLOOKUP(W22,$V$2:$X$9,2,FALSE),0)</f>
        <v>0</v>
      </c>
      <c r="Y22">
        <f>IF(V22&gt;0,IF(L22&gt;0,M22-50+$N$6*W22,VLOOKUP(W22,$V$2:$X$9,3,FALSE)),0)</f>
        <v>0</v>
      </c>
      <c r="Z22">
        <f>IF(E22="F",J22-$N$5+$N$6*W22+Y22,IF(E22="D",J22+Y22+X22,IF(E22="T",J22+X22,IF(E22="A",J22-$N$5+$N$6*W22,0))))</f>
        <v>4600</v>
      </c>
      <c r="AB22">
        <f>SUM(Z22:AA22)</f>
        <v>4600</v>
      </c>
      <c r="AC22">
        <f>V22*K22</f>
        <v>0</v>
      </c>
      <c r="AD22">
        <f>'Data-Kolom'!L23</f>
        <v>10</v>
      </c>
      <c r="AE22">
        <f>'Data-Kolom'!M23</f>
        <v>100</v>
      </c>
      <c r="AF22">
        <f>'Data-Kolom'!N23</f>
        <v>100</v>
      </c>
      <c r="AG22">
        <f>'Data-Kolom'!O23</f>
        <v>100</v>
      </c>
      <c r="AH22">
        <f>'Data-Kolom'!P23</f>
        <v>0</v>
      </c>
      <c r="AI22">
        <f>'Data-Kolom'!Q23</f>
        <v>0</v>
      </c>
      <c r="AJ22">
        <f>'Data-Kolom'!R23</f>
        <v>0</v>
      </c>
      <c r="AK22">
        <f>'Data-Kolom'!S23</f>
        <v>0</v>
      </c>
      <c r="AL22">
        <f>2*(H22+I22-4*$N$5)+2*MAX($F$5*AD22,75)</f>
        <v>1590</v>
      </c>
      <c r="AM22">
        <f>+AH22*(H22-2*$N$5+2*MAX($F$5*AI22,75))+AJ22*(I22-2*$N$5+2*MAX($F$5*AK22,75))</f>
        <v>0</v>
      </c>
      <c r="AN22">
        <f>(ROUND((1/2*J22+IF(M22&gt;0,(Q22-$N$6*AD22),0))/AE22,0)+(ROUND(1/2*J22/AF22,0)+1))*K22</f>
        <v>47</v>
      </c>
      <c r="AO22">
        <f>H22*I22*J22/1000000000*K22*(1+$T$5)</f>
        <v>0.552</v>
      </c>
      <c r="AP22">
        <f>0.006165*O22^2*T22*U22/1000*(1+$T$6)</f>
        <v>100.691712</v>
      </c>
      <c r="AQ22">
        <f>0.006165*W22^2*AB22*AC22/1000*(1+$T$6)</f>
        <v>0</v>
      </c>
      <c r="AR22">
        <f>AN22*0.006165*AD22^2*AL22/1000*(1+$T$6)</f>
        <v>46.071045000000005</v>
      </c>
      <c r="AS22">
        <f>AN22*0.006165*AI22^2*AM22/1000*(1+$T$6)</f>
        <v>0</v>
      </c>
      <c r="AT22">
        <f>K22*2*J22*(H22+I22)/1000000*(1+$T$7)</f>
        <v>7.36</v>
      </c>
      <c r="AU22">
        <f>SUM(AP22:AS22)/AO22</f>
        <v>265.8745597826087</v>
      </c>
      <c r="AV22">
        <f>AT22/AO22</f>
        <v>13.333333333333332</v>
      </c>
      <c r="AX22">
        <f>0.006165*O22^2*R22*U22/1000*(1+$T$6)</f>
        <v>100.691712</v>
      </c>
      <c r="AZ22">
        <f>0.006165*O22^2*S22*U22/1000*(1+$T$6)</f>
        <v>0</v>
      </c>
      <c r="BA22">
        <f>AZ22/AP22</f>
        <v>0</v>
      </c>
    </row>
    <row r="23">
      <c r="A23">
        <f>'Data-Kolom'!A24</f>
        <v>9</v>
      </c>
      <c r="B23" t="str">
        <f>'Data-Kolom'!B24</f>
        <v>Lantai 1</v>
      </c>
      <c r="C23">
        <f>'Data-Kolom'!C24</f>
        <v>0</v>
      </c>
      <c r="D23" t="str">
        <f>'Data-Kolom'!D24</f>
        <v>K26</v>
      </c>
      <c r="E23" t="str">
        <v>D</v>
      </c>
      <c r="F23">
        <f>'Data-Kolom'!U24</f>
        <v>0</v>
      </c>
      <c r="G23">
        <f>'Data-Kolom'!T24</f>
        <v>0</v>
      </c>
      <c r="H23">
        <f>'Data-Kolom'!E24</f>
        <v>200</v>
      </c>
      <c r="I23">
        <f>'Data-Kolom'!F24</f>
        <v>600</v>
      </c>
      <c r="J23">
        <f>'Data-Kolom'!G24</f>
        <v>4600</v>
      </c>
      <c r="K23">
        <v>1</v>
      </c>
      <c r="M23">
        <f>IF(L23&gt;0,VLOOKUP(L23,'Data-PC'!$B$14:$F$56,4,FALSE),0)</f>
        <v>0</v>
      </c>
      <c r="N23">
        <f>'Data-Kolom'!H24</f>
        <v>10</v>
      </c>
      <c r="O23">
        <f>'Data-Kolom'!I24</f>
        <v>16</v>
      </c>
      <c r="P23">
        <f>IF(N23&gt;0,VLOOKUP(O23,$V$2:$X$9,2,FALSE),0)</f>
        <v>1010</v>
      </c>
      <c r="Q23">
        <f>IF(L23&gt;0,M23-50+$N$6*O23,VLOOKUP(O23,$V$2:$X$9,3,FALSE))</f>
        <v>770</v>
      </c>
      <c r="R23">
        <f>IF(E23="F",J23-$N$5+$N$6*O23+Q23,IF(E23="D",J23+Q23+P23,IF(E23="T",J23+P23,IF(E23="A",J23-$N$5+$N$6*O23,0))))</f>
        <v>6380</v>
      </c>
      <c r="T23">
        <f>SUM(R23:S23)</f>
        <v>6380</v>
      </c>
      <c r="U23">
        <f>K23*N23</f>
        <v>10</v>
      </c>
      <c r="V23">
        <f>'Data-Kolom'!J24</f>
        <v>0</v>
      </c>
      <c r="W23">
        <f>'Data-Kolom'!K24</f>
        <v>0</v>
      </c>
      <c r="X23">
        <f>IF(V23&gt;0,VLOOKUP(W23,$V$2:$X$9,2,FALSE),0)</f>
        <v>0</v>
      </c>
      <c r="Y23">
        <f>IF(V23&gt;0,IF(L23&gt;0,M23-50+$N$6*W23,VLOOKUP(W23,$V$2:$X$9,3,FALSE)),0)</f>
        <v>0</v>
      </c>
      <c r="Z23">
        <f>IF(E23="F",J23-$N$5+$N$6*W23+Y23,IF(E23="D",J23+Y23+X23,IF(E23="T",J23+X23,IF(E23="A",J23-$N$5+$N$6*W23,0))))</f>
        <v>4600</v>
      </c>
      <c r="AB23">
        <f>SUM(Z23:AA23)</f>
        <v>4600</v>
      </c>
      <c r="AC23">
        <f>V23*K23</f>
        <v>0</v>
      </c>
      <c r="AD23">
        <f>'Data-Kolom'!L24</f>
        <v>10</v>
      </c>
      <c r="AE23">
        <f>'Data-Kolom'!M24</f>
        <v>100</v>
      </c>
      <c r="AF23">
        <f>'Data-Kolom'!N24</f>
        <v>100</v>
      </c>
      <c r="AG23">
        <f>'Data-Kolom'!O24</f>
        <v>100</v>
      </c>
      <c r="AH23">
        <f>'Data-Kolom'!P24</f>
        <v>0</v>
      </c>
      <c r="AI23">
        <f>'Data-Kolom'!Q24</f>
        <v>0</v>
      </c>
      <c r="AJ23">
        <f>'Data-Kolom'!R24</f>
        <v>0</v>
      </c>
      <c r="AK23">
        <f>'Data-Kolom'!S24</f>
        <v>0</v>
      </c>
      <c r="AL23">
        <f>2*(H23+I23-4*$N$5)+2*MAX($F$5*AD23,75)</f>
        <v>1590</v>
      </c>
      <c r="AM23">
        <f>+AH23*(H23-2*$N$5+2*MAX($F$5*AI23,75))+AJ23*(I23-2*$N$5+2*MAX($F$5*AK23,75))</f>
        <v>0</v>
      </c>
      <c r="AN23">
        <f>(ROUND((1/2*J23+IF(M23&gt;0,(Q23-$N$6*AD23),0))/AE23,0)+(ROUND(1/2*J23/AF23,0)+1))*K23</f>
        <v>47</v>
      </c>
      <c r="AO23">
        <f>H23*I23*J23/1000000000*K23*(1+$T$5)</f>
        <v>0.552</v>
      </c>
      <c r="AP23">
        <f>0.006165*O23^2*T23*U23/1000*(1+$T$6)</f>
        <v>100.691712</v>
      </c>
      <c r="AQ23">
        <f>0.006165*W23^2*AB23*AC23/1000*(1+$T$6)</f>
        <v>0</v>
      </c>
      <c r="AR23">
        <f>AN23*0.006165*AD23^2*AL23/1000*(1+$T$6)</f>
        <v>46.071045000000005</v>
      </c>
      <c r="AS23">
        <f>AN23*0.006165*AI23^2*AM23/1000*(1+$T$6)</f>
        <v>0</v>
      </c>
      <c r="AT23">
        <f>K23*2*J23*(H23+I23)/1000000*(1+$T$7)</f>
        <v>7.36</v>
      </c>
      <c r="AU23">
        <f>SUM(AP23:AS23)/AO23</f>
        <v>265.8745597826087</v>
      </c>
      <c r="AV23">
        <f>AT23/AO23</f>
        <v>13.333333333333332</v>
      </c>
      <c r="AX23">
        <f>0.006165*O23^2*R23*U23/1000*(1+$T$6)</f>
        <v>100.691712</v>
      </c>
      <c r="AZ23">
        <f>0.006165*O23^2*S23*U23/1000*(1+$T$6)</f>
        <v>0</v>
      </c>
      <c r="BA23">
        <f>AZ23/AP23</f>
        <v>0</v>
      </c>
    </row>
    <row r="24">
      <c r="A24">
        <f>'Data-Kolom'!A25</f>
        <v>10</v>
      </c>
      <c r="B24" t="str">
        <f>'Data-Kolom'!B25</f>
        <v>Lantai 1</v>
      </c>
      <c r="C24">
        <f>'Data-Kolom'!C25</f>
        <v>0</v>
      </c>
      <c r="D24" t="str">
        <f>'Data-Kolom'!D25</f>
        <v>K26</v>
      </c>
      <c r="E24" t="str">
        <v>D</v>
      </c>
      <c r="F24">
        <f>'Data-Kolom'!U25</f>
        <v>0</v>
      </c>
      <c r="G24">
        <f>'Data-Kolom'!T25</f>
        <v>0</v>
      </c>
      <c r="H24">
        <f>'Data-Kolom'!E25</f>
        <v>200</v>
      </c>
      <c r="I24">
        <f>'Data-Kolom'!F25</f>
        <v>600</v>
      </c>
      <c r="J24">
        <f>'Data-Kolom'!G25</f>
        <v>4600</v>
      </c>
      <c r="K24">
        <v>1</v>
      </c>
      <c r="M24">
        <f>IF(L24&gt;0,VLOOKUP(L24,'Data-PC'!$B$14:$F$56,4,FALSE),0)</f>
        <v>0</v>
      </c>
      <c r="N24">
        <f>'Data-Kolom'!H25</f>
        <v>10</v>
      </c>
      <c r="O24">
        <f>'Data-Kolom'!I25</f>
        <v>16</v>
      </c>
      <c r="P24">
        <f>IF(N24&gt;0,VLOOKUP(O24,$V$2:$X$9,2,FALSE),0)</f>
        <v>1010</v>
      </c>
      <c r="Q24">
        <f>IF(L24&gt;0,M24-50+$N$6*O24,VLOOKUP(O24,$V$2:$X$9,3,FALSE))</f>
        <v>770</v>
      </c>
      <c r="R24">
        <f>IF(E24="F",J24-$N$5+$N$6*O24+Q24,IF(E24="D",J24+Q24+P24,IF(E24="T",J24+P24,IF(E24="A",J24-$N$5+$N$6*O24,0))))</f>
        <v>6380</v>
      </c>
      <c r="T24">
        <f>SUM(R24:S24)</f>
        <v>6380</v>
      </c>
      <c r="U24">
        <f>K24*N24</f>
        <v>10</v>
      </c>
      <c r="V24">
        <f>'Data-Kolom'!J25</f>
        <v>0</v>
      </c>
      <c r="W24">
        <f>'Data-Kolom'!K25</f>
        <v>0</v>
      </c>
      <c r="X24">
        <f>IF(V24&gt;0,VLOOKUP(W24,$V$2:$X$9,2,FALSE),0)</f>
        <v>0</v>
      </c>
      <c r="Y24">
        <f>IF(V24&gt;0,IF(L24&gt;0,M24-50+$N$6*W24,VLOOKUP(W24,$V$2:$X$9,3,FALSE)),0)</f>
        <v>0</v>
      </c>
      <c r="Z24">
        <f>IF(E24="F",J24-$N$5+$N$6*W24+Y24,IF(E24="D",J24+Y24+X24,IF(E24="T",J24+X24,IF(E24="A",J24-$N$5+$N$6*W24,0))))</f>
        <v>4600</v>
      </c>
      <c r="AB24">
        <f>SUM(Z24:AA24)</f>
        <v>4600</v>
      </c>
      <c r="AC24">
        <f>V24*K24</f>
        <v>0</v>
      </c>
      <c r="AD24">
        <f>'Data-Kolom'!L25</f>
        <v>10</v>
      </c>
      <c r="AE24">
        <f>'Data-Kolom'!M25</f>
        <v>100</v>
      </c>
      <c r="AF24">
        <f>'Data-Kolom'!N25</f>
        <v>100</v>
      </c>
      <c r="AG24">
        <f>'Data-Kolom'!O25</f>
        <v>100</v>
      </c>
      <c r="AH24">
        <f>'Data-Kolom'!P25</f>
        <v>0</v>
      </c>
      <c r="AI24">
        <f>'Data-Kolom'!Q25</f>
        <v>0</v>
      </c>
      <c r="AJ24">
        <f>'Data-Kolom'!R25</f>
        <v>0</v>
      </c>
      <c r="AK24">
        <f>'Data-Kolom'!S25</f>
        <v>0</v>
      </c>
      <c r="AL24">
        <f>2*(H24+I24-4*$N$5)+2*MAX($F$5*AD24,75)</f>
        <v>1590</v>
      </c>
      <c r="AM24">
        <f>+AH24*(H24-2*$N$5+2*MAX($F$5*AI24,75))+AJ24*(I24-2*$N$5+2*MAX($F$5*AK24,75))</f>
        <v>0</v>
      </c>
      <c r="AN24">
        <f>(ROUND((1/2*J24+IF(M24&gt;0,(Q24-$N$6*AD24),0))/AE24,0)+(ROUND(1/2*J24/AF24,0)+1))*K24</f>
        <v>47</v>
      </c>
      <c r="AO24">
        <f>H24*I24*J24/1000000000*K24*(1+$T$5)</f>
        <v>0.552</v>
      </c>
      <c r="AP24">
        <f>0.006165*O24^2*T24*U24/1000*(1+$T$6)</f>
        <v>100.691712</v>
      </c>
      <c r="AQ24">
        <f>0.006165*W24^2*AB24*AC24/1000*(1+$T$6)</f>
        <v>0</v>
      </c>
      <c r="AR24">
        <f>AN24*0.006165*AD24^2*AL24/1000*(1+$T$6)</f>
        <v>46.071045000000005</v>
      </c>
      <c r="AS24">
        <f>AN24*0.006165*AI24^2*AM24/1000*(1+$T$6)</f>
        <v>0</v>
      </c>
      <c r="AT24">
        <f>K24*2*J24*(H24+I24)/1000000*(1+$T$7)</f>
        <v>7.36</v>
      </c>
      <c r="AU24">
        <f>SUM(AP24:AS24)/AO24</f>
        <v>265.8745597826087</v>
      </c>
      <c r="AV24">
        <f>AT24/AO24</f>
        <v>13.333333333333332</v>
      </c>
      <c r="AX24">
        <f>0.006165*O24^2*R24*U24/1000*(1+$T$6)</f>
        <v>100.691712</v>
      </c>
      <c r="AZ24">
        <f>0.006165*O24^2*S24*U24/1000*(1+$T$6)</f>
        <v>0</v>
      </c>
      <c r="BA24">
        <f>AZ24/AP24</f>
        <v>0</v>
      </c>
    </row>
    <row r="25">
      <c r="A25">
        <f>'Data-Kolom'!A26</f>
        <v>11</v>
      </c>
      <c r="B25" t="str">
        <f>'Data-Kolom'!B26</f>
        <v>Lantai 1</v>
      </c>
      <c r="C25">
        <f>'Data-Kolom'!C26</f>
        <v>0</v>
      </c>
      <c r="D25" t="str">
        <f>'Data-Kolom'!D26</f>
        <v>KL55</v>
      </c>
      <c r="E25" t="str">
        <v>D</v>
      </c>
      <c r="F25">
        <f>'Data-Kolom'!U26</f>
        <v>0</v>
      </c>
      <c r="G25">
        <f>'Data-Kolom'!T26</f>
        <v>0</v>
      </c>
      <c r="H25">
        <f>'Data-Kolom'!E26</f>
        <v>170</v>
      </c>
      <c r="I25">
        <f>'Data-Kolom'!F26</f>
        <v>500</v>
      </c>
      <c r="J25">
        <f>'Data-Kolom'!G26</f>
        <v>4600</v>
      </c>
      <c r="K25">
        <v>2</v>
      </c>
      <c r="M25">
        <f>IF(L25&gt;0,VLOOKUP(L25,'Data-PC'!$B$14:$F$56,4,FALSE),0)</f>
        <v>0</v>
      </c>
      <c r="N25">
        <f>'Data-Kolom'!H26</f>
        <v>6</v>
      </c>
      <c r="O25">
        <f>'Data-Kolom'!I26</f>
        <v>16</v>
      </c>
      <c r="P25">
        <f>IF(N25&gt;0,VLOOKUP(O25,$V$2:$X$9,2,FALSE),0)</f>
        <v>1010</v>
      </c>
      <c r="Q25">
        <f>IF(L25&gt;0,M25-50+$N$6*O25,VLOOKUP(O25,$V$2:$X$9,3,FALSE))</f>
        <v>770</v>
      </c>
      <c r="R25">
        <f>IF(E25="F",J25-$N$5+$N$6*O25+Q25,IF(E25="D",J25+Q25+P25,IF(E25="T",J25+P25,IF(E25="A",J25-$N$5+$N$6*O25,0))))</f>
        <v>6380</v>
      </c>
      <c r="T25">
        <f>SUM(R25:S25)</f>
        <v>6380</v>
      </c>
      <c r="U25">
        <f>K25*N25</f>
        <v>12</v>
      </c>
      <c r="V25">
        <f>'Data-Kolom'!J26</f>
        <v>0</v>
      </c>
      <c r="W25">
        <f>'Data-Kolom'!K26</f>
        <v>0</v>
      </c>
      <c r="X25">
        <f>IF(V25&gt;0,VLOOKUP(W25,$V$2:$X$9,2,FALSE),0)</f>
        <v>0</v>
      </c>
      <c r="Y25">
        <f>IF(V25&gt;0,IF(L25&gt;0,M25-50+$N$6*W25,VLOOKUP(W25,$V$2:$X$9,3,FALSE)),0)</f>
        <v>0</v>
      </c>
      <c r="Z25">
        <f>IF(E25="F",J25-$N$5+$N$6*W25+Y25,IF(E25="D",J25+Y25+X25,IF(E25="T",J25+X25,IF(E25="A",J25-$N$5+$N$6*W25,0))))</f>
        <v>4600</v>
      </c>
      <c r="AB25">
        <f>SUM(Z25:AA25)</f>
        <v>4600</v>
      </c>
      <c r="AC25">
        <f>V25*K25</f>
        <v>0</v>
      </c>
      <c r="AD25">
        <f>'Data-Kolom'!L26</f>
        <v>10</v>
      </c>
      <c r="AE25">
        <f>'Data-Kolom'!M26</f>
        <v>100</v>
      </c>
      <c r="AF25">
        <f>'Data-Kolom'!N26</f>
        <v>100</v>
      </c>
      <c r="AG25">
        <f>'Data-Kolom'!O26</f>
        <v>100</v>
      </c>
      <c r="AH25">
        <f>'Data-Kolom'!P26</f>
        <v>0</v>
      </c>
      <c r="AI25">
        <f>'Data-Kolom'!Q26</f>
        <v>0</v>
      </c>
      <c r="AJ25">
        <f>'Data-Kolom'!R26</f>
        <v>0</v>
      </c>
      <c r="AK25">
        <f>'Data-Kolom'!S26</f>
        <v>0</v>
      </c>
      <c r="AL25">
        <f>2*(H25+I25-4*$N$5)+2*MAX($F$5*AD25,75)</f>
        <v>1330</v>
      </c>
      <c r="AM25">
        <f>+AH25*(H25-2*$N$5+2*MAX($F$5*AI25,75))+AJ25*(I25-2*$N$5+2*MAX($F$5*AK25,75))</f>
        <v>0</v>
      </c>
      <c r="AN25">
        <f>(ROUND((1/2*J25+IF(M25&gt;0,(Q25-$N$6*AD25),0))/AE25,0)+(ROUND(1/2*J25/AF25,0)+1))*K25</f>
        <v>94</v>
      </c>
      <c r="AO25">
        <f>H25*I25*J25/1000000000*K25*(1+$T$5)</f>
        <v>0.782</v>
      </c>
      <c r="AP25">
        <f>0.006165*O25^2*T25*U25/1000*(1+$T$6)</f>
        <v>120.83005440000001</v>
      </c>
      <c r="AQ25">
        <f>0.006165*W25^2*AB25*AC25/1000*(1+$T$6)</f>
        <v>0</v>
      </c>
      <c r="AR25">
        <f>AN25*0.006165*AD25^2*AL25/1000*(1+$T$6)</f>
        <v>77.07483000000002</v>
      </c>
      <c r="AS25">
        <f>AN25*0.006165*AI25^2*AM25/1000*(1+$T$6)</f>
        <v>0</v>
      </c>
      <c r="AT25">
        <f>K25*2*J25*(H25+I25)/1000000*(1+$T$7)</f>
        <v>12.328</v>
      </c>
      <c r="AU25">
        <f>SUM(AP25:AS25)/AO25</f>
        <v>253.07529974424554</v>
      </c>
      <c r="AV25">
        <f>AT25/AO25</f>
        <v>15.76470588235294</v>
      </c>
      <c r="AX25">
        <f>0.006165*O25^2*R25*U25/1000*(1+$T$6)</f>
        <v>120.83005440000001</v>
      </c>
      <c r="AZ25">
        <f>0.006165*O25^2*S25*U25/1000*(1+$T$6)</f>
        <v>0</v>
      </c>
      <c r="BA25">
        <f>AZ25/AP25</f>
        <v>0</v>
      </c>
    </row>
    <row r="26">
      <c r="A26">
        <f>'Data-Kolom'!A27</f>
        <v>12</v>
      </c>
      <c r="B26" t="str">
        <f>'Data-Kolom'!B27</f>
        <v>Lantai 1</v>
      </c>
      <c r="C26">
        <f>'Data-Kolom'!C27</f>
        <v>0</v>
      </c>
      <c r="D26" t="str">
        <f>'Data-Kolom'!D27</f>
        <v>K2A5</v>
      </c>
      <c r="E26" t="str">
        <v>D</v>
      </c>
      <c r="F26">
        <f>'Data-Kolom'!U27</f>
        <v>0</v>
      </c>
      <c r="G26">
        <f>'Data-Kolom'!T27</f>
        <v>0</v>
      </c>
      <c r="H26">
        <f>'Data-Kolom'!E27</f>
        <v>250</v>
      </c>
      <c r="I26">
        <f>'Data-Kolom'!F27</f>
        <v>500</v>
      </c>
      <c r="J26">
        <f>'Data-Kolom'!G27</f>
        <v>4600</v>
      </c>
      <c r="K26">
        <v>1</v>
      </c>
      <c r="M26">
        <f>IF(L26&gt;0,VLOOKUP(L26,'Data-PC'!$B$14:$F$56,4,FALSE),0)</f>
        <v>0</v>
      </c>
      <c r="N26">
        <f>'Data-Kolom'!H27</f>
        <v>8</v>
      </c>
      <c r="O26">
        <f>'Data-Kolom'!I27</f>
        <v>16</v>
      </c>
      <c r="P26">
        <f>IF(N26&gt;0,VLOOKUP(O26,$V$2:$X$9,2,FALSE),0)</f>
        <v>1010</v>
      </c>
      <c r="Q26">
        <f>IF(L26&gt;0,M26-50+$N$6*O26,VLOOKUP(O26,$V$2:$X$9,3,FALSE))</f>
        <v>770</v>
      </c>
      <c r="R26">
        <f>IF(E26="F",J26-$N$5+$N$6*O26+Q26,IF(E26="D",J26+Q26+P26,IF(E26="T",J26+P26,IF(E26="A",J26-$N$5+$N$6*O26,0))))</f>
        <v>6380</v>
      </c>
      <c r="T26">
        <f>SUM(R26:S26)</f>
        <v>6380</v>
      </c>
      <c r="U26">
        <f>K26*N26</f>
        <v>8</v>
      </c>
      <c r="V26">
        <f>'Data-Kolom'!J27</f>
        <v>0</v>
      </c>
      <c r="W26">
        <f>'Data-Kolom'!K27</f>
        <v>0</v>
      </c>
      <c r="X26">
        <f>IF(V26&gt;0,VLOOKUP(W26,$V$2:$X$9,2,FALSE),0)</f>
        <v>0</v>
      </c>
      <c r="Y26">
        <f>IF(V26&gt;0,IF(L26&gt;0,M26-50+$N$6*W26,VLOOKUP(W26,$V$2:$X$9,3,FALSE)),0)</f>
        <v>0</v>
      </c>
      <c r="Z26">
        <f>IF(E26="F",J26-$N$5+$N$6*W26+Y26,IF(E26="D",J26+Y26+X26,IF(E26="T",J26+X26,IF(E26="A",J26-$N$5+$N$6*W26,0))))</f>
        <v>4600</v>
      </c>
      <c r="AB26">
        <f>SUM(Z26:AA26)</f>
        <v>4600</v>
      </c>
      <c r="AC26">
        <f>V26*K26</f>
        <v>0</v>
      </c>
      <c r="AD26">
        <f>'Data-Kolom'!L27</f>
        <v>10</v>
      </c>
      <c r="AE26">
        <f>'Data-Kolom'!M27</f>
        <v>100</v>
      </c>
      <c r="AF26">
        <f>'Data-Kolom'!N27</f>
        <v>100</v>
      </c>
      <c r="AG26">
        <f>'Data-Kolom'!O27</f>
        <v>100</v>
      </c>
      <c r="AH26">
        <f>'Data-Kolom'!P27</f>
        <v>1</v>
      </c>
      <c r="AI26">
        <f>'Data-Kolom'!Q27</f>
        <v>10</v>
      </c>
      <c r="AJ26">
        <f>'Data-Kolom'!R27</f>
        <v>0</v>
      </c>
      <c r="AK26">
        <f>'Data-Kolom'!S27</f>
        <v>0</v>
      </c>
      <c r="AL26">
        <f>2*(H26+I26-4*$N$5)+2*MAX($F$5*AD26,75)</f>
        <v>1490</v>
      </c>
      <c r="AM26">
        <f>+AH26*(H26-2*$N$5+2*MAX($F$5*AI26,75))+AJ26*(I26-2*$N$5+2*MAX($F$5*AK26,75))</f>
        <v>360</v>
      </c>
      <c r="AN26">
        <f>(ROUND((1/2*J26+IF(M26&gt;0,(Q26-$N$6*AD26),0))/AE26,0)+(ROUND(1/2*J26/AF26,0)+1))*K26</f>
        <v>47</v>
      </c>
      <c r="AO26">
        <f>H26*I26*J26/1000000000*K26*(1+$T$5)</f>
        <v>0.575</v>
      </c>
      <c r="AP26">
        <f>0.006165*O26^2*T26*U26/1000*(1+$T$6)</f>
        <v>80.55336960000001</v>
      </c>
      <c r="AQ26">
        <f>0.006165*W26^2*AB26*AC26/1000*(1+$T$6)</f>
        <v>0</v>
      </c>
      <c r="AR26">
        <f>AN26*0.006165*AD26^2*AL26/1000*(1+$T$6)</f>
        <v>43.173495</v>
      </c>
      <c r="AS26">
        <f>AN26*0.006165*AI26^2*AM26/1000*(1+$T$6)</f>
        <v>10.431180000000001</v>
      </c>
      <c r="AT26">
        <f>K26*2*J26*(H26+I26)/1000000*(1+$T$7)</f>
        <v>6.9</v>
      </c>
      <c r="AU26">
        <f>SUM(AP26:AS26)/AO26</f>
        <v>233.31833843478265</v>
      </c>
      <c r="AV26">
        <f>AT26/AO26</f>
        <v>12.000000000000002</v>
      </c>
      <c r="AX26">
        <f>0.006165*O26^2*R26*U26/1000*(1+$T$6)</f>
        <v>80.55336960000001</v>
      </c>
      <c r="AZ26">
        <f>0.006165*O26^2*S26*U26/1000*(1+$T$6)</f>
        <v>0</v>
      </c>
      <c r="BA26">
        <f>AZ26/AP26</f>
        <v>0</v>
      </c>
    </row>
    <row r="27">
      <c r="A27">
        <f>'Data-Kolom'!A28</f>
        <v>13</v>
      </c>
      <c r="B27" t="str">
        <f>'Data-Kolom'!B28</f>
        <v>Lantai 1</v>
      </c>
      <c r="C27">
        <f>'Data-Kolom'!C28</f>
        <v>0</v>
      </c>
      <c r="D27" t="str">
        <f>'Data-Kolom'!D28</f>
        <v>KB2A</v>
      </c>
      <c r="E27" t="str">
        <v>F</v>
      </c>
      <c r="F27">
        <f>'Data-Kolom'!U28</f>
        <v>0</v>
      </c>
      <c r="G27">
        <f>'Data-Kolom'!T28</f>
        <v>0</v>
      </c>
      <c r="H27">
        <f>'Data-Kolom'!E28</f>
        <v>250</v>
      </c>
      <c r="I27">
        <f>'Data-Kolom'!F28</f>
        <v>250</v>
      </c>
      <c r="J27">
        <f>'Data-Kolom'!G28</f>
        <v>4600</v>
      </c>
      <c r="K27">
        <v>1</v>
      </c>
      <c r="M27">
        <f>IF(L27&gt;0,VLOOKUP(L27,'Data-PC'!$B$14:$F$56,4,FALSE),0)</f>
        <v>0</v>
      </c>
      <c r="N27">
        <f>'Data-Kolom'!H28</f>
        <v>6</v>
      </c>
      <c r="O27">
        <f>'Data-Kolom'!I28</f>
        <v>16</v>
      </c>
      <c r="P27">
        <f>IF(N27&gt;0,VLOOKUP(O27,$V$2:$X$9,2,FALSE),0)</f>
        <v>1010</v>
      </c>
      <c r="Q27">
        <f>IF(L27&gt;0,M27-50+$N$6*O27,VLOOKUP(O27,$V$2:$X$9,3,FALSE))</f>
        <v>770</v>
      </c>
      <c r="R27">
        <f>IF(E27="F",J27-$N$5+$N$6*O27+Q27,IF(E27="D",J27+Q27+P27,IF(E27="T",J27+P27,IF(E27="A",J27-$N$5+$N$6*O27,0))))</f>
        <v>5542</v>
      </c>
      <c r="T27">
        <f>SUM(R27:S27)</f>
        <v>5542</v>
      </c>
      <c r="U27">
        <f>K27*N27</f>
        <v>6</v>
      </c>
      <c r="V27">
        <f>'Data-Kolom'!J28</f>
        <v>0</v>
      </c>
      <c r="W27">
        <f>'Data-Kolom'!K28</f>
        <v>0</v>
      </c>
      <c r="X27">
        <f>IF(V27&gt;0,VLOOKUP(W27,$V$2:$X$9,2,FALSE),0)</f>
        <v>0</v>
      </c>
      <c r="Y27">
        <f>IF(V27&gt;0,IF(L27&gt;0,M27-50+$N$6*W27,VLOOKUP(W27,$V$2:$X$9,3,FALSE)),0)</f>
        <v>0</v>
      </c>
      <c r="Z27">
        <f>IF(E27="F",J27-$N$5+$N$6*W27+Y27,IF(E27="D",J27+Y27+X27,IF(E27="T",J27+X27,IF(E27="A",J27-$N$5+$N$6*W27,0))))</f>
        <v>4580</v>
      </c>
      <c r="AB27">
        <f>SUM(Z27:AA27)</f>
        <v>4580</v>
      </c>
      <c r="AC27">
        <f>V27*K27</f>
        <v>0</v>
      </c>
      <c r="AD27">
        <f>'Data-Kolom'!L28</f>
        <v>10</v>
      </c>
      <c r="AE27">
        <f>'Data-Kolom'!M28</f>
        <v>100</v>
      </c>
      <c r="AF27">
        <f>'Data-Kolom'!N28</f>
        <v>100</v>
      </c>
      <c r="AG27">
        <f>'Data-Kolom'!O28</f>
        <v>100</v>
      </c>
      <c r="AH27">
        <f>'Data-Kolom'!P28</f>
        <v>0</v>
      </c>
      <c r="AI27">
        <f>'Data-Kolom'!Q28</f>
        <v>0</v>
      </c>
      <c r="AJ27">
        <f>'Data-Kolom'!R28</f>
        <v>0</v>
      </c>
      <c r="AK27">
        <f>'Data-Kolom'!S28</f>
        <v>0</v>
      </c>
      <c r="AL27">
        <f>2*PI()*(H27-$N$5)+2*MAX($F$5*AD27,75)</f>
        <v>1595.132620651305</v>
      </c>
      <c r="AM27">
        <f>+AH27*(H27-2*$N$5+2*MAX($F$5*AI27,75))+AJ27*(I27-2*$N$5+2*MAX($F$5*AK27,75))</f>
        <v>0</v>
      </c>
      <c r="AN27">
        <f>(ROUND((1/2*J27+IF(M27&gt;0,(Q27-$N$6*AD27),0))/AE27,0)+(ROUND(1/2*J27/AF27,0)+1))*K27</f>
        <v>47</v>
      </c>
      <c r="AO27">
        <f>PI()*H27^2*J27/1000000000*K27*(1+$T$5)</f>
        <v>0.9032078879070655</v>
      </c>
      <c r="AP27">
        <f>0.006165*O27^2*T27*U27/1000*(1+$T$6)</f>
        <v>52.47963648000001</v>
      </c>
      <c r="AQ27">
        <f>0.006165*W27^2*AB27*AC27/1000*(1+$T$6)</f>
        <v>0</v>
      </c>
      <c r="AR27">
        <f>AN27*0.006165*AD27^2*AL27/1000*(1+$T$6)</f>
        <v>46.21976524968189</v>
      </c>
      <c r="AS27">
        <f>AN27*0.006165*AI27^2*AM27/1000*(1+$T$6)</f>
        <v>0</v>
      </c>
      <c r="AT27">
        <f>(K27*PI()*H27*J27)/1000000*(1+$T$7)</f>
        <v>3.6128315516282616</v>
      </c>
      <c r="AU27">
        <f>SUM(AP27:AS27)/AO27</f>
        <v>109.27650549907229</v>
      </c>
      <c r="AV27">
        <f>AT27/AO27</f>
        <v>3.9999999999999996</v>
      </c>
      <c r="AX27">
        <f>0.006165*O27^2*R27*U27/1000*(1+$T$6)</f>
        <v>52.47963648000001</v>
      </c>
      <c r="AZ27">
        <f>0.006165*O27^2*S27*U27/1000*(1+$T$6)</f>
        <v>0</v>
      </c>
      <c r="BA27">
        <f>AZ27/AP27</f>
        <v>0</v>
      </c>
    </row>
    <row r="28">
      <c r="A28">
        <f>'Data-Kolom'!A29</f>
        <v>14</v>
      </c>
      <c r="B28" t="str">
        <f>'Data-Kolom'!B29</f>
        <v>Lantai 1</v>
      </c>
      <c r="C28">
        <f>'Data-Kolom'!C29</f>
        <v>0</v>
      </c>
      <c r="D28" t="str">
        <f>'Data-Kolom'!D29</f>
        <v>K26</v>
      </c>
      <c r="E28" t="str">
        <v>D</v>
      </c>
      <c r="F28">
        <f>'Data-Kolom'!U29</f>
        <v>0</v>
      </c>
      <c r="G28">
        <f>'Data-Kolom'!T29</f>
        <v>0</v>
      </c>
      <c r="H28">
        <f>'Data-Kolom'!E29</f>
        <v>200</v>
      </c>
      <c r="I28">
        <f>'Data-Kolom'!F29</f>
        <v>600</v>
      </c>
      <c r="J28">
        <f>'Data-Kolom'!G29</f>
        <v>5250</v>
      </c>
      <c r="K28">
        <v>1</v>
      </c>
      <c r="M28">
        <f>IF(L28&gt;0,VLOOKUP(L28,'Data-PC'!$B$14:$F$56,4,FALSE),0)</f>
        <v>0</v>
      </c>
      <c r="N28">
        <f>'Data-Kolom'!H29</f>
        <v>10</v>
      </c>
      <c r="O28">
        <f>'Data-Kolom'!I29</f>
        <v>16</v>
      </c>
      <c r="P28">
        <f>IF(N28&gt;0,VLOOKUP(O28,$V$2:$X$9,2,FALSE),0)</f>
        <v>1010</v>
      </c>
      <c r="Q28">
        <f>IF(L28&gt;0,M28-50+$N$6*O28,VLOOKUP(O28,$V$2:$X$9,3,FALSE))</f>
        <v>770</v>
      </c>
      <c r="R28">
        <f>IF(E28="F",J28-$N$5+$N$6*O28+Q28,IF(E28="D",J28+Q28+P28,IF(E28="T",J28+P28,IF(E28="A",J28-$N$5+$N$6*O28,0))))</f>
        <v>7030</v>
      </c>
      <c r="T28">
        <f>SUM(R28:S28)</f>
        <v>7030</v>
      </c>
      <c r="U28">
        <f>K28*N28</f>
        <v>10</v>
      </c>
      <c r="V28">
        <f>'Data-Kolom'!J29</f>
        <v>0</v>
      </c>
      <c r="W28">
        <f>'Data-Kolom'!K29</f>
        <v>0</v>
      </c>
      <c r="X28">
        <f>IF(V28&gt;0,VLOOKUP(W28,$V$2:$X$9,2,FALSE),0)</f>
        <v>0</v>
      </c>
      <c r="Y28">
        <f>IF(V28&gt;0,IF(L28&gt;0,M28-50+$N$6*W28,VLOOKUP(W28,$V$2:$X$9,3,FALSE)),0)</f>
        <v>0</v>
      </c>
      <c r="Z28">
        <f>IF(E28="F",J28-$N$5+$N$6*W28+Y28,IF(E28="D",J28+Y28+X28,IF(E28="T",J28+X28,IF(E28="A",J28-$N$5+$N$6*W28,0))))</f>
        <v>5250</v>
      </c>
      <c r="AB28">
        <f>SUM(Z28:AA28)</f>
        <v>5250</v>
      </c>
      <c r="AC28">
        <f>V28*K28</f>
        <v>0</v>
      </c>
      <c r="AD28">
        <f>'Data-Kolom'!L29</f>
        <v>10</v>
      </c>
      <c r="AE28">
        <f>'Data-Kolom'!M29</f>
        <v>100</v>
      </c>
      <c r="AF28">
        <f>'Data-Kolom'!N29</f>
        <v>100</v>
      </c>
      <c r="AG28">
        <f>'Data-Kolom'!O29</f>
        <v>100</v>
      </c>
      <c r="AH28">
        <f>'Data-Kolom'!P29</f>
        <v>0</v>
      </c>
      <c r="AI28">
        <f>'Data-Kolom'!Q29</f>
        <v>0</v>
      </c>
      <c r="AJ28">
        <f>'Data-Kolom'!R29</f>
        <v>0</v>
      </c>
      <c r="AK28">
        <f>'Data-Kolom'!S29</f>
        <v>0</v>
      </c>
      <c r="AL28">
        <f>2*(H28+I28-4*$N$5)+2*MAX($F$5*AD28,75)</f>
        <v>1590</v>
      </c>
      <c r="AM28">
        <f>+AH28*(H28-2*$N$5+2*MAX($F$5*AI28,75))+AJ28*(I28-2*$N$5+2*MAX($F$5*AK28,75))</f>
        <v>0</v>
      </c>
      <c r="AN28">
        <f>(ROUND((1/2*J28+IF(M28&gt;0,(Q28-$N$6*AD28),0))/AE28,0)+(ROUND(1/2*J28/AF28,0)+1))*K28</f>
        <v>53</v>
      </c>
      <c r="AO28">
        <f>H28*I28*J28/1000000000*K28*(1+$T$5)</f>
        <v>0.63</v>
      </c>
      <c r="AP28">
        <f>0.006165*O28^2*T28*U28/1000*(1+$T$6)</f>
        <v>110.950272</v>
      </c>
      <c r="AQ28">
        <f>0.006165*W28^2*AB28*AC28/1000*(1+$T$6)</f>
        <v>0</v>
      </c>
      <c r="AR28">
        <f>AN28*0.006165*AD28^2*AL28/1000*(1+$T$6)</f>
        <v>51.952455</v>
      </c>
      <c r="AS28">
        <f>AN28*0.006165*AI28^2*AM28/1000*(1+$T$6)</f>
        <v>0</v>
      </c>
      <c r="AT28">
        <f>K28*2*J28*(H28+I28)/1000000*(1+$T$7)</f>
        <v>8.4</v>
      </c>
      <c r="AU28">
        <f>SUM(AP28:AS28)/AO28</f>
        <v>258.5757571428571</v>
      </c>
      <c r="AV28">
        <f>AT28/AO28</f>
        <v>13.333333333333334</v>
      </c>
      <c r="AX28">
        <f>0.006165*O28^2*R28*U28/1000*(1+$T$6)</f>
        <v>110.950272</v>
      </c>
      <c r="AZ28">
        <f>0.006165*O28^2*S28*U28/1000*(1+$T$6)</f>
        <v>0</v>
      </c>
      <c r="BA28">
        <f>AZ28/AP28</f>
        <v>0</v>
      </c>
    </row>
    <row r="29">
      <c r="A29">
        <f>'Data-Kolom'!A30</f>
        <v>15</v>
      </c>
      <c r="B29" t="str">
        <f>'Data-Kolom'!B30</f>
        <v>Lantai 1</v>
      </c>
      <c r="C29">
        <f>'Data-Kolom'!C30</f>
        <v>0</v>
      </c>
      <c r="D29" t="str">
        <f>'Data-Kolom'!D30</f>
        <v>K26</v>
      </c>
      <c r="E29" t="str">
        <v>D</v>
      </c>
      <c r="F29">
        <f>'Data-Kolom'!U30</f>
        <v>0</v>
      </c>
      <c r="G29">
        <f>'Data-Kolom'!T30</f>
        <v>0</v>
      </c>
      <c r="H29">
        <f>'Data-Kolom'!E30</f>
        <v>200</v>
      </c>
      <c r="I29">
        <f>'Data-Kolom'!F30</f>
        <v>600</v>
      </c>
      <c r="J29">
        <f>'Data-Kolom'!G30</f>
        <v>5250</v>
      </c>
      <c r="K29">
        <v>1</v>
      </c>
      <c r="M29">
        <f>IF(L29&gt;0,VLOOKUP(L29,'Data-PC'!$B$14:$F$56,4,FALSE),0)</f>
        <v>0</v>
      </c>
      <c r="N29">
        <f>'Data-Kolom'!H30</f>
        <v>10</v>
      </c>
      <c r="O29">
        <f>'Data-Kolom'!I30</f>
        <v>16</v>
      </c>
      <c r="P29">
        <f>IF(N29&gt;0,VLOOKUP(O29,$V$2:$X$9,2,FALSE),0)</f>
        <v>1010</v>
      </c>
      <c r="Q29">
        <f>IF(L29&gt;0,M29-50+$N$6*O29,VLOOKUP(O29,$V$2:$X$9,3,FALSE))</f>
        <v>770</v>
      </c>
      <c r="R29">
        <f>IF(E29="F",J29-$N$5+$N$6*O29+Q29,IF(E29="D",J29+Q29+P29,IF(E29="T",J29+P29,IF(E29="A",J29-$N$5+$N$6*O29,0))))</f>
        <v>7030</v>
      </c>
      <c r="T29">
        <f>SUM(R29:S29)</f>
        <v>7030</v>
      </c>
      <c r="U29">
        <f>K29*N29</f>
        <v>10</v>
      </c>
      <c r="V29">
        <f>'Data-Kolom'!J30</f>
        <v>0</v>
      </c>
      <c r="W29">
        <f>'Data-Kolom'!K30</f>
        <v>0</v>
      </c>
      <c r="X29">
        <f>IF(V29&gt;0,VLOOKUP(W29,$V$2:$X$9,2,FALSE),0)</f>
        <v>0</v>
      </c>
      <c r="Y29">
        <f>IF(V29&gt;0,IF(L29&gt;0,M29-50+$N$6*W29,VLOOKUP(W29,$V$2:$X$9,3,FALSE)),0)</f>
        <v>0</v>
      </c>
      <c r="Z29">
        <f>IF(E29="F",J29-$N$5+$N$6*W29+Y29,IF(E29="D",J29+Y29+X29,IF(E29="T",J29+X29,IF(E29="A",J29-$N$5+$N$6*W29,0))))</f>
        <v>5250</v>
      </c>
      <c r="AB29">
        <f>SUM(Z29:AA29)</f>
        <v>5250</v>
      </c>
      <c r="AC29">
        <f>V29*K29</f>
        <v>0</v>
      </c>
      <c r="AD29">
        <f>'Data-Kolom'!L30</f>
        <v>10</v>
      </c>
      <c r="AE29">
        <f>'Data-Kolom'!M30</f>
        <v>100</v>
      </c>
      <c r="AF29">
        <f>'Data-Kolom'!N30</f>
        <v>100</v>
      </c>
      <c r="AG29">
        <f>'Data-Kolom'!O30</f>
        <v>100</v>
      </c>
      <c r="AH29">
        <f>'Data-Kolom'!P30</f>
        <v>0</v>
      </c>
      <c r="AI29">
        <f>'Data-Kolom'!Q30</f>
        <v>0</v>
      </c>
      <c r="AJ29">
        <f>'Data-Kolom'!R30</f>
        <v>0</v>
      </c>
      <c r="AK29">
        <f>'Data-Kolom'!S30</f>
        <v>0</v>
      </c>
      <c r="AL29">
        <f>2*(H29+I29-4*$N$5)+2*MAX($F$5*AD29,75)</f>
        <v>1590</v>
      </c>
      <c r="AM29">
        <f>+AH29*(H29-2*$N$5+2*MAX($F$5*AI29,75))+AJ29*(I29-2*$N$5+2*MAX($F$5*AK29,75))</f>
        <v>0</v>
      </c>
      <c r="AN29">
        <f>(ROUND((1/2*J29+IF(M29&gt;0,(Q29-$N$6*AD29),0))/AE29,0)+(ROUND(1/2*J29/AF29,0)+1))*K29</f>
        <v>53</v>
      </c>
      <c r="AO29">
        <f>H29*I29*J29/1000000000*K29*(1+$T$5)</f>
        <v>0.63</v>
      </c>
      <c r="AP29">
        <f>0.006165*O29^2*T29*U29/1000*(1+$T$6)</f>
        <v>110.950272</v>
      </c>
      <c r="AQ29">
        <f>0.006165*W29^2*AB29*AC29/1000*(1+$T$6)</f>
        <v>0</v>
      </c>
      <c r="AR29">
        <f>AN29*0.006165*AD29^2*AL29/1000*(1+$T$6)</f>
        <v>51.952455</v>
      </c>
      <c r="AS29">
        <f>AN29*0.006165*AI29^2*AM29/1000*(1+$T$6)</f>
        <v>0</v>
      </c>
      <c r="AT29">
        <f>K29*2*J29*(H29+I29)/1000000*(1+$T$7)</f>
        <v>8.4</v>
      </c>
      <c r="AU29">
        <f>SUM(AP29:AS29)/AO29</f>
        <v>258.5757571428571</v>
      </c>
      <c r="AV29">
        <f>AT29/AO29</f>
        <v>13.333333333333334</v>
      </c>
      <c r="AX29">
        <f>0.006165*O29^2*R29*U29/1000*(1+$T$6)</f>
        <v>110.950272</v>
      </c>
      <c r="AZ29">
        <f>0.006165*O29^2*S29*U29/1000*(1+$T$6)</f>
        <v>0</v>
      </c>
      <c r="BA29">
        <f>AZ29/AP29</f>
        <v>0</v>
      </c>
    </row>
    <row r="30">
      <c r="A30">
        <f>'Data-Kolom'!A31</f>
        <v>16</v>
      </c>
      <c r="B30" t="str">
        <f>'Data-Kolom'!B31</f>
        <v>Lantai 1</v>
      </c>
      <c r="C30">
        <f>'Data-Kolom'!C31</f>
        <v>0</v>
      </c>
      <c r="D30" t="str">
        <f>'Data-Kolom'!D31</f>
        <v>K26</v>
      </c>
      <c r="E30" t="str">
        <v>D</v>
      </c>
      <c r="F30">
        <f>'Data-Kolom'!U31</f>
        <v>0</v>
      </c>
      <c r="G30">
        <f>'Data-Kolom'!T31</f>
        <v>0</v>
      </c>
      <c r="H30">
        <f>'Data-Kolom'!E31</f>
        <v>200</v>
      </c>
      <c r="I30">
        <f>'Data-Kolom'!F31</f>
        <v>600</v>
      </c>
      <c r="J30">
        <f>'Data-Kolom'!G31</f>
        <v>5250</v>
      </c>
      <c r="K30">
        <v>1</v>
      </c>
      <c r="M30">
        <f>IF(L30&gt;0,VLOOKUP(L30,'Data-PC'!$B$14:$F$56,4,FALSE),0)</f>
        <v>0</v>
      </c>
      <c r="N30">
        <f>'Data-Kolom'!H31</f>
        <v>10</v>
      </c>
      <c r="O30">
        <f>'Data-Kolom'!I31</f>
        <v>16</v>
      </c>
      <c r="P30">
        <f>IF(N30&gt;0,VLOOKUP(O30,$V$2:$X$9,2,FALSE),0)</f>
        <v>1010</v>
      </c>
      <c r="Q30">
        <f>IF(L30&gt;0,M30-50+$N$6*O30,VLOOKUP(O30,$V$2:$X$9,3,FALSE))</f>
        <v>770</v>
      </c>
      <c r="R30">
        <f>IF(E30="F",J30-$N$5+$N$6*O30+Q30,IF(E30="D",J30+Q30+P30,IF(E30="T",J30+P30,IF(E30="A",J30-$N$5+$N$6*O30,0))))</f>
        <v>7030</v>
      </c>
      <c r="T30">
        <f>SUM(R30:S30)</f>
        <v>7030</v>
      </c>
      <c r="U30">
        <f>K30*N30</f>
        <v>10</v>
      </c>
      <c r="V30">
        <f>'Data-Kolom'!J31</f>
        <v>0</v>
      </c>
      <c r="W30">
        <f>'Data-Kolom'!K31</f>
        <v>0</v>
      </c>
      <c r="X30">
        <f>IF(V30&gt;0,VLOOKUP(W30,$V$2:$X$9,2,FALSE),0)</f>
        <v>0</v>
      </c>
      <c r="Y30">
        <f>IF(V30&gt;0,IF(L30&gt;0,M30-50+$N$6*W30,VLOOKUP(W30,$V$2:$X$9,3,FALSE)),0)</f>
        <v>0</v>
      </c>
      <c r="Z30">
        <f>IF(E30="F",J30-$N$5+$N$6*W30+Y30,IF(E30="D",J30+Y30+X30,IF(E30="T",J30+X30,IF(E30="A",J30-$N$5+$N$6*W30,0))))</f>
        <v>5250</v>
      </c>
      <c r="AB30">
        <f>SUM(Z30:AA30)</f>
        <v>5250</v>
      </c>
      <c r="AC30">
        <f>V30*K30</f>
        <v>0</v>
      </c>
      <c r="AD30">
        <f>'Data-Kolom'!L31</f>
        <v>10</v>
      </c>
      <c r="AE30">
        <f>'Data-Kolom'!M31</f>
        <v>100</v>
      </c>
      <c r="AF30">
        <f>'Data-Kolom'!N31</f>
        <v>100</v>
      </c>
      <c r="AG30">
        <f>'Data-Kolom'!O31</f>
        <v>100</v>
      </c>
      <c r="AH30">
        <f>'Data-Kolom'!P31</f>
        <v>0</v>
      </c>
      <c r="AI30">
        <f>'Data-Kolom'!Q31</f>
        <v>0</v>
      </c>
      <c r="AJ30">
        <f>'Data-Kolom'!R31</f>
        <v>0</v>
      </c>
      <c r="AK30">
        <f>'Data-Kolom'!S31</f>
        <v>0</v>
      </c>
      <c r="AL30">
        <f>2*(H30+I30-4*$N$5)+2*MAX($F$5*AD30,75)</f>
        <v>1590</v>
      </c>
      <c r="AM30">
        <f>+AH30*(H30-2*$N$5+2*MAX($F$5*AI30,75))+AJ30*(I30-2*$N$5+2*MAX($F$5*AK30,75))</f>
        <v>0</v>
      </c>
      <c r="AN30">
        <f>(ROUND((1/2*J30+IF(M30&gt;0,(Q30-$N$6*AD30),0))/AE30,0)+(ROUND(1/2*J30/AF30,0)+1))*K30</f>
        <v>53</v>
      </c>
      <c r="AO30">
        <f>H30*I30*J30/1000000000*K30*(1+$T$5)</f>
        <v>0.63</v>
      </c>
      <c r="AP30">
        <f>0.006165*O30^2*T30*U30/1000*(1+$T$6)</f>
        <v>110.950272</v>
      </c>
      <c r="AQ30">
        <f>0.006165*W30^2*AB30*AC30/1000*(1+$T$6)</f>
        <v>0</v>
      </c>
      <c r="AR30">
        <f>AN30*0.006165*AD30^2*AL30/1000*(1+$T$6)</f>
        <v>51.952455</v>
      </c>
      <c r="AS30">
        <f>AN30*0.006165*AI30^2*AM30/1000*(1+$T$6)</f>
        <v>0</v>
      </c>
      <c r="AT30">
        <f>K30*2*J30*(H30+I30)/1000000*(1+$T$7)</f>
        <v>8.4</v>
      </c>
      <c r="AU30">
        <f>SUM(AP30:AS30)/AO30</f>
        <v>258.5757571428571</v>
      </c>
      <c r="AV30">
        <f>AT30/AO30</f>
        <v>13.333333333333334</v>
      </c>
      <c r="AX30">
        <f>0.006165*O30^2*R30*U30/1000*(1+$T$6)</f>
        <v>110.950272</v>
      </c>
      <c r="AZ30">
        <f>0.006165*O30^2*S30*U30/1000*(1+$T$6)</f>
        <v>0</v>
      </c>
      <c r="BA30">
        <f>AZ30/AP30</f>
        <v>0</v>
      </c>
    </row>
    <row r="31">
      <c r="A31">
        <f>'Data-Kolom'!A32</f>
        <v>17</v>
      </c>
      <c r="B31" t="str">
        <f>'Data-Kolom'!B32</f>
        <v>Lantai 1</v>
      </c>
      <c r="C31">
        <f>'Data-Kolom'!C32</f>
        <v>0</v>
      </c>
      <c r="D31" t="str">
        <f>'Data-Kolom'!D32</f>
        <v>K26</v>
      </c>
      <c r="E31" t="str">
        <v>D</v>
      </c>
      <c r="F31">
        <f>'Data-Kolom'!U32</f>
        <v>0</v>
      </c>
      <c r="G31">
        <f>'Data-Kolom'!T32</f>
        <v>0</v>
      </c>
      <c r="H31">
        <f>'Data-Kolom'!E32</f>
        <v>200</v>
      </c>
      <c r="I31">
        <f>'Data-Kolom'!F32</f>
        <v>600</v>
      </c>
      <c r="J31">
        <f>'Data-Kolom'!G32</f>
        <v>5250</v>
      </c>
      <c r="K31">
        <v>1</v>
      </c>
      <c r="M31">
        <f>IF(L31&gt;0,VLOOKUP(L31,'Data-PC'!$B$14:$F$56,4,FALSE),0)</f>
        <v>0</v>
      </c>
      <c r="N31">
        <f>'Data-Kolom'!H32</f>
        <v>10</v>
      </c>
      <c r="O31">
        <f>'Data-Kolom'!I32</f>
        <v>16</v>
      </c>
      <c r="P31">
        <f>IF(N31&gt;0,VLOOKUP(O31,$V$2:$X$9,2,FALSE),0)</f>
        <v>1010</v>
      </c>
      <c r="Q31">
        <f>IF(L31&gt;0,M31-50+$N$6*O31,VLOOKUP(O31,$V$2:$X$9,3,FALSE))</f>
        <v>770</v>
      </c>
      <c r="R31">
        <f>IF(E31="F",J31-$N$5+$N$6*O31+Q31,IF(E31="D",J31+Q31+P31,IF(E31="T",J31+P31,IF(E31="A",J31-$N$5+$N$6*O31,0))))</f>
        <v>7030</v>
      </c>
      <c r="T31">
        <f>SUM(R31:S31)</f>
        <v>7030</v>
      </c>
      <c r="U31">
        <f>K31*N31</f>
        <v>10</v>
      </c>
      <c r="V31">
        <f>'Data-Kolom'!J32</f>
        <v>0</v>
      </c>
      <c r="W31">
        <f>'Data-Kolom'!K32</f>
        <v>0</v>
      </c>
      <c r="X31">
        <f>IF(V31&gt;0,VLOOKUP(W31,$V$2:$X$9,2,FALSE),0)</f>
        <v>0</v>
      </c>
      <c r="Y31">
        <f>IF(V31&gt;0,IF(L31&gt;0,M31-50+$N$6*W31,VLOOKUP(W31,$V$2:$X$9,3,FALSE)),0)</f>
        <v>0</v>
      </c>
      <c r="Z31">
        <f>IF(E31="F",J31-$N$5+$N$6*W31+Y31,IF(E31="D",J31+Y31+X31,IF(E31="T",J31+X31,IF(E31="A",J31-$N$5+$N$6*W31,0))))</f>
        <v>5250</v>
      </c>
      <c r="AB31">
        <f>SUM(Z31:AA31)</f>
        <v>5250</v>
      </c>
      <c r="AC31">
        <f>V31*K31</f>
        <v>0</v>
      </c>
      <c r="AD31">
        <f>'Data-Kolom'!L32</f>
        <v>10</v>
      </c>
      <c r="AE31">
        <f>'Data-Kolom'!M32</f>
        <v>100</v>
      </c>
      <c r="AF31">
        <f>'Data-Kolom'!N32</f>
        <v>100</v>
      </c>
      <c r="AG31">
        <f>'Data-Kolom'!O32</f>
        <v>100</v>
      </c>
      <c r="AH31">
        <f>'Data-Kolom'!P32</f>
        <v>0</v>
      </c>
      <c r="AI31">
        <f>'Data-Kolom'!Q32</f>
        <v>0</v>
      </c>
      <c r="AJ31">
        <f>'Data-Kolom'!R32</f>
        <v>0</v>
      </c>
      <c r="AK31">
        <f>'Data-Kolom'!S32</f>
        <v>0</v>
      </c>
      <c r="AL31">
        <f>2*(H31+I31-4*$N$5)+2*MAX($F$5*AD31,75)</f>
        <v>1590</v>
      </c>
      <c r="AM31">
        <f>+AH31*(H31-2*$N$5+2*MAX($F$5*AI31,75))+AJ31*(I31-2*$N$5+2*MAX($F$5*AK31,75))</f>
        <v>0</v>
      </c>
      <c r="AN31">
        <f>(ROUND((1/2*J31+IF(M31&gt;0,(Q31-$N$6*AD31),0))/AE31,0)+(ROUND(1/2*J31/AF31,0)+1))*K31</f>
        <v>53</v>
      </c>
      <c r="AO31">
        <f>H31*I31*J31/1000000000*K31*(1+$T$5)</f>
        <v>0.63</v>
      </c>
      <c r="AP31">
        <f>0.006165*O31^2*T31*U31/1000*(1+$T$6)</f>
        <v>110.950272</v>
      </c>
      <c r="AQ31">
        <f>0.006165*W31^2*AB31*AC31/1000*(1+$T$6)</f>
        <v>0</v>
      </c>
      <c r="AR31">
        <f>AN31*0.006165*AD31^2*AL31/1000*(1+$T$6)</f>
        <v>51.952455</v>
      </c>
      <c r="AS31">
        <f>AN31*0.006165*AI31^2*AM31/1000*(1+$T$6)</f>
        <v>0</v>
      </c>
      <c r="AT31">
        <f>K31*2*J31*(H31+I31)/1000000*(1+$T$7)</f>
        <v>8.4</v>
      </c>
      <c r="AU31">
        <f>SUM(AP31:AS31)/AO31</f>
        <v>258.5757571428571</v>
      </c>
      <c r="AV31">
        <f>AT31/AO31</f>
        <v>13.333333333333334</v>
      </c>
      <c r="AX31">
        <f>0.006165*O31^2*R31*U31/1000*(1+$T$6)</f>
        <v>110.950272</v>
      </c>
      <c r="AZ31">
        <f>0.006165*O31^2*S31*U31/1000*(1+$T$6)</f>
        <v>0</v>
      </c>
      <c r="BA31">
        <f>AZ31/AP31</f>
        <v>0</v>
      </c>
    </row>
    <row r="32">
      <c r="A32">
        <f>'Data-Kolom'!A33</f>
        <v>18</v>
      </c>
      <c r="B32" t="str">
        <f>'Data-Kolom'!B33</f>
        <v>Lantai 1</v>
      </c>
      <c r="C32">
        <f>'Data-Kolom'!C33</f>
        <v>0</v>
      </c>
      <c r="D32" t="str">
        <f>'Data-Kolom'!D33</f>
        <v>KL55</v>
      </c>
      <c r="E32" t="str">
        <v>D</v>
      </c>
      <c r="F32">
        <f>'Data-Kolom'!U33</f>
        <v>0</v>
      </c>
      <c r="G32">
        <f>'Data-Kolom'!T33</f>
        <v>0</v>
      </c>
      <c r="H32">
        <f>'Data-Kolom'!E33</f>
        <v>170</v>
      </c>
      <c r="I32">
        <f>'Data-Kolom'!F33</f>
        <v>500</v>
      </c>
      <c r="J32">
        <f>'Data-Kolom'!G33</f>
        <v>6000</v>
      </c>
      <c r="K32">
        <v>2</v>
      </c>
      <c r="M32">
        <f>IF(L32&gt;0,VLOOKUP(L32,'Data-PC'!$B$14:$F$56,4,FALSE),0)</f>
        <v>0</v>
      </c>
      <c r="N32">
        <f>'Data-Kolom'!H33</f>
        <v>6</v>
      </c>
      <c r="O32">
        <f>'Data-Kolom'!I33</f>
        <v>16</v>
      </c>
      <c r="P32">
        <f>IF(N32&gt;0,VLOOKUP(O32,$V$2:$X$9,2,FALSE),0)</f>
        <v>1010</v>
      </c>
      <c r="Q32">
        <f>IF(L32&gt;0,M32-50+$N$6*O32,VLOOKUP(O32,$V$2:$X$9,3,FALSE))</f>
        <v>770</v>
      </c>
      <c r="R32">
        <f>IF(E32="F",J32-$N$5+$N$6*O32+Q32,IF(E32="D",J32+Q32+P32,IF(E32="T",J32+P32,IF(E32="A",J32-$N$5+$N$6*O32,0))))</f>
        <v>7780</v>
      </c>
      <c r="T32">
        <f>SUM(R32:S32)</f>
        <v>7780</v>
      </c>
      <c r="U32">
        <f>K32*N32</f>
        <v>12</v>
      </c>
      <c r="V32">
        <f>'Data-Kolom'!J33</f>
        <v>0</v>
      </c>
      <c r="W32">
        <f>'Data-Kolom'!K33</f>
        <v>0</v>
      </c>
      <c r="X32">
        <f>IF(V32&gt;0,VLOOKUP(W32,$V$2:$X$9,2,FALSE),0)</f>
        <v>0</v>
      </c>
      <c r="Y32">
        <f>IF(V32&gt;0,IF(L32&gt;0,M32-50+$N$6*W32,VLOOKUP(W32,$V$2:$X$9,3,FALSE)),0)</f>
        <v>0</v>
      </c>
      <c r="Z32">
        <f>IF(E32="F",J32-$N$5+$N$6*W32+Y32,IF(E32="D",J32+Y32+X32,IF(E32="T",J32+X32,IF(E32="A",J32-$N$5+$N$6*W32,0))))</f>
        <v>6000</v>
      </c>
      <c r="AB32">
        <f>SUM(Z32:AA32)</f>
        <v>6000</v>
      </c>
      <c r="AC32">
        <f>V32*K32</f>
        <v>0</v>
      </c>
      <c r="AD32">
        <f>'Data-Kolom'!L33</f>
        <v>10</v>
      </c>
      <c r="AE32">
        <f>'Data-Kolom'!M33</f>
        <v>100</v>
      </c>
      <c r="AF32">
        <f>'Data-Kolom'!N33</f>
        <v>100</v>
      </c>
      <c r="AG32">
        <f>'Data-Kolom'!O33</f>
        <v>100</v>
      </c>
      <c r="AH32">
        <f>'Data-Kolom'!P33</f>
        <v>0</v>
      </c>
      <c r="AI32">
        <f>'Data-Kolom'!Q33</f>
        <v>0</v>
      </c>
      <c r="AJ32">
        <f>'Data-Kolom'!R33</f>
        <v>0</v>
      </c>
      <c r="AK32">
        <f>'Data-Kolom'!S33</f>
        <v>0</v>
      </c>
      <c r="AL32">
        <f>2*(H32+I32-4*$N$5)+2*MAX($F$5*AD32,75)</f>
        <v>1330</v>
      </c>
      <c r="AM32">
        <f>+AH32*(H32-2*$N$5+2*MAX($F$5*AI32,75))+AJ32*(I32-2*$N$5+2*MAX($F$5*AK32,75))</f>
        <v>0</v>
      </c>
      <c r="AN32">
        <f>(ROUND((1/2*J32+IF(M32&gt;0,(Q32-$N$6*AD32),0))/AE32,0)+(ROUND(1/2*J32/AF32,0)+1))*K32</f>
        <v>122</v>
      </c>
      <c r="AO32">
        <f>H32*I32*J32/1000000000*K32*(1+$T$5)</f>
        <v>1.02</v>
      </c>
      <c r="AP32">
        <f>0.006165*O32^2*T32*U32/1000*(1+$T$6)</f>
        <v>147.3444864</v>
      </c>
      <c r="AQ32">
        <f>0.006165*W32^2*AB32*AC32/1000*(1+$T$6)</f>
        <v>0</v>
      </c>
      <c r="AR32">
        <f>AN32*0.006165*AD32^2*AL32/1000*(1+$T$6)</f>
        <v>100.03329000000001</v>
      </c>
      <c r="AS32">
        <f>AN32*0.006165*AI32^2*AM32/1000*(1+$T$6)</f>
        <v>0</v>
      </c>
      <c r="AT32">
        <f>K32*2*J32*(H32+I32)/1000000*(1+$T$7)</f>
        <v>16.08</v>
      </c>
      <c r="AU32">
        <f>SUM(AP32:AS32)/AO32</f>
        <v>242.5272317647059</v>
      </c>
      <c r="AV32">
        <f>AT32/AO32</f>
        <v>15.764705882352938</v>
      </c>
      <c r="AX32">
        <f>0.006165*O32^2*R32*U32/1000*(1+$T$6)</f>
        <v>147.3444864</v>
      </c>
      <c r="AZ32">
        <f>0.006165*O32^2*S32*U32/1000*(1+$T$6)</f>
        <v>0</v>
      </c>
      <c r="BA32">
        <f>AZ32/AP32</f>
        <v>0</v>
      </c>
    </row>
    <row r="33">
      <c r="A33">
        <f>'Data-Kolom'!A34</f>
        <v>19</v>
      </c>
      <c r="B33" t="str">
        <f>'Data-Kolom'!B34</f>
        <v>Lantai 1</v>
      </c>
      <c r="C33">
        <f>'Data-Kolom'!C34</f>
        <v>0</v>
      </c>
      <c r="D33" t="str">
        <f>'Data-Kolom'!D34</f>
        <v>KL55</v>
      </c>
      <c r="E33" t="str">
        <v>D</v>
      </c>
      <c r="F33">
        <f>'Data-Kolom'!U34</f>
        <v>0</v>
      </c>
      <c r="G33">
        <f>'Data-Kolom'!T34</f>
        <v>0</v>
      </c>
      <c r="H33">
        <f>'Data-Kolom'!E34</f>
        <v>170</v>
      </c>
      <c r="I33">
        <f>'Data-Kolom'!F34</f>
        <v>500</v>
      </c>
      <c r="J33">
        <f>'Data-Kolom'!G34</f>
        <v>6000</v>
      </c>
      <c r="K33">
        <v>2</v>
      </c>
      <c r="M33">
        <f>IF(L33&gt;0,VLOOKUP(L33,'Data-PC'!$B$14:$F$56,4,FALSE),0)</f>
        <v>0</v>
      </c>
      <c r="N33">
        <f>'Data-Kolom'!H34</f>
        <v>6</v>
      </c>
      <c r="O33">
        <f>'Data-Kolom'!I34</f>
        <v>16</v>
      </c>
      <c r="P33">
        <f>IF(N33&gt;0,VLOOKUP(O33,$V$2:$X$9,2,FALSE),0)</f>
        <v>1010</v>
      </c>
      <c r="Q33">
        <f>IF(L33&gt;0,M33-50+$N$6*O33,VLOOKUP(O33,$V$2:$X$9,3,FALSE))</f>
        <v>770</v>
      </c>
      <c r="R33">
        <f>IF(E33="F",J33-$N$5+$N$6*O33+Q33,IF(E33="D",J33+Q33+P33,IF(E33="T",J33+P33,IF(E33="A",J33-$N$5+$N$6*O33,0))))</f>
        <v>7780</v>
      </c>
      <c r="T33">
        <f>SUM(R33:S33)</f>
        <v>7780</v>
      </c>
      <c r="U33">
        <f>K33*N33</f>
        <v>12</v>
      </c>
      <c r="V33">
        <f>'Data-Kolom'!J34</f>
        <v>0</v>
      </c>
      <c r="W33">
        <f>'Data-Kolom'!K34</f>
        <v>0</v>
      </c>
      <c r="X33">
        <f>IF(V33&gt;0,VLOOKUP(W33,$V$2:$X$9,2,FALSE),0)</f>
        <v>0</v>
      </c>
      <c r="Y33">
        <f>IF(V33&gt;0,IF(L33&gt;0,M33-50+$N$6*W33,VLOOKUP(W33,$V$2:$X$9,3,FALSE)),0)</f>
        <v>0</v>
      </c>
      <c r="Z33">
        <f>IF(E33="F",J33-$N$5+$N$6*W33+Y33,IF(E33="D",J33+Y33+X33,IF(E33="T",J33+X33,IF(E33="A",J33-$N$5+$N$6*W33,0))))</f>
        <v>6000</v>
      </c>
      <c r="AB33">
        <f>SUM(Z33:AA33)</f>
        <v>6000</v>
      </c>
      <c r="AC33">
        <f>V33*K33</f>
        <v>0</v>
      </c>
      <c r="AD33">
        <f>'Data-Kolom'!L34</f>
        <v>10</v>
      </c>
      <c r="AE33">
        <f>'Data-Kolom'!M34</f>
        <v>100</v>
      </c>
      <c r="AF33">
        <f>'Data-Kolom'!N34</f>
        <v>100</v>
      </c>
      <c r="AG33">
        <f>'Data-Kolom'!O34</f>
        <v>100</v>
      </c>
      <c r="AH33">
        <f>'Data-Kolom'!P34</f>
        <v>0</v>
      </c>
      <c r="AI33">
        <f>'Data-Kolom'!Q34</f>
        <v>0</v>
      </c>
      <c r="AJ33">
        <f>'Data-Kolom'!R34</f>
        <v>0</v>
      </c>
      <c r="AK33">
        <f>'Data-Kolom'!S34</f>
        <v>0</v>
      </c>
      <c r="AL33">
        <f>2*(H33+I33-4*$N$5)+2*MAX($F$5*AD33,75)</f>
        <v>1330</v>
      </c>
      <c r="AM33">
        <f>+AH33*(H33-2*$N$5+2*MAX($F$5*AI33,75))+AJ33*(I33-2*$N$5+2*MAX($F$5*AK33,75))</f>
        <v>0</v>
      </c>
      <c r="AN33">
        <f>(ROUND((1/2*J33+IF(M33&gt;0,(Q33-$N$6*AD33),0))/AE33,0)+(ROUND(1/2*J33/AF33,0)+1))*K33</f>
        <v>122</v>
      </c>
      <c r="AO33">
        <f>H33*I33*J33/1000000000*K33*(1+$T$5)</f>
        <v>1.02</v>
      </c>
      <c r="AP33">
        <f>0.006165*O33^2*T33*U33/1000*(1+$T$6)</f>
        <v>147.3444864</v>
      </c>
      <c r="AQ33">
        <f>0.006165*W33^2*AB33*AC33/1000*(1+$T$6)</f>
        <v>0</v>
      </c>
      <c r="AR33">
        <f>AN33*0.006165*AD33^2*AL33/1000*(1+$T$6)</f>
        <v>100.03329000000001</v>
      </c>
      <c r="AS33">
        <f>AN33*0.006165*AI33^2*AM33/1000*(1+$T$6)</f>
        <v>0</v>
      </c>
      <c r="AT33">
        <f>K33*2*J33*(H33+I33)/1000000*(1+$T$7)</f>
        <v>16.08</v>
      </c>
      <c r="AU33">
        <f>SUM(AP33:AS33)/AO33</f>
        <v>242.5272317647059</v>
      </c>
      <c r="AV33">
        <f>AT33/AO33</f>
        <v>15.764705882352938</v>
      </c>
      <c r="AX33">
        <f>0.006165*O33^2*R33*U33/1000*(1+$T$6)</f>
        <v>147.3444864</v>
      </c>
      <c r="AZ33">
        <f>0.006165*O33^2*S33*U33/1000*(1+$T$6)</f>
        <v>0</v>
      </c>
      <c r="BA33">
        <f>AZ33/AP33</f>
        <v>0</v>
      </c>
    </row>
    <row r="34">
      <c r="A34">
        <f>'Data-Kolom'!A35</f>
        <v>20</v>
      </c>
      <c r="B34" t="str">
        <f>'Data-Kolom'!B35</f>
        <v>Lantai 1</v>
      </c>
      <c r="C34">
        <f>'Data-Kolom'!C35</f>
        <v>0</v>
      </c>
      <c r="D34" t="str">
        <f>'Data-Kolom'!D35</f>
        <v>K2A6</v>
      </c>
      <c r="E34" t="str">
        <v>D</v>
      </c>
      <c r="F34">
        <f>'Data-Kolom'!U35</f>
        <v>0</v>
      </c>
      <c r="G34">
        <f>'Data-Kolom'!T35</f>
        <v>0</v>
      </c>
      <c r="H34">
        <f>'Data-Kolom'!E35</f>
        <v>250</v>
      </c>
      <c r="I34">
        <f>'Data-Kolom'!F35</f>
        <v>600</v>
      </c>
      <c r="J34">
        <f>'Data-Kolom'!G35</f>
        <v>4600</v>
      </c>
      <c r="K34">
        <v>1</v>
      </c>
      <c r="M34">
        <f>IF(L34&gt;0,VLOOKUP(L34,'Data-PC'!$B$14:$F$56,4,FALSE),0)</f>
        <v>0</v>
      </c>
      <c r="N34">
        <f>'Data-Kolom'!H35</f>
        <v>10</v>
      </c>
      <c r="O34">
        <f>'Data-Kolom'!I35</f>
        <v>16</v>
      </c>
      <c r="P34">
        <f>IF(N34&gt;0,VLOOKUP(O34,$V$2:$X$9,2,FALSE),0)</f>
        <v>1010</v>
      </c>
      <c r="Q34">
        <f>IF(L34&gt;0,M34-50+$N$6*O34,VLOOKUP(O34,$V$2:$X$9,3,FALSE))</f>
        <v>770</v>
      </c>
      <c r="R34">
        <f>IF(E34="F",J34-$N$5+$N$6*O34+Q34,IF(E34="D",J34+Q34+P34,IF(E34="T",J34+P34,IF(E34="A",J34-$N$5+$N$6*O34,0))))</f>
        <v>6380</v>
      </c>
      <c r="T34">
        <f>SUM(R34:S34)</f>
        <v>6380</v>
      </c>
      <c r="U34">
        <f>K34*N34</f>
        <v>10</v>
      </c>
      <c r="V34">
        <f>'Data-Kolom'!J35</f>
        <v>0</v>
      </c>
      <c r="W34">
        <f>'Data-Kolom'!K35</f>
        <v>0</v>
      </c>
      <c r="X34">
        <f>IF(V34&gt;0,VLOOKUP(W34,$V$2:$X$9,2,FALSE),0)</f>
        <v>0</v>
      </c>
      <c r="Y34">
        <f>IF(V34&gt;0,IF(L34&gt;0,M34-50+$N$6*W34,VLOOKUP(W34,$V$2:$X$9,3,FALSE)),0)</f>
        <v>0</v>
      </c>
      <c r="Z34">
        <f>IF(E34="F",J34-$N$5+$N$6*W34+Y34,IF(E34="D",J34+Y34+X34,IF(E34="T",J34+X34,IF(E34="A",J34-$N$5+$N$6*W34,0))))</f>
        <v>4600</v>
      </c>
      <c r="AB34">
        <f>SUM(Z34:AA34)</f>
        <v>4600</v>
      </c>
      <c r="AC34">
        <f>V34*K34</f>
        <v>0</v>
      </c>
      <c r="AD34">
        <f>'Data-Kolom'!L35</f>
        <v>10</v>
      </c>
      <c r="AE34">
        <f>'Data-Kolom'!M35</f>
        <v>100</v>
      </c>
      <c r="AF34">
        <f>'Data-Kolom'!N35</f>
        <v>100</v>
      </c>
      <c r="AG34">
        <f>'Data-Kolom'!O35</f>
        <v>100</v>
      </c>
      <c r="AH34">
        <f>'Data-Kolom'!P35</f>
        <v>1</v>
      </c>
      <c r="AI34">
        <f>'Data-Kolom'!Q35</f>
        <v>10</v>
      </c>
      <c r="AJ34">
        <f>'Data-Kolom'!R35</f>
        <v>0</v>
      </c>
      <c r="AK34">
        <f>'Data-Kolom'!S35</f>
        <v>0</v>
      </c>
      <c r="AL34">
        <f>2*(H34+I34-4*$N$5)+2*MAX($F$5*AD34,75)</f>
        <v>1690</v>
      </c>
      <c r="AM34">
        <f>+AH34*(H34-2*$N$5+2*MAX($F$5*AI34,75))+AJ34*(I34-2*$N$5+2*MAX($F$5*AK34,75))</f>
        <v>360</v>
      </c>
      <c r="AN34">
        <f>(ROUND((1/2*J34+IF(M34&gt;0,(Q34-$N$6*AD34),0))/AE34,0)+(ROUND(1/2*J34/AF34,0)+1))*K34</f>
        <v>47</v>
      </c>
      <c r="AO34">
        <f>H34*I34*J34/1000000000*K34*(1+$T$5)</f>
        <v>0.69</v>
      </c>
      <c r="AP34">
        <f>0.006165*O34^2*T34*U34/1000*(1+$T$6)</f>
        <v>100.691712</v>
      </c>
      <c r="AQ34">
        <f>0.006165*W34^2*AB34*AC34/1000*(1+$T$6)</f>
        <v>0</v>
      </c>
      <c r="AR34">
        <f>AN34*0.006165*AD34^2*AL34/1000*(1+$T$6)</f>
        <v>48.96859500000001</v>
      </c>
      <c r="AS34">
        <f>AN34*0.006165*AI34^2*AM34/1000*(1+$T$6)</f>
        <v>10.431180000000001</v>
      </c>
      <c r="AT34">
        <f>K34*2*J34*(H34+I34)/1000000*(1+$T$7)</f>
        <v>7.82</v>
      </c>
      <c r="AU34">
        <f>SUM(AP34:AS34)/AO34</f>
        <v>232.01664782608697</v>
      </c>
      <c r="AV34">
        <f>AT34/AO34</f>
        <v>11.333333333333334</v>
      </c>
      <c r="AX34">
        <f>0.006165*O34^2*R34*U34/1000*(1+$T$6)</f>
        <v>100.691712</v>
      </c>
      <c r="AZ34">
        <f>0.006165*O34^2*S34*U34/1000*(1+$T$6)</f>
        <v>0</v>
      </c>
      <c r="BA34">
        <f>AZ34/AP34</f>
        <v>0</v>
      </c>
    </row>
    <row r="35">
      <c r="A35">
        <f>'Data-Kolom'!A36</f>
        <v>21</v>
      </c>
      <c r="B35" t="str">
        <f>'Data-Kolom'!B36</f>
        <v>Lantai 1</v>
      </c>
      <c r="C35">
        <f>'Data-Kolom'!C36</f>
        <v>0</v>
      </c>
      <c r="D35" t="str">
        <f>'Data-Kolom'!D36</f>
        <v>KL55</v>
      </c>
      <c r="E35" t="str">
        <v>D</v>
      </c>
      <c r="F35">
        <f>'Data-Kolom'!U36</f>
        <v>0</v>
      </c>
      <c r="G35">
        <f>'Data-Kolom'!T36</f>
        <v>0</v>
      </c>
      <c r="H35">
        <f>'Data-Kolom'!E36</f>
        <v>170</v>
      </c>
      <c r="I35">
        <f>'Data-Kolom'!F36</f>
        <v>500</v>
      </c>
      <c r="J35">
        <f>'Data-Kolom'!G36</f>
        <v>6000</v>
      </c>
      <c r="K35">
        <v>2</v>
      </c>
      <c r="M35">
        <f>IF(L35&gt;0,VLOOKUP(L35,'Data-PC'!$B$14:$F$56,4,FALSE),0)</f>
        <v>0</v>
      </c>
      <c r="N35">
        <f>'Data-Kolom'!H36</f>
        <v>6</v>
      </c>
      <c r="O35">
        <f>'Data-Kolom'!I36</f>
        <v>16</v>
      </c>
      <c r="P35">
        <f>IF(N35&gt;0,VLOOKUP(O35,$V$2:$X$9,2,FALSE),0)</f>
        <v>1010</v>
      </c>
      <c r="Q35">
        <f>IF(L35&gt;0,M35-50+$N$6*O35,VLOOKUP(O35,$V$2:$X$9,3,FALSE))</f>
        <v>770</v>
      </c>
      <c r="R35">
        <f>IF(E35="F",J35-$N$5+$N$6*O35+Q35,IF(E35="D",J35+Q35+P35,IF(E35="T",J35+P35,IF(E35="A",J35-$N$5+$N$6*O35,0))))</f>
        <v>7780</v>
      </c>
      <c r="T35">
        <f>SUM(R35:S35)</f>
        <v>7780</v>
      </c>
      <c r="U35">
        <f>K35*N35</f>
        <v>12</v>
      </c>
      <c r="V35">
        <f>'Data-Kolom'!J36</f>
        <v>0</v>
      </c>
      <c r="W35">
        <f>'Data-Kolom'!K36</f>
        <v>0</v>
      </c>
      <c r="X35">
        <f>IF(V35&gt;0,VLOOKUP(W35,$V$2:$X$9,2,FALSE),0)</f>
        <v>0</v>
      </c>
      <c r="Y35">
        <f>IF(V35&gt;0,IF(L35&gt;0,M35-50+$N$6*W35,VLOOKUP(W35,$V$2:$X$9,3,FALSE)),0)</f>
        <v>0</v>
      </c>
      <c r="Z35">
        <f>IF(E35="F",J35-$N$5+$N$6*W35+Y35,IF(E35="D",J35+Y35+X35,IF(E35="T",J35+X35,IF(E35="A",J35-$N$5+$N$6*W35,0))))</f>
        <v>6000</v>
      </c>
      <c r="AB35">
        <f>SUM(Z35:AA35)</f>
        <v>6000</v>
      </c>
      <c r="AC35">
        <f>V35*K35</f>
        <v>0</v>
      </c>
      <c r="AD35">
        <f>'Data-Kolom'!L36</f>
        <v>10</v>
      </c>
      <c r="AE35">
        <f>'Data-Kolom'!M36</f>
        <v>100</v>
      </c>
      <c r="AF35">
        <f>'Data-Kolom'!N36</f>
        <v>100</v>
      </c>
      <c r="AG35">
        <f>'Data-Kolom'!O36</f>
        <v>100</v>
      </c>
      <c r="AH35">
        <f>'Data-Kolom'!P36</f>
        <v>0</v>
      </c>
      <c r="AI35">
        <f>'Data-Kolom'!Q36</f>
        <v>0</v>
      </c>
      <c r="AJ35">
        <f>'Data-Kolom'!R36</f>
        <v>0</v>
      </c>
      <c r="AK35">
        <f>'Data-Kolom'!S36</f>
        <v>0</v>
      </c>
      <c r="AL35">
        <f>2*(H35+I35-4*$N$5)+2*MAX($F$5*AD35,75)</f>
        <v>1330</v>
      </c>
      <c r="AM35">
        <f>+AH35*(H35-2*$N$5+2*MAX($F$5*AI35,75))+AJ35*(I35-2*$N$5+2*MAX($F$5*AK35,75))</f>
        <v>0</v>
      </c>
      <c r="AN35">
        <f>(ROUND((1/2*J35+IF(M35&gt;0,(Q35-$N$6*AD35),0))/AE35,0)+(ROUND(1/2*J35/AF35,0)+1))*K35</f>
        <v>122</v>
      </c>
      <c r="AO35">
        <f>H35*I35*J35/1000000000*K35*(1+$T$5)</f>
        <v>1.02</v>
      </c>
      <c r="AP35">
        <f>0.006165*O35^2*T35*U35/1000*(1+$T$6)</f>
        <v>147.3444864</v>
      </c>
      <c r="AQ35">
        <f>0.006165*W35^2*AB35*AC35/1000*(1+$T$6)</f>
        <v>0</v>
      </c>
      <c r="AR35">
        <f>AN35*0.006165*AD35^2*AL35/1000*(1+$T$6)</f>
        <v>100.03329000000001</v>
      </c>
      <c r="AS35">
        <f>AN35*0.006165*AI35^2*AM35/1000*(1+$T$6)</f>
        <v>0</v>
      </c>
      <c r="AT35">
        <f>K35*2*J35*(H35+I35)/1000000*(1+$T$7)</f>
        <v>16.08</v>
      </c>
      <c r="AU35">
        <f>SUM(AP35:AS35)/AO35</f>
        <v>242.5272317647059</v>
      </c>
      <c r="AV35">
        <f>AT35/AO35</f>
        <v>15.764705882352938</v>
      </c>
      <c r="AX35">
        <f>0.006165*O35^2*R35*U35/1000*(1+$T$6)</f>
        <v>147.3444864</v>
      </c>
      <c r="AZ35">
        <f>0.006165*O35^2*S35*U35/1000*(1+$T$6)</f>
        <v>0</v>
      </c>
      <c r="BA35">
        <f>AZ35/AP35</f>
        <v>0</v>
      </c>
    </row>
    <row r="36">
      <c r="A36">
        <f>'Data-Kolom'!A37</f>
        <v>22</v>
      </c>
      <c r="B36" t="str">
        <f>'Data-Kolom'!B37</f>
        <v>Lantai 1</v>
      </c>
      <c r="C36">
        <f>'Data-Kolom'!C37</f>
        <v>0</v>
      </c>
      <c r="D36" t="str">
        <f>'Data-Kolom'!D37</f>
        <v>KL55</v>
      </c>
      <c r="E36" t="str">
        <v>D</v>
      </c>
      <c r="F36">
        <f>'Data-Kolom'!U37</f>
        <v>0</v>
      </c>
      <c r="G36">
        <f>'Data-Kolom'!T37</f>
        <v>0</v>
      </c>
      <c r="H36">
        <f>'Data-Kolom'!E37</f>
        <v>170</v>
      </c>
      <c r="I36">
        <f>'Data-Kolom'!F37</f>
        <v>500</v>
      </c>
      <c r="J36">
        <f>'Data-Kolom'!G37</f>
        <v>6000</v>
      </c>
      <c r="K36">
        <v>2</v>
      </c>
      <c r="M36">
        <f>IF(L36&gt;0,VLOOKUP(L36,'Data-PC'!$B$14:$F$56,4,FALSE),0)</f>
        <v>0</v>
      </c>
      <c r="N36">
        <f>'Data-Kolom'!H37</f>
        <v>6</v>
      </c>
      <c r="O36">
        <f>'Data-Kolom'!I37</f>
        <v>16</v>
      </c>
      <c r="P36">
        <f>IF(N36&gt;0,VLOOKUP(O36,$V$2:$X$9,2,FALSE),0)</f>
        <v>1010</v>
      </c>
      <c r="Q36">
        <f>IF(L36&gt;0,M36-50+$N$6*O36,VLOOKUP(O36,$V$2:$X$9,3,FALSE))</f>
        <v>770</v>
      </c>
      <c r="R36">
        <f>IF(E36="F",J36-$N$5+$N$6*O36+Q36,IF(E36="D",J36+Q36+P36,IF(E36="T",J36+P36,IF(E36="A",J36-$N$5+$N$6*O36,0))))</f>
        <v>7780</v>
      </c>
      <c r="T36">
        <f>SUM(R36:S36)</f>
        <v>7780</v>
      </c>
      <c r="U36">
        <f>K36*N36</f>
        <v>12</v>
      </c>
      <c r="V36">
        <f>'Data-Kolom'!J37</f>
        <v>0</v>
      </c>
      <c r="W36">
        <f>'Data-Kolom'!K37</f>
        <v>0</v>
      </c>
      <c r="X36">
        <f>IF(V36&gt;0,VLOOKUP(W36,$V$2:$X$9,2,FALSE),0)</f>
        <v>0</v>
      </c>
      <c r="Y36">
        <f>IF(V36&gt;0,IF(L36&gt;0,M36-50+$N$6*W36,VLOOKUP(W36,$V$2:$X$9,3,FALSE)),0)</f>
        <v>0</v>
      </c>
      <c r="Z36">
        <f>IF(E36="F",J36-$N$5+$N$6*W36+Y36,IF(E36="D",J36+Y36+X36,IF(E36="T",J36+X36,IF(E36="A",J36-$N$5+$N$6*W36,0))))</f>
        <v>6000</v>
      </c>
      <c r="AB36">
        <f>SUM(Z36:AA36)</f>
        <v>6000</v>
      </c>
      <c r="AC36">
        <f>V36*K36</f>
        <v>0</v>
      </c>
      <c r="AD36">
        <f>'Data-Kolom'!L37</f>
        <v>10</v>
      </c>
      <c r="AE36">
        <f>'Data-Kolom'!M37</f>
        <v>100</v>
      </c>
      <c r="AF36">
        <f>'Data-Kolom'!N37</f>
        <v>100</v>
      </c>
      <c r="AG36">
        <f>'Data-Kolom'!O37</f>
        <v>100</v>
      </c>
      <c r="AH36">
        <f>'Data-Kolom'!P37</f>
        <v>0</v>
      </c>
      <c r="AI36">
        <f>'Data-Kolom'!Q37</f>
        <v>0</v>
      </c>
      <c r="AJ36">
        <f>'Data-Kolom'!R37</f>
        <v>0</v>
      </c>
      <c r="AK36">
        <f>'Data-Kolom'!S37</f>
        <v>0</v>
      </c>
      <c r="AL36">
        <f>2*(H36+I36-4*$N$5)+2*MAX($F$5*AD36,75)</f>
        <v>1330</v>
      </c>
      <c r="AM36">
        <f>+AH36*(H36-2*$N$5+2*MAX($F$5*AI36,75))+AJ36*(I36-2*$N$5+2*MAX($F$5*AK36,75))</f>
        <v>0</v>
      </c>
      <c r="AN36">
        <f>(ROUND((1/2*J36+IF(M36&gt;0,(Q36-$N$6*AD36),0))/AE36,0)+(ROUND(1/2*J36/AF36,0)+1))*K36</f>
        <v>122</v>
      </c>
      <c r="AO36">
        <f>H36*I36*J36/1000000000*K36*(1+$T$5)</f>
        <v>1.02</v>
      </c>
      <c r="AP36">
        <f>0.006165*O36^2*T36*U36/1000*(1+$T$6)</f>
        <v>147.3444864</v>
      </c>
      <c r="AQ36">
        <f>0.006165*W36^2*AB36*AC36/1000*(1+$T$6)</f>
        <v>0</v>
      </c>
      <c r="AR36">
        <f>AN36*0.006165*AD36^2*AL36/1000*(1+$T$6)</f>
        <v>100.03329000000001</v>
      </c>
      <c r="AS36">
        <f>AN36*0.006165*AI36^2*AM36/1000*(1+$T$6)</f>
        <v>0</v>
      </c>
      <c r="AT36">
        <f>K36*2*J36*(H36+I36)/1000000*(1+$T$7)</f>
        <v>16.08</v>
      </c>
      <c r="AU36">
        <f>SUM(AP36:AS36)/AO36</f>
        <v>242.5272317647059</v>
      </c>
      <c r="AV36">
        <f>AT36/AO36</f>
        <v>15.764705882352938</v>
      </c>
      <c r="AX36">
        <f>0.006165*O36^2*R36*U36/1000*(1+$T$6)</f>
        <v>147.3444864</v>
      </c>
      <c r="AZ36">
        <f>0.006165*O36^2*S36*U36/1000*(1+$T$6)</f>
        <v>0</v>
      </c>
      <c r="BA36">
        <f>AZ36/AP36</f>
        <v>0</v>
      </c>
    </row>
    <row r="37">
      <c r="A37">
        <f>'Data-Kolom'!A38</f>
        <v>23</v>
      </c>
      <c r="B37" t="str">
        <f>'Data-Kolom'!B38</f>
        <v>Lantai 1</v>
      </c>
      <c r="C37">
        <f>'Data-Kolom'!C38</f>
        <v>0</v>
      </c>
      <c r="D37" t="str">
        <f>'Data-Kolom'!D38</f>
        <v>K2A5</v>
      </c>
      <c r="E37" t="str">
        <v>D</v>
      </c>
      <c r="F37">
        <f>'Data-Kolom'!U38</f>
        <v>0</v>
      </c>
      <c r="G37">
        <f>'Data-Kolom'!T38</f>
        <v>0</v>
      </c>
      <c r="H37">
        <f>'Data-Kolom'!E38</f>
        <v>250</v>
      </c>
      <c r="I37">
        <f>'Data-Kolom'!F38</f>
        <v>500</v>
      </c>
      <c r="J37">
        <f>'Data-Kolom'!G38</f>
        <v>4600</v>
      </c>
      <c r="K37">
        <v>1</v>
      </c>
      <c r="M37">
        <f>IF(L37&gt;0,VLOOKUP(L37,'Data-PC'!$B$14:$F$56,4,FALSE),0)</f>
        <v>0</v>
      </c>
      <c r="N37">
        <f>'Data-Kolom'!H38</f>
        <v>8</v>
      </c>
      <c r="O37">
        <f>'Data-Kolom'!I38</f>
        <v>16</v>
      </c>
      <c r="P37">
        <f>IF(N37&gt;0,VLOOKUP(O37,$V$2:$X$9,2,FALSE),0)</f>
        <v>1010</v>
      </c>
      <c r="Q37">
        <f>IF(L37&gt;0,M37-50+$N$6*O37,VLOOKUP(O37,$V$2:$X$9,3,FALSE))</f>
        <v>770</v>
      </c>
      <c r="R37">
        <f>IF(E37="F",J37-$N$5+$N$6*O37+Q37,IF(E37="D",J37+Q37+P37,IF(E37="T",J37+P37,IF(E37="A",J37-$N$5+$N$6*O37,0))))</f>
        <v>6380</v>
      </c>
      <c r="T37">
        <f>SUM(R37:S37)</f>
        <v>6380</v>
      </c>
      <c r="U37">
        <f>K37*N37</f>
        <v>8</v>
      </c>
      <c r="V37">
        <f>'Data-Kolom'!J38</f>
        <v>0</v>
      </c>
      <c r="W37">
        <f>'Data-Kolom'!K38</f>
        <v>0</v>
      </c>
      <c r="X37">
        <f>IF(V37&gt;0,VLOOKUP(W37,$V$2:$X$9,2,FALSE),0)</f>
        <v>0</v>
      </c>
      <c r="Y37">
        <f>IF(V37&gt;0,IF(L37&gt;0,M37-50+$N$6*W37,VLOOKUP(W37,$V$2:$X$9,3,FALSE)),0)</f>
        <v>0</v>
      </c>
      <c r="Z37">
        <f>IF(E37="F",J37-$N$5+$N$6*W37+Y37,IF(E37="D",J37+Y37+X37,IF(E37="T",J37+X37,IF(E37="A",J37-$N$5+$N$6*W37,0))))</f>
        <v>4600</v>
      </c>
      <c r="AB37">
        <f>SUM(Z37:AA37)</f>
        <v>4600</v>
      </c>
      <c r="AC37">
        <f>V37*K37</f>
        <v>0</v>
      </c>
      <c r="AD37">
        <f>'Data-Kolom'!L38</f>
        <v>10</v>
      </c>
      <c r="AE37">
        <f>'Data-Kolom'!M38</f>
        <v>100</v>
      </c>
      <c r="AF37">
        <f>'Data-Kolom'!N38</f>
        <v>100</v>
      </c>
      <c r="AG37">
        <f>'Data-Kolom'!O38</f>
        <v>100</v>
      </c>
      <c r="AH37">
        <f>'Data-Kolom'!P38</f>
        <v>1</v>
      </c>
      <c r="AI37">
        <f>'Data-Kolom'!Q38</f>
        <v>10</v>
      </c>
      <c r="AJ37">
        <f>'Data-Kolom'!R38</f>
        <v>0</v>
      </c>
      <c r="AK37">
        <f>'Data-Kolom'!S38</f>
        <v>0</v>
      </c>
      <c r="AL37">
        <f>2*(H37+I37-4*$N$5)+2*MAX($F$5*AD37,75)</f>
        <v>1490</v>
      </c>
      <c r="AM37">
        <f>+AH37*(H37-2*$N$5+2*MAX($F$5*AI37,75))+AJ37*(I37-2*$N$5+2*MAX($F$5*AK37,75))</f>
        <v>360</v>
      </c>
      <c r="AN37">
        <f>(ROUND((1/2*J37+IF(M37&gt;0,(Q37-$N$6*AD37),0))/AE37,0)+(ROUND(1/2*J37/AF37,0)+1))*K37</f>
        <v>47</v>
      </c>
      <c r="AO37">
        <f>H37*I37*J37/1000000000*K37*(1+$T$5)</f>
        <v>0.575</v>
      </c>
      <c r="AP37">
        <f>0.006165*O37^2*T37*U37/1000*(1+$T$6)</f>
        <v>80.55336960000001</v>
      </c>
      <c r="AQ37">
        <f>0.006165*W37^2*AB37*AC37/1000*(1+$T$6)</f>
        <v>0</v>
      </c>
      <c r="AR37">
        <f>AN37*0.006165*AD37^2*AL37/1000*(1+$T$6)</f>
        <v>43.173495</v>
      </c>
      <c r="AS37">
        <f>AN37*0.006165*AI37^2*AM37/1000*(1+$T$6)</f>
        <v>10.431180000000001</v>
      </c>
      <c r="AT37">
        <f>K37*2*J37*(H37+I37)/1000000*(1+$T$7)</f>
        <v>6.9</v>
      </c>
      <c r="AU37">
        <f>SUM(AP37:AS37)/AO37</f>
        <v>233.31833843478265</v>
      </c>
      <c r="AV37">
        <f>AT37/AO37</f>
        <v>12.000000000000002</v>
      </c>
      <c r="AX37">
        <f>0.006165*O37^2*R37*U37/1000*(1+$T$6)</f>
        <v>80.55336960000001</v>
      </c>
      <c r="AZ37">
        <f>0.006165*O37^2*S37*U37/1000*(1+$T$6)</f>
        <v>0</v>
      </c>
      <c r="BA37">
        <f>AZ37/AP37</f>
        <v>0</v>
      </c>
    </row>
    <row r="38">
      <c r="A38">
        <f>'Data-Kolom'!A39</f>
        <v>24</v>
      </c>
      <c r="B38" t="str">
        <f>'Data-Kolom'!B39</f>
        <v>Lantai 1</v>
      </c>
      <c r="C38">
        <f>'Data-Kolom'!C39</f>
        <v>0</v>
      </c>
      <c r="D38" t="str">
        <f>'Data-Kolom'!D39</f>
        <v>KB2A</v>
      </c>
      <c r="E38" t="str">
        <v>F</v>
      </c>
      <c r="F38">
        <f>'Data-Kolom'!U39</f>
        <v>0</v>
      </c>
      <c r="G38">
        <f>'Data-Kolom'!T39</f>
        <v>0</v>
      </c>
      <c r="H38">
        <f>'Data-Kolom'!E39</f>
        <v>250</v>
      </c>
      <c r="I38">
        <f>'Data-Kolom'!F39</f>
        <v>250</v>
      </c>
      <c r="J38">
        <f>'Data-Kolom'!G39</f>
        <v>4600</v>
      </c>
      <c r="K38">
        <v>1</v>
      </c>
      <c r="M38">
        <f>IF(L38&gt;0,VLOOKUP(L38,'Data-PC'!$B$14:$F$56,4,FALSE),0)</f>
        <v>0</v>
      </c>
      <c r="N38">
        <f>'Data-Kolom'!H39</f>
        <v>6</v>
      </c>
      <c r="O38">
        <f>'Data-Kolom'!I39</f>
        <v>16</v>
      </c>
      <c r="P38">
        <f>IF(N38&gt;0,VLOOKUP(O38,$V$2:$X$9,2,FALSE),0)</f>
        <v>1010</v>
      </c>
      <c r="Q38">
        <f>IF(L38&gt;0,M38-50+$N$6*O38,VLOOKUP(O38,$V$2:$X$9,3,FALSE))</f>
        <v>770</v>
      </c>
      <c r="R38">
        <f>IF(E38="F",J38-$N$5+$N$6*O38+Q38,IF(E38="D",J38+Q38+P38,IF(E38="T",J38+P38,IF(E38="A",J38-$N$5+$N$6*O38,0))))</f>
        <v>5542</v>
      </c>
      <c r="T38">
        <f>SUM(R38:S38)</f>
        <v>5542</v>
      </c>
      <c r="U38">
        <f>K38*N38</f>
        <v>6</v>
      </c>
      <c r="V38">
        <f>'Data-Kolom'!J39</f>
        <v>0</v>
      </c>
      <c r="W38">
        <f>'Data-Kolom'!K39</f>
        <v>0</v>
      </c>
      <c r="X38">
        <f>IF(V38&gt;0,VLOOKUP(W38,$V$2:$X$9,2,FALSE),0)</f>
        <v>0</v>
      </c>
      <c r="Y38">
        <f>IF(V38&gt;0,IF(L38&gt;0,M38-50+$N$6*W38,VLOOKUP(W38,$V$2:$X$9,3,FALSE)),0)</f>
        <v>0</v>
      </c>
      <c r="Z38">
        <f>IF(E38="F",J38-$N$5+$N$6*W38+Y38,IF(E38="D",J38+Y38+X38,IF(E38="T",J38+X38,IF(E38="A",J38-$N$5+$N$6*W38,0))))</f>
        <v>4580</v>
      </c>
      <c r="AB38">
        <f>SUM(Z38:AA38)</f>
        <v>4580</v>
      </c>
      <c r="AC38">
        <f>V38*K38</f>
        <v>0</v>
      </c>
      <c r="AD38">
        <f>'Data-Kolom'!L39</f>
        <v>10</v>
      </c>
      <c r="AE38">
        <f>'Data-Kolom'!M39</f>
        <v>100</v>
      </c>
      <c r="AF38">
        <f>'Data-Kolom'!N39</f>
        <v>100</v>
      </c>
      <c r="AG38">
        <f>'Data-Kolom'!O39</f>
        <v>100</v>
      </c>
      <c r="AH38">
        <f>'Data-Kolom'!P39</f>
        <v>0</v>
      </c>
      <c r="AI38">
        <f>'Data-Kolom'!Q39</f>
        <v>0</v>
      </c>
      <c r="AJ38">
        <f>'Data-Kolom'!R39</f>
        <v>0</v>
      </c>
      <c r="AK38">
        <f>'Data-Kolom'!S39</f>
        <v>0</v>
      </c>
      <c r="AL38">
        <f>2*PI()*(H38-$N$5)+2*MAX($F$5*AD38,75)</f>
        <v>1595.132620651305</v>
      </c>
      <c r="AM38">
        <f>+AH38*(H38-2*$N$5+2*MAX($F$5*AI38,75))+AJ38*(I38-2*$N$5+2*MAX($F$5*AK38,75))</f>
        <v>0</v>
      </c>
      <c r="AN38">
        <f>(ROUND((1/2*J38+IF(M38&gt;0,(Q38-$N$6*AD38),0))/AE38,0)+(ROUND(1/2*J38/AF38,0)+1))*K38</f>
        <v>47</v>
      </c>
      <c r="AO38">
        <f>PI()*H38^2*J38/1000000000*K38*(1+$T$5)</f>
        <v>0.9032078879070655</v>
      </c>
      <c r="AP38">
        <f>0.006165*O38^2*T38*U38/1000*(1+$T$6)</f>
        <v>52.47963648000001</v>
      </c>
      <c r="AQ38">
        <f>0.006165*W38^2*AB38*AC38/1000*(1+$T$6)</f>
        <v>0</v>
      </c>
      <c r="AR38">
        <f>AN38*0.006165*AD38^2*AL38/1000*(1+$T$6)</f>
        <v>46.21976524968189</v>
      </c>
      <c r="AS38">
        <f>AN38*0.006165*AI38^2*AM38/1000*(1+$T$6)</f>
        <v>0</v>
      </c>
      <c r="AT38">
        <f>(K38*PI()*H38*J38)/1000000*(1+$T$7)</f>
        <v>3.6128315516282616</v>
      </c>
      <c r="AU38">
        <f>SUM(AP38:AS38)/AO38</f>
        <v>109.27650549907229</v>
      </c>
      <c r="AV38">
        <f>AT38/AO38</f>
        <v>3.9999999999999996</v>
      </c>
      <c r="AX38">
        <f>0.006165*O38^2*R38*U38/1000*(1+$T$6)</f>
        <v>52.47963648000001</v>
      </c>
      <c r="AZ38">
        <f>0.006165*O38^2*S38*U38/1000*(1+$T$6)</f>
        <v>0</v>
      </c>
      <c r="BA38">
        <f>AZ38/AP38</f>
        <v>0</v>
      </c>
    </row>
    <row r="39">
      <c r="A39">
        <f>'Data-Kolom'!A40</f>
        <v>25</v>
      </c>
      <c r="B39" t="str">
        <f>'Data-Kolom'!B40</f>
        <v>Lantai 1</v>
      </c>
      <c r="C39">
        <f>'Data-Kolom'!C40</f>
        <v>0</v>
      </c>
      <c r="D39" t="str">
        <f>'Data-Kolom'!D40</f>
        <v>K26</v>
      </c>
      <c r="E39" t="str">
        <v>D</v>
      </c>
      <c r="F39">
        <f>'Data-Kolom'!U40</f>
        <v>0</v>
      </c>
      <c r="G39">
        <f>'Data-Kolom'!T40</f>
        <v>0</v>
      </c>
      <c r="H39">
        <f>'Data-Kolom'!E40</f>
        <v>200</v>
      </c>
      <c r="I39">
        <f>'Data-Kolom'!F40</f>
        <v>600</v>
      </c>
      <c r="J39">
        <f>'Data-Kolom'!G40</f>
        <v>4600</v>
      </c>
      <c r="K39">
        <v>1</v>
      </c>
      <c r="M39">
        <f>IF(L39&gt;0,VLOOKUP(L39,'Data-PC'!$B$14:$F$56,4,FALSE),0)</f>
        <v>0</v>
      </c>
      <c r="N39">
        <f>'Data-Kolom'!H40</f>
        <v>10</v>
      </c>
      <c r="O39">
        <f>'Data-Kolom'!I40</f>
        <v>16</v>
      </c>
      <c r="P39">
        <f>IF(N39&gt;0,VLOOKUP(O39,$V$2:$X$9,2,FALSE),0)</f>
        <v>1010</v>
      </c>
      <c r="Q39">
        <f>IF(L39&gt;0,M39-50+$N$6*O39,VLOOKUP(O39,$V$2:$X$9,3,FALSE))</f>
        <v>770</v>
      </c>
      <c r="R39">
        <f>IF(E39="F",J39-$N$5+$N$6*O39+Q39,IF(E39="D",J39+Q39+P39,IF(E39="T",J39+P39,IF(E39="A",J39-$N$5+$N$6*O39,0))))</f>
        <v>6380</v>
      </c>
      <c r="T39">
        <f>SUM(R39:S39)</f>
        <v>6380</v>
      </c>
      <c r="U39">
        <f>K39*N39</f>
        <v>10</v>
      </c>
      <c r="V39">
        <f>'Data-Kolom'!J40</f>
        <v>0</v>
      </c>
      <c r="W39">
        <f>'Data-Kolom'!K40</f>
        <v>0</v>
      </c>
      <c r="X39">
        <f>IF(V39&gt;0,VLOOKUP(W39,$V$2:$X$9,2,FALSE),0)</f>
        <v>0</v>
      </c>
      <c r="Y39">
        <f>IF(V39&gt;0,IF(L39&gt;0,M39-50+$N$6*W39,VLOOKUP(W39,$V$2:$X$9,3,FALSE)),0)</f>
        <v>0</v>
      </c>
      <c r="Z39">
        <f>IF(E39="F",J39-$N$5+$N$6*W39+Y39,IF(E39="D",J39+Y39+X39,IF(E39="T",J39+X39,IF(E39="A",J39-$N$5+$N$6*W39,0))))</f>
        <v>4600</v>
      </c>
      <c r="AB39">
        <f>SUM(Z39:AA39)</f>
        <v>4600</v>
      </c>
      <c r="AC39">
        <f>V39*K39</f>
        <v>0</v>
      </c>
      <c r="AD39">
        <f>'Data-Kolom'!L40</f>
        <v>10</v>
      </c>
      <c r="AE39">
        <f>'Data-Kolom'!M40</f>
        <v>100</v>
      </c>
      <c r="AF39">
        <f>'Data-Kolom'!N40</f>
        <v>100</v>
      </c>
      <c r="AG39">
        <f>'Data-Kolom'!O40</f>
        <v>100</v>
      </c>
      <c r="AH39">
        <f>'Data-Kolom'!P40</f>
        <v>0</v>
      </c>
      <c r="AI39">
        <f>'Data-Kolom'!Q40</f>
        <v>0</v>
      </c>
      <c r="AJ39">
        <f>'Data-Kolom'!R40</f>
        <v>0</v>
      </c>
      <c r="AK39">
        <f>'Data-Kolom'!S40</f>
        <v>0</v>
      </c>
      <c r="AL39">
        <f>2*(H39+I39-4*$N$5)+2*MAX($F$5*AD39,75)</f>
        <v>1590</v>
      </c>
      <c r="AM39">
        <f>+AH39*(H39-2*$N$5+2*MAX($F$5*AI39,75))+AJ39*(I39-2*$N$5+2*MAX($F$5*AK39,75))</f>
        <v>0</v>
      </c>
      <c r="AN39">
        <f>(ROUND((1/2*J39+IF(M39&gt;0,(Q39-$N$6*AD39),0))/AE39,0)+(ROUND(1/2*J39/AF39,0)+1))*K39</f>
        <v>47</v>
      </c>
      <c r="AO39">
        <f>H39*I39*J39/1000000000*K39*(1+$T$5)</f>
        <v>0.552</v>
      </c>
      <c r="AP39">
        <f>0.006165*O39^2*T39*U39/1000*(1+$T$6)</f>
        <v>100.691712</v>
      </c>
      <c r="AQ39">
        <f>0.006165*W39^2*AB39*AC39/1000*(1+$T$6)</f>
        <v>0</v>
      </c>
      <c r="AR39">
        <f>AN39*0.006165*AD39^2*AL39/1000*(1+$T$6)</f>
        <v>46.071045000000005</v>
      </c>
      <c r="AS39">
        <f>AN39*0.006165*AI39^2*AM39/1000*(1+$T$6)</f>
        <v>0</v>
      </c>
      <c r="AT39">
        <f>K39*2*J39*(H39+I39)/1000000*(1+$T$7)</f>
        <v>7.36</v>
      </c>
      <c r="AU39">
        <f>SUM(AP39:AS39)/AO39</f>
        <v>265.8745597826087</v>
      </c>
      <c r="AV39">
        <f>AT39/AO39</f>
        <v>13.333333333333332</v>
      </c>
      <c r="AX39">
        <f>0.006165*O39^2*R39*U39/1000*(1+$T$6)</f>
        <v>100.691712</v>
      </c>
      <c r="AZ39">
        <f>0.006165*O39^2*S39*U39/1000*(1+$T$6)</f>
        <v>0</v>
      </c>
      <c r="BA39">
        <f>AZ39/AP39</f>
        <v>0</v>
      </c>
    </row>
    <row r="40">
      <c r="A40">
        <f>'Data-Kolom'!A41</f>
        <v>26</v>
      </c>
      <c r="B40" t="str">
        <f>'Data-Kolom'!B41</f>
        <v>Lantai 1</v>
      </c>
      <c r="C40">
        <f>'Data-Kolom'!C41</f>
        <v>0</v>
      </c>
      <c r="D40" t="str">
        <f>'Data-Kolom'!D41</f>
        <v>K26</v>
      </c>
      <c r="E40" t="str">
        <v>D</v>
      </c>
      <c r="F40">
        <f>'Data-Kolom'!U41</f>
        <v>0</v>
      </c>
      <c r="G40">
        <f>'Data-Kolom'!T41</f>
        <v>0</v>
      </c>
      <c r="H40">
        <f>'Data-Kolom'!E41</f>
        <v>200</v>
      </c>
      <c r="I40">
        <f>'Data-Kolom'!F41</f>
        <v>600</v>
      </c>
      <c r="J40">
        <f>'Data-Kolom'!G41</f>
        <v>5500</v>
      </c>
      <c r="K40">
        <v>1</v>
      </c>
      <c r="M40">
        <f>IF(L40&gt;0,VLOOKUP(L40,'Data-PC'!$B$14:$F$56,4,FALSE),0)</f>
        <v>0</v>
      </c>
      <c r="N40">
        <f>'Data-Kolom'!H41</f>
        <v>10</v>
      </c>
      <c r="O40">
        <f>'Data-Kolom'!I41</f>
        <v>16</v>
      </c>
      <c r="P40">
        <f>IF(N40&gt;0,VLOOKUP(O40,$V$2:$X$9,2,FALSE),0)</f>
        <v>1010</v>
      </c>
      <c r="Q40">
        <f>IF(L40&gt;0,M40-50+$N$6*O40,VLOOKUP(O40,$V$2:$X$9,3,FALSE))</f>
        <v>770</v>
      </c>
      <c r="R40">
        <f>IF(E40="F",J40-$N$5+$N$6*O40+Q40,IF(E40="D",J40+Q40+P40,IF(E40="T",J40+P40,IF(E40="A",J40-$N$5+$N$6*O40,0))))</f>
        <v>7280</v>
      </c>
      <c r="T40">
        <f>SUM(R40:S40)</f>
        <v>7280</v>
      </c>
      <c r="U40">
        <f>K40*N40</f>
        <v>10</v>
      </c>
      <c r="V40">
        <f>'Data-Kolom'!J41</f>
        <v>0</v>
      </c>
      <c r="W40">
        <f>'Data-Kolom'!K41</f>
        <v>0</v>
      </c>
      <c r="X40">
        <f>IF(V40&gt;0,VLOOKUP(W40,$V$2:$X$9,2,FALSE),0)</f>
        <v>0</v>
      </c>
      <c r="Y40">
        <f>IF(V40&gt;0,IF(L40&gt;0,M40-50+$N$6*W40,VLOOKUP(W40,$V$2:$X$9,3,FALSE)),0)</f>
        <v>0</v>
      </c>
      <c r="Z40">
        <f>IF(E40="F",J40-$N$5+$N$6*W40+Y40,IF(E40="D",J40+Y40+X40,IF(E40="T",J40+X40,IF(E40="A",J40-$N$5+$N$6*W40,0))))</f>
        <v>5500</v>
      </c>
      <c r="AB40">
        <f>SUM(Z40:AA40)</f>
        <v>5500</v>
      </c>
      <c r="AC40">
        <f>V40*K40</f>
        <v>0</v>
      </c>
      <c r="AD40">
        <f>'Data-Kolom'!L41</f>
        <v>10</v>
      </c>
      <c r="AE40">
        <f>'Data-Kolom'!M41</f>
        <v>100</v>
      </c>
      <c r="AF40">
        <f>'Data-Kolom'!N41</f>
        <v>100</v>
      </c>
      <c r="AG40">
        <f>'Data-Kolom'!O41</f>
        <v>100</v>
      </c>
      <c r="AH40">
        <f>'Data-Kolom'!P41</f>
        <v>0</v>
      </c>
      <c r="AI40">
        <f>'Data-Kolom'!Q41</f>
        <v>0</v>
      </c>
      <c r="AJ40">
        <f>'Data-Kolom'!R41</f>
        <v>0</v>
      </c>
      <c r="AK40">
        <f>'Data-Kolom'!S41</f>
        <v>0</v>
      </c>
      <c r="AL40">
        <f>2*(H40+I40-4*$N$5)+2*MAX($F$5*AD40,75)</f>
        <v>1590</v>
      </c>
      <c r="AM40">
        <f>+AH40*(H40-2*$N$5+2*MAX($F$5*AI40,75))+AJ40*(I40-2*$N$5+2*MAX($F$5*AK40,75))</f>
        <v>0</v>
      </c>
      <c r="AN40">
        <f>(ROUND((1/2*J40+IF(M40&gt;0,(Q40-$N$6*AD40),0))/AE40,0)+(ROUND(1/2*J40/AF40,0)+1))*K40</f>
        <v>57</v>
      </c>
      <c r="AO40">
        <f>H40*I40*J40/1000000000*K40*(1+$T$5)</f>
        <v>0.66</v>
      </c>
      <c r="AP40">
        <f>0.006165*O40^2*T40*U40/1000*(1+$T$6)</f>
        <v>114.895872</v>
      </c>
      <c r="AQ40">
        <f>0.006165*W40^2*AB40*AC40/1000*(1+$T$6)</f>
        <v>0</v>
      </c>
      <c r="AR40">
        <f>AN40*0.006165*AD40^2*AL40/1000*(1+$T$6)</f>
        <v>55.873395</v>
      </c>
      <c r="AS40">
        <f>AN40*0.006165*AI40^2*AM40/1000*(1+$T$6)</f>
        <v>0</v>
      </c>
      <c r="AT40">
        <f>K40*2*J40*(H40+I40)/1000000*(1+$T$7)</f>
        <v>8.8</v>
      </c>
      <c r="AU40">
        <f>SUM(AP40:AS40)/AO40</f>
        <v>258.74131363636366</v>
      </c>
      <c r="AV40">
        <f>AT40/AO40</f>
        <v>13.333333333333334</v>
      </c>
      <c r="AX40">
        <f>0.006165*O40^2*R40*U40/1000*(1+$T$6)</f>
        <v>114.895872</v>
      </c>
      <c r="AZ40">
        <f>0.006165*O40^2*S40*U40/1000*(1+$T$6)</f>
        <v>0</v>
      </c>
      <c r="BA40">
        <f>AZ40/AP40</f>
        <v>0</v>
      </c>
    </row>
    <row r="41">
      <c r="A41">
        <f>'Data-Kolom'!A42</f>
        <v>27</v>
      </c>
      <c r="B41" t="str">
        <f>'Data-Kolom'!B42</f>
        <v>Lantai 1</v>
      </c>
      <c r="C41">
        <f>'Data-Kolom'!C42</f>
        <v>0</v>
      </c>
      <c r="D41" t="str">
        <f>'Data-Kolom'!D42</f>
        <v>KL66</v>
      </c>
      <c r="E41" t="str">
        <v>D</v>
      </c>
      <c r="F41">
        <f>'Data-Kolom'!U42</f>
        <v>0</v>
      </c>
      <c r="G41">
        <f>'Data-Kolom'!T42</f>
        <v>0</v>
      </c>
      <c r="H41">
        <f>'Data-Kolom'!E42</f>
        <v>170</v>
      </c>
      <c r="I41">
        <f>'Data-Kolom'!F42</f>
        <v>600</v>
      </c>
      <c r="J41">
        <f>'Data-Kolom'!G42</f>
        <v>5500</v>
      </c>
      <c r="K41">
        <v>2</v>
      </c>
      <c r="M41">
        <f>IF(L41&gt;0,VLOOKUP(L41,'Data-PC'!$B$14:$F$56,4,FALSE),0)</f>
        <v>0</v>
      </c>
      <c r="N41">
        <f>'Data-Kolom'!H42</f>
        <v>8</v>
      </c>
      <c r="O41">
        <f>'Data-Kolom'!I42</f>
        <v>16</v>
      </c>
      <c r="P41">
        <f>IF(N41&gt;0,VLOOKUP(O41,$V$2:$X$9,2,FALSE),0)</f>
        <v>1010</v>
      </c>
      <c r="Q41">
        <f>IF(L41&gt;0,M41-50+$N$6*O41,VLOOKUP(O41,$V$2:$X$9,3,FALSE))</f>
        <v>770</v>
      </c>
      <c r="R41">
        <f>IF(E41="F",J41-$N$5+$N$6*O41+Q41,IF(E41="D",J41+Q41+P41,IF(E41="T",J41+P41,IF(E41="A",J41-$N$5+$N$6*O41,0))))</f>
        <v>7280</v>
      </c>
      <c r="T41">
        <f>SUM(R41:S41)</f>
        <v>7280</v>
      </c>
      <c r="U41">
        <f>K41*N41</f>
        <v>16</v>
      </c>
      <c r="V41">
        <f>'Data-Kolom'!J42</f>
        <v>0</v>
      </c>
      <c r="W41">
        <f>'Data-Kolom'!K42</f>
        <v>0</v>
      </c>
      <c r="X41">
        <f>IF(V41&gt;0,VLOOKUP(W41,$V$2:$X$9,2,FALSE),0)</f>
        <v>0</v>
      </c>
      <c r="Y41">
        <f>IF(V41&gt;0,IF(L41&gt;0,M41-50+$N$6*W41,VLOOKUP(W41,$V$2:$X$9,3,FALSE)),0)</f>
        <v>0</v>
      </c>
      <c r="Z41">
        <f>IF(E41="F",J41-$N$5+$N$6*W41+Y41,IF(E41="D",J41+Y41+X41,IF(E41="T",J41+X41,IF(E41="A",J41-$N$5+$N$6*W41,0))))</f>
        <v>5500</v>
      </c>
      <c r="AB41">
        <f>SUM(Z41:AA41)</f>
        <v>5500</v>
      </c>
      <c r="AC41">
        <f>V41*K41</f>
        <v>0</v>
      </c>
      <c r="AD41">
        <f>'Data-Kolom'!L42</f>
        <v>10</v>
      </c>
      <c r="AE41">
        <f>'Data-Kolom'!M42</f>
        <v>100</v>
      </c>
      <c r="AF41">
        <f>'Data-Kolom'!N42</f>
        <v>100</v>
      </c>
      <c r="AG41">
        <f>'Data-Kolom'!O42</f>
        <v>100</v>
      </c>
      <c r="AH41">
        <f>'Data-Kolom'!P42</f>
        <v>2</v>
      </c>
      <c r="AI41">
        <f>'Data-Kolom'!Q42</f>
        <v>10</v>
      </c>
      <c r="AJ41">
        <f>'Data-Kolom'!R42</f>
        <v>0</v>
      </c>
      <c r="AK41">
        <f>'Data-Kolom'!S42</f>
        <v>0</v>
      </c>
      <c r="AL41">
        <f>2*(H41+I41-4*$N$5)+2*MAX($F$5*AD41,75)</f>
        <v>1530</v>
      </c>
      <c r="AM41">
        <f>+AH41*(H41-2*$N$5+2*MAX($F$5*AI41,75))+AJ41*(I41-2*$N$5+2*MAX($F$5*AK41,75))</f>
        <v>560</v>
      </c>
      <c r="AN41">
        <f>(ROUND((1/2*J41+IF(M41&gt;0,(Q41-$N$6*AD41),0))/AE41,0)+(ROUND(1/2*J41/AF41,0)+1))*K41</f>
        <v>114</v>
      </c>
      <c r="AO41">
        <f>H41*I41*J41/1000000000*K41*(1+$T$5)</f>
        <v>1.122</v>
      </c>
      <c r="AP41">
        <f>0.006165*O41^2*T41*U41/1000*(1+$T$6)</f>
        <v>183.8333952</v>
      </c>
      <c r="AQ41">
        <f>0.006165*W41^2*AB41*AC41/1000*(1+$T$6)</f>
        <v>0</v>
      </c>
      <c r="AR41">
        <f>AN41*0.006165*AD41^2*AL41/1000*(1+$T$6)</f>
        <v>107.52993000000001</v>
      </c>
      <c r="AS41">
        <f>AN41*0.006165*AI41^2*AM41/1000*(1+$T$6)</f>
        <v>39.35736</v>
      </c>
      <c r="AT41">
        <f>K41*2*J41*(H41+I41)/1000000*(1+$T$7)</f>
        <v>16.94</v>
      </c>
      <c r="AU41">
        <f>SUM(AP41:AS41)/AO41</f>
        <v>294.7599689839572</v>
      </c>
      <c r="AV41">
        <f>AT41/AO41</f>
        <v>15.098039215686274</v>
      </c>
      <c r="AX41">
        <f>0.006165*O41^2*R41*U41/1000*(1+$T$6)</f>
        <v>183.8333952</v>
      </c>
      <c r="AZ41">
        <f>0.006165*O41^2*S41*U41/1000*(1+$T$6)</f>
        <v>0</v>
      </c>
      <c r="BA41">
        <f>AZ41/AP41</f>
        <v>0</v>
      </c>
    </row>
    <row r="42">
      <c r="A42">
        <f>'Data-Kolom'!A43</f>
        <v>28</v>
      </c>
      <c r="B42" t="str">
        <f>'Data-Kolom'!B43</f>
        <v>Lantai 1</v>
      </c>
      <c r="C42">
        <f>'Data-Kolom'!C43</f>
        <v>0</v>
      </c>
      <c r="D42" t="str">
        <f>'Data-Kolom'!D43</f>
        <v>KL55</v>
      </c>
      <c r="E42" t="str">
        <v>D</v>
      </c>
      <c r="F42">
        <f>'Data-Kolom'!U43</f>
        <v>0</v>
      </c>
      <c r="G42">
        <f>'Data-Kolom'!T43</f>
        <v>0</v>
      </c>
      <c r="H42">
        <f>'Data-Kolom'!E43</f>
        <v>170</v>
      </c>
      <c r="I42">
        <f>'Data-Kolom'!F43</f>
        <v>500</v>
      </c>
      <c r="J42">
        <f>'Data-Kolom'!G43</f>
        <v>5500</v>
      </c>
      <c r="K42">
        <v>2</v>
      </c>
      <c r="M42">
        <f>IF(L42&gt;0,VLOOKUP(L42,'Data-PC'!$B$14:$F$56,4,FALSE),0)</f>
        <v>0</v>
      </c>
      <c r="N42">
        <f>'Data-Kolom'!H43</f>
        <v>6</v>
      </c>
      <c r="O42">
        <f>'Data-Kolom'!I43</f>
        <v>16</v>
      </c>
      <c r="P42">
        <f>IF(N42&gt;0,VLOOKUP(O42,$V$2:$X$9,2,FALSE),0)</f>
        <v>1010</v>
      </c>
      <c r="Q42">
        <f>IF(L42&gt;0,M42-50+$N$6*O42,VLOOKUP(O42,$V$2:$X$9,3,FALSE))</f>
        <v>770</v>
      </c>
      <c r="R42">
        <f>IF(E42="F",J42-$N$5+$N$6*O42+Q42,IF(E42="D",J42+Q42+P42,IF(E42="T",J42+P42,IF(E42="A",J42-$N$5+$N$6*O42,0))))</f>
        <v>7280</v>
      </c>
      <c r="T42">
        <f>SUM(R42:S42)</f>
        <v>7280</v>
      </c>
      <c r="U42">
        <f>K42*N42</f>
        <v>12</v>
      </c>
      <c r="V42">
        <f>'Data-Kolom'!J43</f>
        <v>0</v>
      </c>
      <c r="W42">
        <f>'Data-Kolom'!K43</f>
        <v>0</v>
      </c>
      <c r="X42">
        <f>IF(V42&gt;0,VLOOKUP(W42,$V$2:$X$9,2,FALSE),0)</f>
        <v>0</v>
      </c>
      <c r="Y42">
        <f>IF(V42&gt;0,IF(L42&gt;0,M42-50+$N$6*W42,VLOOKUP(W42,$V$2:$X$9,3,FALSE)),0)</f>
        <v>0</v>
      </c>
      <c r="Z42">
        <f>IF(E42="F",J42-$N$5+$N$6*W42+Y42,IF(E42="D",J42+Y42+X42,IF(E42="T",J42+X42,IF(E42="A",J42-$N$5+$N$6*W42,0))))</f>
        <v>5500</v>
      </c>
      <c r="AB42">
        <f>SUM(Z42:AA42)</f>
        <v>5500</v>
      </c>
      <c r="AC42">
        <f>V42*K42</f>
        <v>0</v>
      </c>
      <c r="AD42">
        <f>'Data-Kolom'!L43</f>
        <v>10</v>
      </c>
      <c r="AE42">
        <f>'Data-Kolom'!M43</f>
        <v>100</v>
      </c>
      <c r="AF42">
        <f>'Data-Kolom'!N43</f>
        <v>100</v>
      </c>
      <c r="AG42">
        <f>'Data-Kolom'!O43</f>
        <v>100</v>
      </c>
      <c r="AH42">
        <f>'Data-Kolom'!P43</f>
        <v>0</v>
      </c>
      <c r="AI42">
        <f>'Data-Kolom'!Q43</f>
        <v>0</v>
      </c>
      <c r="AJ42">
        <f>'Data-Kolom'!R43</f>
        <v>0</v>
      </c>
      <c r="AK42">
        <f>'Data-Kolom'!S43</f>
        <v>0</v>
      </c>
      <c r="AL42">
        <f>2*(H42+I42-4*$N$5)+2*MAX($F$5*AD42,75)</f>
        <v>1330</v>
      </c>
      <c r="AM42">
        <f>+AH42*(H42-2*$N$5+2*MAX($F$5*AI42,75))+AJ42*(I42-2*$N$5+2*MAX($F$5*AK42,75))</f>
        <v>0</v>
      </c>
      <c r="AN42">
        <f>(ROUND((1/2*J42+IF(M42&gt;0,(Q42-$N$6*AD42),0))/AE42,0)+(ROUND(1/2*J42/AF42,0)+1))*K42</f>
        <v>114</v>
      </c>
      <c r="AO42">
        <f>H42*I42*J42/1000000000*K42*(1+$T$5)</f>
        <v>0.935</v>
      </c>
      <c r="AP42">
        <f>0.006165*O42^2*T42*U42/1000*(1+$T$6)</f>
        <v>137.8750464</v>
      </c>
      <c r="AQ42">
        <f>0.006165*W42^2*AB42*AC42/1000*(1+$T$6)</f>
        <v>0</v>
      </c>
      <c r="AR42">
        <f>AN42*0.006165*AD42^2*AL42/1000*(1+$T$6)</f>
        <v>93.47373000000002</v>
      </c>
      <c r="AS42">
        <f>AN42*0.006165*AI42^2*AM42/1000*(1+$T$6)</f>
        <v>0</v>
      </c>
      <c r="AT42">
        <f>K42*2*J42*(H42+I42)/1000000*(1+$T$7)</f>
        <v>14.74</v>
      </c>
      <c r="AU42">
        <f>SUM(AP42:AS42)/AO42</f>
        <v>247.4318464171123</v>
      </c>
      <c r="AV42">
        <f>AT42/AO42</f>
        <v>15.76470588235294</v>
      </c>
      <c r="AX42">
        <f>0.006165*O42^2*R42*U42/1000*(1+$T$6)</f>
        <v>137.8750464</v>
      </c>
      <c r="AZ42">
        <f>0.006165*O42^2*S42*U42/1000*(1+$T$6)</f>
        <v>0</v>
      </c>
      <c r="BA42">
        <f>AZ42/AP42</f>
        <v>0</v>
      </c>
    </row>
    <row r="43">
      <c r="A43">
        <f>'Data-Kolom'!A44</f>
        <v>29</v>
      </c>
      <c r="B43" t="str">
        <f>'Data-Kolom'!B44</f>
        <v>Lantai 1</v>
      </c>
      <c r="C43">
        <f>'Data-Kolom'!C44</f>
        <v>0</v>
      </c>
      <c r="D43" t="str">
        <f>'Data-Kolom'!D44</f>
        <v>K25</v>
      </c>
      <c r="E43" t="str">
        <v>D</v>
      </c>
      <c r="F43">
        <f>'Data-Kolom'!U44</f>
        <v>0</v>
      </c>
      <c r="G43">
        <f>'Data-Kolom'!T44</f>
        <v>0</v>
      </c>
      <c r="H43">
        <f>'Data-Kolom'!E44</f>
        <v>200</v>
      </c>
      <c r="I43">
        <f>'Data-Kolom'!F44</f>
        <v>500</v>
      </c>
      <c r="J43">
        <f>'Data-Kolom'!G44</f>
        <v>5500</v>
      </c>
      <c r="K43">
        <v>1</v>
      </c>
      <c r="M43">
        <f>IF(L43&gt;0,VLOOKUP(L43,'Data-PC'!$B$14:$F$56,4,FALSE),0)</f>
        <v>0</v>
      </c>
      <c r="N43">
        <f>'Data-Kolom'!H44</f>
        <v>8</v>
      </c>
      <c r="O43">
        <f>'Data-Kolom'!I44</f>
        <v>16</v>
      </c>
      <c r="P43">
        <f>IF(N43&gt;0,VLOOKUP(O43,$V$2:$X$9,2,FALSE),0)</f>
        <v>1010</v>
      </c>
      <c r="Q43">
        <f>IF(L43&gt;0,M43-50+$N$6*O43,VLOOKUP(O43,$V$2:$X$9,3,FALSE))</f>
        <v>770</v>
      </c>
      <c r="R43">
        <f>IF(E43="F",J43-$N$5+$N$6*O43+Q43,IF(E43="D",J43+Q43+P43,IF(E43="T",J43+P43,IF(E43="A",J43-$N$5+$N$6*O43,0))))</f>
        <v>7280</v>
      </c>
      <c r="T43">
        <f>SUM(R43:S43)</f>
        <v>7280</v>
      </c>
      <c r="U43">
        <f>K43*N43</f>
        <v>8</v>
      </c>
      <c r="V43">
        <f>'Data-Kolom'!J44</f>
        <v>0</v>
      </c>
      <c r="W43">
        <f>'Data-Kolom'!K44</f>
        <v>0</v>
      </c>
      <c r="X43">
        <f>IF(V43&gt;0,VLOOKUP(W43,$V$2:$X$9,2,FALSE),0)</f>
        <v>0</v>
      </c>
      <c r="Y43">
        <f>IF(V43&gt;0,IF(L43&gt;0,M43-50+$N$6*W43,VLOOKUP(W43,$V$2:$X$9,3,FALSE)),0)</f>
        <v>0</v>
      </c>
      <c r="Z43">
        <f>IF(E43="F",J43-$N$5+$N$6*W43+Y43,IF(E43="D",J43+Y43+X43,IF(E43="T",J43+X43,IF(E43="A",J43-$N$5+$N$6*W43,0))))</f>
        <v>5500</v>
      </c>
      <c r="AB43">
        <f>SUM(Z43:AA43)</f>
        <v>5500</v>
      </c>
      <c r="AC43">
        <f>V43*K43</f>
        <v>0</v>
      </c>
      <c r="AD43">
        <f>'Data-Kolom'!L44</f>
        <v>10</v>
      </c>
      <c r="AE43">
        <f>'Data-Kolom'!M44</f>
        <v>100</v>
      </c>
      <c r="AF43">
        <f>'Data-Kolom'!N44</f>
        <v>100</v>
      </c>
      <c r="AG43">
        <f>'Data-Kolom'!O44</f>
        <v>100</v>
      </c>
      <c r="AH43">
        <f>'Data-Kolom'!P44</f>
        <v>1</v>
      </c>
      <c r="AI43">
        <f>'Data-Kolom'!Q44</f>
        <v>10</v>
      </c>
      <c r="AJ43">
        <f>'Data-Kolom'!R44</f>
        <v>0</v>
      </c>
      <c r="AK43">
        <f>'Data-Kolom'!S44</f>
        <v>0</v>
      </c>
      <c r="AL43">
        <f>2*(H43+I43-4*$N$5)+2*MAX($F$5*AD43,75)</f>
        <v>1390</v>
      </c>
      <c r="AM43">
        <f>+AH43*(H43-2*$N$5+2*MAX($F$5*AI43,75))+AJ43*(I43-2*$N$5+2*MAX($F$5*AK43,75))</f>
        <v>310</v>
      </c>
      <c r="AN43">
        <f>(ROUND((1/2*J43+IF(M43&gt;0,(Q43-$N$6*AD43),0))/AE43,0)+(ROUND(1/2*J43/AF43,0)+1))*K43</f>
        <v>57</v>
      </c>
      <c r="AO43">
        <f>H43*I43*J43/1000000000*K43*(1+$T$5)</f>
        <v>0.55</v>
      </c>
      <c r="AP43">
        <f>0.006165*O43^2*T43*U43/1000*(1+$T$6)</f>
        <v>91.9166976</v>
      </c>
      <c r="AQ43">
        <f>0.006165*W43^2*AB43*AC43/1000*(1+$T$6)</f>
        <v>0</v>
      </c>
      <c r="AR43">
        <f>AN43*0.006165*AD43^2*AL43/1000*(1+$T$6)</f>
        <v>48.84529500000001</v>
      </c>
      <c r="AS43">
        <f>AN43*0.006165*AI43^2*AM43/1000*(1+$T$6)</f>
        <v>10.893555000000001</v>
      </c>
      <c r="AT43">
        <f>K43*2*J43*(H43+I43)/1000000*(1+$T$7)</f>
        <v>7.7</v>
      </c>
      <c r="AU43">
        <f>SUM(AP43:AS43)/AO43</f>
        <v>275.73735927272725</v>
      </c>
      <c r="AV43">
        <f>AT43/AO43</f>
        <v>14</v>
      </c>
      <c r="AX43">
        <f>0.006165*O43^2*R43*U43/1000*(1+$T$6)</f>
        <v>91.9166976</v>
      </c>
      <c r="AZ43">
        <f>0.006165*O43^2*S43*U43/1000*(1+$T$6)</f>
        <v>0</v>
      </c>
      <c r="BA43">
        <f>AZ43/AP43</f>
        <v>0</v>
      </c>
    </row>
    <row r="44">
      <c r="A44">
        <f>'Data-Kolom'!A45</f>
        <v>30</v>
      </c>
      <c r="B44" t="str">
        <f>'Data-Kolom'!B45</f>
        <v>Lantai 1</v>
      </c>
      <c r="C44">
        <f>'Data-Kolom'!C45</f>
        <v>0</v>
      </c>
      <c r="D44" t="str">
        <f>'Data-Kolom'!D45</f>
        <v>K25</v>
      </c>
      <c r="E44" t="str">
        <v>D</v>
      </c>
      <c r="F44">
        <f>'Data-Kolom'!U45</f>
        <v>0</v>
      </c>
      <c r="G44">
        <f>'Data-Kolom'!T45</f>
        <v>0</v>
      </c>
      <c r="H44">
        <f>'Data-Kolom'!E45</f>
        <v>200</v>
      </c>
      <c r="I44">
        <f>'Data-Kolom'!F45</f>
        <v>500</v>
      </c>
      <c r="J44">
        <f>'Data-Kolom'!G45</f>
        <v>5500</v>
      </c>
      <c r="K44">
        <v>1</v>
      </c>
      <c r="M44">
        <f>IF(L44&gt;0,VLOOKUP(L44,'Data-PC'!$B$14:$F$56,4,FALSE),0)</f>
        <v>0</v>
      </c>
      <c r="N44">
        <f>'Data-Kolom'!H45</f>
        <v>8</v>
      </c>
      <c r="O44">
        <f>'Data-Kolom'!I45</f>
        <v>16</v>
      </c>
      <c r="P44">
        <f>IF(N44&gt;0,VLOOKUP(O44,$V$2:$X$9,2,FALSE),0)</f>
        <v>1010</v>
      </c>
      <c r="Q44">
        <f>IF(L44&gt;0,M44-50+$N$6*O44,VLOOKUP(O44,$V$2:$X$9,3,FALSE))</f>
        <v>770</v>
      </c>
      <c r="R44">
        <f>IF(E44="F",J44-$N$5+$N$6*O44+Q44,IF(E44="D",J44+Q44+P44,IF(E44="T",J44+P44,IF(E44="A",J44-$N$5+$N$6*O44,0))))</f>
        <v>7280</v>
      </c>
      <c r="T44">
        <f>SUM(R44:S44)</f>
        <v>7280</v>
      </c>
      <c r="U44">
        <f>K44*N44</f>
        <v>8</v>
      </c>
      <c r="V44">
        <f>'Data-Kolom'!J45</f>
        <v>0</v>
      </c>
      <c r="W44">
        <f>'Data-Kolom'!K45</f>
        <v>0</v>
      </c>
      <c r="X44">
        <f>IF(V44&gt;0,VLOOKUP(W44,$V$2:$X$9,2,FALSE),0)</f>
        <v>0</v>
      </c>
      <c r="Y44">
        <f>IF(V44&gt;0,IF(L44&gt;0,M44-50+$N$6*W44,VLOOKUP(W44,$V$2:$X$9,3,FALSE)),0)</f>
        <v>0</v>
      </c>
      <c r="Z44">
        <f>IF(E44="F",J44-$N$5+$N$6*W44+Y44,IF(E44="D",J44+Y44+X44,IF(E44="T",J44+X44,IF(E44="A",J44-$N$5+$N$6*W44,0))))</f>
        <v>5500</v>
      </c>
      <c r="AB44">
        <f>SUM(Z44:AA44)</f>
        <v>5500</v>
      </c>
      <c r="AC44">
        <f>V44*K44</f>
        <v>0</v>
      </c>
      <c r="AD44">
        <f>'Data-Kolom'!L45</f>
        <v>10</v>
      </c>
      <c r="AE44">
        <f>'Data-Kolom'!M45</f>
        <v>100</v>
      </c>
      <c r="AF44">
        <f>'Data-Kolom'!N45</f>
        <v>100</v>
      </c>
      <c r="AG44">
        <f>'Data-Kolom'!O45</f>
        <v>100</v>
      </c>
      <c r="AH44">
        <f>'Data-Kolom'!P45</f>
        <v>1</v>
      </c>
      <c r="AI44">
        <f>'Data-Kolom'!Q45</f>
        <v>10</v>
      </c>
      <c r="AJ44">
        <f>'Data-Kolom'!R45</f>
        <v>0</v>
      </c>
      <c r="AK44">
        <f>'Data-Kolom'!S45</f>
        <v>0</v>
      </c>
      <c r="AL44">
        <f>2*(H44+I44-4*$N$5)+2*MAX($F$5*AD44,75)</f>
        <v>1390</v>
      </c>
      <c r="AM44">
        <f>+AH44*(H44-2*$N$5+2*MAX($F$5*AI44,75))+AJ44*(I44-2*$N$5+2*MAX($F$5*AK44,75))</f>
        <v>310</v>
      </c>
      <c r="AN44">
        <f>(ROUND((1/2*J44+IF(M44&gt;0,(Q44-$N$6*AD44),0))/AE44,0)+(ROUND(1/2*J44/AF44,0)+1))*K44</f>
        <v>57</v>
      </c>
      <c r="AO44">
        <f>H44*I44*J44/1000000000*K44*(1+$T$5)</f>
        <v>0.55</v>
      </c>
      <c r="AP44">
        <f>0.006165*O44^2*T44*U44/1000*(1+$T$6)</f>
        <v>91.9166976</v>
      </c>
      <c r="AQ44">
        <f>0.006165*W44^2*AB44*AC44/1000*(1+$T$6)</f>
        <v>0</v>
      </c>
      <c r="AR44">
        <f>AN44*0.006165*AD44^2*AL44/1000*(1+$T$6)</f>
        <v>48.84529500000001</v>
      </c>
      <c r="AS44">
        <f>AN44*0.006165*AI44^2*AM44/1000*(1+$T$6)</f>
        <v>10.893555000000001</v>
      </c>
      <c r="AT44">
        <f>K44*2*J44*(H44+I44)/1000000*(1+$T$7)</f>
        <v>7.7</v>
      </c>
      <c r="AU44">
        <f>SUM(AP44:AS44)/AO44</f>
        <v>275.73735927272725</v>
      </c>
      <c r="AV44">
        <f>AT44/AO44</f>
        <v>14</v>
      </c>
      <c r="AX44">
        <f>0.006165*O44^2*R44*U44/1000*(1+$T$6)</f>
        <v>91.9166976</v>
      </c>
      <c r="AZ44">
        <f>0.006165*O44^2*S44*U44/1000*(1+$T$6)</f>
        <v>0</v>
      </c>
      <c r="BA44">
        <f>AZ44/AP44</f>
        <v>0</v>
      </c>
    </row>
    <row r="45">
      <c r="A45">
        <f>'Data-Kolom'!A46</f>
        <v>31</v>
      </c>
      <c r="B45" t="str">
        <f>'Data-Kolom'!B46</f>
        <v>Lantai 1</v>
      </c>
      <c r="C45">
        <f>'Data-Kolom'!C46</f>
        <v>0</v>
      </c>
      <c r="D45" t="str">
        <f>'Data-Kolom'!D46</f>
        <v>KB2A</v>
      </c>
      <c r="E45" t="str">
        <v>F</v>
      </c>
      <c r="F45">
        <f>'Data-Kolom'!U46</f>
        <v>0</v>
      </c>
      <c r="G45">
        <f>'Data-Kolom'!T46</f>
        <v>0</v>
      </c>
      <c r="H45">
        <f>'Data-Kolom'!E46</f>
        <v>250</v>
      </c>
      <c r="I45">
        <f>'Data-Kolom'!F46</f>
        <v>250</v>
      </c>
      <c r="J45">
        <f>'Data-Kolom'!G46</f>
        <v>5500</v>
      </c>
      <c r="K45">
        <v>1</v>
      </c>
      <c r="M45">
        <f>IF(L45&gt;0,VLOOKUP(L45,'Data-PC'!$B$14:$F$56,4,FALSE),0)</f>
        <v>0</v>
      </c>
      <c r="N45">
        <f>'Data-Kolom'!H46</f>
        <v>6</v>
      </c>
      <c r="O45">
        <f>'Data-Kolom'!I46</f>
        <v>16</v>
      </c>
      <c r="P45">
        <f>IF(N45&gt;0,VLOOKUP(O45,$V$2:$X$9,2,FALSE),0)</f>
        <v>1010</v>
      </c>
      <c r="Q45">
        <f>IF(L45&gt;0,M45-50+$N$6*O45,VLOOKUP(O45,$V$2:$X$9,3,FALSE))</f>
        <v>770</v>
      </c>
      <c r="R45">
        <f>IF(E45="F",J45-$N$5+$N$6*O45+Q45,IF(E45="D",J45+Q45+P45,IF(E45="T",J45+P45,IF(E45="A",J45-$N$5+$N$6*O45,0))))</f>
        <v>6442</v>
      </c>
      <c r="T45">
        <f>SUM(R45:S45)</f>
        <v>6442</v>
      </c>
      <c r="U45">
        <f>K45*N45</f>
        <v>6</v>
      </c>
      <c r="V45">
        <f>'Data-Kolom'!J46</f>
        <v>0</v>
      </c>
      <c r="W45">
        <f>'Data-Kolom'!K46</f>
        <v>0</v>
      </c>
      <c r="X45">
        <f>IF(V45&gt;0,VLOOKUP(W45,$V$2:$X$9,2,FALSE),0)</f>
        <v>0</v>
      </c>
      <c r="Y45">
        <f>IF(V45&gt;0,IF(L45&gt;0,M45-50+$N$6*W45,VLOOKUP(W45,$V$2:$X$9,3,FALSE)),0)</f>
        <v>0</v>
      </c>
      <c r="Z45">
        <f>IF(E45="F",J45-$N$5+$N$6*W45+Y45,IF(E45="D",J45+Y45+X45,IF(E45="T",J45+X45,IF(E45="A",J45-$N$5+$N$6*W45,0))))</f>
        <v>5480</v>
      </c>
      <c r="AB45">
        <f>SUM(Z45:AA45)</f>
        <v>5480</v>
      </c>
      <c r="AC45">
        <f>V45*K45</f>
        <v>0</v>
      </c>
      <c r="AD45">
        <f>'Data-Kolom'!L46</f>
        <v>10</v>
      </c>
      <c r="AE45">
        <f>'Data-Kolom'!M46</f>
        <v>100</v>
      </c>
      <c r="AF45">
        <f>'Data-Kolom'!N46</f>
        <v>100</v>
      </c>
      <c r="AG45">
        <f>'Data-Kolom'!O46</f>
        <v>100</v>
      </c>
      <c r="AH45">
        <f>'Data-Kolom'!P46</f>
        <v>0</v>
      </c>
      <c r="AI45">
        <f>'Data-Kolom'!Q46</f>
        <v>0</v>
      </c>
      <c r="AJ45">
        <f>'Data-Kolom'!R46</f>
        <v>0</v>
      </c>
      <c r="AK45">
        <f>'Data-Kolom'!S46</f>
        <v>0</v>
      </c>
      <c r="AL45">
        <f>2*PI()*(H45-$N$5)+2*MAX($F$5*AD45,75)</f>
        <v>1595.132620651305</v>
      </c>
      <c r="AM45">
        <f>+AH45*(H45-2*$N$5+2*MAX($F$5*AI45,75))+AJ45*(I45-2*$N$5+2*MAX($F$5*AK45,75))</f>
        <v>0</v>
      </c>
      <c r="AN45">
        <f>(ROUND((1/2*J45+IF(M45&gt;0,(Q45-$N$6*AD45),0))/AE45,0)+(ROUND(1/2*J45/AF45,0)+1))*K45</f>
        <v>57</v>
      </c>
      <c r="AO45">
        <f>PI()*H45^2*J45/1000000000*K45*(1+$T$5)</f>
        <v>1.0799224746714915</v>
      </c>
      <c r="AP45">
        <f>0.006165*O45^2*T45*U45/1000*(1+$T$6)</f>
        <v>61.00213248</v>
      </c>
      <c r="AQ45">
        <f>0.006165*W45^2*AB45*AC45/1000*(1+$T$6)</f>
        <v>0</v>
      </c>
      <c r="AR45">
        <f>AN45*0.006165*AD45^2*AL45/1000*(1+$T$6)</f>
        <v>56.05375785599719</v>
      </c>
      <c r="AS45">
        <f>AN45*0.006165*AI45^2*AM45/1000*(1+$T$6)</f>
        <v>0</v>
      </c>
      <c r="AT45">
        <f>(K45*PI()*H45*J45)/1000000*(1+$T$7)</f>
        <v>4.319689898685966</v>
      </c>
      <c r="AU45">
        <f>SUM(AP45:AS45)/AO45</f>
        <v>108.39286437816304</v>
      </c>
      <c r="AV45">
        <f>AT45/AO45</f>
        <v>4</v>
      </c>
      <c r="AX45">
        <f>0.006165*O45^2*R45*U45/1000*(1+$T$6)</f>
        <v>61.00213248</v>
      </c>
      <c r="AZ45">
        <f>0.006165*O45^2*S45*U45/1000*(1+$T$6)</f>
        <v>0</v>
      </c>
      <c r="BA45">
        <f>AZ45/AP45</f>
        <v>0</v>
      </c>
    </row>
    <row r="46">
      <c r="A46">
        <f>'Data-Kolom'!A47</f>
        <v>32</v>
      </c>
      <c r="B46" t="str">
        <f>'Data-Kolom'!B47</f>
        <v>Lantai 1</v>
      </c>
      <c r="C46">
        <f>'Data-Kolom'!C47</f>
        <v>0</v>
      </c>
      <c r="D46" t="str">
        <f>'Data-Kolom'!D47</f>
        <v>KB2A</v>
      </c>
      <c r="E46" t="str">
        <v>F</v>
      </c>
      <c r="F46">
        <f>'Data-Kolom'!U47</f>
        <v>0</v>
      </c>
      <c r="G46">
        <f>'Data-Kolom'!T47</f>
        <v>0</v>
      </c>
      <c r="H46">
        <f>'Data-Kolom'!E47</f>
        <v>250</v>
      </c>
      <c r="I46">
        <f>'Data-Kolom'!F47</f>
        <v>250</v>
      </c>
      <c r="J46">
        <f>'Data-Kolom'!G47</f>
        <v>5500</v>
      </c>
      <c r="K46">
        <v>1</v>
      </c>
      <c r="M46">
        <f>IF(L46&gt;0,VLOOKUP(L46,'Data-PC'!$B$14:$F$56,4,FALSE),0)</f>
        <v>0</v>
      </c>
      <c r="N46">
        <f>'Data-Kolom'!H47</f>
        <v>6</v>
      </c>
      <c r="O46">
        <f>'Data-Kolom'!I47</f>
        <v>16</v>
      </c>
      <c r="P46">
        <f>IF(N46&gt;0,VLOOKUP(O46,$V$2:$X$9,2,FALSE),0)</f>
        <v>1010</v>
      </c>
      <c r="Q46">
        <f>IF(L46&gt;0,M46-50+$N$6*O46,VLOOKUP(O46,$V$2:$X$9,3,FALSE))</f>
        <v>770</v>
      </c>
      <c r="R46">
        <f>IF(E46="F",J46-$N$5+$N$6*O46+Q46,IF(E46="D",J46+Q46+P46,IF(E46="T",J46+P46,IF(E46="A",J46-$N$5+$N$6*O46,0))))</f>
        <v>6442</v>
      </c>
      <c r="T46">
        <f>SUM(R46:S46)</f>
        <v>6442</v>
      </c>
      <c r="U46">
        <f>K46*N46</f>
        <v>6</v>
      </c>
      <c r="V46">
        <f>'Data-Kolom'!J47</f>
        <v>0</v>
      </c>
      <c r="W46">
        <f>'Data-Kolom'!K47</f>
        <v>0</v>
      </c>
      <c r="X46">
        <f>IF(V46&gt;0,VLOOKUP(W46,$V$2:$X$9,2,FALSE),0)</f>
        <v>0</v>
      </c>
      <c r="Y46">
        <f>IF(V46&gt;0,IF(L46&gt;0,M46-50+$N$6*W46,VLOOKUP(W46,$V$2:$X$9,3,FALSE)),0)</f>
        <v>0</v>
      </c>
      <c r="Z46">
        <f>IF(E46="F",J46-$N$5+$N$6*W46+Y46,IF(E46="D",J46+Y46+X46,IF(E46="T",J46+X46,IF(E46="A",J46-$N$5+$N$6*W46,0))))</f>
        <v>5480</v>
      </c>
      <c r="AB46">
        <f>SUM(Z46:AA46)</f>
        <v>5480</v>
      </c>
      <c r="AC46">
        <f>V46*K46</f>
        <v>0</v>
      </c>
      <c r="AD46">
        <f>'Data-Kolom'!L47</f>
        <v>10</v>
      </c>
      <c r="AE46">
        <f>'Data-Kolom'!M47</f>
        <v>100</v>
      </c>
      <c r="AF46">
        <f>'Data-Kolom'!N47</f>
        <v>100</v>
      </c>
      <c r="AG46">
        <f>'Data-Kolom'!O47</f>
        <v>100</v>
      </c>
      <c r="AH46">
        <f>'Data-Kolom'!P47</f>
        <v>0</v>
      </c>
      <c r="AI46">
        <f>'Data-Kolom'!Q47</f>
        <v>0</v>
      </c>
      <c r="AJ46">
        <f>'Data-Kolom'!R47</f>
        <v>0</v>
      </c>
      <c r="AK46">
        <f>'Data-Kolom'!S47</f>
        <v>0</v>
      </c>
      <c r="AL46">
        <f>2*PI()*(H46-$N$5)+2*MAX($F$5*AD46,75)</f>
        <v>1595.132620651305</v>
      </c>
      <c r="AM46">
        <f>+AH46*(H46-2*$N$5+2*MAX($F$5*AI46,75))+AJ46*(I46-2*$N$5+2*MAX($F$5*AK46,75))</f>
        <v>0</v>
      </c>
      <c r="AN46">
        <f>(ROUND((1/2*J46+IF(M46&gt;0,(Q46-$N$6*AD46),0))/AE46,0)+(ROUND(1/2*J46/AF46,0)+1))*K46</f>
        <v>57</v>
      </c>
      <c r="AO46">
        <f>PI()*H46^2*J46/1000000000*K46*(1+$T$5)</f>
        <v>1.0799224746714915</v>
      </c>
      <c r="AP46">
        <f>0.006165*O46^2*T46*U46/1000*(1+$T$6)</f>
        <v>61.00213248</v>
      </c>
      <c r="AQ46">
        <f>0.006165*W46^2*AB46*AC46/1000*(1+$T$6)</f>
        <v>0</v>
      </c>
      <c r="AR46">
        <f>AN46*0.006165*AD46^2*AL46/1000*(1+$T$6)</f>
        <v>56.05375785599719</v>
      </c>
      <c r="AS46">
        <f>AN46*0.006165*AI46^2*AM46/1000*(1+$T$6)</f>
        <v>0</v>
      </c>
      <c r="AT46">
        <f>(K46*PI()*H46*J46)/1000000*(1+$T$7)</f>
        <v>4.319689898685966</v>
      </c>
      <c r="AU46">
        <f>SUM(AP46:AS46)/AO46</f>
        <v>108.39286437816304</v>
      </c>
      <c r="AV46">
        <f>AT46/AO46</f>
        <v>4</v>
      </c>
      <c r="AX46">
        <f>0.006165*O46^2*R46*U46/1000*(1+$T$6)</f>
        <v>61.00213248</v>
      </c>
      <c r="AZ46">
        <f>0.006165*O46^2*S46*U46/1000*(1+$T$6)</f>
        <v>0</v>
      </c>
      <c r="BA46">
        <f>AZ46/AP46</f>
        <v>0</v>
      </c>
    </row>
    <row r="47">
      <c r="A47">
        <f>'Data-Kolom'!A48</f>
        <v>33</v>
      </c>
      <c r="B47" t="str">
        <f>'Data-Kolom'!B48</f>
        <v>Lantai 1</v>
      </c>
      <c r="C47">
        <f>'Data-Kolom'!C48</f>
        <v>0</v>
      </c>
      <c r="D47" t="str">
        <f>'Data-Kolom'!D48</f>
        <v>K4</v>
      </c>
      <c r="E47" t="str">
        <v>D</v>
      </c>
      <c r="F47">
        <f>'Data-Kolom'!U48</f>
        <v>0</v>
      </c>
      <c r="G47">
        <f>'Data-Kolom'!T48</f>
        <v>0</v>
      </c>
      <c r="H47">
        <f>'Data-Kolom'!E48</f>
        <v>170</v>
      </c>
      <c r="I47">
        <f>'Data-Kolom'!F48</f>
        <v>400</v>
      </c>
      <c r="J47">
        <f>'Data-Kolom'!G48</f>
        <v>6200</v>
      </c>
      <c r="K47">
        <v>1</v>
      </c>
      <c r="M47">
        <f>IF(L47&gt;0,VLOOKUP(L47,'Data-PC'!$B$14:$F$56,4,FALSE),0)</f>
        <v>0</v>
      </c>
      <c r="N47">
        <f>'Data-Kolom'!H48</f>
        <v>6</v>
      </c>
      <c r="O47">
        <f>'Data-Kolom'!I48</f>
        <v>16</v>
      </c>
      <c r="P47">
        <f>IF(N47&gt;0,VLOOKUP(O47,$V$2:$X$9,2,FALSE),0)</f>
        <v>1010</v>
      </c>
      <c r="Q47">
        <f>IF(L47&gt;0,M47-50+$N$6*O47,VLOOKUP(O47,$V$2:$X$9,3,FALSE))</f>
        <v>770</v>
      </c>
      <c r="R47">
        <f>IF(E47="F",J47-$N$5+$N$6*O47+Q47,IF(E47="D",J47+Q47+P47,IF(E47="T",J47+P47,IF(E47="A",J47-$N$5+$N$6*O47,0))))</f>
        <v>7980</v>
      </c>
      <c r="T47">
        <f>SUM(R47:S47)</f>
        <v>7980</v>
      </c>
      <c r="U47">
        <f>K47*N47</f>
        <v>6</v>
      </c>
      <c r="V47">
        <f>'Data-Kolom'!J48</f>
        <v>0</v>
      </c>
      <c r="W47">
        <f>'Data-Kolom'!K48</f>
        <v>0</v>
      </c>
      <c r="X47">
        <f>IF(V47&gt;0,VLOOKUP(W47,$V$2:$X$9,2,FALSE),0)</f>
        <v>0</v>
      </c>
      <c r="Y47">
        <f>IF(V47&gt;0,IF(L47&gt;0,M47-50+$N$6*W47,VLOOKUP(W47,$V$2:$X$9,3,FALSE)),0)</f>
        <v>0</v>
      </c>
      <c r="Z47">
        <f>IF(E47="F",J47-$N$5+$N$6*W47+Y47,IF(E47="D",J47+Y47+X47,IF(E47="T",J47+X47,IF(E47="A",J47-$N$5+$N$6*W47,0))))</f>
        <v>6200</v>
      </c>
      <c r="AB47">
        <f>SUM(Z47:AA47)</f>
        <v>6200</v>
      </c>
      <c r="AC47">
        <f>V47*K47</f>
        <v>0</v>
      </c>
      <c r="AD47">
        <f>'Data-Kolom'!L48</f>
        <v>10</v>
      </c>
      <c r="AE47">
        <f>'Data-Kolom'!M48</f>
        <v>100</v>
      </c>
      <c r="AF47">
        <f>'Data-Kolom'!N48</f>
        <v>100</v>
      </c>
      <c r="AG47">
        <f>'Data-Kolom'!O48</f>
        <v>100</v>
      </c>
      <c r="AH47">
        <f>'Data-Kolom'!P48</f>
        <v>0</v>
      </c>
      <c r="AI47">
        <f>'Data-Kolom'!Q48</f>
        <v>0</v>
      </c>
      <c r="AJ47">
        <f>'Data-Kolom'!R48</f>
        <v>0</v>
      </c>
      <c r="AK47">
        <f>'Data-Kolom'!S48</f>
        <v>0</v>
      </c>
      <c r="AL47">
        <f>2*(H47+I47-4*$N$5)+2*MAX($F$5*AD47,75)</f>
        <v>1130</v>
      </c>
      <c r="AM47">
        <f>+AH47*(H47-2*$N$5+2*MAX($F$5*AI47,75))+AJ47*(I47-2*$N$5+2*MAX($F$5*AK47,75))</f>
        <v>0</v>
      </c>
      <c r="AN47">
        <f>(ROUND((1/2*J47+IF(M47&gt;0,(Q47-$N$6*AD47),0))/AE47,0)+(ROUND(1/2*J47/AF47,0)+1))*K47</f>
        <v>63</v>
      </c>
      <c r="AO47">
        <f>H47*I47*J47/1000000000*K47*(1+$T$5)</f>
        <v>0.4216</v>
      </c>
      <c r="AP47">
        <f>0.006165*O47^2*T47*U47/1000*(1+$T$6)</f>
        <v>75.5661312</v>
      </c>
      <c r="AQ47">
        <f>0.006165*W47^2*AB47*AC47/1000*(1+$T$6)</f>
        <v>0</v>
      </c>
      <c r="AR47">
        <f>AN47*0.006165*AD47^2*AL47/1000*(1+$T$6)</f>
        <v>43.888635</v>
      </c>
      <c r="AS47">
        <f>AN47*0.006165*AI47^2*AM47/1000*(1+$T$6)</f>
        <v>0</v>
      </c>
      <c r="AT47">
        <f>K47*2*J47*(H47+I47)/1000000*(1+$T$7)</f>
        <v>7.068</v>
      </c>
      <c r="AU47">
        <f>SUM(AP47:AS47)/AO47</f>
        <v>283.33673197343455</v>
      </c>
      <c r="AV47">
        <f>AT47/AO47</f>
        <v>16.764705882352942</v>
      </c>
      <c r="AX47">
        <f>0.006165*O47^2*R47*U47/1000*(1+$T$6)</f>
        <v>75.5661312</v>
      </c>
      <c r="AZ47">
        <f>0.006165*O47^2*S47*U47/1000*(1+$T$6)</f>
        <v>0</v>
      </c>
      <c r="BA47">
        <f>AZ47/AP47</f>
        <v>0</v>
      </c>
    </row>
    <row r="48">
      <c r="A48">
        <f>'Data-Kolom'!A49</f>
        <v>34</v>
      </c>
      <c r="B48" t="str">
        <f>'Data-Kolom'!B49</f>
        <v>Lantai 1</v>
      </c>
      <c r="C48">
        <f>'Data-Kolom'!C49</f>
        <v>0</v>
      </c>
      <c r="D48" t="str">
        <f>'Data-Kolom'!D49</f>
        <v>K4</v>
      </c>
      <c r="E48" t="str">
        <v>D</v>
      </c>
      <c r="F48">
        <f>'Data-Kolom'!U49</f>
        <v>0</v>
      </c>
      <c r="G48">
        <f>'Data-Kolom'!T49</f>
        <v>0</v>
      </c>
      <c r="H48">
        <f>'Data-Kolom'!E49</f>
        <v>170</v>
      </c>
      <c r="I48">
        <f>'Data-Kolom'!F49</f>
        <v>400</v>
      </c>
      <c r="J48">
        <f>'Data-Kolom'!G49</f>
        <v>4600</v>
      </c>
      <c r="K48">
        <v>1</v>
      </c>
      <c r="M48">
        <f>IF(L48&gt;0,VLOOKUP(L48,'Data-PC'!$B$14:$F$56,4,FALSE),0)</f>
        <v>0</v>
      </c>
      <c r="N48">
        <f>'Data-Kolom'!H49</f>
        <v>6</v>
      </c>
      <c r="O48">
        <f>'Data-Kolom'!I49</f>
        <v>16</v>
      </c>
      <c r="P48">
        <f>IF(N48&gt;0,VLOOKUP(O48,$V$2:$X$9,2,FALSE),0)</f>
        <v>1010</v>
      </c>
      <c r="Q48">
        <f>IF(L48&gt;0,M48-50+$N$6*O48,VLOOKUP(O48,$V$2:$X$9,3,FALSE))</f>
        <v>770</v>
      </c>
      <c r="R48">
        <f>IF(E48="F",J48-$N$5+$N$6*O48+Q48,IF(E48="D",J48+Q48+P48,IF(E48="T",J48+P48,IF(E48="A",J48-$N$5+$N$6*O48,0))))</f>
        <v>6380</v>
      </c>
      <c r="T48">
        <f>SUM(R48:S48)</f>
        <v>6380</v>
      </c>
      <c r="U48">
        <f>K48*N48</f>
        <v>6</v>
      </c>
      <c r="V48">
        <f>'Data-Kolom'!J49</f>
        <v>0</v>
      </c>
      <c r="W48">
        <f>'Data-Kolom'!K49</f>
        <v>0</v>
      </c>
      <c r="X48">
        <f>IF(V48&gt;0,VLOOKUP(W48,$V$2:$X$9,2,FALSE),0)</f>
        <v>0</v>
      </c>
      <c r="Y48">
        <f>IF(V48&gt;0,IF(L48&gt;0,M48-50+$N$6*W48,VLOOKUP(W48,$V$2:$X$9,3,FALSE)),0)</f>
        <v>0</v>
      </c>
      <c r="Z48">
        <f>IF(E48="F",J48-$N$5+$N$6*W48+Y48,IF(E48="D",J48+Y48+X48,IF(E48="T",J48+X48,IF(E48="A",J48-$N$5+$N$6*W48,0))))</f>
        <v>4600</v>
      </c>
      <c r="AB48">
        <f>SUM(Z48:AA48)</f>
        <v>4600</v>
      </c>
      <c r="AC48">
        <f>V48*K48</f>
        <v>0</v>
      </c>
      <c r="AD48">
        <f>'Data-Kolom'!L49</f>
        <v>10</v>
      </c>
      <c r="AE48">
        <f>'Data-Kolom'!M49</f>
        <v>100</v>
      </c>
      <c r="AF48">
        <f>'Data-Kolom'!N49</f>
        <v>100</v>
      </c>
      <c r="AG48">
        <f>'Data-Kolom'!O49</f>
        <v>100</v>
      </c>
      <c r="AH48">
        <f>'Data-Kolom'!P49</f>
        <v>0</v>
      </c>
      <c r="AI48">
        <f>'Data-Kolom'!Q49</f>
        <v>0</v>
      </c>
      <c r="AJ48">
        <f>'Data-Kolom'!R49</f>
        <v>0</v>
      </c>
      <c r="AK48">
        <f>'Data-Kolom'!S49</f>
        <v>0</v>
      </c>
      <c r="AL48">
        <f>2*(H48+I48-4*$N$5)+2*MAX($F$5*AD48,75)</f>
        <v>1130</v>
      </c>
      <c r="AM48">
        <f>+AH48*(H48-2*$N$5+2*MAX($F$5*AI48,75))+AJ48*(I48-2*$N$5+2*MAX($F$5*AK48,75))</f>
        <v>0</v>
      </c>
      <c r="AN48">
        <f>(ROUND((1/2*J48+IF(M48&gt;0,(Q48-$N$6*AD48),0))/AE48,0)+(ROUND(1/2*J48/AF48,0)+1))*K48</f>
        <v>47</v>
      </c>
      <c r="AO48">
        <f>H48*I48*J48/1000000000*K48*(1+$T$5)</f>
        <v>0.3128</v>
      </c>
      <c r="AP48">
        <f>0.006165*O48^2*T48*U48/1000*(1+$T$6)</f>
        <v>60.415027200000004</v>
      </c>
      <c r="AQ48">
        <f>0.006165*W48^2*AB48*AC48/1000*(1+$T$6)</f>
        <v>0</v>
      </c>
      <c r="AR48">
        <f>AN48*0.006165*AD48^2*AL48/1000*(1+$T$6)</f>
        <v>32.742315000000005</v>
      </c>
      <c r="AS48">
        <f>AN48*0.006165*AI48^2*AM48/1000*(1+$T$6)</f>
        <v>0</v>
      </c>
      <c r="AT48">
        <f>K48*2*J48*(H48+I48)/1000000*(1+$T$7)</f>
        <v>5.244</v>
      </c>
      <c r="AU48">
        <f>SUM(AP48:AS48)/AO48</f>
        <v>297.8175901534527</v>
      </c>
      <c r="AV48">
        <f>AT48/AO48</f>
        <v>16.76470588235294</v>
      </c>
      <c r="AX48">
        <f>0.006165*O48^2*R48*U48/1000*(1+$T$6)</f>
        <v>60.415027200000004</v>
      </c>
      <c r="AZ48">
        <f>0.006165*O48^2*S48*U48/1000*(1+$T$6)</f>
        <v>0</v>
      </c>
      <c r="BA48">
        <f>AZ48/AP48</f>
        <v>0</v>
      </c>
    </row>
    <row r="49">
      <c r="A49">
        <f>'Data-Kolom'!A50</f>
        <v>35</v>
      </c>
      <c r="B49" t="str">
        <f>'Data-Kolom'!B50</f>
        <v>Lantai 1</v>
      </c>
      <c r="C49">
        <f>'Data-Kolom'!C50</f>
        <v>0</v>
      </c>
      <c r="D49" t="str">
        <f>'Data-Kolom'!D50</f>
        <v>K4</v>
      </c>
      <c r="E49" t="str">
        <v>D</v>
      </c>
      <c r="F49">
        <f>'Data-Kolom'!U50</f>
        <v>0</v>
      </c>
      <c r="G49">
        <f>'Data-Kolom'!T50</f>
        <v>0</v>
      </c>
      <c r="H49">
        <f>'Data-Kolom'!E50</f>
        <v>170</v>
      </c>
      <c r="I49">
        <f>'Data-Kolom'!F50</f>
        <v>400</v>
      </c>
      <c r="J49">
        <f>'Data-Kolom'!G50</f>
        <v>4600</v>
      </c>
      <c r="K49">
        <v>1</v>
      </c>
      <c r="M49">
        <f>IF(L49&gt;0,VLOOKUP(L49,'Data-PC'!$B$14:$F$56,4,FALSE),0)</f>
        <v>0</v>
      </c>
      <c r="N49">
        <f>'Data-Kolom'!H50</f>
        <v>6</v>
      </c>
      <c r="O49">
        <f>'Data-Kolom'!I50</f>
        <v>16</v>
      </c>
      <c r="P49">
        <f>IF(N49&gt;0,VLOOKUP(O49,$V$2:$X$9,2,FALSE),0)</f>
        <v>1010</v>
      </c>
      <c r="Q49">
        <f>IF(L49&gt;0,M49-50+$N$6*O49,VLOOKUP(O49,$V$2:$X$9,3,FALSE))</f>
        <v>770</v>
      </c>
      <c r="R49">
        <f>IF(E49="F",J49-$N$5+$N$6*O49+Q49,IF(E49="D",J49+Q49+P49,IF(E49="T",J49+P49,IF(E49="A",J49-$N$5+$N$6*O49,0))))</f>
        <v>6380</v>
      </c>
      <c r="T49">
        <f>SUM(R49:S49)</f>
        <v>6380</v>
      </c>
      <c r="U49">
        <f>K49*N49</f>
        <v>6</v>
      </c>
      <c r="V49">
        <f>'Data-Kolom'!J50</f>
        <v>0</v>
      </c>
      <c r="W49">
        <f>'Data-Kolom'!K50</f>
        <v>0</v>
      </c>
      <c r="X49">
        <f>IF(V49&gt;0,VLOOKUP(W49,$V$2:$X$9,2,FALSE),0)</f>
        <v>0</v>
      </c>
      <c r="Y49">
        <f>IF(V49&gt;0,IF(L49&gt;0,M49-50+$N$6*W49,VLOOKUP(W49,$V$2:$X$9,3,FALSE)),0)</f>
        <v>0</v>
      </c>
      <c r="Z49">
        <f>IF(E49="F",J49-$N$5+$N$6*W49+Y49,IF(E49="D",J49+Y49+X49,IF(E49="T",J49+X49,IF(E49="A",J49-$N$5+$N$6*W49,0))))</f>
        <v>4600</v>
      </c>
      <c r="AB49">
        <f>SUM(Z49:AA49)</f>
        <v>4600</v>
      </c>
      <c r="AC49">
        <f>V49*K49</f>
        <v>0</v>
      </c>
      <c r="AD49">
        <f>'Data-Kolom'!L50</f>
        <v>10</v>
      </c>
      <c r="AE49">
        <f>'Data-Kolom'!M50</f>
        <v>100</v>
      </c>
      <c r="AF49">
        <f>'Data-Kolom'!N50</f>
        <v>100</v>
      </c>
      <c r="AG49">
        <f>'Data-Kolom'!O50</f>
        <v>100</v>
      </c>
      <c r="AH49">
        <f>'Data-Kolom'!P50</f>
        <v>0</v>
      </c>
      <c r="AI49">
        <f>'Data-Kolom'!Q50</f>
        <v>0</v>
      </c>
      <c r="AJ49">
        <f>'Data-Kolom'!R50</f>
        <v>0</v>
      </c>
      <c r="AK49">
        <f>'Data-Kolom'!S50</f>
        <v>0</v>
      </c>
      <c r="AL49">
        <f>2*(H49+I49-4*$N$5)+2*MAX($F$5*AD49,75)</f>
        <v>1130</v>
      </c>
      <c r="AM49">
        <f>+AH49*(H49-2*$N$5+2*MAX($F$5*AI49,75))+AJ49*(I49-2*$N$5+2*MAX($F$5*AK49,75))</f>
        <v>0</v>
      </c>
      <c r="AN49">
        <f>(ROUND((1/2*J49+IF(M49&gt;0,(Q49-$N$6*AD49),0))/AE49,0)+(ROUND(1/2*J49/AF49,0)+1))*K49</f>
        <v>47</v>
      </c>
      <c r="AO49">
        <f>H49*I49*J49/1000000000*K49*(1+$T$5)</f>
        <v>0.3128</v>
      </c>
      <c r="AP49">
        <f>0.006165*O49^2*T49*U49/1000*(1+$T$6)</f>
        <v>60.415027200000004</v>
      </c>
      <c r="AQ49">
        <f>0.006165*W49^2*AB49*AC49/1000*(1+$T$6)</f>
        <v>0</v>
      </c>
      <c r="AR49">
        <f>AN49*0.006165*AD49^2*AL49/1000*(1+$T$6)</f>
        <v>32.742315000000005</v>
      </c>
      <c r="AS49">
        <f>AN49*0.006165*AI49^2*AM49/1000*(1+$T$6)</f>
        <v>0</v>
      </c>
      <c r="AT49">
        <f>K49*2*J49*(H49+I49)/1000000*(1+$T$7)</f>
        <v>5.244</v>
      </c>
      <c r="AU49">
        <f>SUM(AP49:AS49)/AO49</f>
        <v>297.8175901534527</v>
      </c>
      <c r="AV49">
        <f>AT49/AO49</f>
        <v>16.76470588235294</v>
      </c>
      <c r="AX49">
        <f>0.006165*O49^2*R49*U49/1000*(1+$T$6)</f>
        <v>60.415027200000004</v>
      </c>
      <c r="AZ49">
        <f>0.006165*O49^2*S49*U49/1000*(1+$T$6)</f>
        <v>0</v>
      </c>
      <c r="BA49">
        <f>AZ49/AP49</f>
        <v>0</v>
      </c>
    </row>
    <row r="50">
      <c r="A50">
        <f>'Data-Kolom'!A51</f>
        <v>36</v>
      </c>
      <c r="B50" t="str">
        <f>'Data-Kolom'!B51</f>
        <v>Lantai 1</v>
      </c>
      <c r="C50">
        <f>'Data-Kolom'!C51</f>
        <v>0</v>
      </c>
      <c r="D50" t="str">
        <f>'Data-Kolom'!D51</f>
        <v>K4</v>
      </c>
      <c r="E50" t="str">
        <v>D</v>
      </c>
      <c r="F50">
        <f>'Data-Kolom'!U51</f>
        <v>0</v>
      </c>
      <c r="G50">
        <f>'Data-Kolom'!T51</f>
        <v>0</v>
      </c>
      <c r="H50">
        <f>'Data-Kolom'!E51</f>
        <v>170</v>
      </c>
      <c r="I50">
        <f>'Data-Kolom'!F51</f>
        <v>400</v>
      </c>
      <c r="J50">
        <f>'Data-Kolom'!G51</f>
        <v>4600</v>
      </c>
      <c r="K50">
        <v>1</v>
      </c>
      <c r="M50">
        <f>IF(L50&gt;0,VLOOKUP(L50,'Data-PC'!$B$14:$F$56,4,FALSE),0)</f>
        <v>0</v>
      </c>
      <c r="N50">
        <f>'Data-Kolom'!H51</f>
        <v>6</v>
      </c>
      <c r="O50">
        <f>'Data-Kolom'!I51</f>
        <v>16</v>
      </c>
      <c r="P50">
        <f>IF(N50&gt;0,VLOOKUP(O50,$V$2:$X$9,2,FALSE),0)</f>
        <v>1010</v>
      </c>
      <c r="Q50">
        <f>IF(L50&gt;0,M50-50+$N$6*O50,VLOOKUP(O50,$V$2:$X$9,3,FALSE))</f>
        <v>770</v>
      </c>
      <c r="R50">
        <f>IF(E50="F",J50-$N$5+$N$6*O50+Q50,IF(E50="D",J50+Q50+P50,IF(E50="T",J50+P50,IF(E50="A",J50-$N$5+$N$6*O50,0))))</f>
        <v>6380</v>
      </c>
      <c r="T50">
        <f>SUM(R50:S50)</f>
        <v>6380</v>
      </c>
      <c r="U50">
        <f>K50*N50</f>
        <v>6</v>
      </c>
      <c r="V50">
        <f>'Data-Kolom'!J51</f>
        <v>0</v>
      </c>
      <c r="W50">
        <f>'Data-Kolom'!K51</f>
        <v>0</v>
      </c>
      <c r="X50">
        <f>IF(V50&gt;0,VLOOKUP(W50,$V$2:$X$9,2,FALSE),0)</f>
        <v>0</v>
      </c>
      <c r="Y50">
        <f>IF(V50&gt;0,IF(L50&gt;0,M50-50+$N$6*W50,VLOOKUP(W50,$V$2:$X$9,3,FALSE)),0)</f>
        <v>0</v>
      </c>
      <c r="Z50">
        <f>IF(E50="F",J50-$N$5+$N$6*W50+Y50,IF(E50="D",J50+Y50+X50,IF(E50="T",J50+X50,IF(E50="A",J50-$N$5+$N$6*W50,0))))</f>
        <v>4600</v>
      </c>
      <c r="AB50">
        <f>SUM(Z50:AA50)</f>
        <v>4600</v>
      </c>
      <c r="AC50">
        <f>V50*K50</f>
        <v>0</v>
      </c>
      <c r="AD50">
        <f>'Data-Kolom'!L51</f>
        <v>10</v>
      </c>
      <c r="AE50">
        <f>'Data-Kolom'!M51</f>
        <v>100</v>
      </c>
      <c r="AF50">
        <f>'Data-Kolom'!N51</f>
        <v>100</v>
      </c>
      <c r="AG50">
        <f>'Data-Kolom'!O51</f>
        <v>100</v>
      </c>
      <c r="AH50">
        <f>'Data-Kolom'!P51</f>
        <v>0</v>
      </c>
      <c r="AI50">
        <f>'Data-Kolom'!Q51</f>
        <v>0</v>
      </c>
      <c r="AJ50">
        <f>'Data-Kolom'!R51</f>
        <v>0</v>
      </c>
      <c r="AK50">
        <f>'Data-Kolom'!S51</f>
        <v>0</v>
      </c>
      <c r="AL50">
        <f>2*(H50+I50-4*$N$5)+2*MAX($F$5*AD50,75)</f>
        <v>1130</v>
      </c>
      <c r="AM50">
        <f>+AH50*(H50-2*$N$5+2*MAX($F$5*AI50,75))+AJ50*(I50-2*$N$5+2*MAX($F$5*AK50,75))</f>
        <v>0</v>
      </c>
      <c r="AN50">
        <f>(ROUND((1/2*J50+IF(M50&gt;0,(Q50-$N$6*AD50),0))/AE50,0)+(ROUND(1/2*J50/AF50,0)+1))*K50</f>
        <v>47</v>
      </c>
      <c r="AO50">
        <f>H50*I50*J50/1000000000*K50*(1+$T$5)</f>
        <v>0.3128</v>
      </c>
      <c r="AP50">
        <f>0.006165*O50^2*T50*U50/1000*(1+$T$6)</f>
        <v>60.415027200000004</v>
      </c>
      <c r="AQ50">
        <f>0.006165*W50^2*AB50*AC50/1000*(1+$T$6)</f>
        <v>0</v>
      </c>
      <c r="AR50">
        <f>AN50*0.006165*AD50^2*AL50/1000*(1+$T$6)</f>
        <v>32.742315000000005</v>
      </c>
      <c r="AS50">
        <f>AN50*0.006165*AI50^2*AM50/1000*(1+$T$6)</f>
        <v>0</v>
      </c>
      <c r="AT50">
        <f>K50*2*J50*(H50+I50)/1000000*(1+$T$7)</f>
        <v>5.244</v>
      </c>
      <c r="AU50">
        <f>SUM(AP50:AS50)/AO50</f>
        <v>297.8175901534527</v>
      </c>
      <c r="AV50">
        <f>AT50/AO50</f>
        <v>16.76470588235294</v>
      </c>
      <c r="AX50">
        <f>0.006165*O50^2*R50*U50/1000*(1+$T$6)</f>
        <v>60.415027200000004</v>
      </c>
      <c r="AZ50">
        <f>0.006165*O50^2*S50*U50/1000*(1+$T$6)</f>
        <v>0</v>
      </c>
      <c r="BA50">
        <f>AZ50/AP50</f>
        <v>0</v>
      </c>
    </row>
    <row r="51">
      <c r="A51">
        <f>'Data-Kolom'!A52</f>
        <v>37</v>
      </c>
      <c r="B51" t="str">
        <f>'Data-Kolom'!B52</f>
        <v>Lantai 1</v>
      </c>
      <c r="C51">
        <f>'Data-Kolom'!C52</f>
        <v>0</v>
      </c>
      <c r="D51" t="str">
        <f>'Data-Kolom'!D52</f>
        <v>K4</v>
      </c>
      <c r="E51" t="str">
        <v>D</v>
      </c>
      <c r="F51">
        <f>'Data-Kolom'!U52</f>
        <v>0</v>
      </c>
      <c r="G51">
        <f>'Data-Kolom'!T52</f>
        <v>0</v>
      </c>
      <c r="H51">
        <f>'Data-Kolom'!E52</f>
        <v>170</v>
      </c>
      <c r="I51">
        <f>'Data-Kolom'!F52</f>
        <v>400</v>
      </c>
      <c r="J51">
        <f>'Data-Kolom'!G52</f>
        <v>5500</v>
      </c>
      <c r="K51">
        <v>1</v>
      </c>
      <c r="M51">
        <f>IF(L51&gt;0,VLOOKUP(L51,'Data-PC'!$B$14:$F$56,4,FALSE),0)</f>
        <v>0</v>
      </c>
      <c r="N51">
        <f>'Data-Kolom'!H52</f>
        <v>6</v>
      </c>
      <c r="O51">
        <f>'Data-Kolom'!I52</f>
        <v>16</v>
      </c>
      <c r="P51">
        <f>IF(N51&gt;0,VLOOKUP(O51,$V$2:$X$9,2,FALSE),0)</f>
        <v>1010</v>
      </c>
      <c r="Q51">
        <f>IF(L51&gt;0,M51-50+$N$6*O51,VLOOKUP(O51,$V$2:$X$9,3,FALSE))</f>
        <v>770</v>
      </c>
      <c r="R51">
        <f>IF(E51="F",J51-$N$5+$N$6*O51+Q51,IF(E51="D",J51+Q51+P51,IF(E51="T",J51+P51,IF(E51="A",J51-$N$5+$N$6*O51,0))))</f>
        <v>7280</v>
      </c>
      <c r="T51">
        <f>SUM(R51:S51)</f>
        <v>7280</v>
      </c>
      <c r="U51">
        <f>K51*N51</f>
        <v>6</v>
      </c>
      <c r="V51">
        <f>'Data-Kolom'!J52</f>
        <v>0</v>
      </c>
      <c r="W51">
        <f>'Data-Kolom'!K52</f>
        <v>0</v>
      </c>
      <c r="X51">
        <f>IF(V51&gt;0,VLOOKUP(W51,$V$2:$X$9,2,FALSE),0)</f>
        <v>0</v>
      </c>
      <c r="Y51">
        <f>IF(V51&gt;0,IF(L51&gt;0,M51-50+$N$6*W51,VLOOKUP(W51,$V$2:$X$9,3,FALSE)),0)</f>
        <v>0</v>
      </c>
      <c r="Z51">
        <f>IF(E51="F",J51-$N$5+$N$6*W51+Y51,IF(E51="D",J51+Y51+X51,IF(E51="T",J51+X51,IF(E51="A",J51-$N$5+$N$6*W51,0))))</f>
        <v>5500</v>
      </c>
      <c r="AB51">
        <f>SUM(Z51:AA51)</f>
        <v>5500</v>
      </c>
      <c r="AC51">
        <f>V51*K51</f>
        <v>0</v>
      </c>
      <c r="AD51">
        <f>'Data-Kolom'!L52</f>
        <v>10</v>
      </c>
      <c r="AE51">
        <f>'Data-Kolom'!M52</f>
        <v>100</v>
      </c>
      <c r="AF51">
        <f>'Data-Kolom'!N52</f>
        <v>100</v>
      </c>
      <c r="AG51">
        <f>'Data-Kolom'!O52</f>
        <v>100</v>
      </c>
      <c r="AH51">
        <f>'Data-Kolom'!P52</f>
        <v>0</v>
      </c>
      <c r="AI51">
        <f>'Data-Kolom'!Q52</f>
        <v>0</v>
      </c>
      <c r="AJ51">
        <f>'Data-Kolom'!R52</f>
        <v>0</v>
      </c>
      <c r="AK51">
        <f>'Data-Kolom'!S52</f>
        <v>0</v>
      </c>
      <c r="AL51">
        <f>2*(H51+I51-4*$N$5)+2*MAX($F$5*AD51,75)</f>
        <v>1130</v>
      </c>
      <c r="AM51">
        <f>+AH51*(H51-2*$N$5+2*MAX($F$5*AI51,75))+AJ51*(I51-2*$N$5+2*MAX($F$5*AK51,75))</f>
        <v>0</v>
      </c>
      <c r="AN51">
        <f>(ROUND((1/2*J51+IF(M51&gt;0,(Q51-$N$6*AD51),0))/AE51,0)+(ROUND(1/2*J51/AF51,0)+1))*K51</f>
        <v>57</v>
      </c>
      <c r="AO51">
        <f>H51*I51*J51/1000000000*K51*(1+$T$5)</f>
        <v>0.374</v>
      </c>
      <c r="AP51">
        <f>0.006165*O51^2*T51*U51/1000*(1+$T$6)</f>
        <v>68.9375232</v>
      </c>
      <c r="AQ51">
        <f>0.006165*W51^2*AB51*AC51/1000*(1+$T$6)</f>
        <v>0</v>
      </c>
      <c r="AR51">
        <f>AN51*0.006165*AD51^2*AL51/1000*(1+$T$6)</f>
        <v>39.70876500000001</v>
      </c>
      <c r="AS51">
        <f>AN51*0.006165*AI51^2*AM51/1000*(1+$T$6)</f>
        <v>0</v>
      </c>
      <c r="AT51">
        <f>K51*2*J51*(H51+I51)/1000000*(1+$T$7)</f>
        <v>6.27</v>
      </c>
      <c r="AU51">
        <f>SUM(AP51:AS51)/AO51</f>
        <v>290.4980967914439</v>
      </c>
      <c r="AV51">
        <f>AT51/AO51</f>
        <v>16.76470588235294</v>
      </c>
      <c r="AX51">
        <f>0.006165*O51^2*R51*U51/1000*(1+$T$6)</f>
        <v>68.9375232</v>
      </c>
      <c r="AZ51">
        <f>0.006165*O51^2*S51*U51/1000*(1+$T$6)</f>
        <v>0</v>
      </c>
      <c r="BA51">
        <f>AZ51/AP51</f>
        <v>0</v>
      </c>
    </row>
    <row r="52">
      <c r="A52">
        <f>'Data-Kolom'!A53</f>
        <v>38</v>
      </c>
      <c r="B52" t="str">
        <f>'Data-Kolom'!B53</f>
        <v>Lantai 1</v>
      </c>
      <c r="C52">
        <f>'Data-Kolom'!C53</f>
        <v>0</v>
      </c>
      <c r="D52" t="str">
        <f>'Data-Kolom'!D53</f>
        <v>K4</v>
      </c>
      <c r="E52" t="str">
        <v>D</v>
      </c>
      <c r="F52">
        <f>'Data-Kolom'!U53</f>
        <v>0</v>
      </c>
      <c r="G52">
        <f>'Data-Kolom'!T53</f>
        <v>0</v>
      </c>
      <c r="H52">
        <f>'Data-Kolom'!E53</f>
        <v>170</v>
      </c>
      <c r="I52">
        <f>'Data-Kolom'!F53</f>
        <v>400</v>
      </c>
      <c r="J52">
        <f>'Data-Kolom'!G53</f>
        <v>5500</v>
      </c>
      <c r="K52">
        <v>1</v>
      </c>
      <c r="M52">
        <f>IF(L52&gt;0,VLOOKUP(L52,'Data-PC'!$B$14:$F$56,4,FALSE),0)</f>
        <v>0</v>
      </c>
      <c r="N52">
        <f>'Data-Kolom'!H53</f>
        <v>6</v>
      </c>
      <c r="O52">
        <f>'Data-Kolom'!I53</f>
        <v>16</v>
      </c>
      <c r="P52">
        <f>IF(N52&gt;0,VLOOKUP(O52,$V$2:$X$9,2,FALSE),0)</f>
        <v>1010</v>
      </c>
      <c r="Q52">
        <f>IF(L52&gt;0,M52-50+$N$6*O52,VLOOKUP(O52,$V$2:$X$9,3,FALSE))</f>
        <v>770</v>
      </c>
      <c r="R52">
        <f>IF(E52="F",J52-$N$5+$N$6*O52+Q52,IF(E52="D",J52+Q52+P52,IF(E52="T",J52+P52,IF(E52="A",J52-$N$5+$N$6*O52,0))))</f>
        <v>7280</v>
      </c>
      <c r="T52">
        <f>SUM(R52:S52)</f>
        <v>7280</v>
      </c>
      <c r="U52">
        <f>K52*N52</f>
        <v>6</v>
      </c>
      <c r="V52">
        <f>'Data-Kolom'!J53</f>
        <v>0</v>
      </c>
      <c r="W52">
        <f>'Data-Kolom'!K53</f>
        <v>0</v>
      </c>
      <c r="X52">
        <f>IF(V52&gt;0,VLOOKUP(W52,$V$2:$X$9,2,FALSE),0)</f>
        <v>0</v>
      </c>
      <c r="Y52">
        <f>IF(V52&gt;0,IF(L52&gt;0,M52-50+$N$6*W52,VLOOKUP(W52,$V$2:$X$9,3,FALSE)),0)</f>
        <v>0</v>
      </c>
      <c r="Z52">
        <f>IF(E52="F",J52-$N$5+$N$6*W52+Y52,IF(E52="D",J52+Y52+X52,IF(E52="T",J52+X52,IF(E52="A",J52-$N$5+$N$6*W52,0))))</f>
        <v>5500</v>
      </c>
      <c r="AB52">
        <f>SUM(Z52:AA52)</f>
        <v>5500</v>
      </c>
      <c r="AC52">
        <f>V52*K52</f>
        <v>0</v>
      </c>
      <c r="AD52">
        <f>'Data-Kolom'!L53</f>
        <v>10</v>
      </c>
      <c r="AE52">
        <f>'Data-Kolom'!M53</f>
        <v>100</v>
      </c>
      <c r="AF52">
        <f>'Data-Kolom'!N53</f>
        <v>100</v>
      </c>
      <c r="AG52">
        <f>'Data-Kolom'!O53</f>
        <v>100</v>
      </c>
      <c r="AH52">
        <f>'Data-Kolom'!P53</f>
        <v>0</v>
      </c>
      <c r="AI52">
        <f>'Data-Kolom'!Q53</f>
        <v>0</v>
      </c>
      <c r="AJ52">
        <f>'Data-Kolom'!R53</f>
        <v>0</v>
      </c>
      <c r="AK52">
        <f>'Data-Kolom'!S53</f>
        <v>0</v>
      </c>
      <c r="AL52">
        <f>2*(H52+I52-4*$N$5)+2*MAX($F$5*AD52,75)</f>
        <v>1130</v>
      </c>
      <c r="AM52">
        <f>+AH52*(H52-2*$N$5+2*MAX($F$5*AI52,75))+AJ52*(I52-2*$N$5+2*MAX($F$5*AK52,75))</f>
        <v>0</v>
      </c>
      <c r="AN52">
        <f>(ROUND((1/2*J52+IF(M52&gt;0,(Q52-$N$6*AD52),0))/AE52,0)+(ROUND(1/2*J52/AF52,0)+1))*K52</f>
        <v>57</v>
      </c>
      <c r="AO52">
        <f>H52*I52*J52/1000000000*K52*(1+$T$5)</f>
        <v>0.374</v>
      </c>
      <c r="AP52">
        <f>0.006165*O52^2*T52*U52/1000*(1+$T$6)</f>
        <v>68.9375232</v>
      </c>
      <c r="AQ52">
        <f>0.006165*W52^2*AB52*AC52/1000*(1+$T$6)</f>
        <v>0</v>
      </c>
      <c r="AR52">
        <f>AN52*0.006165*AD52^2*AL52/1000*(1+$T$6)</f>
        <v>39.70876500000001</v>
      </c>
      <c r="AS52">
        <f>AN52*0.006165*AI52^2*AM52/1000*(1+$T$6)</f>
        <v>0</v>
      </c>
      <c r="AT52">
        <f>K52*2*J52*(H52+I52)/1000000*(1+$T$7)</f>
        <v>6.27</v>
      </c>
      <c r="AU52">
        <f>SUM(AP52:AS52)/AO52</f>
        <v>290.4980967914439</v>
      </c>
      <c r="AV52">
        <f>AT52/AO52</f>
        <v>16.76470588235294</v>
      </c>
      <c r="AX52">
        <f>0.006165*O52^2*R52*U52/1000*(1+$T$6)</f>
        <v>68.9375232</v>
      </c>
      <c r="AZ52">
        <f>0.006165*O52^2*S52*U52/1000*(1+$T$6)</f>
        <v>0</v>
      </c>
      <c r="BA52">
        <f>AZ52/AP52</f>
        <v>0</v>
      </c>
    </row>
    <row r="53">
      <c r="A53">
        <f>'Data-Kolom'!A54</f>
        <v>39</v>
      </c>
      <c r="B53" t="str">
        <f>'Data-Kolom'!B54</f>
        <v>Lantai 1</v>
      </c>
      <c r="C53">
        <f>'Data-Kolom'!C54</f>
        <v>0</v>
      </c>
      <c r="D53" t="str">
        <f>'Data-Kolom'!D54</f>
        <v>K4</v>
      </c>
      <c r="E53" t="str">
        <v>D</v>
      </c>
      <c r="F53">
        <f>'Data-Kolom'!U54</f>
        <v>0</v>
      </c>
      <c r="G53">
        <f>'Data-Kolom'!T54</f>
        <v>0</v>
      </c>
      <c r="H53">
        <f>'Data-Kolom'!E54</f>
        <v>170</v>
      </c>
      <c r="I53">
        <f>'Data-Kolom'!F54</f>
        <v>400</v>
      </c>
      <c r="J53">
        <f>'Data-Kolom'!G54</f>
        <v>5500</v>
      </c>
      <c r="K53">
        <v>1</v>
      </c>
      <c r="M53">
        <f>IF(L53&gt;0,VLOOKUP(L53,'Data-PC'!$B$14:$F$56,4,FALSE),0)</f>
        <v>0</v>
      </c>
      <c r="N53">
        <f>'Data-Kolom'!H54</f>
        <v>6</v>
      </c>
      <c r="O53">
        <f>'Data-Kolom'!I54</f>
        <v>16</v>
      </c>
      <c r="P53">
        <f>IF(N53&gt;0,VLOOKUP(O53,$V$2:$X$9,2,FALSE),0)</f>
        <v>1010</v>
      </c>
      <c r="Q53">
        <f>IF(L53&gt;0,M53-50+$N$6*O53,VLOOKUP(O53,$V$2:$X$9,3,FALSE))</f>
        <v>770</v>
      </c>
      <c r="R53">
        <f>IF(E53="F",J53-$N$5+$N$6*O53+Q53,IF(E53="D",J53+Q53+P53,IF(E53="T",J53+P53,IF(E53="A",J53-$N$5+$N$6*O53,0))))</f>
        <v>7280</v>
      </c>
      <c r="T53">
        <f>SUM(R53:S53)</f>
        <v>7280</v>
      </c>
      <c r="U53">
        <f>K53*N53</f>
        <v>6</v>
      </c>
      <c r="V53">
        <f>'Data-Kolom'!J54</f>
        <v>0</v>
      </c>
      <c r="W53">
        <f>'Data-Kolom'!K54</f>
        <v>0</v>
      </c>
      <c r="X53">
        <f>IF(V53&gt;0,VLOOKUP(W53,$V$2:$X$9,2,FALSE),0)</f>
        <v>0</v>
      </c>
      <c r="Y53">
        <f>IF(V53&gt;0,IF(L53&gt;0,M53-50+$N$6*W53,VLOOKUP(W53,$V$2:$X$9,3,FALSE)),0)</f>
        <v>0</v>
      </c>
      <c r="Z53">
        <f>IF(E53="F",J53-$N$5+$N$6*W53+Y53,IF(E53="D",J53+Y53+X53,IF(E53="T",J53+X53,IF(E53="A",J53-$N$5+$N$6*W53,0))))</f>
        <v>5500</v>
      </c>
      <c r="AB53">
        <f>SUM(Z53:AA53)</f>
        <v>5500</v>
      </c>
      <c r="AC53">
        <f>V53*K53</f>
        <v>0</v>
      </c>
      <c r="AD53">
        <f>'Data-Kolom'!L54</f>
        <v>10</v>
      </c>
      <c r="AE53">
        <f>'Data-Kolom'!M54</f>
        <v>100</v>
      </c>
      <c r="AF53">
        <f>'Data-Kolom'!N54</f>
        <v>100</v>
      </c>
      <c r="AG53">
        <f>'Data-Kolom'!O54</f>
        <v>100</v>
      </c>
      <c r="AH53">
        <f>'Data-Kolom'!P54</f>
        <v>0</v>
      </c>
      <c r="AI53">
        <f>'Data-Kolom'!Q54</f>
        <v>0</v>
      </c>
      <c r="AJ53">
        <f>'Data-Kolom'!R54</f>
        <v>0</v>
      </c>
      <c r="AK53">
        <f>'Data-Kolom'!S54</f>
        <v>0</v>
      </c>
      <c r="AL53">
        <f>2*(H53+I53-4*$N$5)+2*MAX($F$5*AD53,75)</f>
        <v>1130</v>
      </c>
      <c r="AM53">
        <f>+AH53*(H53-2*$N$5+2*MAX($F$5*AI53,75))+AJ53*(I53-2*$N$5+2*MAX($F$5*AK53,75))</f>
        <v>0</v>
      </c>
      <c r="AN53">
        <f>(ROUND((1/2*J53+IF(M53&gt;0,(Q53-$N$6*AD53),0))/AE53,0)+(ROUND(1/2*J53/AF53,0)+1))*K53</f>
        <v>57</v>
      </c>
      <c r="AO53">
        <f>H53*I53*J53/1000000000*K53*(1+$T$5)</f>
        <v>0.374</v>
      </c>
      <c r="AP53">
        <f>0.006165*O53^2*T53*U53/1000*(1+$T$6)</f>
        <v>68.9375232</v>
      </c>
      <c r="AQ53">
        <f>0.006165*W53^2*AB53*AC53/1000*(1+$T$6)</f>
        <v>0</v>
      </c>
      <c r="AR53">
        <f>AN53*0.006165*AD53^2*AL53/1000*(1+$T$6)</f>
        <v>39.70876500000001</v>
      </c>
      <c r="AS53">
        <f>AN53*0.006165*AI53^2*AM53/1000*(1+$T$6)</f>
        <v>0</v>
      </c>
      <c r="AT53">
        <f>K53*2*J53*(H53+I53)/1000000*(1+$T$7)</f>
        <v>6.27</v>
      </c>
      <c r="AU53">
        <f>SUM(AP53:AS53)/AO53</f>
        <v>290.4980967914439</v>
      </c>
      <c r="AV53">
        <f>AT53/AO53</f>
        <v>16.76470588235294</v>
      </c>
      <c r="AX53">
        <f>0.006165*O53^2*R53*U53/1000*(1+$T$6)</f>
        <v>68.9375232</v>
      </c>
      <c r="AZ53">
        <f>0.006165*O53^2*S53*U53/1000*(1+$T$6)</f>
        <v>0</v>
      </c>
      <c r="BA53">
        <f>AZ53/AP53</f>
        <v>0</v>
      </c>
    </row>
    <row r="54">
      <c r="A54">
        <f>'Data-Kolom'!A55</f>
        <v>40</v>
      </c>
      <c r="B54" t="str">
        <f>'Data-Kolom'!B55</f>
        <v>Lantai 1</v>
      </c>
      <c r="C54">
        <f>'Data-Kolom'!C55</f>
        <v>0</v>
      </c>
      <c r="D54" t="str">
        <f>'Data-Kolom'!D55</f>
        <v>K4</v>
      </c>
      <c r="E54" t="str">
        <v>D</v>
      </c>
      <c r="F54">
        <f>'Data-Kolom'!U55</f>
        <v>0</v>
      </c>
      <c r="G54">
        <f>'Data-Kolom'!T55</f>
        <v>0</v>
      </c>
      <c r="H54">
        <f>'Data-Kolom'!E55</f>
        <v>170</v>
      </c>
      <c r="I54">
        <f>'Data-Kolom'!F55</f>
        <v>400</v>
      </c>
      <c r="J54">
        <f>'Data-Kolom'!G55</f>
        <v>5500</v>
      </c>
      <c r="K54">
        <v>1</v>
      </c>
      <c r="M54">
        <f>IF(L54&gt;0,VLOOKUP(L54,'Data-PC'!$B$14:$F$56,4,FALSE),0)</f>
        <v>0</v>
      </c>
      <c r="N54">
        <f>'Data-Kolom'!H55</f>
        <v>6</v>
      </c>
      <c r="O54">
        <f>'Data-Kolom'!I55</f>
        <v>16</v>
      </c>
      <c r="P54">
        <f>IF(N54&gt;0,VLOOKUP(O54,$V$2:$X$9,2,FALSE),0)</f>
        <v>1010</v>
      </c>
      <c r="Q54">
        <f>IF(L54&gt;0,M54-50+$N$6*O54,VLOOKUP(O54,$V$2:$X$9,3,FALSE))</f>
        <v>770</v>
      </c>
      <c r="R54">
        <f>IF(E54="F",J54-$N$5+$N$6*O54+Q54,IF(E54="D",J54+Q54+P54,IF(E54="T",J54+P54,IF(E54="A",J54-$N$5+$N$6*O54,0))))</f>
        <v>7280</v>
      </c>
      <c r="T54">
        <f>SUM(R54:S54)</f>
        <v>7280</v>
      </c>
      <c r="U54">
        <f>K54*N54</f>
        <v>6</v>
      </c>
      <c r="V54">
        <f>'Data-Kolom'!J55</f>
        <v>0</v>
      </c>
      <c r="W54">
        <f>'Data-Kolom'!K55</f>
        <v>0</v>
      </c>
      <c r="X54">
        <f>IF(V54&gt;0,VLOOKUP(W54,$V$2:$X$9,2,FALSE),0)</f>
        <v>0</v>
      </c>
      <c r="Y54">
        <f>IF(V54&gt;0,IF(L54&gt;0,M54-50+$N$6*W54,VLOOKUP(W54,$V$2:$X$9,3,FALSE)),0)</f>
        <v>0</v>
      </c>
      <c r="Z54">
        <f>IF(E54="F",J54-$N$5+$N$6*W54+Y54,IF(E54="D",J54+Y54+X54,IF(E54="T",J54+X54,IF(E54="A",J54-$N$5+$N$6*W54,0))))</f>
        <v>5500</v>
      </c>
      <c r="AB54">
        <f>SUM(Z54:AA54)</f>
        <v>5500</v>
      </c>
      <c r="AC54">
        <f>V54*K54</f>
        <v>0</v>
      </c>
      <c r="AD54">
        <f>'Data-Kolom'!L55</f>
        <v>10</v>
      </c>
      <c r="AE54">
        <f>'Data-Kolom'!M55</f>
        <v>100</v>
      </c>
      <c r="AF54">
        <f>'Data-Kolom'!N55</f>
        <v>100</v>
      </c>
      <c r="AG54">
        <f>'Data-Kolom'!O55</f>
        <v>100</v>
      </c>
      <c r="AH54">
        <f>'Data-Kolom'!P55</f>
        <v>0</v>
      </c>
      <c r="AI54">
        <f>'Data-Kolom'!Q55</f>
        <v>0</v>
      </c>
      <c r="AJ54">
        <f>'Data-Kolom'!R55</f>
        <v>0</v>
      </c>
      <c r="AK54">
        <f>'Data-Kolom'!S55</f>
        <v>0</v>
      </c>
      <c r="AL54">
        <f>2*(H54+I54-4*$N$5)+2*MAX($F$5*AD54,75)</f>
        <v>1130</v>
      </c>
      <c r="AM54">
        <f>+AH54*(H54-2*$N$5+2*MAX($F$5*AI54,75))+AJ54*(I54-2*$N$5+2*MAX($F$5*AK54,75))</f>
        <v>0</v>
      </c>
      <c r="AN54">
        <f>(ROUND((1/2*J54+IF(M54&gt;0,(Q54-$N$6*AD54),0))/AE54,0)+(ROUND(1/2*J54/AF54,0)+1))*K54</f>
        <v>57</v>
      </c>
      <c r="AO54">
        <f>H54*I54*J54/1000000000*K54*(1+$T$5)</f>
        <v>0.374</v>
      </c>
      <c r="AP54">
        <f>0.006165*O54^2*T54*U54/1000*(1+$T$6)</f>
        <v>68.9375232</v>
      </c>
      <c r="AQ54">
        <f>0.006165*W54^2*AB54*AC54/1000*(1+$T$6)</f>
        <v>0</v>
      </c>
      <c r="AR54">
        <f>AN54*0.006165*AD54^2*AL54/1000*(1+$T$6)</f>
        <v>39.70876500000001</v>
      </c>
      <c r="AS54">
        <f>AN54*0.006165*AI54^2*AM54/1000*(1+$T$6)</f>
        <v>0</v>
      </c>
      <c r="AT54">
        <f>K54*2*J54*(H54+I54)/1000000*(1+$T$7)</f>
        <v>6.27</v>
      </c>
      <c r="AU54">
        <f>SUM(AP54:AS54)/AO54</f>
        <v>290.4980967914439</v>
      </c>
      <c r="AV54">
        <f>AT54/AO54</f>
        <v>16.76470588235294</v>
      </c>
      <c r="AX54">
        <f>0.006165*O54^2*R54*U54/1000*(1+$T$6)</f>
        <v>68.9375232</v>
      </c>
      <c r="AZ54">
        <f>0.006165*O54^2*S54*U54/1000*(1+$T$6)</f>
        <v>0</v>
      </c>
      <c r="BA54">
        <f>AZ54/AP54</f>
        <v>0</v>
      </c>
    </row>
    <row r="55">
      <c r="A55">
        <f>'Data-Kolom'!A56</f>
        <v>41</v>
      </c>
      <c r="B55" t="str">
        <f>'Data-Kolom'!B56</f>
        <v>Lantai 1</v>
      </c>
      <c r="C55">
        <f>'Data-Kolom'!C56</f>
        <v>0</v>
      </c>
      <c r="D55" t="str">
        <f>'Data-Kolom'!D56</f>
        <v>K4</v>
      </c>
      <c r="E55" t="str">
        <v>D</v>
      </c>
      <c r="F55">
        <f>'Data-Kolom'!U56</f>
        <v>0</v>
      </c>
      <c r="G55">
        <f>'Data-Kolom'!T56</f>
        <v>0</v>
      </c>
      <c r="H55">
        <f>'Data-Kolom'!E56</f>
        <v>170</v>
      </c>
      <c r="I55">
        <f>'Data-Kolom'!F56</f>
        <v>400</v>
      </c>
      <c r="J55">
        <f>'Data-Kolom'!G56</f>
        <v>5500</v>
      </c>
      <c r="K55">
        <v>1</v>
      </c>
      <c r="M55">
        <f>IF(L55&gt;0,VLOOKUP(L55,'Data-PC'!$B$14:$F$56,4,FALSE),0)</f>
        <v>0</v>
      </c>
      <c r="N55">
        <f>'Data-Kolom'!H56</f>
        <v>6</v>
      </c>
      <c r="O55">
        <f>'Data-Kolom'!I56</f>
        <v>16</v>
      </c>
      <c r="P55">
        <f>IF(N55&gt;0,VLOOKUP(O55,$V$2:$X$9,2,FALSE),0)</f>
        <v>1010</v>
      </c>
      <c r="Q55">
        <f>IF(L55&gt;0,M55-50+$N$6*O55,VLOOKUP(O55,$V$2:$X$9,3,FALSE))</f>
        <v>770</v>
      </c>
      <c r="R55">
        <f>IF(E55="F",J55-$N$5+$N$6*O55+Q55,IF(E55="D",J55+Q55+P55,IF(E55="T",J55+P55,IF(E55="A",J55-$N$5+$N$6*O55,0))))</f>
        <v>7280</v>
      </c>
      <c r="T55">
        <f>SUM(R55:S55)</f>
        <v>7280</v>
      </c>
      <c r="U55">
        <f>K55*N55</f>
        <v>6</v>
      </c>
      <c r="V55">
        <f>'Data-Kolom'!J56</f>
        <v>0</v>
      </c>
      <c r="W55">
        <f>'Data-Kolom'!K56</f>
        <v>0</v>
      </c>
      <c r="X55">
        <f>IF(V55&gt;0,VLOOKUP(W55,$V$2:$X$9,2,FALSE),0)</f>
        <v>0</v>
      </c>
      <c r="Y55">
        <f>IF(V55&gt;0,IF(L55&gt;0,M55-50+$N$6*W55,VLOOKUP(W55,$V$2:$X$9,3,FALSE)),0)</f>
        <v>0</v>
      </c>
      <c r="Z55">
        <f>IF(E55="F",J55-$N$5+$N$6*W55+Y55,IF(E55="D",J55+Y55+X55,IF(E55="T",J55+X55,IF(E55="A",J55-$N$5+$N$6*W55,0))))</f>
        <v>5500</v>
      </c>
      <c r="AB55">
        <f>SUM(Z55:AA55)</f>
        <v>5500</v>
      </c>
      <c r="AC55">
        <f>V55*K55</f>
        <v>0</v>
      </c>
      <c r="AD55">
        <f>'Data-Kolom'!L56</f>
        <v>10</v>
      </c>
      <c r="AE55">
        <f>'Data-Kolom'!M56</f>
        <v>100</v>
      </c>
      <c r="AF55">
        <f>'Data-Kolom'!N56</f>
        <v>100</v>
      </c>
      <c r="AG55">
        <f>'Data-Kolom'!O56</f>
        <v>100</v>
      </c>
      <c r="AH55">
        <f>'Data-Kolom'!P56</f>
        <v>0</v>
      </c>
      <c r="AI55">
        <f>'Data-Kolom'!Q56</f>
        <v>0</v>
      </c>
      <c r="AJ55">
        <f>'Data-Kolom'!R56</f>
        <v>0</v>
      </c>
      <c r="AK55">
        <f>'Data-Kolom'!S56</f>
        <v>0</v>
      </c>
      <c r="AL55">
        <f>2*(H55+I55-4*$N$5)+2*MAX($F$5*AD55,75)</f>
        <v>1130</v>
      </c>
      <c r="AM55">
        <f>+AH55*(H55-2*$N$5+2*MAX($F$5*AI55,75))+AJ55*(I55-2*$N$5+2*MAX($F$5*AK55,75))</f>
        <v>0</v>
      </c>
      <c r="AN55">
        <f>(ROUND((1/2*J55+IF(M55&gt;0,(Q55-$N$6*AD55),0))/AE55,0)+(ROUND(1/2*J55/AF55,0)+1))*K55</f>
        <v>57</v>
      </c>
      <c r="AO55">
        <f>H55*I55*J55/1000000000*K55*(1+$T$5)</f>
        <v>0.374</v>
      </c>
      <c r="AP55">
        <f>0.006165*O55^2*T55*U55/1000*(1+$T$6)</f>
        <v>68.9375232</v>
      </c>
      <c r="AQ55">
        <f>0.006165*W55^2*AB55*AC55/1000*(1+$T$6)</f>
        <v>0</v>
      </c>
      <c r="AR55">
        <f>AN55*0.006165*AD55^2*AL55/1000*(1+$T$6)</f>
        <v>39.70876500000001</v>
      </c>
      <c r="AS55">
        <f>AN55*0.006165*AI55^2*AM55/1000*(1+$T$6)</f>
        <v>0</v>
      </c>
      <c r="AT55">
        <f>K55*2*J55*(H55+I55)/1000000*(1+$T$7)</f>
        <v>6.27</v>
      </c>
      <c r="AU55">
        <f>SUM(AP55:AS55)/AO55</f>
        <v>290.4980967914439</v>
      </c>
      <c r="AV55">
        <f>AT55/AO55</f>
        <v>16.76470588235294</v>
      </c>
      <c r="AX55">
        <f>0.006165*O55^2*R55*U55/1000*(1+$T$6)</f>
        <v>68.9375232</v>
      </c>
      <c r="AZ55">
        <f>0.006165*O55^2*S55*U55/1000*(1+$T$6)</f>
        <v>0</v>
      </c>
      <c r="BA55">
        <f>AZ55/AP55</f>
        <v>0</v>
      </c>
    </row>
    <row r="56">
      <c r="A56">
        <f>'Data-Kolom'!A57</f>
        <v>42</v>
      </c>
      <c r="B56" t="str">
        <f>'Data-Kolom'!B57</f>
        <v>Lantai 1</v>
      </c>
      <c r="C56">
        <f>'Data-Kolom'!C57</f>
        <v>0</v>
      </c>
      <c r="D56" t="str">
        <f>'Data-Kolom'!D57</f>
        <v>K4</v>
      </c>
      <c r="E56" t="str">
        <v>D</v>
      </c>
      <c r="F56">
        <f>'Data-Kolom'!U57</f>
        <v>0</v>
      </c>
      <c r="G56">
        <f>'Data-Kolom'!T57</f>
        <v>0</v>
      </c>
      <c r="H56">
        <f>'Data-Kolom'!E57</f>
        <v>170</v>
      </c>
      <c r="I56">
        <f>'Data-Kolom'!F57</f>
        <v>400</v>
      </c>
      <c r="J56">
        <f>'Data-Kolom'!G57</f>
        <v>5500</v>
      </c>
      <c r="K56">
        <v>1</v>
      </c>
      <c r="M56">
        <f>IF(L56&gt;0,VLOOKUP(L56,'Data-PC'!$B$14:$F$56,4,FALSE),0)</f>
        <v>0</v>
      </c>
      <c r="N56">
        <f>'Data-Kolom'!H57</f>
        <v>6</v>
      </c>
      <c r="O56">
        <f>'Data-Kolom'!I57</f>
        <v>16</v>
      </c>
      <c r="P56">
        <f>IF(N56&gt;0,VLOOKUP(O56,$V$2:$X$9,2,FALSE),0)</f>
        <v>1010</v>
      </c>
      <c r="Q56">
        <f>IF(L56&gt;0,M56-50+$N$6*O56,VLOOKUP(O56,$V$2:$X$9,3,FALSE))</f>
        <v>770</v>
      </c>
      <c r="R56">
        <f>IF(E56="F",J56-$N$5+$N$6*O56+Q56,IF(E56="D",J56+Q56+P56,IF(E56="T",J56+P56,IF(E56="A",J56-$N$5+$N$6*O56,0))))</f>
        <v>7280</v>
      </c>
      <c r="T56">
        <f>SUM(R56:S56)</f>
        <v>7280</v>
      </c>
      <c r="U56">
        <f>K56*N56</f>
        <v>6</v>
      </c>
      <c r="V56">
        <f>'Data-Kolom'!J57</f>
        <v>0</v>
      </c>
      <c r="W56">
        <f>'Data-Kolom'!K57</f>
        <v>0</v>
      </c>
      <c r="X56">
        <f>IF(V56&gt;0,VLOOKUP(W56,$V$2:$X$9,2,FALSE),0)</f>
        <v>0</v>
      </c>
      <c r="Y56">
        <f>IF(V56&gt;0,IF(L56&gt;0,M56-50+$N$6*W56,VLOOKUP(W56,$V$2:$X$9,3,FALSE)),0)</f>
        <v>0</v>
      </c>
      <c r="Z56">
        <f>IF(E56="F",J56-$N$5+$N$6*W56+Y56,IF(E56="D",J56+Y56+X56,IF(E56="T",J56+X56,IF(E56="A",J56-$N$5+$N$6*W56,0))))</f>
        <v>5500</v>
      </c>
      <c r="AB56">
        <f>SUM(Z56:AA56)</f>
        <v>5500</v>
      </c>
      <c r="AC56">
        <f>V56*K56</f>
        <v>0</v>
      </c>
      <c r="AD56">
        <f>'Data-Kolom'!L57</f>
        <v>10</v>
      </c>
      <c r="AE56">
        <f>'Data-Kolom'!M57</f>
        <v>100</v>
      </c>
      <c r="AF56">
        <f>'Data-Kolom'!N57</f>
        <v>100</v>
      </c>
      <c r="AG56">
        <f>'Data-Kolom'!O57</f>
        <v>100</v>
      </c>
      <c r="AH56">
        <f>'Data-Kolom'!P57</f>
        <v>0</v>
      </c>
      <c r="AI56">
        <f>'Data-Kolom'!Q57</f>
        <v>0</v>
      </c>
      <c r="AJ56">
        <f>'Data-Kolom'!R57</f>
        <v>0</v>
      </c>
      <c r="AK56">
        <f>'Data-Kolom'!S57</f>
        <v>0</v>
      </c>
      <c r="AL56">
        <f>2*(H56+I56-4*$N$5)+2*MAX($F$5*AD56,75)</f>
        <v>1130</v>
      </c>
      <c r="AM56">
        <f>+AH56*(H56-2*$N$5+2*MAX($F$5*AI56,75))+AJ56*(I56-2*$N$5+2*MAX($F$5*AK56,75))</f>
        <v>0</v>
      </c>
      <c r="AN56">
        <f>(ROUND((1/2*J56+IF(M56&gt;0,(Q56-$N$6*AD56),0))/AE56,0)+(ROUND(1/2*J56/AF56,0)+1))*K56</f>
        <v>57</v>
      </c>
      <c r="AO56">
        <f>H56*I56*J56/1000000000*K56*(1+$T$5)</f>
        <v>0.374</v>
      </c>
      <c r="AP56">
        <f>0.006165*O56^2*T56*U56/1000*(1+$T$6)</f>
        <v>68.9375232</v>
      </c>
      <c r="AQ56">
        <f>0.006165*W56^2*AB56*AC56/1000*(1+$T$6)</f>
        <v>0</v>
      </c>
      <c r="AR56">
        <f>AN56*0.006165*AD56^2*AL56/1000*(1+$T$6)</f>
        <v>39.70876500000001</v>
      </c>
      <c r="AS56">
        <f>AN56*0.006165*AI56^2*AM56/1000*(1+$T$6)</f>
        <v>0</v>
      </c>
      <c r="AT56">
        <f>K56*2*J56*(H56+I56)/1000000*(1+$T$7)</f>
        <v>6.27</v>
      </c>
      <c r="AU56">
        <f>SUM(AP56:AS56)/AO56</f>
        <v>290.4980967914439</v>
      </c>
      <c r="AV56">
        <f>AT56/AO56</f>
        <v>16.76470588235294</v>
      </c>
      <c r="AX56">
        <f>0.006165*O56^2*R56*U56/1000*(1+$T$6)</f>
        <v>68.9375232</v>
      </c>
      <c r="AZ56">
        <f>0.006165*O56^2*S56*U56/1000*(1+$T$6)</f>
        <v>0</v>
      </c>
      <c r="BA56">
        <f>AZ56/AP56</f>
        <v>0</v>
      </c>
    </row>
    <row r="57">
      <c r="A57">
        <f>'Data-Kolom'!A58</f>
        <v>43</v>
      </c>
      <c r="B57" t="str">
        <f>'Data-Kolom'!B58</f>
        <v>Lantai 1</v>
      </c>
      <c r="C57">
        <f>'Data-Kolom'!C58</f>
        <v>0</v>
      </c>
      <c r="D57" t="str">
        <f>'Data-Kolom'!D58</f>
        <v>K4</v>
      </c>
      <c r="E57" t="str">
        <v>D</v>
      </c>
      <c r="F57">
        <f>'Data-Kolom'!U58</f>
        <v>0</v>
      </c>
      <c r="G57">
        <f>'Data-Kolom'!T58</f>
        <v>0</v>
      </c>
      <c r="H57">
        <f>'Data-Kolom'!E58</f>
        <v>170</v>
      </c>
      <c r="I57">
        <f>'Data-Kolom'!F58</f>
        <v>400</v>
      </c>
      <c r="J57">
        <f>'Data-Kolom'!G58</f>
        <v>5500</v>
      </c>
      <c r="K57">
        <v>1</v>
      </c>
      <c r="M57">
        <f>IF(L57&gt;0,VLOOKUP(L57,'Data-PC'!$B$14:$F$56,4,FALSE),0)</f>
        <v>0</v>
      </c>
      <c r="N57">
        <f>'Data-Kolom'!H58</f>
        <v>6</v>
      </c>
      <c r="O57">
        <f>'Data-Kolom'!I58</f>
        <v>16</v>
      </c>
      <c r="P57">
        <f>IF(N57&gt;0,VLOOKUP(O57,$V$2:$X$9,2,FALSE),0)</f>
        <v>1010</v>
      </c>
      <c r="Q57">
        <f>IF(L57&gt;0,M57-50+$N$6*O57,VLOOKUP(O57,$V$2:$X$9,3,FALSE))</f>
        <v>770</v>
      </c>
      <c r="R57">
        <f>IF(E57="F",J57-$N$5+$N$6*O57+Q57,IF(E57="D",J57+Q57+P57,IF(E57="T",J57+P57,IF(E57="A",J57-$N$5+$N$6*O57,0))))</f>
        <v>7280</v>
      </c>
      <c r="T57">
        <f>SUM(R57:S57)</f>
        <v>7280</v>
      </c>
      <c r="U57">
        <f>K57*N57</f>
        <v>6</v>
      </c>
      <c r="V57">
        <f>'Data-Kolom'!J58</f>
        <v>0</v>
      </c>
      <c r="W57">
        <f>'Data-Kolom'!K58</f>
        <v>0</v>
      </c>
      <c r="X57">
        <f>IF(V57&gt;0,VLOOKUP(W57,$V$2:$X$9,2,FALSE),0)</f>
        <v>0</v>
      </c>
      <c r="Y57">
        <f>IF(V57&gt;0,IF(L57&gt;0,M57-50+$N$6*W57,VLOOKUP(W57,$V$2:$X$9,3,FALSE)),0)</f>
        <v>0</v>
      </c>
      <c r="Z57">
        <f>IF(E57="F",J57-$N$5+$N$6*W57+Y57,IF(E57="D",J57+Y57+X57,IF(E57="T",J57+X57,IF(E57="A",J57-$N$5+$N$6*W57,0))))</f>
        <v>5500</v>
      </c>
      <c r="AB57">
        <f>SUM(Z57:AA57)</f>
        <v>5500</v>
      </c>
      <c r="AC57">
        <f>V57*K57</f>
        <v>0</v>
      </c>
      <c r="AD57">
        <f>'Data-Kolom'!L58</f>
        <v>10</v>
      </c>
      <c r="AE57">
        <f>'Data-Kolom'!M58</f>
        <v>100</v>
      </c>
      <c r="AF57">
        <f>'Data-Kolom'!N58</f>
        <v>100</v>
      </c>
      <c r="AG57">
        <f>'Data-Kolom'!O58</f>
        <v>100</v>
      </c>
      <c r="AH57">
        <f>'Data-Kolom'!P58</f>
        <v>0</v>
      </c>
      <c r="AI57">
        <f>'Data-Kolom'!Q58</f>
        <v>0</v>
      </c>
      <c r="AJ57">
        <f>'Data-Kolom'!R58</f>
        <v>0</v>
      </c>
      <c r="AK57">
        <f>'Data-Kolom'!S58</f>
        <v>0</v>
      </c>
      <c r="AL57">
        <f>2*(H57+I57-4*$N$5)+2*MAX($F$5*AD57,75)</f>
        <v>1130</v>
      </c>
      <c r="AM57">
        <f>+AH57*(H57-2*$N$5+2*MAX($F$5*AI57,75))+AJ57*(I57-2*$N$5+2*MAX($F$5*AK57,75))</f>
        <v>0</v>
      </c>
      <c r="AN57">
        <f>(ROUND((1/2*J57+IF(M57&gt;0,(Q57-$N$6*AD57),0))/AE57,0)+(ROUND(1/2*J57/AF57,0)+1))*K57</f>
        <v>57</v>
      </c>
      <c r="AO57">
        <f>H57*I57*J57/1000000000*K57*(1+$T$5)</f>
        <v>0.374</v>
      </c>
      <c r="AP57">
        <f>0.006165*O57^2*T57*U57/1000*(1+$T$6)</f>
        <v>68.9375232</v>
      </c>
      <c r="AQ57">
        <f>0.006165*W57^2*AB57*AC57/1000*(1+$T$6)</f>
        <v>0</v>
      </c>
      <c r="AR57">
        <f>AN57*0.006165*AD57^2*AL57/1000*(1+$T$6)</f>
        <v>39.70876500000001</v>
      </c>
      <c r="AS57">
        <f>AN57*0.006165*AI57^2*AM57/1000*(1+$T$6)</f>
        <v>0</v>
      </c>
      <c r="AT57">
        <f>K57*2*J57*(H57+I57)/1000000*(1+$T$7)</f>
        <v>6.27</v>
      </c>
      <c r="AU57">
        <f>SUM(AP57:AS57)/AO57</f>
        <v>290.4980967914439</v>
      </c>
      <c r="AV57">
        <f>AT57/AO57</f>
        <v>16.76470588235294</v>
      </c>
      <c r="AX57">
        <f>0.006165*O57^2*R57*U57/1000*(1+$T$6)</f>
        <v>68.9375232</v>
      </c>
      <c r="AZ57">
        <f>0.006165*O57^2*S57*U57/1000*(1+$T$6)</f>
        <v>0</v>
      </c>
      <c r="BA57">
        <f>AZ57/AP57</f>
        <v>0</v>
      </c>
    </row>
    <row r="58">
      <c r="A58">
        <f>'Data-Kolom'!A59</f>
        <v>44</v>
      </c>
      <c r="B58" t="str">
        <f>'Data-Kolom'!B59</f>
        <v>Lantai 1</v>
      </c>
      <c r="C58">
        <f>'Data-Kolom'!C59</f>
        <v>0</v>
      </c>
      <c r="D58" t="str">
        <f>'Data-Kolom'!D59</f>
        <v>K25</v>
      </c>
      <c r="E58" t="str">
        <v>D</v>
      </c>
      <c r="F58">
        <f>'Data-Kolom'!U59</f>
        <v>0</v>
      </c>
      <c r="G58">
        <f>'Data-Kolom'!T59</f>
        <v>0</v>
      </c>
      <c r="H58">
        <f>'Data-Kolom'!E59</f>
        <v>200</v>
      </c>
      <c r="I58">
        <f>'Data-Kolom'!F59</f>
        <v>500</v>
      </c>
      <c r="J58">
        <f>'Data-Kolom'!G59</f>
        <v>5500</v>
      </c>
      <c r="K58">
        <v>1</v>
      </c>
      <c r="M58">
        <f>IF(L58&gt;0,VLOOKUP(L58,'Data-PC'!$B$14:$F$56,4,FALSE),0)</f>
        <v>0</v>
      </c>
      <c r="N58">
        <f>'Data-Kolom'!H59</f>
        <v>8</v>
      </c>
      <c r="O58">
        <f>'Data-Kolom'!I59</f>
        <v>16</v>
      </c>
      <c r="P58">
        <f>IF(N58&gt;0,VLOOKUP(O58,$V$2:$X$9,2,FALSE),0)</f>
        <v>1010</v>
      </c>
      <c r="Q58">
        <f>IF(L58&gt;0,M58-50+$N$6*O58,VLOOKUP(O58,$V$2:$X$9,3,FALSE))</f>
        <v>770</v>
      </c>
      <c r="R58">
        <f>IF(E58="F",J58-$N$5+$N$6*O58+Q58,IF(E58="D",J58+Q58+P58,IF(E58="T",J58+P58,IF(E58="A",J58-$N$5+$N$6*O58,0))))</f>
        <v>7280</v>
      </c>
      <c r="T58">
        <f>SUM(R58:S58)</f>
        <v>7280</v>
      </c>
      <c r="U58">
        <f>K58*N58</f>
        <v>8</v>
      </c>
      <c r="V58">
        <f>'Data-Kolom'!J59</f>
        <v>0</v>
      </c>
      <c r="W58">
        <f>'Data-Kolom'!K59</f>
        <v>0</v>
      </c>
      <c r="X58">
        <f>IF(V58&gt;0,VLOOKUP(W58,$V$2:$X$9,2,FALSE),0)</f>
        <v>0</v>
      </c>
      <c r="Y58">
        <f>IF(V58&gt;0,IF(L58&gt;0,M58-50+$N$6*W58,VLOOKUP(W58,$V$2:$X$9,3,FALSE)),0)</f>
        <v>0</v>
      </c>
      <c r="Z58">
        <f>IF(E58="F",J58-$N$5+$N$6*W58+Y58,IF(E58="D",J58+Y58+X58,IF(E58="T",J58+X58,IF(E58="A",J58-$N$5+$N$6*W58,0))))</f>
        <v>5500</v>
      </c>
      <c r="AB58">
        <f>SUM(Z58:AA58)</f>
        <v>5500</v>
      </c>
      <c r="AC58">
        <f>V58*K58</f>
        <v>0</v>
      </c>
      <c r="AD58">
        <f>'Data-Kolom'!L59</f>
        <v>10</v>
      </c>
      <c r="AE58">
        <f>'Data-Kolom'!M59</f>
        <v>100</v>
      </c>
      <c r="AF58">
        <f>'Data-Kolom'!N59</f>
        <v>100</v>
      </c>
      <c r="AG58">
        <f>'Data-Kolom'!O59</f>
        <v>100</v>
      </c>
      <c r="AH58">
        <f>'Data-Kolom'!P59</f>
        <v>1</v>
      </c>
      <c r="AI58">
        <f>'Data-Kolom'!Q59</f>
        <v>10</v>
      </c>
      <c r="AJ58">
        <f>'Data-Kolom'!R59</f>
        <v>0</v>
      </c>
      <c r="AK58">
        <f>'Data-Kolom'!S59</f>
        <v>0</v>
      </c>
      <c r="AL58">
        <f>2*(H58+I58-4*$N$5)+2*MAX($F$5*AD58,75)</f>
        <v>1390</v>
      </c>
      <c r="AM58">
        <f>+AH58*(H58-2*$N$5+2*MAX($F$5*AI58,75))+AJ58*(I58-2*$N$5+2*MAX($F$5*AK58,75))</f>
        <v>310</v>
      </c>
      <c r="AN58">
        <f>(ROUND((1/2*J58+IF(M58&gt;0,(Q58-$N$6*AD58),0))/AE58,0)+(ROUND(1/2*J58/AF58,0)+1))*K58</f>
        <v>57</v>
      </c>
      <c r="AO58">
        <f>H58*I58*J58/1000000000*K58*(1+$T$5)</f>
        <v>0.55</v>
      </c>
      <c r="AP58">
        <f>0.006165*O58^2*T58*U58/1000*(1+$T$6)</f>
        <v>91.9166976</v>
      </c>
      <c r="AQ58">
        <f>0.006165*W58^2*AB58*AC58/1000*(1+$T$6)</f>
        <v>0</v>
      </c>
      <c r="AR58">
        <f>AN58*0.006165*AD58^2*AL58/1000*(1+$T$6)</f>
        <v>48.84529500000001</v>
      </c>
      <c r="AS58">
        <f>AN58*0.006165*AI58^2*AM58/1000*(1+$T$6)</f>
        <v>10.893555000000001</v>
      </c>
      <c r="AT58">
        <f>K58*2*J58*(H58+I58)/1000000*(1+$T$7)</f>
        <v>7.7</v>
      </c>
      <c r="AU58">
        <f>SUM(AP58:AS58)/AO58</f>
        <v>275.73735927272725</v>
      </c>
      <c r="AV58">
        <f>AT58/AO58</f>
        <v>14</v>
      </c>
      <c r="AX58">
        <f>0.006165*O58^2*R58*U58/1000*(1+$T$6)</f>
        <v>91.9166976</v>
      </c>
      <c r="AZ58">
        <f>0.006165*O58^2*S58*U58/1000*(1+$T$6)</f>
        <v>0</v>
      </c>
      <c r="BA58">
        <f>AZ58/AP58</f>
        <v>0</v>
      </c>
    </row>
    <row r="59">
      <c r="A59">
        <f>'Data-Kolom'!A60</f>
        <v>45</v>
      </c>
      <c r="B59" t="str">
        <f>'Data-Kolom'!B60</f>
        <v>Lantai 1</v>
      </c>
      <c r="C59">
        <f>'Data-Kolom'!C60</f>
        <v>0</v>
      </c>
      <c r="D59" t="str">
        <f>'Data-Kolom'!D60</f>
        <v>K24</v>
      </c>
      <c r="E59" t="str">
        <v>F</v>
      </c>
      <c r="F59">
        <f>'Data-Kolom'!U60</f>
        <v>0</v>
      </c>
      <c r="G59">
        <f>'Data-Kolom'!T60</f>
        <v>0</v>
      </c>
      <c r="H59">
        <f>'Data-Kolom'!E60</f>
        <v>200</v>
      </c>
      <c r="I59">
        <f>'Data-Kolom'!F60</f>
        <v>400</v>
      </c>
      <c r="J59">
        <f>'Data-Kolom'!G60</f>
        <v>1700</v>
      </c>
      <c r="K59">
        <v>1</v>
      </c>
      <c r="M59">
        <f>IF(L59&gt;0,VLOOKUP(L59,'Data-PC'!$B$14:$F$56,4,FALSE),0)</f>
        <v>0</v>
      </c>
      <c r="N59">
        <f>'Data-Kolom'!H60</f>
        <v>6</v>
      </c>
      <c r="O59">
        <f>'Data-Kolom'!I60</f>
        <v>16</v>
      </c>
      <c r="P59">
        <f>IF(N59&gt;0,VLOOKUP(O59,$V$2:$X$9,2,FALSE),0)</f>
        <v>1010</v>
      </c>
      <c r="Q59">
        <f>IF(L59&gt;0,M59-50+$N$6*O59,VLOOKUP(O59,$V$2:$X$9,3,FALSE))</f>
        <v>770</v>
      </c>
      <c r="R59">
        <f>IF(E59="F",J59-$N$5+$N$6*O59+Q59,IF(E59="D",J59+Q59+P59,IF(E59="T",J59+P59,IF(E59="A",J59-$N$5+$N$6*O59,0))))</f>
        <v>2642</v>
      </c>
      <c r="T59">
        <f>SUM(R59:S59)</f>
        <v>2642</v>
      </c>
      <c r="U59">
        <f>K59*N59</f>
        <v>6</v>
      </c>
      <c r="V59">
        <f>'Data-Kolom'!J60</f>
        <v>0</v>
      </c>
      <c r="W59">
        <f>'Data-Kolom'!K60</f>
        <v>0</v>
      </c>
      <c r="X59">
        <f>IF(V59&gt;0,VLOOKUP(W59,$V$2:$X$9,2,FALSE),0)</f>
        <v>0</v>
      </c>
      <c r="Y59">
        <f>IF(V59&gt;0,IF(L59&gt;0,M59-50+$N$6*W59,VLOOKUP(W59,$V$2:$X$9,3,FALSE)),0)</f>
        <v>0</v>
      </c>
      <c r="Z59">
        <f>IF(E59="F",J59-$N$5+$N$6*W59+Y59,IF(E59="D",J59+Y59+X59,IF(E59="T",J59+X59,IF(E59="A",J59-$N$5+$N$6*W59,0))))</f>
        <v>1680</v>
      </c>
      <c r="AB59">
        <f>SUM(Z59:AA59)</f>
        <v>1680</v>
      </c>
      <c r="AC59">
        <f>V59*K59</f>
        <v>0</v>
      </c>
      <c r="AD59">
        <f>'Data-Kolom'!L60</f>
        <v>10</v>
      </c>
      <c r="AE59">
        <f>'Data-Kolom'!M60</f>
        <v>100</v>
      </c>
      <c r="AF59">
        <f>'Data-Kolom'!N60</f>
        <v>100</v>
      </c>
      <c r="AG59">
        <f>'Data-Kolom'!O60</f>
        <v>100</v>
      </c>
      <c r="AH59">
        <f>'Data-Kolom'!P60</f>
        <v>1</v>
      </c>
      <c r="AI59">
        <f>'Data-Kolom'!Q60</f>
        <v>10</v>
      </c>
      <c r="AJ59">
        <f>'Data-Kolom'!R60</f>
        <v>0</v>
      </c>
      <c r="AK59">
        <f>'Data-Kolom'!S60</f>
        <v>0</v>
      </c>
      <c r="AL59">
        <f>2*(H59+I59-4*$N$5)+2*MAX($F$5*AD59,75)</f>
        <v>1190</v>
      </c>
      <c r="AM59">
        <f>+AH59*(H59-2*$N$5+2*MAX($F$5*AI59,75))+AJ59*(I59-2*$N$5+2*MAX($F$5*AK59,75))</f>
        <v>310</v>
      </c>
      <c r="AN59">
        <f>(ROUND((1/2*J59+IF(M59&gt;0,(Q59-$N$6*AD59),0))/AE59,0)+(ROUND(1/2*J59/AF59,0)+1))*K59</f>
        <v>19</v>
      </c>
      <c r="AO59">
        <f>H59*I59*J59/1000000000*K59*(1+$T$5)</f>
        <v>0.136</v>
      </c>
      <c r="AP59">
        <f>0.006165*O59^2*T59*U59/1000*(1+$T$6)</f>
        <v>25.01826048</v>
      </c>
      <c r="AQ59">
        <f>0.006165*W59^2*AB59*AC59/1000*(1+$T$6)</f>
        <v>0</v>
      </c>
      <c r="AR59">
        <f>AN59*0.006165*AD59^2*AL59/1000*(1+$T$6)</f>
        <v>13.939065000000001</v>
      </c>
      <c r="AS59">
        <f>AN59*0.006165*AI59^2*AM59/1000*(1+$T$6)</f>
        <v>3.631185</v>
      </c>
      <c r="AT59">
        <f>K59*2*J59*(H59+I59)/1000000*(1+$T$7)</f>
        <v>2.04</v>
      </c>
      <c r="AU59">
        <f>SUM(AP59:AS59)/AO59</f>
        <v>313.15081235294116</v>
      </c>
      <c r="AV59">
        <f>AT59/AO59</f>
        <v>15</v>
      </c>
      <c r="AX59">
        <f>0.006165*O59^2*R59*U59/1000*(1+$T$6)</f>
        <v>25.01826048</v>
      </c>
      <c r="AZ59">
        <f>0.006165*O59^2*S59*U59/1000*(1+$T$6)</f>
        <v>0</v>
      </c>
      <c r="BA59">
        <f>AZ59/AP59</f>
        <v>0</v>
      </c>
    </row>
    <row r="60">
      <c r="A60">
        <f>'Data-Kolom'!A61</f>
        <v>46</v>
      </c>
      <c r="B60" t="str">
        <f>'Data-Kolom'!B61</f>
        <v>Lantai 1</v>
      </c>
      <c r="C60">
        <f>'Data-Kolom'!C61</f>
        <v>0</v>
      </c>
      <c r="D60" t="str">
        <f>'Data-Kolom'!D61</f>
        <v>K24</v>
      </c>
      <c r="E60" t="str">
        <v>F</v>
      </c>
      <c r="F60">
        <f>'Data-Kolom'!U61</f>
        <v>0</v>
      </c>
      <c r="G60">
        <f>'Data-Kolom'!T61</f>
        <v>0</v>
      </c>
      <c r="H60">
        <f>'Data-Kolom'!E61</f>
        <v>200</v>
      </c>
      <c r="I60">
        <f>'Data-Kolom'!F61</f>
        <v>400</v>
      </c>
      <c r="J60">
        <f>'Data-Kolom'!G61</f>
        <v>1700</v>
      </c>
      <c r="K60">
        <v>1</v>
      </c>
      <c r="M60">
        <f>IF(L60&gt;0,VLOOKUP(L60,'Data-PC'!$B$14:$F$56,4,FALSE),0)</f>
        <v>0</v>
      </c>
      <c r="N60">
        <f>'Data-Kolom'!H61</f>
        <v>6</v>
      </c>
      <c r="O60">
        <f>'Data-Kolom'!I61</f>
        <v>16</v>
      </c>
      <c r="P60">
        <f>IF(N60&gt;0,VLOOKUP(O60,$V$2:$X$9,2,FALSE),0)</f>
        <v>1010</v>
      </c>
      <c r="Q60">
        <f>IF(L60&gt;0,M60-50+$N$6*O60,VLOOKUP(O60,$V$2:$X$9,3,FALSE))</f>
        <v>770</v>
      </c>
      <c r="R60">
        <f>IF(E60="F",J60-$N$5+$N$6*O60+Q60,IF(E60="D",J60+Q60+P60,IF(E60="T",J60+P60,IF(E60="A",J60-$N$5+$N$6*O60,0))))</f>
        <v>2642</v>
      </c>
      <c r="T60">
        <f>SUM(R60:S60)</f>
        <v>2642</v>
      </c>
      <c r="U60">
        <f>K60*N60</f>
        <v>6</v>
      </c>
      <c r="V60">
        <f>'Data-Kolom'!J61</f>
        <v>0</v>
      </c>
      <c r="W60">
        <f>'Data-Kolom'!K61</f>
        <v>0</v>
      </c>
      <c r="X60">
        <f>IF(V60&gt;0,VLOOKUP(W60,$V$2:$X$9,2,FALSE),0)</f>
        <v>0</v>
      </c>
      <c r="Y60">
        <f>IF(V60&gt;0,IF(L60&gt;0,M60-50+$N$6*W60,VLOOKUP(W60,$V$2:$X$9,3,FALSE)),0)</f>
        <v>0</v>
      </c>
      <c r="Z60">
        <f>IF(E60="F",J60-$N$5+$N$6*W60+Y60,IF(E60="D",J60+Y60+X60,IF(E60="T",J60+X60,IF(E60="A",J60-$N$5+$N$6*W60,0))))</f>
        <v>1680</v>
      </c>
      <c r="AB60">
        <f>SUM(Z60:AA60)</f>
        <v>1680</v>
      </c>
      <c r="AC60">
        <f>V60*K60</f>
        <v>0</v>
      </c>
      <c r="AD60">
        <f>'Data-Kolom'!L61</f>
        <v>10</v>
      </c>
      <c r="AE60">
        <f>'Data-Kolom'!M61</f>
        <v>100</v>
      </c>
      <c r="AF60">
        <f>'Data-Kolom'!N61</f>
        <v>100</v>
      </c>
      <c r="AG60">
        <f>'Data-Kolom'!O61</f>
        <v>100</v>
      </c>
      <c r="AH60">
        <f>'Data-Kolom'!P61</f>
        <v>1</v>
      </c>
      <c r="AI60">
        <f>'Data-Kolom'!Q61</f>
        <v>10</v>
      </c>
      <c r="AJ60">
        <f>'Data-Kolom'!R61</f>
        <v>0</v>
      </c>
      <c r="AK60">
        <f>'Data-Kolom'!S61</f>
        <v>0</v>
      </c>
      <c r="AL60">
        <f>2*(H60+I60-4*$N$5)+2*MAX($F$5*AD60,75)</f>
        <v>1190</v>
      </c>
      <c r="AM60">
        <f>+AH60*(H60-2*$N$5+2*MAX($F$5*AI60,75))+AJ60*(I60-2*$N$5+2*MAX($F$5*AK60,75))</f>
        <v>310</v>
      </c>
      <c r="AN60">
        <f>(ROUND((1/2*J60+IF(M60&gt;0,(Q60-$N$6*AD60),0))/AE60,0)+(ROUND(1/2*J60/AF60,0)+1))*K60</f>
        <v>19</v>
      </c>
      <c r="AO60">
        <f>H60*I60*J60/1000000000*K60*(1+$T$5)</f>
        <v>0.136</v>
      </c>
      <c r="AP60">
        <f>0.006165*O60^2*T60*U60/1000*(1+$T$6)</f>
        <v>25.01826048</v>
      </c>
      <c r="AQ60">
        <f>0.006165*W60^2*AB60*AC60/1000*(1+$T$6)</f>
        <v>0</v>
      </c>
      <c r="AR60">
        <f>AN60*0.006165*AD60^2*AL60/1000*(1+$T$6)</f>
        <v>13.939065000000001</v>
      </c>
      <c r="AS60">
        <f>AN60*0.006165*AI60^2*AM60/1000*(1+$T$6)</f>
        <v>3.631185</v>
      </c>
      <c r="AT60">
        <f>K60*2*J60*(H60+I60)/1000000*(1+$T$7)</f>
        <v>2.04</v>
      </c>
      <c r="AU60">
        <f>SUM(AP60:AS60)/AO60</f>
        <v>313.15081235294116</v>
      </c>
      <c r="AV60">
        <f>AT60/AO60</f>
        <v>15</v>
      </c>
      <c r="AX60">
        <f>0.006165*O60^2*R60*U60/1000*(1+$T$6)</f>
        <v>25.01826048</v>
      </c>
      <c r="AZ60">
        <f>0.006165*O60^2*S60*U60/1000*(1+$T$6)</f>
        <v>0</v>
      </c>
      <c r="BA60">
        <f>AZ60/AP60</f>
        <v>0</v>
      </c>
    </row>
    <row r="61">
      <c r="A61">
        <f>'Data-Kolom'!A62</f>
        <v>47</v>
      </c>
      <c r="B61" t="str">
        <f>'Data-Kolom'!B62</f>
        <v>Lantai 1</v>
      </c>
      <c r="C61">
        <f>'Data-Kolom'!C62</f>
        <v>0</v>
      </c>
      <c r="D61" t="str">
        <f>'Data-Kolom'!D62</f>
        <v>K24</v>
      </c>
      <c r="E61" t="str">
        <v>F</v>
      </c>
      <c r="F61">
        <f>'Data-Kolom'!U62</f>
        <v>0</v>
      </c>
      <c r="G61">
        <f>'Data-Kolom'!T62</f>
        <v>0</v>
      </c>
      <c r="H61">
        <f>'Data-Kolom'!E62</f>
        <v>200</v>
      </c>
      <c r="I61">
        <f>'Data-Kolom'!F62</f>
        <v>400</v>
      </c>
      <c r="J61">
        <f>'Data-Kolom'!G62</f>
        <v>1700</v>
      </c>
      <c r="K61">
        <v>1</v>
      </c>
      <c r="M61">
        <f>IF(L61&gt;0,VLOOKUP(L61,'Data-PC'!$B$14:$F$56,4,FALSE),0)</f>
        <v>0</v>
      </c>
      <c r="N61">
        <f>'Data-Kolom'!H62</f>
        <v>6</v>
      </c>
      <c r="O61">
        <f>'Data-Kolom'!I62</f>
        <v>16</v>
      </c>
      <c r="P61">
        <f>IF(N61&gt;0,VLOOKUP(O61,$V$2:$X$9,2,FALSE),0)</f>
        <v>1010</v>
      </c>
      <c r="Q61">
        <f>IF(L61&gt;0,M61-50+$N$6*O61,VLOOKUP(O61,$V$2:$X$9,3,FALSE))</f>
        <v>770</v>
      </c>
      <c r="R61">
        <f>IF(E61="F",J61-$N$5+$N$6*O61+Q61,IF(E61="D",J61+Q61+P61,IF(E61="T",J61+P61,IF(E61="A",J61-$N$5+$N$6*O61,0))))</f>
        <v>2642</v>
      </c>
      <c r="T61">
        <f>SUM(R61:S61)</f>
        <v>2642</v>
      </c>
      <c r="U61">
        <f>K61*N61</f>
        <v>6</v>
      </c>
      <c r="V61">
        <f>'Data-Kolom'!J62</f>
        <v>0</v>
      </c>
      <c r="W61">
        <f>'Data-Kolom'!K62</f>
        <v>0</v>
      </c>
      <c r="X61">
        <f>IF(V61&gt;0,VLOOKUP(W61,$V$2:$X$9,2,FALSE),0)</f>
        <v>0</v>
      </c>
      <c r="Y61">
        <f>IF(V61&gt;0,IF(L61&gt;0,M61-50+$N$6*W61,VLOOKUP(W61,$V$2:$X$9,3,FALSE)),0)</f>
        <v>0</v>
      </c>
      <c r="Z61">
        <f>IF(E61="F",J61-$N$5+$N$6*W61+Y61,IF(E61="D",J61+Y61+X61,IF(E61="T",J61+X61,IF(E61="A",J61-$N$5+$N$6*W61,0))))</f>
        <v>1680</v>
      </c>
      <c r="AB61">
        <f>SUM(Z61:AA61)</f>
        <v>1680</v>
      </c>
      <c r="AC61">
        <f>V61*K61</f>
        <v>0</v>
      </c>
      <c r="AD61">
        <f>'Data-Kolom'!L62</f>
        <v>10</v>
      </c>
      <c r="AE61">
        <f>'Data-Kolom'!M62</f>
        <v>100</v>
      </c>
      <c r="AF61">
        <f>'Data-Kolom'!N62</f>
        <v>100</v>
      </c>
      <c r="AG61">
        <f>'Data-Kolom'!O62</f>
        <v>100</v>
      </c>
      <c r="AH61">
        <f>'Data-Kolom'!P62</f>
        <v>1</v>
      </c>
      <c r="AI61">
        <f>'Data-Kolom'!Q62</f>
        <v>10</v>
      </c>
      <c r="AJ61">
        <f>'Data-Kolom'!R62</f>
        <v>0</v>
      </c>
      <c r="AK61">
        <f>'Data-Kolom'!S62</f>
        <v>0</v>
      </c>
      <c r="AL61">
        <f>2*(H61+I61-4*$N$5)+2*MAX($F$5*AD61,75)</f>
        <v>1190</v>
      </c>
      <c r="AM61">
        <f>+AH61*(H61-2*$N$5+2*MAX($F$5*AI61,75))+AJ61*(I61-2*$N$5+2*MAX($F$5*AK61,75))</f>
        <v>310</v>
      </c>
      <c r="AN61">
        <f>(ROUND((1/2*J61+IF(M61&gt;0,(Q61-$N$6*AD61),0))/AE61,0)+(ROUND(1/2*J61/AF61,0)+1))*K61</f>
        <v>19</v>
      </c>
      <c r="AO61">
        <f>H61*I61*J61/1000000000*K61*(1+$T$5)</f>
        <v>0.136</v>
      </c>
      <c r="AP61">
        <f>0.006165*O61^2*T61*U61/1000*(1+$T$6)</f>
        <v>25.01826048</v>
      </c>
      <c r="AQ61">
        <f>0.006165*W61^2*AB61*AC61/1000*(1+$T$6)</f>
        <v>0</v>
      </c>
      <c r="AR61">
        <f>AN61*0.006165*AD61^2*AL61/1000*(1+$T$6)</f>
        <v>13.939065000000001</v>
      </c>
      <c r="AS61">
        <f>AN61*0.006165*AI61^2*AM61/1000*(1+$T$6)</f>
        <v>3.631185</v>
      </c>
      <c r="AT61">
        <f>K61*2*J61*(H61+I61)/1000000*(1+$T$7)</f>
        <v>2.04</v>
      </c>
      <c r="AU61">
        <f>SUM(AP61:AS61)/AO61</f>
        <v>313.15081235294116</v>
      </c>
      <c r="AV61">
        <f>AT61/AO61</f>
        <v>15</v>
      </c>
      <c r="AX61">
        <f>0.006165*O61^2*R61*U61/1000*(1+$T$6)</f>
        <v>25.01826048</v>
      </c>
      <c r="AZ61">
        <f>0.006165*O61^2*S61*U61/1000*(1+$T$6)</f>
        <v>0</v>
      </c>
      <c r="BA61">
        <f>AZ61/AP61</f>
        <v>0</v>
      </c>
    </row>
    <row r="62">
      <c r="A62">
        <f>'Data-Kolom'!A63</f>
        <v>48</v>
      </c>
      <c r="B62" t="str">
        <f>'Data-Kolom'!B63</f>
        <v>Lantai 1</v>
      </c>
      <c r="C62">
        <f>'Data-Kolom'!C63</f>
        <v>0</v>
      </c>
      <c r="D62" t="str">
        <f>'Data-Kolom'!D63</f>
        <v>K24</v>
      </c>
      <c r="E62" t="str">
        <v>F</v>
      </c>
      <c r="F62">
        <f>'Data-Kolom'!U63</f>
        <v>0</v>
      </c>
      <c r="G62">
        <f>'Data-Kolom'!T63</f>
        <v>0</v>
      </c>
      <c r="H62">
        <f>'Data-Kolom'!E63</f>
        <v>200</v>
      </c>
      <c r="I62">
        <f>'Data-Kolom'!F63</f>
        <v>400</v>
      </c>
      <c r="J62">
        <f>'Data-Kolom'!G63</f>
        <v>1700</v>
      </c>
      <c r="K62">
        <v>1</v>
      </c>
      <c r="M62">
        <f>IF(L62&gt;0,VLOOKUP(L62,'Data-PC'!$B$14:$F$56,4,FALSE),0)</f>
        <v>0</v>
      </c>
      <c r="N62">
        <f>'Data-Kolom'!H63</f>
        <v>6</v>
      </c>
      <c r="O62">
        <f>'Data-Kolom'!I63</f>
        <v>16</v>
      </c>
      <c r="P62">
        <f>IF(N62&gt;0,VLOOKUP(O62,$V$2:$X$9,2,FALSE),0)</f>
        <v>1010</v>
      </c>
      <c r="Q62">
        <f>IF(L62&gt;0,M62-50+$N$6*O62,VLOOKUP(O62,$V$2:$X$9,3,FALSE))</f>
        <v>770</v>
      </c>
      <c r="R62">
        <f>IF(E62="F",J62-$N$5+$N$6*O62+Q62,IF(E62="D",J62+Q62+P62,IF(E62="T",J62+P62,IF(E62="A",J62-$N$5+$N$6*O62,0))))</f>
        <v>2642</v>
      </c>
      <c r="T62">
        <f>SUM(R62:S62)</f>
        <v>2642</v>
      </c>
      <c r="U62">
        <f>K62*N62</f>
        <v>6</v>
      </c>
      <c r="V62">
        <f>'Data-Kolom'!J63</f>
        <v>0</v>
      </c>
      <c r="W62">
        <f>'Data-Kolom'!K63</f>
        <v>0</v>
      </c>
      <c r="X62">
        <f>IF(V62&gt;0,VLOOKUP(W62,$V$2:$X$9,2,FALSE),0)</f>
        <v>0</v>
      </c>
      <c r="Y62">
        <f>IF(V62&gt;0,IF(L62&gt;0,M62-50+$N$6*W62,VLOOKUP(W62,$V$2:$X$9,3,FALSE)),0)</f>
        <v>0</v>
      </c>
      <c r="Z62">
        <f>IF(E62="F",J62-$N$5+$N$6*W62+Y62,IF(E62="D",J62+Y62+X62,IF(E62="T",J62+X62,IF(E62="A",J62-$N$5+$N$6*W62,0))))</f>
        <v>1680</v>
      </c>
      <c r="AB62">
        <f>SUM(Z62:AA62)</f>
        <v>1680</v>
      </c>
      <c r="AC62">
        <f>V62*K62</f>
        <v>0</v>
      </c>
      <c r="AD62">
        <f>'Data-Kolom'!L63</f>
        <v>10</v>
      </c>
      <c r="AE62">
        <f>'Data-Kolom'!M63</f>
        <v>100</v>
      </c>
      <c r="AF62">
        <f>'Data-Kolom'!N63</f>
        <v>100</v>
      </c>
      <c r="AG62">
        <f>'Data-Kolom'!O63</f>
        <v>100</v>
      </c>
      <c r="AH62">
        <f>'Data-Kolom'!P63</f>
        <v>1</v>
      </c>
      <c r="AI62">
        <f>'Data-Kolom'!Q63</f>
        <v>10</v>
      </c>
      <c r="AJ62">
        <f>'Data-Kolom'!R63</f>
        <v>0</v>
      </c>
      <c r="AK62">
        <f>'Data-Kolom'!S63</f>
        <v>0</v>
      </c>
      <c r="AL62">
        <f>2*(H62+I62-4*$N$5)+2*MAX($F$5*AD62,75)</f>
        <v>1190</v>
      </c>
      <c r="AM62">
        <f>+AH62*(H62-2*$N$5+2*MAX($F$5*AI62,75))+AJ62*(I62-2*$N$5+2*MAX($F$5*AK62,75))</f>
        <v>310</v>
      </c>
      <c r="AN62">
        <f>(ROUND((1/2*J62+IF(M62&gt;0,(Q62-$N$6*AD62),0))/AE62,0)+(ROUND(1/2*J62/AF62,0)+1))*K62</f>
        <v>19</v>
      </c>
      <c r="AO62">
        <f>H62*I62*J62/1000000000*K62*(1+$T$5)</f>
        <v>0.136</v>
      </c>
      <c r="AP62">
        <f>0.006165*O62^2*T62*U62/1000*(1+$T$6)</f>
        <v>25.01826048</v>
      </c>
      <c r="AQ62">
        <f>0.006165*W62^2*AB62*AC62/1000*(1+$T$6)</f>
        <v>0</v>
      </c>
      <c r="AR62">
        <f>AN62*0.006165*AD62^2*AL62/1000*(1+$T$6)</f>
        <v>13.939065000000001</v>
      </c>
      <c r="AS62">
        <f>AN62*0.006165*AI62^2*AM62/1000*(1+$T$6)</f>
        <v>3.631185</v>
      </c>
      <c r="AT62">
        <f>K62*2*J62*(H62+I62)/1000000*(1+$T$7)</f>
        <v>2.04</v>
      </c>
      <c r="AU62">
        <f>SUM(AP62:AS62)/AO62</f>
        <v>313.15081235294116</v>
      </c>
      <c r="AV62">
        <f>AT62/AO62</f>
        <v>15</v>
      </c>
      <c r="AX62">
        <f>0.006165*O62^2*R62*U62/1000*(1+$T$6)</f>
        <v>25.01826048</v>
      </c>
      <c r="AZ62">
        <f>0.006165*O62^2*S62*U62/1000*(1+$T$6)</f>
        <v>0</v>
      </c>
      <c r="BA62">
        <f>AZ62/AP62</f>
        <v>0</v>
      </c>
    </row>
    <row r="63">
      <c r="A63">
        <f>'Data-Kolom'!A64</f>
        <v>49</v>
      </c>
      <c r="B63" t="str">
        <f>'Data-Kolom'!B64</f>
        <v>Lantai 1</v>
      </c>
      <c r="C63">
        <f>'Data-Kolom'!C64</f>
        <v>0</v>
      </c>
      <c r="D63" t="str">
        <f>'Data-Kolom'!D64</f>
        <v>K24</v>
      </c>
      <c r="E63" t="str">
        <v>F</v>
      </c>
      <c r="F63">
        <f>'Data-Kolom'!U64</f>
        <v>0</v>
      </c>
      <c r="G63">
        <f>'Data-Kolom'!T64</f>
        <v>0</v>
      </c>
      <c r="H63">
        <f>'Data-Kolom'!E64</f>
        <v>200</v>
      </c>
      <c r="I63">
        <f>'Data-Kolom'!F64</f>
        <v>400</v>
      </c>
      <c r="J63">
        <f>'Data-Kolom'!G64</f>
        <v>1700</v>
      </c>
      <c r="K63">
        <v>1</v>
      </c>
      <c r="M63">
        <f>IF(L63&gt;0,VLOOKUP(L63,'Data-PC'!$B$14:$F$56,4,FALSE),0)</f>
        <v>0</v>
      </c>
      <c r="N63">
        <f>'Data-Kolom'!H64</f>
        <v>6</v>
      </c>
      <c r="O63">
        <f>'Data-Kolom'!I64</f>
        <v>16</v>
      </c>
      <c r="P63">
        <f>IF(N63&gt;0,VLOOKUP(O63,$V$2:$X$9,2,FALSE),0)</f>
        <v>1010</v>
      </c>
      <c r="Q63">
        <f>IF(L63&gt;0,M63-50+$N$6*O63,VLOOKUP(O63,$V$2:$X$9,3,FALSE))</f>
        <v>770</v>
      </c>
      <c r="R63">
        <f>IF(E63="F",J63-$N$5+$N$6*O63+Q63,IF(E63="D",J63+Q63+P63,IF(E63="T",J63+P63,IF(E63="A",J63-$N$5+$N$6*O63,0))))</f>
        <v>2642</v>
      </c>
      <c r="T63">
        <f>SUM(R63:S63)</f>
        <v>2642</v>
      </c>
      <c r="U63">
        <f>K63*N63</f>
        <v>6</v>
      </c>
      <c r="V63">
        <f>'Data-Kolom'!J64</f>
        <v>0</v>
      </c>
      <c r="W63">
        <f>'Data-Kolom'!K64</f>
        <v>0</v>
      </c>
      <c r="X63">
        <f>IF(V63&gt;0,VLOOKUP(W63,$V$2:$X$9,2,FALSE),0)</f>
        <v>0</v>
      </c>
      <c r="Y63">
        <f>IF(V63&gt;0,IF(L63&gt;0,M63-50+$N$6*W63,VLOOKUP(W63,$V$2:$X$9,3,FALSE)),0)</f>
        <v>0</v>
      </c>
      <c r="Z63">
        <f>IF(E63="F",J63-$N$5+$N$6*W63+Y63,IF(E63="D",J63+Y63+X63,IF(E63="T",J63+X63,IF(E63="A",J63-$N$5+$N$6*W63,0))))</f>
        <v>1680</v>
      </c>
      <c r="AB63">
        <f>SUM(Z63:AA63)</f>
        <v>1680</v>
      </c>
      <c r="AC63">
        <f>V63*K63</f>
        <v>0</v>
      </c>
      <c r="AD63">
        <f>'Data-Kolom'!L64</f>
        <v>10</v>
      </c>
      <c r="AE63">
        <f>'Data-Kolom'!M64</f>
        <v>100</v>
      </c>
      <c r="AF63">
        <f>'Data-Kolom'!N64</f>
        <v>100</v>
      </c>
      <c r="AG63">
        <f>'Data-Kolom'!O64</f>
        <v>100</v>
      </c>
      <c r="AH63">
        <f>'Data-Kolom'!P64</f>
        <v>1</v>
      </c>
      <c r="AI63">
        <f>'Data-Kolom'!Q64</f>
        <v>10</v>
      </c>
      <c r="AJ63">
        <f>'Data-Kolom'!R64</f>
        <v>0</v>
      </c>
      <c r="AK63">
        <f>'Data-Kolom'!S64</f>
        <v>0</v>
      </c>
      <c r="AL63">
        <f>2*(H63+I63-4*$N$5)+2*MAX($F$5*AD63,75)</f>
        <v>1190</v>
      </c>
      <c r="AM63">
        <f>+AH63*(H63-2*$N$5+2*MAX($F$5*AI63,75))+AJ63*(I63-2*$N$5+2*MAX($F$5*AK63,75))</f>
        <v>310</v>
      </c>
      <c r="AN63">
        <f>(ROUND((1/2*J63+IF(M63&gt;0,(Q63-$N$6*AD63),0))/AE63,0)+(ROUND(1/2*J63/AF63,0)+1))*K63</f>
        <v>19</v>
      </c>
      <c r="AO63">
        <f>H63*I63*J63/1000000000*K63*(1+$T$5)</f>
        <v>0.136</v>
      </c>
      <c r="AP63">
        <f>0.006165*O63^2*T63*U63/1000*(1+$T$6)</f>
        <v>25.01826048</v>
      </c>
      <c r="AQ63">
        <f>0.006165*W63^2*AB63*AC63/1000*(1+$T$6)</f>
        <v>0</v>
      </c>
      <c r="AR63">
        <f>AN63*0.006165*AD63^2*AL63/1000*(1+$T$6)</f>
        <v>13.939065000000001</v>
      </c>
      <c r="AS63">
        <f>AN63*0.006165*AI63^2*AM63/1000*(1+$T$6)</f>
        <v>3.631185</v>
      </c>
      <c r="AT63">
        <f>K63*2*J63*(H63+I63)/1000000*(1+$T$7)</f>
        <v>2.04</v>
      </c>
      <c r="AU63">
        <f>SUM(AP63:AS63)/AO63</f>
        <v>313.15081235294116</v>
      </c>
      <c r="AV63">
        <f>AT63/AO63</f>
        <v>15</v>
      </c>
      <c r="AX63">
        <f>0.006165*O63^2*R63*U63/1000*(1+$T$6)</f>
        <v>25.01826048</v>
      </c>
      <c r="AZ63">
        <f>0.006165*O63^2*S63*U63/1000*(1+$T$6)</f>
        <v>0</v>
      </c>
      <c r="BA63">
        <f>AZ63/AP63</f>
        <v>0</v>
      </c>
    </row>
    <row r="64">
      <c r="A64">
        <f>'Data-Kolom'!A65</f>
        <v>50</v>
      </c>
      <c r="B64" t="str">
        <f>'Data-Kolom'!B65</f>
        <v>Lantai 1</v>
      </c>
      <c r="C64">
        <f>'Data-Kolom'!C65</f>
        <v>0</v>
      </c>
      <c r="D64" t="str">
        <f>'Data-Kolom'!D65</f>
        <v>K24</v>
      </c>
      <c r="E64" t="str">
        <v>F</v>
      </c>
      <c r="F64">
        <f>'Data-Kolom'!U65</f>
        <v>0</v>
      </c>
      <c r="G64">
        <f>'Data-Kolom'!T65</f>
        <v>0</v>
      </c>
      <c r="H64">
        <f>'Data-Kolom'!E65</f>
        <v>200</v>
      </c>
      <c r="I64">
        <f>'Data-Kolom'!F65</f>
        <v>400</v>
      </c>
      <c r="J64">
        <f>'Data-Kolom'!G65</f>
        <v>1700</v>
      </c>
      <c r="K64">
        <v>1</v>
      </c>
      <c r="M64">
        <f>IF(L64&gt;0,VLOOKUP(L64,'Data-PC'!$B$14:$F$56,4,FALSE),0)</f>
        <v>0</v>
      </c>
      <c r="N64">
        <f>'Data-Kolom'!H65</f>
        <v>6</v>
      </c>
      <c r="O64">
        <f>'Data-Kolom'!I65</f>
        <v>16</v>
      </c>
      <c r="P64">
        <f>IF(N64&gt;0,VLOOKUP(O64,$V$2:$X$9,2,FALSE),0)</f>
        <v>1010</v>
      </c>
      <c r="Q64">
        <f>IF(L64&gt;0,M64-50+$N$6*O64,VLOOKUP(O64,$V$2:$X$9,3,FALSE))</f>
        <v>770</v>
      </c>
      <c r="R64">
        <f>IF(E64="F",J64-$N$5+$N$6*O64+Q64,IF(E64="D",J64+Q64+P64,IF(E64="T",J64+P64,IF(E64="A",J64-$N$5+$N$6*O64,0))))</f>
        <v>2642</v>
      </c>
      <c r="T64">
        <f>SUM(R64:S64)</f>
        <v>2642</v>
      </c>
      <c r="U64">
        <f>K64*N64</f>
        <v>6</v>
      </c>
      <c r="V64">
        <f>'Data-Kolom'!J65</f>
        <v>0</v>
      </c>
      <c r="W64">
        <f>'Data-Kolom'!K65</f>
        <v>0</v>
      </c>
      <c r="X64">
        <f>IF(V64&gt;0,VLOOKUP(W64,$V$2:$X$9,2,FALSE),0)</f>
        <v>0</v>
      </c>
      <c r="Y64">
        <f>IF(V64&gt;0,IF(L64&gt;0,M64-50+$N$6*W64,VLOOKUP(W64,$V$2:$X$9,3,FALSE)),0)</f>
        <v>0</v>
      </c>
      <c r="Z64">
        <f>IF(E64="F",J64-$N$5+$N$6*W64+Y64,IF(E64="D",J64+Y64+X64,IF(E64="T",J64+X64,IF(E64="A",J64-$N$5+$N$6*W64,0))))</f>
        <v>1680</v>
      </c>
      <c r="AB64">
        <f>SUM(Z64:AA64)</f>
        <v>1680</v>
      </c>
      <c r="AC64">
        <f>V64*K64</f>
        <v>0</v>
      </c>
      <c r="AD64">
        <f>'Data-Kolom'!L65</f>
        <v>10</v>
      </c>
      <c r="AE64">
        <f>'Data-Kolom'!M65</f>
        <v>100</v>
      </c>
      <c r="AF64">
        <f>'Data-Kolom'!N65</f>
        <v>100</v>
      </c>
      <c r="AG64">
        <f>'Data-Kolom'!O65</f>
        <v>100</v>
      </c>
      <c r="AH64">
        <f>'Data-Kolom'!P65</f>
        <v>1</v>
      </c>
      <c r="AI64">
        <f>'Data-Kolom'!Q65</f>
        <v>10</v>
      </c>
      <c r="AJ64">
        <f>'Data-Kolom'!R65</f>
        <v>0</v>
      </c>
      <c r="AK64">
        <f>'Data-Kolom'!S65</f>
        <v>0</v>
      </c>
      <c r="AL64">
        <f>2*(H64+I64-4*$N$5)+2*MAX($F$5*AD64,75)</f>
        <v>1190</v>
      </c>
      <c r="AM64">
        <f>+AH64*(H64-2*$N$5+2*MAX($F$5*AI64,75))+AJ64*(I64-2*$N$5+2*MAX($F$5*AK64,75))</f>
        <v>310</v>
      </c>
      <c r="AN64">
        <f>(ROUND((1/2*J64+IF(M64&gt;0,(Q64-$N$6*AD64),0))/AE64,0)+(ROUND(1/2*J64/AF64,0)+1))*K64</f>
        <v>19</v>
      </c>
      <c r="AO64">
        <f>H64*I64*J64/1000000000*K64*(1+$T$5)</f>
        <v>0.136</v>
      </c>
      <c r="AP64">
        <f>0.006165*O64^2*T64*U64/1000*(1+$T$6)</f>
        <v>25.01826048</v>
      </c>
      <c r="AQ64">
        <f>0.006165*W64^2*AB64*AC64/1000*(1+$T$6)</f>
        <v>0</v>
      </c>
      <c r="AR64">
        <f>AN64*0.006165*AD64^2*AL64/1000*(1+$T$6)</f>
        <v>13.939065000000001</v>
      </c>
      <c r="AS64">
        <f>AN64*0.006165*AI64^2*AM64/1000*(1+$T$6)</f>
        <v>3.631185</v>
      </c>
      <c r="AT64">
        <f>K64*2*J64*(H64+I64)/1000000*(1+$T$7)</f>
        <v>2.04</v>
      </c>
      <c r="AU64">
        <f>SUM(AP64:AS64)/AO64</f>
        <v>313.15081235294116</v>
      </c>
      <c r="AV64">
        <f>AT64/AO64</f>
        <v>15</v>
      </c>
      <c r="AX64">
        <f>0.006165*O64^2*R64*U64/1000*(1+$T$6)</f>
        <v>25.01826048</v>
      </c>
      <c r="AZ64">
        <f>0.006165*O64^2*S64*U64/1000*(1+$T$6)</f>
        <v>0</v>
      </c>
      <c r="BA64">
        <f>AZ64/AP64</f>
        <v>0</v>
      </c>
    </row>
    <row r="66">
      <c r="A66">
        <f>'Data-Kolom'!A67</f>
        <v>1</v>
      </c>
      <c r="B66" t="str">
        <f>'Data-Kolom'!B67</f>
        <v>Lantai 2</v>
      </c>
      <c r="C66">
        <f>'Data-Kolom'!C67</f>
        <v>0</v>
      </c>
      <c r="D66" t="str">
        <f>'Data-Kolom'!D67</f>
        <v>K5</v>
      </c>
      <c r="E66" t="str">
        <v>T</v>
      </c>
      <c r="F66">
        <f>'Data-Kolom'!U67</f>
        <v>0</v>
      </c>
      <c r="G66">
        <f>'Data-Kolom'!T67</f>
        <v>0</v>
      </c>
      <c r="H66">
        <f>'Data-Kolom'!E67</f>
        <v>170</v>
      </c>
      <c r="I66">
        <f>'Data-Kolom'!F67</f>
        <v>500</v>
      </c>
      <c r="J66">
        <f>'Data-Kolom'!G67</f>
        <v>4500</v>
      </c>
      <c r="K66">
        <v>1</v>
      </c>
      <c r="M66">
        <f>IF(L66&gt;0,VLOOKUP(L66,'Data-PC'!$B$14:$F$56,4,FALSE),0)</f>
        <v>0</v>
      </c>
      <c r="N66">
        <f>'Data-Kolom'!H67</f>
        <v>8</v>
      </c>
      <c r="O66">
        <f>'Data-Kolom'!I67</f>
        <v>16</v>
      </c>
      <c r="P66">
        <f>IF(N66&gt;0,VLOOKUP(O66,$V$2:$X$9,2,FALSE),0)</f>
        <v>1010</v>
      </c>
      <c r="Q66">
        <f>IF(L66&gt;0,M66-50+$N$6*O66,VLOOKUP(O66,$V$2:$X$9,3,FALSE))</f>
        <v>770</v>
      </c>
      <c r="R66">
        <f>IF(E66="F",J66-$N$5+$N$6*O66+Q66,IF(E66="D",J66+Q66+P66,IF(E66="T",J66+P66,IF(E66="A",J66-$N$5+$N$6*O66,0))))</f>
        <v>5510</v>
      </c>
      <c r="T66">
        <f>SUM(R66:S66)</f>
        <v>5510</v>
      </c>
      <c r="U66">
        <f>K66*N66</f>
        <v>8</v>
      </c>
      <c r="V66">
        <f>'Data-Kolom'!J67</f>
        <v>0</v>
      </c>
      <c r="W66">
        <f>'Data-Kolom'!K67</f>
        <v>0</v>
      </c>
      <c r="X66">
        <f>IF(V66&gt;0,VLOOKUP(W66,$V$2:$X$9,2,FALSE),0)</f>
        <v>0</v>
      </c>
      <c r="Y66">
        <f>IF(V66&gt;0,IF(L66&gt;0,M66-50+$N$6*W66,VLOOKUP(W66,$V$2:$X$9,3,FALSE)),0)</f>
        <v>0</v>
      </c>
      <c r="Z66">
        <f>IF(E66="F",J66-$N$5+$N$6*W66+Y66,IF(E66="D",J66+Y66+X66,IF(E66="T",J66+X66,IF(E66="A",J66-$N$5+$N$6*W66,0))))</f>
        <v>4500</v>
      </c>
      <c r="AB66">
        <f>SUM(Z66:AA66)</f>
        <v>4500</v>
      </c>
      <c r="AC66">
        <f>V66*K66</f>
        <v>0</v>
      </c>
      <c r="AD66">
        <f>'Data-Kolom'!L67</f>
        <v>10</v>
      </c>
      <c r="AE66">
        <f>'Data-Kolom'!M67</f>
        <v>100</v>
      </c>
      <c r="AF66">
        <f>'Data-Kolom'!N67</f>
        <v>100</v>
      </c>
      <c r="AG66">
        <f>'Data-Kolom'!O67</f>
        <v>100</v>
      </c>
      <c r="AH66">
        <f>'Data-Kolom'!P67</f>
        <v>1</v>
      </c>
      <c r="AI66">
        <f>'Data-Kolom'!Q67</f>
        <v>10</v>
      </c>
      <c r="AJ66">
        <f>'Data-Kolom'!R67</f>
        <v>0</v>
      </c>
      <c r="AK66">
        <f>'Data-Kolom'!S67</f>
        <v>0</v>
      </c>
      <c r="AL66">
        <f>2*(H66+I66-4*$N$5)+2*MAX($F$5*AD66,75)</f>
        <v>1330</v>
      </c>
      <c r="AM66">
        <f>+AH66*(H66-2*$N$5+2*MAX($F$5*AI66,75))+AJ66*(I66-2*$N$5+2*MAX($F$5*AK66,75))</f>
        <v>280</v>
      </c>
      <c r="AN66">
        <f>(ROUND((1/2*J66+IF(M66&gt;0,(Q66-$N$6*AD66),0))/AE66,0)+(ROUND(1/2*J66/AF66,0)+1))*K66</f>
        <v>47</v>
      </c>
      <c r="AO66">
        <f>H66*I66*J66/1000000000*K66*(1+$T$5)</f>
        <v>0.3825</v>
      </c>
      <c r="AP66">
        <f>0.006165*O66^2*T66*U66/1000*(1+$T$6)</f>
        <v>69.5688192</v>
      </c>
      <c r="AQ66">
        <f>0.006165*W66^2*AB66*AC66/1000*(1+$T$6)</f>
        <v>0</v>
      </c>
      <c r="AR66">
        <f>AN66*0.006165*AD66^2*AL66/1000*(1+$T$6)</f>
        <v>38.53741500000001</v>
      </c>
      <c r="AS66">
        <f>AN66*0.006165*AI66^2*AM66/1000*(1+$T$6)</f>
        <v>8.113140000000001</v>
      </c>
      <c r="AT66">
        <f>K66*2*J66*(H66+I66)/1000000*(1+$T$7)</f>
        <v>6.03</v>
      </c>
      <c r="AU66">
        <f>SUM(AP66:AS66)/AO66</f>
        <v>303.8415011764706</v>
      </c>
      <c r="AV66">
        <f>AT66/AO66</f>
        <v>15.764705882352942</v>
      </c>
      <c r="AX66">
        <f>0.006165*O66^2*R66*U66/1000*(1+$T$6)</f>
        <v>69.5688192</v>
      </c>
      <c r="AZ66">
        <f>0.006165*O66^2*S66*U66/1000*(1+$T$6)</f>
        <v>0</v>
      </c>
      <c r="BA66">
        <f>AZ66/AP66</f>
        <v>0</v>
      </c>
    </row>
    <row r="67">
      <c r="A67">
        <f>'Data-Kolom'!A68</f>
        <v>2</v>
      </c>
      <c r="B67" t="str">
        <f>'Data-Kolom'!B68</f>
        <v>Lantai 2</v>
      </c>
      <c r="C67">
        <f>'Data-Kolom'!C68</f>
        <v>0</v>
      </c>
      <c r="D67" t="str">
        <f>'Data-Kolom'!D68</f>
        <v>K5</v>
      </c>
      <c r="E67" t="str">
        <v>T</v>
      </c>
      <c r="F67">
        <f>'Data-Kolom'!U68</f>
        <v>0</v>
      </c>
      <c r="G67">
        <f>'Data-Kolom'!T68</f>
        <v>0</v>
      </c>
      <c r="H67">
        <f>'Data-Kolom'!E68</f>
        <v>170</v>
      </c>
      <c r="I67">
        <f>'Data-Kolom'!F68</f>
        <v>500</v>
      </c>
      <c r="J67">
        <f>'Data-Kolom'!G68</f>
        <v>4500</v>
      </c>
      <c r="K67">
        <v>1</v>
      </c>
      <c r="M67">
        <f>IF(L67&gt;0,VLOOKUP(L67,'Data-PC'!$B$14:$F$56,4,FALSE),0)</f>
        <v>0</v>
      </c>
      <c r="N67">
        <f>'Data-Kolom'!H68</f>
        <v>8</v>
      </c>
      <c r="O67">
        <f>'Data-Kolom'!I68</f>
        <v>16</v>
      </c>
      <c r="P67">
        <f>IF(N67&gt;0,VLOOKUP(O67,$V$2:$X$9,2,FALSE),0)</f>
        <v>1010</v>
      </c>
      <c r="Q67">
        <f>IF(L67&gt;0,M67-50+$N$6*O67,VLOOKUP(O67,$V$2:$X$9,3,FALSE))</f>
        <v>770</v>
      </c>
      <c r="R67">
        <f>IF(E67="F",J67-$N$5+$N$6*O67+Q67,IF(E67="D",J67+Q67+P67,IF(E67="T",J67+P67,IF(E67="A",J67-$N$5+$N$6*O67,0))))</f>
        <v>5510</v>
      </c>
      <c r="T67">
        <f>SUM(R67:S67)</f>
        <v>5510</v>
      </c>
      <c r="U67">
        <f>K67*N67</f>
        <v>8</v>
      </c>
      <c r="V67">
        <f>'Data-Kolom'!J68</f>
        <v>0</v>
      </c>
      <c r="W67">
        <f>'Data-Kolom'!K68</f>
        <v>0</v>
      </c>
      <c r="X67">
        <f>IF(V67&gt;0,VLOOKUP(W67,$V$2:$X$9,2,FALSE),0)</f>
        <v>0</v>
      </c>
      <c r="Y67">
        <f>IF(V67&gt;0,IF(L67&gt;0,M67-50+$N$6*W67,VLOOKUP(W67,$V$2:$X$9,3,FALSE)),0)</f>
        <v>0</v>
      </c>
      <c r="Z67">
        <f>IF(E67="F",J67-$N$5+$N$6*W67+Y67,IF(E67="D",J67+Y67+X67,IF(E67="T",J67+X67,IF(E67="A",J67-$N$5+$N$6*W67,0))))</f>
        <v>4500</v>
      </c>
      <c r="AB67">
        <f>SUM(Z67:AA67)</f>
        <v>4500</v>
      </c>
      <c r="AC67">
        <f>V67*K67</f>
        <v>0</v>
      </c>
      <c r="AD67">
        <f>'Data-Kolom'!L68</f>
        <v>10</v>
      </c>
      <c r="AE67">
        <f>'Data-Kolom'!M68</f>
        <v>100</v>
      </c>
      <c r="AF67">
        <f>'Data-Kolom'!N68</f>
        <v>100</v>
      </c>
      <c r="AG67">
        <f>'Data-Kolom'!O68</f>
        <v>100</v>
      </c>
      <c r="AH67">
        <f>'Data-Kolom'!P68</f>
        <v>1</v>
      </c>
      <c r="AI67">
        <f>'Data-Kolom'!Q68</f>
        <v>10</v>
      </c>
      <c r="AJ67">
        <f>'Data-Kolom'!R68</f>
        <v>0</v>
      </c>
      <c r="AK67">
        <f>'Data-Kolom'!S68</f>
        <v>0</v>
      </c>
      <c r="AL67">
        <f>2*(H67+I67-4*$N$5)+2*MAX($F$5*AD67,75)</f>
        <v>1330</v>
      </c>
      <c r="AM67">
        <f>+AH67*(H67-2*$N$5+2*MAX($F$5*AI67,75))+AJ67*(I67-2*$N$5+2*MAX($F$5*AK67,75))</f>
        <v>280</v>
      </c>
      <c r="AN67">
        <f>(ROUND((1/2*J67+IF(M67&gt;0,(Q67-$N$6*AD67),0))/AE67,0)+(ROUND(1/2*J67/AF67,0)+1))*K67</f>
        <v>47</v>
      </c>
      <c r="AO67">
        <f>H67*I67*J67/1000000000*K67*(1+$T$5)</f>
        <v>0.3825</v>
      </c>
      <c r="AP67">
        <f>0.006165*O67^2*T67*U67/1000*(1+$T$6)</f>
        <v>69.5688192</v>
      </c>
      <c r="AQ67">
        <f>0.006165*W67^2*AB67*AC67/1000*(1+$T$6)</f>
        <v>0</v>
      </c>
      <c r="AR67">
        <f>AN67*0.006165*AD67^2*AL67/1000*(1+$T$6)</f>
        <v>38.53741500000001</v>
      </c>
      <c r="AS67">
        <f>AN67*0.006165*AI67^2*AM67/1000*(1+$T$6)</f>
        <v>8.113140000000001</v>
      </c>
      <c r="AT67">
        <f>K67*2*J67*(H67+I67)/1000000*(1+$T$7)</f>
        <v>6.03</v>
      </c>
      <c r="AU67">
        <f>SUM(AP67:AS67)/AO67</f>
        <v>303.8415011764706</v>
      </c>
      <c r="AV67">
        <f>AT67/AO67</f>
        <v>15.764705882352942</v>
      </c>
      <c r="AX67">
        <f>0.006165*O67^2*R67*U67/1000*(1+$T$6)</f>
        <v>69.5688192</v>
      </c>
      <c r="AZ67">
        <f>0.006165*O67^2*S67*U67/1000*(1+$T$6)</f>
        <v>0</v>
      </c>
      <c r="BA67">
        <f>AZ67/AP67</f>
        <v>0</v>
      </c>
    </row>
    <row r="68">
      <c r="A68">
        <f>'Data-Kolom'!A69</f>
        <v>3</v>
      </c>
      <c r="B68" t="str">
        <f>'Data-Kolom'!B69</f>
        <v>Lantai 2</v>
      </c>
      <c r="C68">
        <f>'Data-Kolom'!C69</f>
        <v>0</v>
      </c>
      <c r="D68" t="str">
        <f>'Data-Kolom'!D69</f>
        <v>KL55</v>
      </c>
      <c r="E68" t="str">
        <v>T</v>
      </c>
      <c r="F68">
        <f>'Data-Kolom'!U69</f>
        <v>0</v>
      </c>
      <c r="G68">
        <f>'Data-Kolom'!T69</f>
        <v>0</v>
      </c>
      <c r="H68">
        <f>'Data-Kolom'!E69</f>
        <v>170</v>
      </c>
      <c r="I68">
        <f>'Data-Kolom'!F69</f>
        <v>500</v>
      </c>
      <c r="J68">
        <f>'Data-Kolom'!G69</f>
        <v>4500</v>
      </c>
      <c r="K68">
        <v>2</v>
      </c>
      <c r="M68">
        <f>IF(L68&gt;0,VLOOKUP(L68,'Data-PC'!$B$14:$F$56,4,FALSE),0)</f>
        <v>0</v>
      </c>
      <c r="N68">
        <f>'Data-Kolom'!H69</f>
        <v>6</v>
      </c>
      <c r="O68">
        <f>'Data-Kolom'!I69</f>
        <v>16</v>
      </c>
      <c r="P68">
        <f>IF(N68&gt;0,VLOOKUP(O68,$V$2:$X$9,2,FALSE),0)</f>
        <v>1010</v>
      </c>
      <c r="Q68">
        <f>IF(L68&gt;0,M68-50+$N$6*O68,VLOOKUP(O68,$V$2:$X$9,3,FALSE))</f>
        <v>770</v>
      </c>
      <c r="R68">
        <f>IF(E68="F",J68-$N$5+$N$6*O68+Q68,IF(E68="D",J68+Q68+P68,IF(E68="T",J68+P68,IF(E68="A",J68-$N$5+$N$6*O68,0))))</f>
        <v>5510</v>
      </c>
      <c r="T68">
        <f>SUM(R68:S68)</f>
        <v>5510</v>
      </c>
      <c r="U68">
        <f>K68*N68</f>
        <v>12</v>
      </c>
      <c r="V68">
        <f>'Data-Kolom'!J69</f>
        <v>0</v>
      </c>
      <c r="W68">
        <f>'Data-Kolom'!K69</f>
        <v>0</v>
      </c>
      <c r="X68">
        <f>IF(V68&gt;0,VLOOKUP(W68,$V$2:$X$9,2,FALSE),0)</f>
        <v>0</v>
      </c>
      <c r="Y68">
        <f>IF(V68&gt;0,IF(L68&gt;0,M68-50+$N$6*W68,VLOOKUP(W68,$V$2:$X$9,3,FALSE)),0)</f>
        <v>0</v>
      </c>
      <c r="Z68">
        <f>IF(E68="F",J68-$N$5+$N$6*W68+Y68,IF(E68="D",J68+Y68+X68,IF(E68="T",J68+X68,IF(E68="A",J68-$N$5+$N$6*W68,0))))</f>
        <v>4500</v>
      </c>
      <c r="AB68">
        <f>SUM(Z68:AA68)</f>
        <v>4500</v>
      </c>
      <c r="AC68">
        <f>V68*K68</f>
        <v>0</v>
      </c>
      <c r="AD68">
        <f>'Data-Kolom'!L69</f>
        <v>10</v>
      </c>
      <c r="AE68">
        <f>'Data-Kolom'!M69</f>
        <v>100</v>
      </c>
      <c r="AF68">
        <f>'Data-Kolom'!N69</f>
        <v>100</v>
      </c>
      <c r="AG68">
        <f>'Data-Kolom'!O69</f>
        <v>100</v>
      </c>
      <c r="AH68">
        <f>'Data-Kolom'!P69</f>
        <v>0</v>
      </c>
      <c r="AI68">
        <f>'Data-Kolom'!Q69</f>
        <v>0</v>
      </c>
      <c r="AJ68">
        <f>'Data-Kolom'!R69</f>
        <v>0</v>
      </c>
      <c r="AK68">
        <f>'Data-Kolom'!S69</f>
        <v>0</v>
      </c>
      <c r="AL68">
        <f>2*(H68+I68-4*$N$5)+2*MAX($F$5*AD68,75)</f>
        <v>1330</v>
      </c>
      <c r="AM68">
        <f>+AH68*(H68-2*$N$5+2*MAX($F$5*AI68,75))+AJ68*(I68-2*$N$5+2*MAX($F$5*AK68,75))</f>
        <v>0</v>
      </c>
      <c r="AN68">
        <f>(ROUND((1/2*J68+IF(M68&gt;0,(Q68-$N$6*AD68),0))/AE68,0)+(ROUND(1/2*J68/AF68,0)+1))*K68</f>
        <v>94</v>
      </c>
      <c r="AO68">
        <f>H68*I68*J68/1000000000*K68*(1+$T$5)</f>
        <v>0.765</v>
      </c>
      <c r="AP68">
        <f>0.006165*O68^2*T68*U68/1000*(1+$T$6)</f>
        <v>104.3532288</v>
      </c>
      <c r="AQ68">
        <f>0.006165*W68^2*AB68*AC68/1000*(1+$T$6)</f>
        <v>0</v>
      </c>
      <c r="AR68">
        <f>AN68*0.006165*AD68^2*AL68/1000*(1+$T$6)</f>
        <v>77.07483000000002</v>
      </c>
      <c r="AS68">
        <f>AN68*0.006165*AI68^2*AM68/1000*(1+$T$6)</f>
        <v>0</v>
      </c>
      <c r="AT68">
        <f>K68*2*J68*(H68+I68)/1000000*(1+$T$7)</f>
        <v>12.06</v>
      </c>
      <c r="AU68">
        <f>SUM(AP68:AS68)/AO68</f>
        <v>237.16086117647063</v>
      </c>
      <c r="AV68">
        <f>AT68/AO68</f>
        <v>15.764705882352942</v>
      </c>
      <c r="AX68">
        <f>0.006165*O68^2*R68*U68/1000*(1+$T$6)</f>
        <v>104.3532288</v>
      </c>
      <c r="AZ68">
        <f>0.006165*O68^2*S68*U68/1000*(1+$T$6)</f>
        <v>0</v>
      </c>
      <c r="BA68">
        <f>AZ68/AP68</f>
        <v>0</v>
      </c>
    </row>
    <row r="69">
      <c r="A69">
        <f>'Data-Kolom'!A70</f>
        <v>4</v>
      </c>
      <c r="B69" t="str">
        <f>'Data-Kolom'!B70</f>
        <v>Lantai 2</v>
      </c>
      <c r="C69">
        <f>'Data-Kolom'!C70</f>
        <v>0</v>
      </c>
      <c r="D69" t="str">
        <f>'Data-Kolom'!D70</f>
        <v>K4</v>
      </c>
      <c r="E69" t="str">
        <v>T</v>
      </c>
      <c r="F69">
        <f>'Data-Kolom'!U70</f>
        <v>0</v>
      </c>
      <c r="G69">
        <f>'Data-Kolom'!T70</f>
        <v>0</v>
      </c>
      <c r="H69">
        <f>'Data-Kolom'!E70</f>
        <v>170</v>
      </c>
      <c r="I69">
        <f>'Data-Kolom'!F70</f>
        <v>400</v>
      </c>
      <c r="J69">
        <f>'Data-Kolom'!G70</f>
        <v>4500</v>
      </c>
      <c r="K69">
        <v>1</v>
      </c>
      <c r="M69">
        <f>IF(L69&gt;0,VLOOKUP(L69,'Data-PC'!$B$14:$F$56,4,FALSE),0)</f>
        <v>0</v>
      </c>
      <c r="N69">
        <f>'Data-Kolom'!H70</f>
        <v>6</v>
      </c>
      <c r="O69">
        <f>'Data-Kolom'!I70</f>
        <v>16</v>
      </c>
      <c r="P69">
        <f>IF(N69&gt;0,VLOOKUP(O69,$V$2:$X$9,2,FALSE),0)</f>
        <v>1010</v>
      </c>
      <c r="Q69">
        <f>IF(L69&gt;0,M69-50+$N$6*O69,VLOOKUP(O69,$V$2:$X$9,3,FALSE))</f>
        <v>770</v>
      </c>
      <c r="R69">
        <f>IF(E69="F",J69-$N$5+$N$6*O69+Q69,IF(E69="D",J69+Q69+P69,IF(E69="T",J69+P69,IF(E69="A",J69-$N$5+$N$6*O69,0))))</f>
        <v>5510</v>
      </c>
      <c r="T69">
        <f>SUM(R69:S69)</f>
        <v>5510</v>
      </c>
      <c r="U69">
        <f>K69*N69</f>
        <v>6</v>
      </c>
      <c r="V69">
        <f>'Data-Kolom'!J70</f>
        <v>0</v>
      </c>
      <c r="W69">
        <f>'Data-Kolom'!K70</f>
        <v>0</v>
      </c>
      <c r="X69">
        <f>IF(V69&gt;0,VLOOKUP(W69,$V$2:$X$9,2,FALSE),0)</f>
        <v>0</v>
      </c>
      <c r="Y69">
        <f>IF(V69&gt;0,IF(L69&gt;0,M69-50+$N$6*W69,VLOOKUP(W69,$V$2:$X$9,3,FALSE)),0)</f>
        <v>0</v>
      </c>
      <c r="Z69">
        <f>IF(E69="F",J69-$N$5+$N$6*W69+Y69,IF(E69="D",J69+Y69+X69,IF(E69="T",J69+X69,IF(E69="A",J69-$N$5+$N$6*W69,0))))</f>
        <v>4500</v>
      </c>
      <c r="AB69">
        <f>SUM(Z69:AA69)</f>
        <v>4500</v>
      </c>
      <c r="AC69">
        <f>V69*K69</f>
        <v>0</v>
      </c>
      <c r="AD69">
        <f>'Data-Kolom'!L70</f>
        <v>10</v>
      </c>
      <c r="AE69">
        <f>'Data-Kolom'!M70</f>
        <v>100</v>
      </c>
      <c r="AF69">
        <f>'Data-Kolom'!N70</f>
        <v>100</v>
      </c>
      <c r="AG69">
        <f>'Data-Kolom'!O70</f>
        <v>100</v>
      </c>
      <c r="AH69">
        <f>'Data-Kolom'!P70</f>
        <v>0</v>
      </c>
      <c r="AI69">
        <f>'Data-Kolom'!Q70</f>
        <v>0</v>
      </c>
      <c r="AJ69">
        <f>'Data-Kolom'!R70</f>
        <v>0</v>
      </c>
      <c r="AK69">
        <f>'Data-Kolom'!S70</f>
        <v>0</v>
      </c>
      <c r="AL69">
        <f>2*(H69+I69-4*$N$5)+2*MAX($F$5*AD69,75)</f>
        <v>1130</v>
      </c>
      <c r="AM69">
        <f>+AH69*(H69-2*$N$5+2*MAX($F$5*AI69,75))+AJ69*(I69-2*$N$5+2*MAX($F$5*AK69,75))</f>
        <v>0</v>
      </c>
      <c r="AN69">
        <f>(ROUND((1/2*J69+IF(M69&gt;0,(Q69-$N$6*AD69),0))/AE69,0)+(ROUND(1/2*J69/AF69,0)+1))*K69</f>
        <v>47</v>
      </c>
      <c r="AO69">
        <f>H69*I69*J69/1000000000*K69*(1+$T$5)</f>
        <v>0.306</v>
      </c>
      <c r="AP69">
        <f>0.006165*O69^2*T69*U69/1000*(1+$T$6)</f>
        <v>52.1766144</v>
      </c>
      <c r="AQ69">
        <f>0.006165*W69^2*AB69*AC69/1000*(1+$T$6)</f>
        <v>0</v>
      </c>
      <c r="AR69">
        <f>AN69*0.006165*AD69^2*AL69/1000*(1+$T$6)</f>
        <v>32.742315000000005</v>
      </c>
      <c r="AS69">
        <f>AN69*0.006165*AI69^2*AM69/1000*(1+$T$6)</f>
        <v>0</v>
      </c>
      <c r="AT69">
        <f>K69*2*J69*(H69+I69)/1000000*(1+$T$7)</f>
        <v>5.13</v>
      </c>
      <c r="AU69">
        <f>SUM(AP69:AS69)/AO69</f>
        <v>277.5128411764706</v>
      </c>
      <c r="AV69">
        <f>AT69/AO69</f>
        <v>16.764705882352942</v>
      </c>
      <c r="AX69">
        <f>0.006165*O69^2*R69*U69/1000*(1+$T$6)</f>
        <v>52.1766144</v>
      </c>
      <c r="AZ69">
        <f>0.006165*O69^2*S69*U69/1000*(1+$T$6)</f>
        <v>0</v>
      </c>
      <c r="BA69">
        <f>AZ69/AP69</f>
        <v>0</v>
      </c>
    </row>
    <row r="70">
      <c r="A70">
        <f>'Data-Kolom'!A71</f>
        <v>5</v>
      </c>
      <c r="B70" t="str">
        <f>'Data-Kolom'!B71</f>
        <v>Lantai 2</v>
      </c>
      <c r="C70">
        <f>'Data-Kolom'!C71</f>
        <v>0</v>
      </c>
      <c r="D70" t="str">
        <f>'Data-Kolom'!D71</f>
        <v>K4</v>
      </c>
      <c r="E70" t="str">
        <v>T</v>
      </c>
      <c r="F70">
        <f>'Data-Kolom'!U71</f>
        <v>0</v>
      </c>
      <c r="G70">
        <f>'Data-Kolom'!T71</f>
        <v>0</v>
      </c>
      <c r="H70">
        <f>'Data-Kolom'!E71</f>
        <v>170</v>
      </c>
      <c r="I70">
        <f>'Data-Kolom'!F71</f>
        <v>400</v>
      </c>
      <c r="J70">
        <f>'Data-Kolom'!G71</f>
        <v>4500</v>
      </c>
      <c r="K70">
        <v>1</v>
      </c>
      <c r="M70">
        <f>IF(L70&gt;0,VLOOKUP(L70,'Data-PC'!$B$14:$F$56,4,FALSE),0)</f>
        <v>0</v>
      </c>
      <c r="N70">
        <f>'Data-Kolom'!H71</f>
        <v>6</v>
      </c>
      <c r="O70">
        <f>'Data-Kolom'!I71</f>
        <v>16</v>
      </c>
      <c r="P70">
        <f>IF(N70&gt;0,VLOOKUP(O70,$V$2:$X$9,2,FALSE),0)</f>
        <v>1010</v>
      </c>
      <c r="Q70">
        <f>IF(L70&gt;0,M70-50+$N$6*O70,VLOOKUP(O70,$V$2:$X$9,3,FALSE))</f>
        <v>770</v>
      </c>
      <c r="R70">
        <f>IF(E70="F",J70-$N$5+$N$6*O70+Q70,IF(E70="D",J70+Q70+P70,IF(E70="T",J70+P70,IF(E70="A",J70-$N$5+$N$6*O70,0))))</f>
        <v>5510</v>
      </c>
      <c r="T70">
        <f>SUM(R70:S70)</f>
        <v>5510</v>
      </c>
      <c r="U70">
        <f>K70*N70</f>
        <v>6</v>
      </c>
      <c r="V70">
        <f>'Data-Kolom'!J71</f>
        <v>0</v>
      </c>
      <c r="W70">
        <f>'Data-Kolom'!K71</f>
        <v>0</v>
      </c>
      <c r="X70">
        <f>IF(V70&gt;0,VLOOKUP(W70,$V$2:$X$9,2,FALSE),0)</f>
        <v>0</v>
      </c>
      <c r="Y70">
        <f>IF(V70&gt;0,IF(L70&gt;0,M70-50+$N$6*W70,VLOOKUP(W70,$V$2:$X$9,3,FALSE)),0)</f>
        <v>0</v>
      </c>
      <c r="Z70">
        <f>IF(E70="F",J70-$N$5+$N$6*W70+Y70,IF(E70="D",J70+Y70+X70,IF(E70="T",J70+X70,IF(E70="A",J70-$N$5+$N$6*W70,0))))</f>
        <v>4500</v>
      </c>
      <c r="AB70">
        <f>SUM(Z70:AA70)</f>
        <v>4500</v>
      </c>
      <c r="AC70">
        <f>V70*K70</f>
        <v>0</v>
      </c>
      <c r="AD70">
        <f>'Data-Kolom'!L71</f>
        <v>10</v>
      </c>
      <c r="AE70">
        <f>'Data-Kolom'!M71</f>
        <v>100</v>
      </c>
      <c r="AF70">
        <f>'Data-Kolom'!N71</f>
        <v>100</v>
      </c>
      <c r="AG70">
        <f>'Data-Kolom'!O71</f>
        <v>100</v>
      </c>
      <c r="AH70">
        <f>'Data-Kolom'!P71</f>
        <v>0</v>
      </c>
      <c r="AI70">
        <f>'Data-Kolom'!Q71</f>
        <v>0</v>
      </c>
      <c r="AJ70">
        <f>'Data-Kolom'!R71</f>
        <v>0</v>
      </c>
      <c r="AK70">
        <f>'Data-Kolom'!S71</f>
        <v>0</v>
      </c>
      <c r="AL70">
        <f>2*(H70+I70-4*$N$5)+2*MAX($F$5*AD70,75)</f>
        <v>1130</v>
      </c>
      <c r="AM70">
        <f>+AH70*(H70-2*$N$5+2*MAX($F$5*AI70,75))+AJ70*(I70-2*$N$5+2*MAX($F$5*AK70,75))</f>
        <v>0</v>
      </c>
      <c r="AN70">
        <f>(ROUND((1/2*J70+IF(M70&gt;0,(Q70-$N$6*AD70),0))/AE70,0)+(ROUND(1/2*J70/AF70,0)+1))*K70</f>
        <v>47</v>
      </c>
      <c r="AO70">
        <f>H70*I70*J70/1000000000*K70*(1+$T$5)</f>
        <v>0.306</v>
      </c>
      <c r="AP70">
        <f>0.006165*O70^2*T70*U70/1000*(1+$T$6)</f>
        <v>52.1766144</v>
      </c>
      <c r="AQ70">
        <f>0.006165*W70^2*AB70*AC70/1000*(1+$T$6)</f>
        <v>0</v>
      </c>
      <c r="AR70">
        <f>AN70*0.006165*AD70^2*AL70/1000*(1+$T$6)</f>
        <v>32.742315000000005</v>
      </c>
      <c r="AS70">
        <f>AN70*0.006165*AI70^2*AM70/1000*(1+$T$6)</f>
        <v>0</v>
      </c>
      <c r="AT70">
        <f>K70*2*J70*(H70+I70)/1000000*(1+$T$7)</f>
        <v>5.13</v>
      </c>
      <c r="AU70">
        <f>SUM(AP70:AS70)/AO70</f>
        <v>277.5128411764706</v>
      </c>
      <c r="AV70">
        <f>AT70/AO70</f>
        <v>16.764705882352942</v>
      </c>
      <c r="AX70">
        <f>0.006165*O70^2*R70*U70/1000*(1+$T$6)</f>
        <v>52.1766144</v>
      </c>
      <c r="AZ70">
        <f>0.006165*O70^2*S70*U70/1000*(1+$T$6)</f>
        <v>0</v>
      </c>
      <c r="BA70">
        <f>AZ70/AP70</f>
        <v>0</v>
      </c>
    </row>
    <row r="71">
      <c r="A71">
        <f>'Data-Kolom'!A72</f>
        <v>6</v>
      </c>
      <c r="B71" t="str">
        <f>'Data-Kolom'!B72</f>
        <v>Lantai 2</v>
      </c>
      <c r="C71">
        <f>'Data-Kolom'!C72</f>
        <v>0</v>
      </c>
      <c r="D71" t="str">
        <f>'Data-Kolom'!D72</f>
        <v>K4</v>
      </c>
      <c r="E71" t="str">
        <v>T</v>
      </c>
      <c r="F71">
        <f>'Data-Kolom'!U72</f>
        <v>0</v>
      </c>
      <c r="G71">
        <f>'Data-Kolom'!T72</f>
        <v>0</v>
      </c>
      <c r="H71">
        <f>'Data-Kolom'!E72</f>
        <v>170</v>
      </c>
      <c r="I71">
        <f>'Data-Kolom'!F72</f>
        <v>400</v>
      </c>
      <c r="J71">
        <f>'Data-Kolom'!G72</f>
        <v>4500</v>
      </c>
      <c r="K71">
        <v>1</v>
      </c>
      <c r="M71">
        <f>IF(L71&gt;0,VLOOKUP(L71,'Data-PC'!$B$14:$F$56,4,FALSE),0)</f>
        <v>0</v>
      </c>
      <c r="N71">
        <f>'Data-Kolom'!H72</f>
        <v>6</v>
      </c>
      <c r="O71">
        <f>'Data-Kolom'!I72</f>
        <v>16</v>
      </c>
      <c r="P71">
        <f>IF(N71&gt;0,VLOOKUP(O71,$V$2:$X$9,2,FALSE),0)</f>
        <v>1010</v>
      </c>
      <c r="Q71">
        <f>IF(L71&gt;0,M71-50+$N$6*O71,VLOOKUP(O71,$V$2:$X$9,3,FALSE))</f>
        <v>770</v>
      </c>
      <c r="R71">
        <f>IF(E71="F",J71-$N$5+$N$6*O71+Q71,IF(E71="D",J71+Q71+P71,IF(E71="T",J71+P71,IF(E71="A",J71-$N$5+$N$6*O71,0))))</f>
        <v>5510</v>
      </c>
      <c r="T71">
        <f>SUM(R71:S71)</f>
        <v>5510</v>
      </c>
      <c r="U71">
        <f>K71*N71</f>
        <v>6</v>
      </c>
      <c r="V71">
        <f>'Data-Kolom'!J72</f>
        <v>0</v>
      </c>
      <c r="W71">
        <f>'Data-Kolom'!K72</f>
        <v>0</v>
      </c>
      <c r="X71">
        <f>IF(V71&gt;0,VLOOKUP(W71,$V$2:$X$9,2,FALSE),0)</f>
        <v>0</v>
      </c>
      <c r="Y71">
        <f>IF(V71&gt;0,IF(L71&gt;0,M71-50+$N$6*W71,VLOOKUP(W71,$V$2:$X$9,3,FALSE)),0)</f>
        <v>0</v>
      </c>
      <c r="Z71">
        <f>IF(E71="F",J71-$N$5+$N$6*W71+Y71,IF(E71="D",J71+Y71+X71,IF(E71="T",J71+X71,IF(E71="A",J71-$N$5+$N$6*W71,0))))</f>
        <v>4500</v>
      </c>
      <c r="AB71">
        <f>SUM(Z71:AA71)</f>
        <v>4500</v>
      </c>
      <c r="AC71">
        <f>V71*K71</f>
        <v>0</v>
      </c>
      <c r="AD71">
        <f>'Data-Kolom'!L72</f>
        <v>10</v>
      </c>
      <c r="AE71">
        <f>'Data-Kolom'!M72</f>
        <v>100</v>
      </c>
      <c r="AF71">
        <f>'Data-Kolom'!N72</f>
        <v>100</v>
      </c>
      <c r="AG71">
        <f>'Data-Kolom'!O72</f>
        <v>100</v>
      </c>
      <c r="AH71">
        <f>'Data-Kolom'!P72</f>
        <v>0</v>
      </c>
      <c r="AI71">
        <f>'Data-Kolom'!Q72</f>
        <v>0</v>
      </c>
      <c r="AJ71">
        <f>'Data-Kolom'!R72</f>
        <v>0</v>
      </c>
      <c r="AK71">
        <f>'Data-Kolom'!S72</f>
        <v>0</v>
      </c>
      <c r="AL71">
        <f>2*(H71+I71-4*$N$5)+2*MAX($F$5*AD71,75)</f>
        <v>1130</v>
      </c>
      <c r="AM71">
        <f>+AH71*(H71-2*$N$5+2*MAX($F$5*AI71,75))+AJ71*(I71-2*$N$5+2*MAX($F$5*AK71,75))</f>
        <v>0</v>
      </c>
      <c r="AN71">
        <f>(ROUND((1/2*J71+IF(M71&gt;0,(Q71-$N$6*AD71),0))/AE71,0)+(ROUND(1/2*J71/AF71,0)+1))*K71</f>
        <v>47</v>
      </c>
      <c r="AO71">
        <f>H71*I71*J71/1000000000*K71*(1+$T$5)</f>
        <v>0.306</v>
      </c>
      <c r="AP71">
        <f>0.006165*O71^2*T71*U71/1000*(1+$T$6)</f>
        <v>52.1766144</v>
      </c>
      <c r="AQ71">
        <f>0.006165*W71^2*AB71*AC71/1000*(1+$T$6)</f>
        <v>0</v>
      </c>
      <c r="AR71">
        <f>AN71*0.006165*AD71^2*AL71/1000*(1+$T$6)</f>
        <v>32.742315000000005</v>
      </c>
      <c r="AS71">
        <f>AN71*0.006165*AI71^2*AM71/1000*(1+$T$6)</f>
        <v>0</v>
      </c>
      <c r="AT71">
        <f>K71*2*J71*(H71+I71)/1000000*(1+$T$7)</f>
        <v>5.13</v>
      </c>
      <c r="AU71">
        <f>SUM(AP71:AS71)/AO71</f>
        <v>277.5128411764706</v>
      </c>
      <c r="AV71">
        <f>AT71/AO71</f>
        <v>16.764705882352942</v>
      </c>
      <c r="AX71">
        <f>0.006165*O71^2*R71*U71/1000*(1+$T$6)</f>
        <v>52.1766144</v>
      </c>
      <c r="AZ71">
        <f>0.006165*O71^2*S71*U71/1000*(1+$T$6)</f>
        <v>0</v>
      </c>
      <c r="BA71">
        <f>AZ71/AP71</f>
        <v>0</v>
      </c>
    </row>
    <row r="72">
      <c r="A72">
        <f>'Data-Kolom'!A73</f>
        <v>7</v>
      </c>
      <c r="B72" t="str">
        <f>'Data-Kolom'!B73</f>
        <v>Lantai 2</v>
      </c>
      <c r="C72">
        <f>'Data-Kolom'!C73</f>
        <v>0</v>
      </c>
      <c r="D72" t="str">
        <f>'Data-Kolom'!D73</f>
        <v>K4</v>
      </c>
      <c r="E72" t="str">
        <v>T</v>
      </c>
      <c r="F72">
        <f>'Data-Kolom'!U73</f>
        <v>0</v>
      </c>
      <c r="G72">
        <f>'Data-Kolom'!T73</f>
        <v>0</v>
      </c>
      <c r="H72">
        <f>'Data-Kolom'!E73</f>
        <v>170</v>
      </c>
      <c r="I72">
        <f>'Data-Kolom'!F73</f>
        <v>400</v>
      </c>
      <c r="J72">
        <f>'Data-Kolom'!G73</f>
        <v>4500</v>
      </c>
      <c r="K72">
        <v>1</v>
      </c>
      <c r="M72">
        <f>IF(L72&gt;0,VLOOKUP(L72,'Data-PC'!$B$14:$F$56,4,FALSE),0)</f>
        <v>0</v>
      </c>
      <c r="N72">
        <f>'Data-Kolom'!H73</f>
        <v>6</v>
      </c>
      <c r="O72">
        <f>'Data-Kolom'!I73</f>
        <v>16</v>
      </c>
      <c r="P72">
        <f>IF(N72&gt;0,VLOOKUP(O72,$V$2:$X$9,2,FALSE),0)</f>
        <v>1010</v>
      </c>
      <c r="Q72">
        <f>IF(L72&gt;0,M72-50+$N$6*O72,VLOOKUP(O72,$V$2:$X$9,3,FALSE))</f>
        <v>770</v>
      </c>
      <c r="R72">
        <f>IF(E72="F",J72-$N$5+$N$6*O72+Q72,IF(E72="D",J72+Q72+P72,IF(E72="T",J72+P72,IF(E72="A",J72-$N$5+$N$6*O72,0))))</f>
        <v>5510</v>
      </c>
      <c r="T72">
        <f>SUM(R72:S72)</f>
        <v>5510</v>
      </c>
      <c r="U72">
        <f>K72*N72</f>
        <v>6</v>
      </c>
      <c r="V72">
        <f>'Data-Kolom'!J73</f>
        <v>0</v>
      </c>
      <c r="W72">
        <f>'Data-Kolom'!K73</f>
        <v>0</v>
      </c>
      <c r="X72">
        <f>IF(V72&gt;0,VLOOKUP(W72,$V$2:$X$9,2,FALSE),0)</f>
        <v>0</v>
      </c>
      <c r="Y72">
        <f>IF(V72&gt;0,IF(L72&gt;0,M72-50+$N$6*W72,VLOOKUP(W72,$V$2:$X$9,3,FALSE)),0)</f>
        <v>0</v>
      </c>
      <c r="Z72">
        <f>IF(E72="F",J72-$N$5+$N$6*W72+Y72,IF(E72="D",J72+Y72+X72,IF(E72="T",J72+X72,IF(E72="A",J72-$N$5+$N$6*W72,0))))</f>
        <v>4500</v>
      </c>
      <c r="AB72">
        <f>SUM(Z72:AA72)</f>
        <v>4500</v>
      </c>
      <c r="AC72">
        <f>V72*K72</f>
        <v>0</v>
      </c>
      <c r="AD72">
        <f>'Data-Kolom'!L73</f>
        <v>10</v>
      </c>
      <c r="AE72">
        <f>'Data-Kolom'!M73</f>
        <v>100</v>
      </c>
      <c r="AF72">
        <f>'Data-Kolom'!N73</f>
        <v>100</v>
      </c>
      <c r="AG72">
        <f>'Data-Kolom'!O73</f>
        <v>100</v>
      </c>
      <c r="AH72">
        <f>'Data-Kolom'!P73</f>
        <v>0</v>
      </c>
      <c r="AI72">
        <f>'Data-Kolom'!Q73</f>
        <v>0</v>
      </c>
      <c r="AJ72">
        <f>'Data-Kolom'!R73</f>
        <v>0</v>
      </c>
      <c r="AK72">
        <f>'Data-Kolom'!S73</f>
        <v>0</v>
      </c>
      <c r="AL72">
        <f>2*(H72+I72-4*$N$5)+2*MAX($F$5*AD72,75)</f>
        <v>1130</v>
      </c>
      <c r="AM72">
        <f>+AH72*(H72-2*$N$5+2*MAX($F$5*AI72,75))+AJ72*(I72-2*$N$5+2*MAX($F$5*AK72,75))</f>
        <v>0</v>
      </c>
      <c r="AN72">
        <f>(ROUND((1/2*J72+IF(M72&gt;0,(Q72-$N$6*AD72),0))/AE72,0)+(ROUND(1/2*J72/AF72,0)+1))*K72</f>
        <v>47</v>
      </c>
      <c r="AO72">
        <f>H72*I72*J72/1000000000*K72*(1+$T$5)</f>
        <v>0.306</v>
      </c>
      <c r="AP72">
        <f>0.006165*O72^2*T72*U72/1000*(1+$T$6)</f>
        <v>52.1766144</v>
      </c>
      <c r="AQ72">
        <f>0.006165*W72^2*AB72*AC72/1000*(1+$T$6)</f>
        <v>0</v>
      </c>
      <c r="AR72">
        <f>AN72*0.006165*AD72^2*AL72/1000*(1+$T$6)</f>
        <v>32.742315000000005</v>
      </c>
      <c r="AS72">
        <f>AN72*0.006165*AI72^2*AM72/1000*(1+$T$6)</f>
        <v>0</v>
      </c>
      <c r="AT72">
        <f>K72*2*J72*(H72+I72)/1000000*(1+$T$7)</f>
        <v>5.13</v>
      </c>
      <c r="AU72">
        <f>SUM(AP72:AS72)/AO72</f>
        <v>277.5128411764706</v>
      </c>
      <c r="AV72">
        <f>AT72/AO72</f>
        <v>16.764705882352942</v>
      </c>
      <c r="AX72">
        <f>0.006165*O72^2*R72*U72/1000*(1+$T$6)</f>
        <v>52.1766144</v>
      </c>
      <c r="AZ72">
        <f>0.006165*O72^2*S72*U72/1000*(1+$T$6)</f>
        <v>0</v>
      </c>
      <c r="BA72">
        <f>AZ72/AP72</f>
        <v>0</v>
      </c>
    </row>
    <row r="73">
      <c r="A73">
        <f>'Data-Kolom'!A74</f>
        <v>8</v>
      </c>
      <c r="B73" t="str">
        <f>'Data-Kolom'!B74</f>
        <v>Lantai 2</v>
      </c>
      <c r="C73">
        <f>'Data-Kolom'!C74</f>
        <v>0</v>
      </c>
      <c r="D73" t="str">
        <f>'Data-Kolom'!D74</f>
        <v>K5</v>
      </c>
      <c r="E73" t="str">
        <v>T</v>
      </c>
      <c r="F73">
        <f>'Data-Kolom'!U74</f>
        <v>0</v>
      </c>
      <c r="G73">
        <f>'Data-Kolom'!T74</f>
        <v>0</v>
      </c>
      <c r="H73">
        <f>'Data-Kolom'!E74</f>
        <v>170</v>
      </c>
      <c r="I73">
        <f>'Data-Kolom'!F74</f>
        <v>500</v>
      </c>
      <c r="J73">
        <f>'Data-Kolom'!G74</f>
        <v>4500</v>
      </c>
      <c r="K73">
        <v>1</v>
      </c>
      <c r="M73">
        <f>IF(L73&gt;0,VLOOKUP(L73,'Data-PC'!$B$14:$F$56,4,FALSE),0)</f>
        <v>0</v>
      </c>
      <c r="N73">
        <f>'Data-Kolom'!H74</f>
        <v>8</v>
      </c>
      <c r="O73">
        <f>'Data-Kolom'!I74</f>
        <v>16</v>
      </c>
      <c r="P73">
        <f>IF(N73&gt;0,VLOOKUP(O73,$V$2:$X$9,2,FALSE),0)</f>
        <v>1010</v>
      </c>
      <c r="Q73">
        <f>IF(L73&gt;0,M73-50+$N$6*O73,VLOOKUP(O73,$V$2:$X$9,3,FALSE))</f>
        <v>770</v>
      </c>
      <c r="R73">
        <f>IF(E73="F",J73-$N$5+$N$6*O73+Q73,IF(E73="D",J73+Q73+P73,IF(E73="T",J73+P73,IF(E73="A",J73-$N$5+$N$6*O73,0))))</f>
        <v>5510</v>
      </c>
      <c r="T73">
        <f>SUM(R73:S73)</f>
        <v>5510</v>
      </c>
      <c r="U73">
        <f>K73*N73</f>
        <v>8</v>
      </c>
      <c r="V73">
        <f>'Data-Kolom'!J74</f>
        <v>0</v>
      </c>
      <c r="W73">
        <f>'Data-Kolom'!K74</f>
        <v>0</v>
      </c>
      <c r="X73">
        <f>IF(V73&gt;0,VLOOKUP(W73,$V$2:$X$9,2,FALSE),0)</f>
        <v>0</v>
      </c>
      <c r="Y73">
        <f>IF(V73&gt;0,IF(L73&gt;0,M73-50+$N$6*W73,VLOOKUP(W73,$V$2:$X$9,3,FALSE)),0)</f>
        <v>0</v>
      </c>
      <c r="Z73">
        <f>IF(E73="F",J73-$N$5+$N$6*W73+Y73,IF(E73="D",J73+Y73+X73,IF(E73="T",J73+X73,IF(E73="A",J73-$N$5+$N$6*W73,0))))</f>
        <v>4500</v>
      </c>
      <c r="AB73">
        <f>SUM(Z73:AA73)</f>
        <v>4500</v>
      </c>
      <c r="AC73">
        <f>V73*K73</f>
        <v>0</v>
      </c>
      <c r="AD73">
        <f>'Data-Kolom'!L74</f>
        <v>10</v>
      </c>
      <c r="AE73">
        <f>'Data-Kolom'!M74</f>
        <v>100</v>
      </c>
      <c r="AF73">
        <f>'Data-Kolom'!N74</f>
        <v>100</v>
      </c>
      <c r="AG73">
        <f>'Data-Kolom'!O74</f>
        <v>100</v>
      </c>
      <c r="AH73">
        <f>'Data-Kolom'!P74</f>
        <v>1</v>
      </c>
      <c r="AI73">
        <f>'Data-Kolom'!Q74</f>
        <v>10</v>
      </c>
      <c r="AJ73">
        <f>'Data-Kolom'!R74</f>
        <v>0</v>
      </c>
      <c r="AK73">
        <f>'Data-Kolom'!S74</f>
        <v>0</v>
      </c>
      <c r="AL73">
        <f>2*(H73+I73-4*$N$5)+2*MAX($F$5*AD73,75)</f>
        <v>1330</v>
      </c>
      <c r="AM73">
        <f>+AH73*(H73-2*$N$5+2*MAX($F$5*AI73,75))+AJ73*(I73-2*$N$5+2*MAX($F$5*AK73,75))</f>
        <v>280</v>
      </c>
      <c r="AN73">
        <f>(ROUND((1/2*J73+IF(M73&gt;0,(Q73-$N$6*AD73),0))/AE73,0)+(ROUND(1/2*J73/AF73,0)+1))*K73</f>
        <v>47</v>
      </c>
      <c r="AO73">
        <f>H73*I73*J73/1000000000*K73*(1+$T$5)</f>
        <v>0.3825</v>
      </c>
      <c r="AP73">
        <f>0.006165*O73^2*T73*U73/1000*(1+$T$6)</f>
        <v>69.5688192</v>
      </c>
      <c r="AQ73">
        <f>0.006165*W73^2*AB73*AC73/1000*(1+$T$6)</f>
        <v>0</v>
      </c>
      <c r="AR73">
        <f>AN73*0.006165*AD73^2*AL73/1000*(1+$T$6)</f>
        <v>38.53741500000001</v>
      </c>
      <c r="AS73">
        <f>AN73*0.006165*AI73^2*AM73/1000*(1+$T$6)</f>
        <v>8.113140000000001</v>
      </c>
      <c r="AT73">
        <f>K73*2*J73*(H73+I73)/1000000*(1+$T$7)</f>
        <v>6.03</v>
      </c>
      <c r="AU73">
        <f>SUM(AP73:AS73)/AO73</f>
        <v>303.8415011764706</v>
      </c>
      <c r="AV73">
        <f>AT73/AO73</f>
        <v>15.764705882352942</v>
      </c>
      <c r="AX73">
        <f>0.006165*O73^2*R73*U73/1000*(1+$T$6)</f>
        <v>69.5688192</v>
      </c>
      <c r="AZ73">
        <f>0.006165*O73^2*S73*U73/1000*(1+$T$6)</f>
        <v>0</v>
      </c>
      <c r="BA73">
        <f>AZ73/AP73</f>
        <v>0</v>
      </c>
    </row>
    <row r="74">
      <c r="A74">
        <f>'Data-Kolom'!A75</f>
        <v>10</v>
      </c>
      <c r="B74" t="str">
        <f>'Data-Kolom'!B75</f>
        <v>Lantai 2</v>
      </c>
      <c r="C74">
        <f>'Data-Kolom'!C75</f>
        <v>0</v>
      </c>
      <c r="D74" t="str">
        <f>'Data-Kolom'!D75</f>
        <v>K6</v>
      </c>
      <c r="E74" t="str">
        <v>T</v>
      </c>
      <c r="F74">
        <f>'Data-Kolom'!U75</f>
        <v>0</v>
      </c>
      <c r="G74">
        <f>'Data-Kolom'!T75</f>
        <v>0</v>
      </c>
      <c r="H74">
        <f>'Data-Kolom'!E75</f>
        <v>170</v>
      </c>
      <c r="I74">
        <f>'Data-Kolom'!F75</f>
        <v>600</v>
      </c>
      <c r="J74">
        <f>'Data-Kolom'!G75</f>
        <v>4500</v>
      </c>
      <c r="K74">
        <v>1</v>
      </c>
      <c r="M74">
        <f>IF(L74&gt;0,VLOOKUP(L74,'Data-PC'!$B$14:$F$56,4,FALSE),0)</f>
        <v>0</v>
      </c>
      <c r="N74">
        <f>'Data-Kolom'!H75</f>
        <v>10</v>
      </c>
      <c r="O74">
        <f>'Data-Kolom'!I75</f>
        <v>16</v>
      </c>
      <c r="P74">
        <f>IF(N74&gt;0,VLOOKUP(O74,$V$2:$X$9,2,FALSE),0)</f>
        <v>1010</v>
      </c>
      <c r="Q74">
        <f>IF(L74&gt;0,M74-50+$N$6*O74,VLOOKUP(O74,$V$2:$X$9,3,FALSE))</f>
        <v>770</v>
      </c>
      <c r="R74">
        <f>IF(E74="F",J74-$N$5+$N$6*O74+Q74,IF(E74="D",J74+Q74+P74,IF(E74="T",J74+P74,IF(E74="A",J74-$N$5+$N$6*O74,0))))</f>
        <v>5510</v>
      </c>
      <c r="T74">
        <f>SUM(R74:S74)</f>
        <v>5510</v>
      </c>
      <c r="U74">
        <f>K74*N74</f>
        <v>10</v>
      </c>
      <c r="V74">
        <f>'Data-Kolom'!J75</f>
        <v>0</v>
      </c>
      <c r="W74">
        <f>'Data-Kolom'!K75</f>
        <v>0</v>
      </c>
      <c r="X74">
        <f>IF(V74&gt;0,VLOOKUP(W74,$V$2:$X$9,2,FALSE),0)</f>
        <v>0</v>
      </c>
      <c r="Y74">
        <f>IF(V74&gt;0,IF(L74&gt;0,M74-50+$N$6*W74,VLOOKUP(W74,$V$2:$X$9,3,FALSE)),0)</f>
        <v>0</v>
      </c>
      <c r="Z74">
        <f>IF(E74="F",J74-$N$5+$N$6*W74+Y74,IF(E74="D",J74+Y74+X74,IF(E74="T",J74+X74,IF(E74="A",J74-$N$5+$N$6*W74,0))))</f>
        <v>4500</v>
      </c>
      <c r="AB74">
        <f>SUM(Z74:AA74)</f>
        <v>4500</v>
      </c>
      <c r="AC74">
        <f>V74*K74</f>
        <v>0</v>
      </c>
      <c r="AD74">
        <f>'Data-Kolom'!L75</f>
        <v>10</v>
      </c>
      <c r="AE74">
        <f>'Data-Kolom'!M75</f>
        <v>100</v>
      </c>
      <c r="AF74">
        <f>'Data-Kolom'!N75</f>
        <v>100</v>
      </c>
      <c r="AG74">
        <f>'Data-Kolom'!O75</f>
        <v>100</v>
      </c>
      <c r="AH74">
        <f>'Data-Kolom'!P75</f>
        <v>1</v>
      </c>
      <c r="AI74">
        <f>'Data-Kolom'!Q75</f>
        <v>10</v>
      </c>
      <c r="AJ74">
        <f>'Data-Kolom'!R75</f>
        <v>0</v>
      </c>
      <c r="AK74">
        <f>'Data-Kolom'!S75</f>
        <v>0</v>
      </c>
      <c r="AL74">
        <f>2*(H74+I74-4*$N$5)+2*MAX($F$5*AD74,75)</f>
        <v>1530</v>
      </c>
      <c r="AM74">
        <f>+AH74*(H74-2*$N$5+2*MAX($F$5*AI74,75))+AJ74*(I74-2*$N$5+2*MAX($F$5*AK74,75))</f>
        <v>280</v>
      </c>
      <c r="AN74">
        <f>(ROUND((1/2*J74+IF(M74&gt;0,(Q74-$N$6*AD74),0))/AE74,0)+(ROUND(1/2*J74/AF74,0)+1))*K74</f>
        <v>47</v>
      </c>
      <c r="AO74">
        <f>H74*I74*J74/1000000000*K74*(1+$T$5)</f>
        <v>0.459</v>
      </c>
      <c r="AP74">
        <f>0.006165*O74^2*T74*U74/1000*(1+$T$6)</f>
        <v>86.96102400000001</v>
      </c>
      <c r="AQ74">
        <f>0.006165*W74^2*AB74*AC74/1000*(1+$T$6)</f>
        <v>0</v>
      </c>
      <c r="AR74">
        <f>AN74*0.006165*AD74^2*AL74/1000*(1+$T$6)</f>
        <v>44.33251500000001</v>
      </c>
      <c r="AS74">
        <f>AN74*0.006165*AI74^2*AM74/1000*(1+$T$6)</f>
        <v>8.113140000000001</v>
      </c>
      <c r="AT74">
        <f>K74*2*J74*(H74+I74)/1000000*(1+$T$7)</f>
        <v>6.93</v>
      </c>
      <c r="AU74">
        <f>SUM(AP74:AS74)/AO74</f>
        <v>303.7182549019608</v>
      </c>
      <c r="AV74">
        <f>AT74/AO74</f>
        <v>15.098039215686272</v>
      </c>
      <c r="AX74">
        <f>0.006165*O74^2*R74*U74/1000*(1+$T$6)</f>
        <v>86.96102400000001</v>
      </c>
      <c r="AZ74">
        <f>0.006165*O74^2*S74*U74/1000*(1+$T$6)</f>
        <v>0</v>
      </c>
      <c r="BA74">
        <f>AZ74/AP74</f>
        <v>0</v>
      </c>
    </row>
    <row r="75">
      <c r="A75">
        <f>'Data-Kolom'!A76</f>
        <v>11</v>
      </c>
      <c r="B75" t="str">
        <f>'Data-Kolom'!B76</f>
        <v>Lantai 2</v>
      </c>
      <c r="C75">
        <f>'Data-Kolom'!C76</f>
        <v>0</v>
      </c>
      <c r="D75" t="str">
        <f>'Data-Kolom'!D76</f>
        <v>KL55</v>
      </c>
      <c r="E75" t="str">
        <v>T</v>
      </c>
      <c r="F75">
        <f>'Data-Kolom'!U76</f>
        <v>0</v>
      </c>
      <c r="G75">
        <f>'Data-Kolom'!T76</f>
        <v>0</v>
      </c>
      <c r="H75">
        <f>'Data-Kolom'!E76</f>
        <v>170</v>
      </c>
      <c r="I75">
        <f>'Data-Kolom'!F76</f>
        <v>500</v>
      </c>
      <c r="J75">
        <f>'Data-Kolom'!G76</f>
        <v>4500</v>
      </c>
      <c r="K75">
        <v>2</v>
      </c>
      <c r="M75">
        <f>IF(L75&gt;0,VLOOKUP(L75,'Data-PC'!$B$14:$F$56,4,FALSE),0)</f>
        <v>0</v>
      </c>
      <c r="N75">
        <f>'Data-Kolom'!H76</f>
        <v>6</v>
      </c>
      <c r="O75">
        <f>'Data-Kolom'!I76</f>
        <v>16</v>
      </c>
      <c r="P75">
        <f>IF(N75&gt;0,VLOOKUP(O75,$V$2:$X$9,2,FALSE),0)</f>
        <v>1010</v>
      </c>
      <c r="Q75">
        <f>IF(L75&gt;0,M75-50+$N$6*O75,VLOOKUP(O75,$V$2:$X$9,3,FALSE))</f>
        <v>770</v>
      </c>
      <c r="R75">
        <f>IF(E75="F",J75-$N$5+$N$6*O75+Q75,IF(E75="D",J75+Q75+P75,IF(E75="T",J75+P75,IF(E75="A",J75-$N$5+$N$6*O75,0))))</f>
        <v>5510</v>
      </c>
      <c r="T75">
        <f>SUM(R75:S75)</f>
        <v>5510</v>
      </c>
      <c r="U75">
        <f>K75*N75</f>
        <v>12</v>
      </c>
      <c r="V75">
        <f>'Data-Kolom'!J76</f>
        <v>0</v>
      </c>
      <c r="W75">
        <f>'Data-Kolom'!K76</f>
        <v>0</v>
      </c>
      <c r="X75">
        <f>IF(V75&gt;0,VLOOKUP(W75,$V$2:$X$9,2,FALSE),0)</f>
        <v>0</v>
      </c>
      <c r="Y75">
        <f>IF(V75&gt;0,IF(L75&gt;0,M75-50+$N$6*W75,VLOOKUP(W75,$V$2:$X$9,3,FALSE)),0)</f>
        <v>0</v>
      </c>
      <c r="Z75">
        <f>IF(E75="F",J75-$N$5+$N$6*W75+Y75,IF(E75="D",J75+Y75+X75,IF(E75="T",J75+X75,IF(E75="A",J75-$N$5+$N$6*W75,0))))</f>
        <v>4500</v>
      </c>
      <c r="AB75">
        <f>SUM(Z75:AA75)</f>
        <v>4500</v>
      </c>
      <c r="AC75">
        <f>V75*K75</f>
        <v>0</v>
      </c>
      <c r="AD75">
        <f>'Data-Kolom'!L76</f>
        <v>10</v>
      </c>
      <c r="AE75">
        <f>'Data-Kolom'!M76</f>
        <v>100</v>
      </c>
      <c r="AF75">
        <f>'Data-Kolom'!N76</f>
        <v>100</v>
      </c>
      <c r="AG75">
        <f>'Data-Kolom'!O76</f>
        <v>100</v>
      </c>
      <c r="AH75">
        <f>'Data-Kolom'!P76</f>
        <v>0</v>
      </c>
      <c r="AI75">
        <f>'Data-Kolom'!Q76</f>
        <v>0</v>
      </c>
      <c r="AJ75">
        <f>'Data-Kolom'!R76</f>
        <v>0</v>
      </c>
      <c r="AK75">
        <f>'Data-Kolom'!S76</f>
        <v>0</v>
      </c>
      <c r="AL75">
        <f>2*(H75+I75-4*$N$5)+2*MAX($F$5*AD75,75)</f>
        <v>1330</v>
      </c>
      <c r="AM75">
        <f>+AH75*(H75-2*$N$5+2*MAX($F$5*AI75,75))+AJ75*(I75-2*$N$5+2*MAX($F$5*AK75,75))</f>
        <v>0</v>
      </c>
      <c r="AN75">
        <f>(ROUND((1/2*J75+IF(M75&gt;0,(Q75-$N$6*AD75),0))/AE75,0)+(ROUND(1/2*J75/AF75,0)+1))*K75</f>
        <v>94</v>
      </c>
      <c r="AO75">
        <f>H75*I75*J75/1000000000*K75*(1+$T$5)</f>
        <v>0.765</v>
      </c>
      <c r="AP75">
        <f>0.006165*O75^2*T75*U75/1000*(1+$T$6)</f>
        <v>104.3532288</v>
      </c>
      <c r="AQ75">
        <f>0.006165*W75^2*AB75*AC75/1000*(1+$T$6)</f>
        <v>0</v>
      </c>
      <c r="AR75">
        <f>AN75*0.006165*AD75^2*AL75/1000*(1+$T$6)</f>
        <v>77.07483000000002</v>
      </c>
      <c r="AS75">
        <f>AN75*0.006165*AI75^2*AM75/1000*(1+$T$6)</f>
        <v>0</v>
      </c>
      <c r="AT75">
        <f>K75*2*J75*(H75+I75)/1000000*(1+$T$7)</f>
        <v>12.06</v>
      </c>
      <c r="AU75">
        <f>SUM(AP75:AS75)/AO75</f>
        <v>237.16086117647063</v>
      </c>
      <c r="AV75">
        <f>AT75/AO75</f>
        <v>15.764705882352942</v>
      </c>
      <c r="AX75">
        <f>0.006165*O75^2*R75*U75/1000*(1+$T$6)</f>
        <v>104.3532288</v>
      </c>
      <c r="AZ75">
        <f>0.006165*O75^2*S75*U75/1000*(1+$T$6)</f>
        <v>0</v>
      </c>
      <c r="BA75">
        <f>AZ75/AP75</f>
        <v>0</v>
      </c>
    </row>
    <row r="76">
      <c r="A76">
        <f>'Data-Kolom'!A77</f>
        <v>12</v>
      </c>
      <c r="B76" t="str">
        <f>'Data-Kolom'!B77</f>
        <v>Lantai 2</v>
      </c>
      <c r="C76">
        <f>'Data-Kolom'!C77</f>
        <v>0</v>
      </c>
      <c r="D76" t="str">
        <f>'Data-Kolom'!D77</f>
        <v>KL55</v>
      </c>
      <c r="E76" t="str">
        <v>T</v>
      </c>
      <c r="F76">
        <f>'Data-Kolom'!U77</f>
        <v>0</v>
      </c>
      <c r="G76">
        <f>'Data-Kolom'!T77</f>
        <v>0</v>
      </c>
      <c r="H76">
        <f>'Data-Kolom'!E77</f>
        <v>170</v>
      </c>
      <c r="I76">
        <f>'Data-Kolom'!F77</f>
        <v>500</v>
      </c>
      <c r="J76">
        <f>'Data-Kolom'!G77</f>
        <v>4500</v>
      </c>
      <c r="K76">
        <v>2</v>
      </c>
      <c r="M76">
        <f>IF(L76&gt;0,VLOOKUP(L76,'Data-PC'!$B$14:$F$56,4,FALSE),0)</f>
        <v>0</v>
      </c>
      <c r="N76">
        <f>'Data-Kolom'!H77</f>
        <v>6</v>
      </c>
      <c r="O76">
        <f>'Data-Kolom'!I77</f>
        <v>16</v>
      </c>
      <c r="P76">
        <f>IF(N76&gt;0,VLOOKUP(O76,$V$2:$X$9,2,FALSE),0)</f>
        <v>1010</v>
      </c>
      <c r="Q76">
        <f>IF(L76&gt;0,M76-50+$N$6*O76,VLOOKUP(O76,$V$2:$X$9,3,FALSE))</f>
        <v>770</v>
      </c>
      <c r="R76">
        <f>IF(E76="F",J76-$N$5+$N$6*O76+Q76,IF(E76="D",J76+Q76+P76,IF(E76="T",J76+P76,IF(E76="A",J76-$N$5+$N$6*O76,0))))</f>
        <v>5510</v>
      </c>
      <c r="T76">
        <f>SUM(R76:S76)</f>
        <v>5510</v>
      </c>
      <c r="U76">
        <f>K76*N76</f>
        <v>12</v>
      </c>
      <c r="V76">
        <f>'Data-Kolom'!J77</f>
        <v>0</v>
      </c>
      <c r="W76">
        <f>'Data-Kolom'!K77</f>
        <v>0</v>
      </c>
      <c r="X76">
        <f>IF(V76&gt;0,VLOOKUP(W76,$V$2:$X$9,2,FALSE),0)</f>
        <v>0</v>
      </c>
      <c r="Y76">
        <f>IF(V76&gt;0,IF(L76&gt;0,M76-50+$N$6*W76,VLOOKUP(W76,$V$2:$X$9,3,FALSE)),0)</f>
        <v>0</v>
      </c>
      <c r="Z76">
        <f>IF(E76="F",J76-$N$5+$N$6*W76+Y76,IF(E76="D",J76+Y76+X76,IF(E76="T",J76+X76,IF(E76="A",J76-$N$5+$N$6*W76,0))))</f>
        <v>4500</v>
      </c>
      <c r="AB76">
        <f>SUM(Z76:AA76)</f>
        <v>4500</v>
      </c>
      <c r="AC76">
        <f>V76*K76</f>
        <v>0</v>
      </c>
      <c r="AD76">
        <f>'Data-Kolom'!L77</f>
        <v>10</v>
      </c>
      <c r="AE76">
        <f>'Data-Kolom'!M77</f>
        <v>100</v>
      </c>
      <c r="AF76">
        <f>'Data-Kolom'!N77</f>
        <v>100</v>
      </c>
      <c r="AG76">
        <f>'Data-Kolom'!O77</f>
        <v>100</v>
      </c>
      <c r="AH76">
        <f>'Data-Kolom'!P77</f>
        <v>0</v>
      </c>
      <c r="AI76">
        <f>'Data-Kolom'!Q77</f>
        <v>0</v>
      </c>
      <c r="AJ76">
        <f>'Data-Kolom'!R77</f>
        <v>0</v>
      </c>
      <c r="AK76">
        <f>'Data-Kolom'!S77</f>
        <v>0</v>
      </c>
      <c r="AL76">
        <f>2*(H76+I76-4*$N$5)+2*MAX($F$5*AD76,75)</f>
        <v>1330</v>
      </c>
      <c r="AM76">
        <f>+AH76*(H76-2*$N$5+2*MAX($F$5*AI76,75))+AJ76*(I76-2*$N$5+2*MAX($F$5*AK76,75))</f>
        <v>0</v>
      </c>
      <c r="AN76">
        <f>(ROUND((1/2*J76+IF(M76&gt;0,(Q76-$N$6*AD76),0))/AE76,0)+(ROUND(1/2*J76/AF76,0)+1))*K76</f>
        <v>94</v>
      </c>
      <c r="AO76">
        <f>H76*I76*J76/1000000000*K76*(1+$T$5)</f>
        <v>0.765</v>
      </c>
      <c r="AP76">
        <f>0.006165*O76^2*T76*U76/1000*(1+$T$6)</f>
        <v>104.3532288</v>
      </c>
      <c r="AQ76">
        <f>0.006165*W76^2*AB76*AC76/1000*(1+$T$6)</f>
        <v>0</v>
      </c>
      <c r="AR76">
        <f>AN76*0.006165*AD76^2*AL76/1000*(1+$T$6)</f>
        <v>77.07483000000002</v>
      </c>
      <c r="AS76">
        <f>AN76*0.006165*AI76^2*AM76/1000*(1+$T$6)</f>
        <v>0</v>
      </c>
      <c r="AT76">
        <f>K76*2*J76*(H76+I76)/1000000*(1+$T$7)</f>
        <v>12.06</v>
      </c>
      <c r="AU76">
        <f>SUM(AP76:AS76)/AO76</f>
        <v>237.16086117647063</v>
      </c>
      <c r="AV76">
        <f>AT76/AO76</f>
        <v>15.764705882352942</v>
      </c>
      <c r="AX76">
        <f>0.006165*O76^2*R76*U76/1000*(1+$T$6)</f>
        <v>104.3532288</v>
      </c>
      <c r="AZ76">
        <f>0.006165*O76^2*S76*U76/1000*(1+$T$6)</f>
        <v>0</v>
      </c>
      <c r="BA76">
        <f>AZ76/AP76</f>
        <v>0</v>
      </c>
    </row>
    <row r="77">
      <c r="A77">
        <f>'Data-Kolom'!A78</f>
        <v>14</v>
      </c>
      <c r="B77" t="str">
        <f>'Data-Kolom'!B78</f>
        <v>Lantai 2</v>
      </c>
      <c r="C77">
        <f>'Data-Kolom'!C78</f>
        <v>0</v>
      </c>
      <c r="D77" t="str">
        <f>'Data-Kolom'!D78</f>
        <v>K5</v>
      </c>
      <c r="E77" t="str">
        <v>T</v>
      </c>
      <c r="F77">
        <f>'Data-Kolom'!U78</f>
        <v>0</v>
      </c>
      <c r="G77">
        <f>'Data-Kolom'!T78</f>
        <v>0</v>
      </c>
      <c r="H77">
        <f>'Data-Kolom'!E78</f>
        <v>170</v>
      </c>
      <c r="I77">
        <f>'Data-Kolom'!F78</f>
        <v>500</v>
      </c>
      <c r="J77">
        <f>'Data-Kolom'!G78</f>
        <v>4500</v>
      </c>
      <c r="K77">
        <v>1</v>
      </c>
      <c r="M77">
        <f>IF(L77&gt;0,VLOOKUP(L77,'Data-PC'!$B$14:$F$56,4,FALSE),0)</f>
        <v>0</v>
      </c>
      <c r="N77">
        <f>'Data-Kolom'!H78</f>
        <v>8</v>
      </c>
      <c r="O77">
        <f>'Data-Kolom'!I78</f>
        <v>16</v>
      </c>
      <c r="P77">
        <f>IF(N77&gt;0,VLOOKUP(O77,$V$2:$X$9,2,FALSE),0)</f>
        <v>1010</v>
      </c>
      <c r="Q77">
        <f>IF(L77&gt;0,M77-50+$N$6*O77,VLOOKUP(O77,$V$2:$X$9,3,FALSE))</f>
        <v>770</v>
      </c>
      <c r="R77">
        <f>IF(E77="F",J77-$N$5+$N$6*O77+Q77,IF(E77="D",J77+Q77+P77,IF(E77="T",J77+P77,IF(E77="A",J77-$N$5+$N$6*O77,0))))</f>
        <v>5510</v>
      </c>
      <c r="T77">
        <f>SUM(R77:S77)</f>
        <v>5510</v>
      </c>
      <c r="U77">
        <f>K77*N77</f>
        <v>8</v>
      </c>
      <c r="V77">
        <f>'Data-Kolom'!J78</f>
        <v>0</v>
      </c>
      <c r="W77">
        <f>'Data-Kolom'!K78</f>
        <v>0</v>
      </c>
      <c r="X77">
        <f>IF(V77&gt;0,VLOOKUP(W77,$V$2:$X$9,2,FALSE),0)</f>
        <v>0</v>
      </c>
      <c r="Y77">
        <f>IF(V77&gt;0,IF(L77&gt;0,M77-50+$N$6*W77,VLOOKUP(W77,$V$2:$X$9,3,FALSE)),0)</f>
        <v>0</v>
      </c>
      <c r="Z77">
        <f>IF(E77="F",J77-$N$5+$N$6*W77+Y77,IF(E77="D",J77+Y77+X77,IF(E77="T",J77+X77,IF(E77="A",J77-$N$5+$N$6*W77,0))))</f>
        <v>4500</v>
      </c>
      <c r="AB77">
        <f>SUM(Z77:AA77)</f>
        <v>4500</v>
      </c>
      <c r="AC77">
        <f>V77*K77</f>
        <v>0</v>
      </c>
      <c r="AD77">
        <f>'Data-Kolom'!L78</f>
        <v>10</v>
      </c>
      <c r="AE77">
        <f>'Data-Kolom'!M78</f>
        <v>100</v>
      </c>
      <c r="AF77">
        <f>'Data-Kolom'!N78</f>
        <v>100</v>
      </c>
      <c r="AG77">
        <f>'Data-Kolom'!O78</f>
        <v>100</v>
      </c>
      <c r="AH77">
        <f>'Data-Kolom'!P78</f>
        <v>1</v>
      </c>
      <c r="AI77">
        <f>'Data-Kolom'!Q78</f>
        <v>10</v>
      </c>
      <c r="AJ77">
        <f>'Data-Kolom'!R78</f>
        <v>0</v>
      </c>
      <c r="AK77">
        <f>'Data-Kolom'!S78</f>
        <v>0</v>
      </c>
      <c r="AL77">
        <f>2*(H77+I77-4*$N$5)+2*MAX($F$5*AD77,75)</f>
        <v>1330</v>
      </c>
      <c r="AM77">
        <f>+AH77*(H77-2*$N$5+2*MAX($F$5*AI77,75))+AJ77*(I77-2*$N$5+2*MAX($F$5*AK77,75))</f>
        <v>280</v>
      </c>
      <c r="AN77">
        <f>(ROUND((1/2*J77+IF(M77&gt;0,(Q77-$N$6*AD77),0))/AE77,0)+(ROUND(1/2*J77/AF77,0)+1))*K77</f>
        <v>47</v>
      </c>
      <c r="AO77">
        <f>H77*I77*J77/1000000000*K77*(1+$T$5)</f>
        <v>0.3825</v>
      </c>
      <c r="AP77">
        <f>0.006165*O77^2*T77*U77/1000*(1+$T$6)</f>
        <v>69.5688192</v>
      </c>
      <c r="AQ77">
        <f>0.006165*W77^2*AB77*AC77/1000*(1+$T$6)</f>
        <v>0</v>
      </c>
      <c r="AR77">
        <f>AN77*0.006165*AD77^2*AL77/1000*(1+$T$6)</f>
        <v>38.53741500000001</v>
      </c>
      <c r="AS77">
        <f>AN77*0.006165*AI77^2*AM77/1000*(1+$T$6)</f>
        <v>8.113140000000001</v>
      </c>
      <c r="AT77">
        <f>K77*2*J77*(H77+I77)/1000000*(1+$T$7)</f>
        <v>6.03</v>
      </c>
      <c r="AU77">
        <f>SUM(AP77:AS77)/AO77</f>
        <v>303.8415011764706</v>
      </c>
      <c r="AV77">
        <f>AT77/AO77</f>
        <v>15.764705882352942</v>
      </c>
      <c r="AX77">
        <f>0.006165*O77^2*R77*U77/1000*(1+$T$6)</f>
        <v>69.5688192</v>
      </c>
      <c r="AZ77">
        <f>0.006165*O77^2*S77*U77/1000*(1+$T$6)</f>
        <v>0</v>
      </c>
      <c r="BA77">
        <f>AZ77/AP77</f>
        <v>0</v>
      </c>
    </row>
    <row r="78">
      <c r="A78">
        <f>'Data-Kolom'!A79</f>
        <v>15</v>
      </c>
      <c r="B78" t="str">
        <f>'Data-Kolom'!B79</f>
        <v>Lantai 2</v>
      </c>
      <c r="C78">
        <f>'Data-Kolom'!C79</f>
        <v>0</v>
      </c>
      <c r="D78" t="str">
        <f>'Data-Kolom'!D79</f>
        <v>K5</v>
      </c>
      <c r="E78" t="str">
        <v>T</v>
      </c>
      <c r="F78">
        <f>'Data-Kolom'!U79</f>
        <v>0</v>
      </c>
      <c r="G78">
        <f>'Data-Kolom'!T79</f>
        <v>0</v>
      </c>
      <c r="H78">
        <f>'Data-Kolom'!E79</f>
        <v>170</v>
      </c>
      <c r="I78">
        <f>'Data-Kolom'!F79</f>
        <v>500</v>
      </c>
      <c r="J78">
        <f>'Data-Kolom'!G79</f>
        <v>4500</v>
      </c>
      <c r="K78">
        <v>1</v>
      </c>
      <c r="M78">
        <f>IF(L78&gt;0,VLOOKUP(L78,'Data-PC'!$B$14:$F$56,4,FALSE),0)</f>
        <v>0</v>
      </c>
      <c r="N78">
        <f>'Data-Kolom'!H79</f>
        <v>8</v>
      </c>
      <c r="O78">
        <f>'Data-Kolom'!I79</f>
        <v>16</v>
      </c>
      <c r="P78">
        <f>IF(N78&gt;0,VLOOKUP(O78,$V$2:$X$9,2,FALSE),0)</f>
        <v>1010</v>
      </c>
      <c r="Q78">
        <f>IF(L78&gt;0,M78-50+$N$6*O78,VLOOKUP(O78,$V$2:$X$9,3,FALSE))</f>
        <v>770</v>
      </c>
      <c r="R78">
        <f>IF(E78="F",J78-$N$5+$N$6*O78+Q78,IF(E78="D",J78+Q78+P78,IF(E78="T",J78+P78,IF(E78="A",J78-$N$5+$N$6*O78,0))))</f>
        <v>5510</v>
      </c>
      <c r="T78">
        <f>SUM(R78:S78)</f>
        <v>5510</v>
      </c>
      <c r="U78">
        <f>K78*N78</f>
        <v>8</v>
      </c>
      <c r="V78">
        <f>'Data-Kolom'!J79</f>
        <v>0</v>
      </c>
      <c r="W78">
        <f>'Data-Kolom'!K79</f>
        <v>0</v>
      </c>
      <c r="X78">
        <f>IF(V78&gt;0,VLOOKUP(W78,$V$2:$X$9,2,FALSE),0)</f>
        <v>0</v>
      </c>
      <c r="Y78">
        <f>IF(V78&gt;0,IF(L78&gt;0,M78-50+$N$6*W78,VLOOKUP(W78,$V$2:$X$9,3,FALSE)),0)</f>
        <v>0</v>
      </c>
      <c r="Z78">
        <f>IF(E78="F",J78-$N$5+$N$6*W78+Y78,IF(E78="D",J78+Y78+X78,IF(E78="T",J78+X78,IF(E78="A",J78-$N$5+$N$6*W78,0))))</f>
        <v>4500</v>
      </c>
      <c r="AB78">
        <f>SUM(Z78:AA78)</f>
        <v>4500</v>
      </c>
      <c r="AC78">
        <f>V78*K78</f>
        <v>0</v>
      </c>
      <c r="AD78">
        <f>'Data-Kolom'!L79</f>
        <v>10</v>
      </c>
      <c r="AE78">
        <f>'Data-Kolom'!M79</f>
        <v>100</v>
      </c>
      <c r="AF78">
        <f>'Data-Kolom'!N79</f>
        <v>100</v>
      </c>
      <c r="AG78">
        <f>'Data-Kolom'!O79</f>
        <v>100</v>
      </c>
      <c r="AH78">
        <f>'Data-Kolom'!P79</f>
        <v>1</v>
      </c>
      <c r="AI78">
        <f>'Data-Kolom'!Q79</f>
        <v>10</v>
      </c>
      <c r="AJ78">
        <f>'Data-Kolom'!R79</f>
        <v>0</v>
      </c>
      <c r="AK78">
        <f>'Data-Kolom'!S79</f>
        <v>0</v>
      </c>
      <c r="AL78">
        <f>2*(H78+I78-4*$N$5)+2*MAX($F$5*AD78,75)</f>
        <v>1330</v>
      </c>
      <c r="AM78">
        <f>+AH78*(H78-2*$N$5+2*MAX($F$5*AI78,75))+AJ78*(I78-2*$N$5+2*MAX($F$5*AK78,75))</f>
        <v>280</v>
      </c>
      <c r="AN78">
        <f>(ROUND((1/2*J78+IF(M78&gt;0,(Q78-$N$6*AD78),0))/AE78,0)+(ROUND(1/2*J78/AF78,0)+1))*K78</f>
        <v>47</v>
      </c>
      <c r="AO78">
        <f>H78*I78*J78/1000000000*K78*(1+$T$5)</f>
        <v>0.3825</v>
      </c>
      <c r="AP78">
        <f>0.006165*O78^2*T78*U78/1000*(1+$T$6)</f>
        <v>69.5688192</v>
      </c>
      <c r="AQ78">
        <f>0.006165*W78^2*AB78*AC78/1000*(1+$T$6)</f>
        <v>0</v>
      </c>
      <c r="AR78">
        <f>AN78*0.006165*AD78^2*AL78/1000*(1+$T$6)</f>
        <v>38.53741500000001</v>
      </c>
      <c r="AS78">
        <f>AN78*0.006165*AI78^2*AM78/1000*(1+$T$6)</f>
        <v>8.113140000000001</v>
      </c>
      <c r="AT78">
        <f>K78*2*J78*(H78+I78)/1000000*(1+$T$7)</f>
        <v>6.03</v>
      </c>
      <c r="AU78">
        <f>SUM(AP78:AS78)/AO78</f>
        <v>303.8415011764706</v>
      </c>
      <c r="AV78">
        <f>AT78/AO78</f>
        <v>15.764705882352942</v>
      </c>
      <c r="AX78">
        <f>0.006165*O78^2*R78*U78/1000*(1+$T$6)</f>
        <v>69.5688192</v>
      </c>
      <c r="AZ78">
        <f>0.006165*O78^2*S78*U78/1000*(1+$T$6)</f>
        <v>0</v>
      </c>
      <c r="BA78">
        <f>AZ78/AP78</f>
        <v>0</v>
      </c>
    </row>
    <row r="79">
      <c r="A79">
        <f>'Data-Kolom'!A80</f>
        <v>16</v>
      </c>
      <c r="B79" t="str">
        <f>'Data-Kolom'!B80</f>
        <v>Lantai 2</v>
      </c>
      <c r="C79">
        <f>'Data-Kolom'!C80</f>
        <v>0</v>
      </c>
      <c r="D79" t="str">
        <f>'Data-Kolom'!D80</f>
        <v>K5</v>
      </c>
      <c r="E79" t="str">
        <v>T</v>
      </c>
      <c r="F79">
        <f>'Data-Kolom'!U80</f>
        <v>0</v>
      </c>
      <c r="G79">
        <f>'Data-Kolom'!T80</f>
        <v>0</v>
      </c>
      <c r="H79">
        <f>'Data-Kolom'!E80</f>
        <v>170</v>
      </c>
      <c r="I79">
        <f>'Data-Kolom'!F80</f>
        <v>500</v>
      </c>
      <c r="J79">
        <f>'Data-Kolom'!G80</f>
        <v>4500</v>
      </c>
      <c r="K79">
        <v>1</v>
      </c>
      <c r="M79">
        <f>IF(L79&gt;0,VLOOKUP(L79,'Data-PC'!$B$14:$F$56,4,FALSE),0)</f>
        <v>0</v>
      </c>
      <c r="N79">
        <f>'Data-Kolom'!H80</f>
        <v>8</v>
      </c>
      <c r="O79">
        <f>'Data-Kolom'!I80</f>
        <v>16</v>
      </c>
      <c r="P79">
        <f>IF(N79&gt;0,VLOOKUP(O79,$V$2:$X$9,2,FALSE),0)</f>
        <v>1010</v>
      </c>
      <c r="Q79">
        <f>IF(L79&gt;0,M79-50+$N$6*O79,VLOOKUP(O79,$V$2:$X$9,3,FALSE))</f>
        <v>770</v>
      </c>
      <c r="R79">
        <f>IF(E79="F",J79-$N$5+$N$6*O79+Q79,IF(E79="D",J79+Q79+P79,IF(E79="T",J79+P79,IF(E79="A",J79-$N$5+$N$6*O79,0))))</f>
        <v>5510</v>
      </c>
      <c r="T79">
        <f>SUM(R79:S79)</f>
        <v>5510</v>
      </c>
      <c r="U79">
        <f>K79*N79</f>
        <v>8</v>
      </c>
      <c r="V79">
        <f>'Data-Kolom'!J80</f>
        <v>0</v>
      </c>
      <c r="W79">
        <f>'Data-Kolom'!K80</f>
        <v>0</v>
      </c>
      <c r="X79">
        <f>IF(V79&gt;0,VLOOKUP(W79,$V$2:$X$9,2,FALSE),0)</f>
        <v>0</v>
      </c>
      <c r="Y79">
        <f>IF(V79&gt;0,IF(L79&gt;0,M79-50+$N$6*W79,VLOOKUP(W79,$V$2:$X$9,3,FALSE)),0)</f>
        <v>0</v>
      </c>
      <c r="Z79">
        <f>IF(E79="F",J79-$N$5+$N$6*W79+Y79,IF(E79="D",J79+Y79+X79,IF(E79="T",J79+X79,IF(E79="A",J79-$N$5+$N$6*W79,0))))</f>
        <v>4500</v>
      </c>
      <c r="AB79">
        <f>SUM(Z79:AA79)</f>
        <v>4500</v>
      </c>
      <c r="AC79">
        <f>V79*K79</f>
        <v>0</v>
      </c>
      <c r="AD79">
        <f>'Data-Kolom'!L80</f>
        <v>10</v>
      </c>
      <c r="AE79">
        <f>'Data-Kolom'!M80</f>
        <v>100</v>
      </c>
      <c r="AF79">
        <f>'Data-Kolom'!N80</f>
        <v>100</v>
      </c>
      <c r="AG79">
        <f>'Data-Kolom'!O80</f>
        <v>100</v>
      </c>
      <c r="AH79">
        <f>'Data-Kolom'!P80</f>
        <v>1</v>
      </c>
      <c r="AI79">
        <f>'Data-Kolom'!Q80</f>
        <v>10</v>
      </c>
      <c r="AJ79">
        <f>'Data-Kolom'!R80</f>
        <v>0</v>
      </c>
      <c r="AK79">
        <f>'Data-Kolom'!S80</f>
        <v>0</v>
      </c>
      <c r="AL79">
        <f>2*(H79+I79-4*$N$5)+2*MAX($F$5*AD79,75)</f>
        <v>1330</v>
      </c>
      <c r="AM79">
        <f>+AH79*(H79-2*$N$5+2*MAX($F$5*AI79,75))+AJ79*(I79-2*$N$5+2*MAX($F$5*AK79,75))</f>
        <v>280</v>
      </c>
      <c r="AN79">
        <f>(ROUND((1/2*J79+IF(M79&gt;0,(Q79-$N$6*AD79),0))/AE79,0)+(ROUND(1/2*J79/AF79,0)+1))*K79</f>
        <v>47</v>
      </c>
      <c r="AO79">
        <f>H79*I79*J79/1000000000*K79*(1+$T$5)</f>
        <v>0.3825</v>
      </c>
      <c r="AP79">
        <f>0.006165*O79^2*T79*U79/1000*(1+$T$6)</f>
        <v>69.5688192</v>
      </c>
      <c r="AQ79">
        <f>0.006165*W79^2*AB79*AC79/1000*(1+$T$6)</f>
        <v>0</v>
      </c>
      <c r="AR79">
        <f>AN79*0.006165*AD79^2*AL79/1000*(1+$T$6)</f>
        <v>38.53741500000001</v>
      </c>
      <c r="AS79">
        <f>AN79*0.006165*AI79^2*AM79/1000*(1+$T$6)</f>
        <v>8.113140000000001</v>
      </c>
      <c r="AT79">
        <f>K79*2*J79*(H79+I79)/1000000*(1+$T$7)</f>
        <v>6.03</v>
      </c>
      <c r="AU79">
        <f>SUM(AP79:AS79)/AO79</f>
        <v>303.8415011764706</v>
      </c>
      <c r="AV79">
        <f>AT79/AO79</f>
        <v>15.764705882352942</v>
      </c>
      <c r="AX79">
        <f>0.006165*O79^2*R79*U79/1000*(1+$T$6)</f>
        <v>69.5688192</v>
      </c>
      <c r="AZ79">
        <f>0.006165*O79^2*S79*U79/1000*(1+$T$6)</f>
        <v>0</v>
      </c>
      <c r="BA79">
        <f>AZ79/AP79</f>
        <v>0</v>
      </c>
    </row>
    <row r="80">
      <c r="A80">
        <f>'Data-Kolom'!A81</f>
        <v>17</v>
      </c>
      <c r="B80" t="str">
        <f>'Data-Kolom'!B81</f>
        <v>Lantai 2</v>
      </c>
      <c r="C80">
        <f>'Data-Kolom'!C81</f>
        <v>0</v>
      </c>
      <c r="D80" t="str">
        <f>'Data-Kolom'!D81</f>
        <v>K5</v>
      </c>
      <c r="E80" t="str">
        <v>T</v>
      </c>
      <c r="F80">
        <f>'Data-Kolom'!U81</f>
        <v>0</v>
      </c>
      <c r="G80">
        <f>'Data-Kolom'!T81</f>
        <v>0</v>
      </c>
      <c r="H80">
        <f>'Data-Kolom'!E81</f>
        <v>170</v>
      </c>
      <c r="I80">
        <f>'Data-Kolom'!F81</f>
        <v>500</v>
      </c>
      <c r="J80">
        <f>'Data-Kolom'!G81</f>
        <v>4500</v>
      </c>
      <c r="K80">
        <v>1</v>
      </c>
      <c r="M80">
        <f>IF(L80&gt;0,VLOOKUP(L80,'Data-PC'!$B$14:$F$56,4,FALSE),0)</f>
        <v>0</v>
      </c>
      <c r="N80">
        <f>'Data-Kolom'!H81</f>
        <v>8</v>
      </c>
      <c r="O80">
        <f>'Data-Kolom'!I81</f>
        <v>16</v>
      </c>
      <c r="P80">
        <f>IF(N80&gt;0,VLOOKUP(O80,$V$2:$X$9,2,FALSE),0)</f>
        <v>1010</v>
      </c>
      <c r="Q80">
        <f>IF(L80&gt;0,M80-50+$N$6*O80,VLOOKUP(O80,$V$2:$X$9,3,FALSE))</f>
        <v>770</v>
      </c>
      <c r="R80">
        <f>IF(E80="F",J80-$N$5+$N$6*O80+Q80,IF(E80="D",J80+Q80+P80,IF(E80="T",J80+P80,IF(E80="A",J80-$N$5+$N$6*O80,0))))</f>
        <v>5510</v>
      </c>
      <c r="T80">
        <f>SUM(R80:S80)</f>
        <v>5510</v>
      </c>
      <c r="U80">
        <f>K80*N80</f>
        <v>8</v>
      </c>
      <c r="V80">
        <f>'Data-Kolom'!J81</f>
        <v>0</v>
      </c>
      <c r="W80">
        <f>'Data-Kolom'!K81</f>
        <v>0</v>
      </c>
      <c r="X80">
        <f>IF(V80&gt;0,VLOOKUP(W80,$V$2:$X$9,2,FALSE),0)</f>
        <v>0</v>
      </c>
      <c r="Y80">
        <f>IF(V80&gt;0,IF(L80&gt;0,M80-50+$N$6*W80,VLOOKUP(W80,$V$2:$X$9,3,FALSE)),0)</f>
        <v>0</v>
      </c>
      <c r="Z80">
        <f>IF(E80="F",J80-$N$5+$N$6*W80+Y80,IF(E80="D",J80+Y80+X80,IF(E80="T",J80+X80,IF(E80="A",J80-$N$5+$N$6*W80,0))))</f>
        <v>4500</v>
      </c>
      <c r="AB80">
        <f>SUM(Z80:AA80)</f>
        <v>4500</v>
      </c>
      <c r="AC80">
        <f>V80*K80</f>
        <v>0</v>
      </c>
      <c r="AD80">
        <f>'Data-Kolom'!L81</f>
        <v>10</v>
      </c>
      <c r="AE80">
        <f>'Data-Kolom'!M81</f>
        <v>100</v>
      </c>
      <c r="AF80">
        <f>'Data-Kolom'!N81</f>
        <v>100</v>
      </c>
      <c r="AG80">
        <f>'Data-Kolom'!O81</f>
        <v>100</v>
      </c>
      <c r="AH80">
        <f>'Data-Kolom'!P81</f>
        <v>1</v>
      </c>
      <c r="AI80">
        <f>'Data-Kolom'!Q81</f>
        <v>10</v>
      </c>
      <c r="AJ80">
        <f>'Data-Kolom'!R81</f>
        <v>0</v>
      </c>
      <c r="AK80">
        <f>'Data-Kolom'!S81</f>
        <v>0</v>
      </c>
      <c r="AL80">
        <f>2*(H80+I80-4*$N$5)+2*MAX($F$5*AD80,75)</f>
        <v>1330</v>
      </c>
      <c r="AM80">
        <f>+AH80*(H80-2*$N$5+2*MAX($F$5*AI80,75))+AJ80*(I80-2*$N$5+2*MAX($F$5*AK80,75))</f>
        <v>280</v>
      </c>
      <c r="AN80">
        <f>(ROUND((1/2*J80+IF(M80&gt;0,(Q80-$N$6*AD80),0))/AE80,0)+(ROUND(1/2*J80/AF80,0)+1))*K80</f>
        <v>47</v>
      </c>
      <c r="AO80">
        <f>H80*I80*J80/1000000000*K80*(1+$T$5)</f>
        <v>0.3825</v>
      </c>
      <c r="AP80">
        <f>0.006165*O80^2*T80*U80/1000*(1+$T$6)</f>
        <v>69.5688192</v>
      </c>
      <c r="AQ80">
        <f>0.006165*W80^2*AB80*AC80/1000*(1+$T$6)</f>
        <v>0</v>
      </c>
      <c r="AR80">
        <f>AN80*0.006165*AD80^2*AL80/1000*(1+$T$6)</f>
        <v>38.53741500000001</v>
      </c>
      <c r="AS80">
        <f>AN80*0.006165*AI80^2*AM80/1000*(1+$T$6)</f>
        <v>8.113140000000001</v>
      </c>
      <c r="AT80">
        <f>K80*2*J80*(H80+I80)/1000000*(1+$T$7)</f>
        <v>6.03</v>
      </c>
      <c r="AU80">
        <f>SUM(AP80:AS80)/AO80</f>
        <v>303.8415011764706</v>
      </c>
      <c r="AV80">
        <f>AT80/AO80</f>
        <v>15.764705882352942</v>
      </c>
      <c r="AX80">
        <f>0.006165*O80^2*R80*U80/1000*(1+$T$6)</f>
        <v>69.5688192</v>
      </c>
      <c r="AZ80">
        <f>0.006165*O80^2*S80*U80/1000*(1+$T$6)</f>
        <v>0</v>
      </c>
      <c r="BA80">
        <f>AZ80/AP80</f>
        <v>0</v>
      </c>
    </row>
    <row r="81">
      <c r="A81">
        <f>'Data-Kolom'!A82</f>
        <v>18</v>
      </c>
      <c r="B81" t="str">
        <f>'Data-Kolom'!B82</f>
        <v>Lantai 2</v>
      </c>
      <c r="C81">
        <f>'Data-Kolom'!C82</f>
        <v>0</v>
      </c>
      <c r="D81" t="str">
        <f>'Data-Kolom'!D82</f>
        <v>KL55</v>
      </c>
      <c r="E81" t="str">
        <v>T</v>
      </c>
      <c r="F81">
        <f>'Data-Kolom'!U82</f>
        <v>0</v>
      </c>
      <c r="G81">
        <f>'Data-Kolom'!T82</f>
        <v>0</v>
      </c>
      <c r="H81">
        <f>'Data-Kolom'!E82</f>
        <v>170</v>
      </c>
      <c r="I81">
        <f>'Data-Kolom'!F82</f>
        <v>500</v>
      </c>
      <c r="J81">
        <f>'Data-Kolom'!G82</f>
        <v>4500</v>
      </c>
      <c r="K81">
        <v>2</v>
      </c>
      <c r="M81">
        <f>IF(L81&gt;0,VLOOKUP(L81,'Data-PC'!$B$14:$F$56,4,FALSE),0)</f>
        <v>0</v>
      </c>
      <c r="N81">
        <f>'Data-Kolom'!H82</f>
        <v>6</v>
      </c>
      <c r="O81">
        <f>'Data-Kolom'!I82</f>
        <v>16</v>
      </c>
      <c r="P81">
        <f>IF(N81&gt;0,VLOOKUP(O81,$V$2:$X$9,2,FALSE),0)</f>
        <v>1010</v>
      </c>
      <c r="Q81">
        <f>IF(L81&gt;0,M81-50+$N$6*O81,VLOOKUP(O81,$V$2:$X$9,3,FALSE))</f>
        <v>770</v>
      </c>
      <c r="R81">
        <f>IF(E81="F",J81-$N$5+$N$6*O81+Q81,IF(E81="D",J81+Q81+P81,IF(E81="T",J81+P81,IF(E81="A",J81-$N$5+$N$6*O81,0))))</f>
        <v>5510</v>
      </c>
      <c r="T81">
        <f>SUM(R81:S81)</f>
        <v>5510</v>
      </c>
      <c r="U81">
        <f>K81*N81</f>
        <v>12</v>
      </c>
      <c r="V81">
        <f>'Data-Kolom'!J82</f>
        <v>0</v>
      </c>
      <c r="W81">
        <f>'Data-Kolom'!K82</f>
        <v>0</v>
      </c>
      <c r="X81">
        <f>IF(V81&gt;0,VLOOKUP(W81,$V$2:$X$9,2,FALSE),0)</f>
        <v>0</v>
      </c>
      <c r="Y81">
        <f>IF(V81&gt;0,IF(L81&gt;0,M81-50+$N$6*W81,VLOOKUP(W81,$V$2:$X$9,3,FALSE)),0)</f>
        <v>0</v>
      </c>
      <c r="Z81">
        <f>IF(E81="F",J81-$N$5+$N$6*W81+Y81,IF(E81="D",J81+Y81+X81,IF(E81="T",J81+X81,IF(E81="A",J81-$N$5+$N$6*W81,0))))</f>
        <v>4500</v>
      </c>
      <c r="AB81">
        <f>SUM(Z81:AA81)</f>
        <v>4500</v>
      </c>
      <c r="AC81">
        <f>V81*K81</f>
        <v>0</v>
      </c>
      <c r="AD81">
        <f>'Data-Kolom'!L82</f>
        <v>10</v>
      </c>
      <c r="AE81">
        <f>'Data-Kolom'!M82</f>
        <v>100</v>
      </c>
      <c r="AF81">
        <f>'Data-Kolom'!N82</f>
        <v>100</v>
      </c>
      <c r="AG81">
        <f>'Data-Kolom'!O82</f>
        <v>100</v>
      </c>
      <c r="AH81">
        <f>'Data-Kolom'!P82</f>
        <v>0</v>
      </c>
      <c r="AI81">
        <f>'Data-Kolom'!Q82</f>
        <v>0</v>
      </c>
      <c r="AJ81">
        <f>'Data-Kolom'!R82</f>
        <v>0</v>
      </c>
      <c r="AK81">
        <f>'Data-Kolom'!S82</f>
        <v>0</v>
      </c>
      <c r="AL81">
        <f>2*(H81+I81-4*$N$5)+2*MAX($F$5*AD81,75)</f>
        <v>1330</v>
      </c>
      <c r="AM81">
        <f>+AH81*(H81-2*$N$5+2*MAX($F$5*AI81,75))+AJ81*(I81-2*$N$5+2*MAX($F$5*AK81,75))</f>
        <v>0</v>
      </c>
      <c r="AN81">
        <f>(ROUND((1/2*J81+IF(M81&gt;0,(Q81-$N$6*AD81),0))/AE81,0)+(ROUND(1/2*J81/AF81,0)+1))*K81</f>
        <v>94</v>
      </c>
      <c r="AO81">
        <f>H81*I81*J81/1000000000*K81*(1+$T$5)</f>
        <v>0.765</v>
      </c>
      <c r="AP81">
        <f>0.006165*O81^2*T81*U81/1000*(1+$T$6)</f>
        <v>104.3532288</v>
      </c>
      <c r="AQ81">
        <f>0.006165*W81^2*AB81*AC81/1000*(1+$T$6)</f>
        <v>0</v>
      </c>
      <c r="AR81">
        <f>AN81*0.006165*AD81^2*AL81/1000*(1+$T$6)</f>
        <v>77.07483000000002</v>
      </c>
      <c r="AS81">
        <f>AN81*0.006165*AI81^2*AM81/1000*(1+$T$6)</f>
        <v>0</v>
      </c>
      <c r="AT81">
        <f>K81*2*J81*(H81+I81)/1000000*(1+$T$7)</f>
        <v>12.06</v>
      </c>
      <c r="AU81">
        <f>SUM(AP81:AS81)/AO81</f>
        <v>237.16086117647063</v>
      </c>
      <c r="AV81">
        <f>AT81/AO81</f>
        <v>15.764705882352942</v>
      </c>
      <c r="AX81">
        <f>0.006165*O81^2*R81*U81/1000*(1+$T$6)</f>
        <v>104.3532288</v>
      </c>
      <c r="AZ81">
        <f>0.006165*O81^2*S81*U81/1000*(1+$T$6)</f>
        <v>0</v>
      </c>
      <c r="BA81">
        <f>AZ81/AP81</f>
        <v>0</v>
      </c>
    </row>
    <row r="82">
      <c r="A82">
        <f>'Data-Kolom'!A83</f>
        <v>19</v>
      </c>
      <c r="B82" t="str">
        <f>'Data-Kolom'!B83</f>
        <v>Lantai 2</v>
      </c>
      <c r="C82">
        <f>'Data-Kolom'!C83</f>
        <v>0</v>
      </c>
      <c r="D82" t="str">
        <f>'Data-Kolom'!D83</f>
        <v>KL55</v>
      </c>
      <c r="E82" t="str">
        <v>T</v>
      </c>
      <c r="F82">
        <f>'Data-Kolom'!U83</f>
        <v>0</v>
      </c>
      <c r="G82">
        <f>'Data-Kolom'!T83</f>
        <v>0</v>
      </c>
      <c r="H82">
        <f>'Data-Kolom'!E83</f>
        <v>170</v>
      </c>
      <c r="I82">
        <f>'Data-Kolom'!F83</f>
        <v>500</v>
      </c>
      <c r="J82">
        <f>'Data-Kolom'!G83</f>
        <v>4500</v>
      </c>
      <c r="K82">
        <v>2</v>
      </c>
      <c r="M82">
        <f>IF(L82&gt;0,VLOOKUP(L82,'Data-PC'!$B$14:$F$56,4,FALSE),0)</f>
        <v>0</v>
      </c>
      <c r="N82">
        <f>'Data-Kolom'!H83</f>
        <v>6</v>
      </c>
      <c r="O82">
        <f>'Data-Kolom'!I83</f>
        <v>16</v>
      </c>
      <c r="P82">
        <f>IF(N82&gt;0,VLOOKUP(O82,$V$2:$X$9,2,FALSE),0)</f>
        <v>1010</v>
      </c>
      <c r="Q82">
        <f>IF(L82&gt;0,M82-50+$N$6*O82,VLOOKUP(O82,$V$2:$X$9,3,FALSE))</f>
        <v>770</v>
      </c>
      <c r="R82">
        <f>IF(E82="F",J82-$N$5+$N$6*O82+Q82,IF(E82="D",J82+Q82+P82,IF(E82="T",J82+P82,IF(E82="A",J82-$N$5+$N$6*O82,0))))</f>
        <v>5510</v>
      </c>
      <c r="T82">
        <f>SUM(R82:S82)</f>
        <v>5510</v>
      </c>
      <c r="U82">
        <f>K82*N82</f>
        <v>12</v>
      </c>
      <c r="V82">
        <f>'Data-Kolom'!J83</f>
        <v>0</v>
      </c>
      <c r="W82">
        <f>'Data-Kolom'!K83</f>
        <v>0</v>
      </c>
      <c r="X82">
        <f>IF(V82&gt;0,VLOOKUP(W82,$V$2:$X$9,2,FALSE),0)</f>
        <v>0</v>
      </c>
      <c r="Y82">
        <f>IF(V82&gt;0,IF(L82&gt;0,M82-50+$N$6*W82,VLOOKUP(W82,$V$2:$X$9,3,FALSE)),0)</f>
        <v>0</v>
      </c>
      <c r="Z82">
        <f>IF(E82="F",J82-$N$5+$N$6*W82+Y82,IF(E82="D",J82+Y82+X82,IF(E82="T",J82+X82,IF(E82="A",J82-$N$5+$N$6*W82,0))))</f>
        <v>4500</v>
      </c>
      <c r="AB82">
        <f>SUM(Z82:AA82)</f>
        <v>4500</v>
      </c>
      <c r="AC82">
        <f>V82*K82</f>
        <v>0</v>
      </c>
      <c r="AD82">
        <f>'Data-Kolom'!L83</f>
        <v>10</v>
      </c>
      <c r="AE82">
        <f>'Data-Kolom'!M83</f>
        <v>100</v>
      </c>
      <c r="AF82">
        <f>'Data-Kolom'!N83</f>
        <v>100</v>
      </c>
      <c r="AG82">
        <f>'Data-Kolom'!O83</f>
        <v>100</v>
      </c>
      <c r="AH82">
        <f>'Data-Kolom'!P83</f>
        <v>0</v>
      </c>
      <c r="AI82">
        <f>'Data-Kolom'!Q83</f>
        <v>0</v>
      </c>
      <c r="AJ82">
        <f>'Data-Kolom'!R83</f>
        <v>0</v>
      </c>
      <c r="AK82">
        <f>'Data-Kolom'!S83</f>
        <v>0</v>
      </c>
      <c r="AL82">
        <f>2*(H82+I82-4*$N$5)+2*MAX($F$5*AD82,75)</f>
        <v>1330</v>
      </c>
      <c r="AM82">
        <f>+AH82*(H82-2*$N$5+2*MAX($F$5*AI82,75))+AJ82*(I82-2*$N$5+2*MAX($F$5*AK82,75))</f>
        <v>0</v>
      </c>
      <c r="AN82">
        <f>(ROUND((1/2*J82+IF(M82&gt;0,(Q82-$N$6*AD82),0))/AE82,0)+(ROUND(1/2*J82/AF82,0)+1))*K82</f>
        <v>94</v>
      </c>
      <c r="AO82">
        <f>H82*I82*J82/1000000000*K82*(1+$T$5)</f>
        <v>0.765</v>
      </c>
      <c r="AP82">
        <f>0.006165*O82^2*T82*U82/1000*(1+$T$6)</f>
        <v>104.3532288</v>
      </c>
      <c r="AQ82">
        <f>0.006165*W82^2*AB82*AC82/1000*(1+$T$6)</f>
        <v>0</v>
      </c>
      <c r="AR82">
        <f>AN82*0.006165*AD82^2*AL82/1000*(1+$T$6)</f>
        <v>77.07483000000002</v>
      </c>
      <c r="AS82">
        <f>AN82*0.006165*AI82^2*AM82/1000*(1+$T$6)</f>
        <v>0</v>
      </c>
      <c r="AT82">
        <f>K82*2*J82*(H82+I82)/1000000*(1+$T$7)</f>
        <v>12.06</v>
      </c>
      <c r="AU82">
        <f>SUM(AP82:AS82)/AO82</f>
        <v>237.16086117647063</v>
      </c>
      <c r="AV82">
        <f>AT82/AO82</f>
        <v>15.764705882352942</v>
      </c>
      <c r="AX82">
        <f>0.006165*O82^2*R82*U82/1000*(1+$T$6)</f>
        <v>104.3532288</v>
      </c>
      <c r="AZ82">
        <f>0.006165*O82^2*S82*U82/1000*(1+$T$6)</f>
        <v>0</v>
      </c>
      <c r="BA82">
        <f>AZ82/AP82</f>
        <v>0</v>
      </c>
    </row>
    <row r="83">
      <c r="A83">
        <f>'Data-Kolom'!A84</f>
        <v>20</v>
      </c>
      <c r="B83" t="str">
        <f>'Data-Kolom'!B84</f>
        <v>Lantai 2</v>
      </c>
      <c r="C83">
        <f>'Data-Kolom'!C84</f>
        <v>0</v>
      </c>
      <c r="D83" t="str">
        <f>'Data-Kolom'!D84</f>
        <v>K5</v>
      </c>
      <c r="E83" t="str">
        <v>T</v>
      </c>
      <c r="F83">
        <f>'Data-Kolom'!U84</f>
        <v>0</v>
      </c>
      <c r="G83">
        <f>'Data-Kolom'!T84</f>
        <v>0</v>
      </c>
      <c r="H83">
        <f>'Data-Kolom'!E84</f>
        <v>170</v>
      </c>
      <c r="I83">
        <f>'Data-Kolom'!F84</f>
        <v>500</v>
      </c>
      <c r="J83">
        <f>'Data-Kolom'!G84</f>
        <v>4500</v>
      </c>
      <c r="K83">
        <v>1</v>
      </c>
      <c r="M83">
        <f>IF(L83&gt;0,VLOOKUP(L83,'Data-PC'!$B$14:$F$56,4,FALSE),0)</f>
        <v>0</v>
      </c>
      <c r="N83">
        <f>'Data-Kolom'!H84</f>
        <v>8</v>
      </c>
      <c r="O83">
        <f>'Data-Kolom'!I84</f>
        <v>16</v>
      </c>
      <c r="P83">
        <f>IF(N83&gt;0,VLOOKUP(O83,$V$2:$X$9,2,FALSE),0)</f>
        <v>1010</v>
      </c>
      <c r="Q83">
        <f>IF(L83&gt;0,M83-50+$N$6*O83,VLOOKUP(O83,$V$2:$X$9,3,FALSE))</f>
        <v>770</v>
      </c>
      <c r="R83">
        <f>IF(E83="F",J83-$N$5+$N$6*O83+Q83,IF(E83="D",J83+Q83+P83,IF(E83="T",J83+P83,IF(E83="A",J83-$N$5+$N$6*O83,0))))</f>
        <v>5510</v>
      </c>
      <c r="T83">
        <f>SUM(R83:S83)</f>
        <v>5510</v>
      </c>
      <c r="U83">
        <f>K83*N83</f>
        <v>8</v>
      </c>
      <c r="V83">
        <f>'Data-Kolom'!J84</f>
        <v>0</v>
      </c>
      <c r="W83">
        <f>'Data-Kolom'!K84</f>
        <v>0</v>
      </c>
      <c r="X83">
        <f>IF(V83&gt;0,VLOOKUP(W83,$V$2:$X$9,2,FALSE),0)</f>
        <v>0</v>
      </c>
      <c r="Y83">
        <f>IF(V83&gt;0,IF(L83&gt;0,M83-50+$N$6*W83,VLOOKUP(W83,$V$2:$X$9,3,FALSE)),0)</f>
        <v>0</v>
      </c>
      <c r="Z83">
        <f>IF(E83="F",J83-$N$5+$N$6*W83+Y83,IF(E83="D",J83+Y83+X83,IF(E83="T",J83+X83,IF(E83="A",J83-$N$5+$N$6*W83,0))))</f>
        <v>4500</v>
      </c>
      <c r="AB83">
        <f>SUM(Z83:AA83)</f>
        <v>4500</v>
      </c>
      <c r="AC83">
        <f>V83*K83</f>
        <v>0</v>
      </c>
      <c r="AD83">
        <f>'Data-Kolom'!L84</f>
        <v>10</v>
      </c>
      <c r="AE83">
        <f>'Data-Kolom'!M84</f>
        <v>100</v>
      </c>
      <c r="AF83">
        <f>'Data-Kolom'!N84</f>
        <v>100</v>
      </c>
      <c r="AG83">
        <f>'Data-Kolom'!O84</f>
        <v>100</v>
      </c>
      <c r="AH83">
        <f>'Data-Kolom'!P84</f>
        <v>1</v>
      </c>
      <c r="AI83">
        <f>'Data-Kolom'!Q84</f>
        <v>10</v>
      </c>
      <c r="AJ83">
        <f>'Data-Kolom'!R84</f>
        <v>0</v>
      </c>
      <c r="AK83">
        <f>'Data-Kolom'!S84</f>
        <v>0</v>
      </c>
      <c r="AL83">
        <f>2*(H83+I83-4*$N$5)+2*MAX($F$5*AD83,75)</f>
        <v>1330</v>
      </c>
      <c r="AM83">
        <f>+AH83*(H83-2*$N$5+2*MAX($F$5*AI83,75))+AJ83*(I83-2*$N$5+2*MAX($F$5*AK83,75))</f>
        <v>280</v>
      </c>
      <c r="AN83">
        <f>(ROUND((1/2*J83+IF(M83&gt;0,(Q83-$N$6*AD83),0))/AE83,0)+(ROUND(1/2*J83/AF83,0)+1))*K83</f>
        <v>47</v>
      </c>
      <c r="AO83">
        <f>H83*I83*J83/1000000000*K83*(1+$T$5)</f>
        <v>0.3825</v>
      </c>
      <c r="AP83">
        <f>0.006165*O83^2*T83*U83/1000*(1+$T$6)</f>
        <v>69.5688192</v>
      </c>
      <c r="AQ83">
        <f>0.006165*W83^2*AB83*AC83/1000*(1+$T$6)</f>
        <v>0</v>
      </c>
      <c r="AR83">
        <f>AN83*0.006165*AD83^2*AL83/1000*(1+$T$6)</f>
        <v>38.53741500000001</v>
      </c>
      <c r="AS83">
        <f>AN83*0.006165*AI83^2*AM83/1000*(1+$T$6)</f>
        <v>8.113140000000001</v>
      </c>
      <c r="AT83">
        <f>K83*2*J83*(H83+I83)/1000000*(1+$T$7)</f>
        <v>6.03</v>
      </c>
      <c r="AU83">
        <f>SUM(AP83:AS83)/AO83</f>
        <v>303.8415011764706</v>
      </c>
      <c r="AV83">
        <f>AT83/AO83</f>
        <v>15.764705882352942</v>
      </c>
      <c r="AX83">
        <f>0.006165*O83^2*R83*U83/1000*(1+$T$6)</f>
        <v>69.5688192</v>
      </c>
      <c r="AZ83">
        <f>0.006165*O83^2*S83*U83/1000*(1+$T$6)</f>
        <v>0</v>
      </c>
      <c r="BA83">
        <f>AZ83/AP83</f>
        <v>0</v>
      </c>
    </row>
    <row r="84">
      <c r="A84">
        <f>'Data-Kolom'!A85</f>
        <v>21</v>
      </c>
      <c r="B84" t="str">
        <f>'Data-Kolom'!B85</f>
        <v>Lantai 2</v>
      </c>
      <c r="C84">
        <f>'Data-Kolom'!C85</f>
        <v>0</v>
      </c>
      <c r="D84" t="str">
        <f>'Data-Kolom'!D85</f>
        <v>KL55</v>
      </c>
      <c r="E84" t="str">
        <v>T</v>
      </c>
      <c r="F84">
        <f>'Data-Kolom'!U85</f>
        <v>0</v>
      </c>
      <c r="G84">
        <f>'Data-Kolom'!T85</f>
        <v>0</v>
      </c>
      <c r="H84">
        <f>'Data-Kolom'!E85</f>
        <v>170</v>
      </c>
      <c r="I84">
        <f>'Data-Kolom'!F85</f>
        <v>500</v>
      </c>
      <c r="J84">
        <f>'Data-Kolom'!G85</f>
        <v>4500</v>
      </c>
      <c r="K84">
        <v>2</v>
      </c>
      <c r="M84">
        <f>IF(L84&gt;0,VLOOKUP(L84,'Data-PC'!$B$14:$F$56,4,FALSE),0)</f>
        <v>0</v>
      </c>
      <c r="N84">
        <f>'Data-Kolom'!H85</f>
        <v>6</v>
      </c>
      <c r="O84">
        <f>'Data-Kolom'!I85</f>
        <v>16</v>
      </c>
      <c r="P84">
        <f>IF(N84&gt;0,VLOOKUP(O84,$V$2:$X$9,2,FALSE),0)</f>
        <v>1010</v>
      </c>
      <c r="Q84">
        <f>IF(L84&gt;0,M84-50+$N$6*O84,VLOOKUP(O84,$V$2:$X$9,3,FALSE))</f>
        <v>770</v>
      </c>
      <c r="R84">
        <f>IF(E84="F",J84-$N$5+$N$6*O84+Q84,IF(E84="D",J84+Q84+P84,IF(E84="T",J84+P84,IF(E84="A",J84-$N$5+$N$6*O84,0))))</f>
        <v>5510</v>
      </c>
      <c r="T84">
        <f>SUM(R84:S84)</f>
        <v>5510</v>
      </c>
      <c r="U84">
        <f>K84*N84</f>
        <v>12</v>
      </c>
      <c r="V84">
        <f>'Data-Kolom'!J85</f>
        <v>0</v>
      </c>
      <c r="W84">
        <f>'Data-Kolom'!K85</f>
        <v>0</v>
      </c>
      <c r="X84">
        <f>IF(V84&gt;0,VLOOKUP(W84,$V$2:$X$9,2,FALSE),0)</f>
        <v>0</v>
      </c>
      <c r="Y84">
        <f>IF(V84&gt;0,IF(L84&gt;0,M84-50+$N$6*W84,VLOOKUP(W84,$V$2:$X$9,3,FALSE)),0)</f>
        <v>0</v>
      </c>
      <c r="Z84">
        <f>IF(E84="F",J84-$N$5+$N$6*W84+Y84,IF(E84="D",J84+Y84+X84,IF(E84="T",J84+X84,IF(E84="A",J84-$N$5+$N$6*W84,0))))</f>
        <v>4500</v>
      </c>
      <c r="AB84">
        <f>SUM(Z84:AA84)</f>
        <v>4500</v>
      </c>
      <c r="AC84">
        <f>V84*K84</f>
        <v>0</v>
      </c>
      <c r="AD84">
        <f>'Data-Kolom'!L85</f>
        <v>10</v>
      </c>
      <c r="AE84">
        <f>'Data-Kolom'!M85</f>
        <v>100</v>
      </c>
      <c r="AF84">
        <f>'Data-Kolom'!N85</f>
        <v>100</v>
      </c>
      <c r="AG84">
        <f>'Data-Kolom'!O85</f>
        <v>100</v>
      </c>
      <c r="AH84">
        <f>'Data-Kolom'!P85</f>
        <v>0</v>
      </c>
      <c r="AI84">
        <f>'Data-Kolom'!Q85</f>
        <v>0</v>
      </c>
      <c r="AJ84">
        <f>'Data-Kolom'!R85</f>
        <v>0</v>
      </c>
      <c r="AK84">
        <f>'Data-Kolom'!S85</f>
        <v>0</v>
      </c>
      <c r="AL84">
        <f>2*(H84+I84-4*$N$5)+2*MAX($F$5*AD84,75)</f>
        <v>1330</v>
      </c>
      <c r="AM84">
        <f>+AH84*(H84-2*$N$5+2*MAX($F$5*AI84,75))+AJ84*(I84-2*$N$5+2*MAX($F$5*AK84,75))</f>
        <v>0</v>
      </c>
      <c r="AN84">
        <f>(ROUND((1/2*J84+IF(M84&gt;0,(Q84-$N$6*AD84),0))/AE84,0)+(ROUND(1/2*J84/AF84,0)+1))*K84</f>
        <v>94</v>
      </c>
      <c r="AO84">
        <f>H84*I84*J84/1000000000*K84*(1+$T$5)</f>
        <v>0.765</v>
      </c>
      <c r="AP84">
        <f>0.006165*O84^2*T84*U84/1000*(1+$T$6)</f>
        <v>104.3532288</v>
      </c>
      <c r="AQ84">
        <f>0.006165*W84^2*AB84*AC84/1000*(1+$T$6)</f>
        <v>0</v>
      </c>
      <c r="AR84">
        <f>AN84*0.006165*AD84^2*AL84/1000*(1+$T$6)</f>
        <v>77.07483000000002</v>
      </c>
      <c r="AS84">
        <f>AN84*0.006165*AI84^2*AM84/1000*(1+$T$6)</f>
        <v>0</v>
      </c>
      <c r="AT84">
        <f>K84*2*J84*(H84+I84)/1000000*(1+$T$7)</f>
        <v>12.06</v>
      </c>
      <c r="AU84">
        <f>SUM(AP84:AS84)/AO84</f>
        <v>237.16086117647063</v>
      </c>
      <c r="AV84">
        <f>AT84/AO84</f>
        <v>15.764705882352942</v>
      </c>
      <c r="AX84">
        <f>0.006165*O84^2*R84*U84/1000*(1+$T$6)</f>
        <v>104.3532288</v>
      </c>
      <c r="AZ84">
        <f>0.006165*O84^2*S84*U84/1000*(1+$T$6)</f>
        <v>0</v>
      </c>
      <c r="BA84">
        <f>AZ84/AP84</f>
        <v>0</v>
      </c>
    </row>
    <row r="85">
      <c r="A85">
        <f>'Data-Kolom'!A86</f>
        <v>22</v>
      </c>
      <c r="B85" t="str">
        <f>'Data-Kolom'!B86</f>
        <v>Lantai 2</v>
      </c>
      <c r="C85">
        <f>'Data-Kolom'!C86</f>
        <v>0</v>
      </c>
      <c r="D85" t="str">
        <f>'Data-Kolom'!D86</f>
        <v>KL55</v>
      </c>
      <c r="E85" t="str">
        <v>T</v>
      </c>
      <c r="F85">
        <f>'Data-Kolom'!U86</f>
        <v>0</v>
      </c>
      <c r="G85">
        <f>'Data-Kolom'!T86</f>
        <v>0</v>
      </c>
      <c r="H85">
        <f>'Data-Kolom'!E86</f>
        <v>170</v>
      </c>
      <c r="I85">
        <f>'Data-Kolom'!F86</f>
        <v>500</v>
      </c>
      <c r="J85">
        <f>'Data-Kolom'!G86</f>
        <v>4500</v>
      </c>
      <c r="K85">
        <v>2</v>
      </c>
      <c r="M85">
        <f>IF(L85&gt;0,VLOOKUP(L85,'Data-PC'!$B$14:$F$56,4,FALSE),0)</f>
        <v>0</v>
      </c>
      <c r="N85">
        <f>'Data-Kolom'!H86</f>
        <v>6</v>
      </c>
      <c r="O85">
        <f>'Data-Kolom'!I86</f>
        <v>16</v>
      </c>
      <c r="P85">
        <f>IF(N85&gt;0,VLOOKUP(O85,$V$2:$X$9,2,FALSE),0)</f>
        <v>1010</v>
      </c>
      <c r="Q85">
        <f>IF(L85&gt;0,M85-50+$N$6*O85,VLOOKUP(O85,$V$2:$X$9,3,FALSE))</f>
        <v>770</v>
      </c>
      <c r="R85">
        <f>IF(E85="F",J85-$N$5+$N$6*O85+Q85,IF(E85="D",J85+Q85+P85,IF(E85="T",J85+P85,IF(E85="A",J85-$N$5+$N$6*O85,0))))</f>
        <v>5510</v>
      </c>
      <c r="T85">
        <f>SUM(R85:S85)</f>
        <v>5510</v>
      </c>
      <c r="U85">
        <f>K85*N85</f>
        <v>12</v>
      </c>
      <c r="V85">
        <f>'Data-Kolom'!J86</f>
        <v>0</v>
      </c>
      <c r="W85">
        <f>'Data-Kolom'!K86</f>
        <v>0</v>
      </c>
      <c r="X85">
        <f>IF(V85&gt;0,VLOOKUP(W85,$V$2:$X$9,2,FALSE),0)</f>
        <v>0</v>
      </c>
      <c r="Y85">
        <f>IF(V85&gt;0,IF(L85&gt;0,M85-50+$N$6*W85,VLOOKUP(W85,$V$2:$X$9,3,FALSE)),0)</f>
        <v>0</v>
      </c>
      <c r="Z85">
        <f>IF(E85="F",J85-$N$5+$N$6*W85+Y85,IF(E85="D",J85+Y85+X85,IF(E85="T",J85+X85,IF(E85="A",J85-$N$5+$N$6*W85,0))))</f>
        <v>4500</v>
      </c>
      <c r="AB85">
        <f>SUM(Z85:AA85)</f>
        <v>4500</v>
      </c>
      <c r="AC85">
        <f>V85*K85</f>
        <v>0</v>
      </c>
      <c r="AD85">
        <f>'Data-Kolom'!L86</f>
        <v>10</v>
      </c>
      <c r="AE85">
        <f>'Data-Kolom'!M86</f>
        <v>100</v>
      </c>
      <c r="AF85">
        <f>'Data-Kolom'!N86</f>
        <v>100</v>
      </c>
      <c r="AG85">
        <f>'Data-Kolom'!O86</f>
        <v>100</v>
      </c>
      <c r="AH85">
        <f>'Data-Kolom'!P86</f>
        <v>0</v>
      </c>
      <c r="AI85">
        <f>'Data-Kolom'!Q86</f>
        <v>0</v>
      </c>
      <c r="AJ85">
        <f>'Data-Kolom'!R86</f>
        <v>0</v>
      </c>
      <c r="AK85">
        <f>'Data-Kolom'!S86</f>
        <v>0</v>
      </c>
      <c r="AL85">
        <f>2*(H85+I85-4*$N$5)+2*MAX($F$5*AD85,75)</f>
        <v>1330</v>
      </c>
      <c r="AM85">
        <f>+AH85*(H85-2*$N$5+2*MAX($F$5*AI85,75))+AJ85*(I85-2*$N$5+2*MAX($F$5*AK85,75))</f>
        <v>0</v>
      </c>
      <c r="AN85">
        <f>(ROUND((1/2*J85+IF(M85&gt;0,(Q85-$N$6*AD85),0))/AE85,0)+(ROUND(1/2*J85/AF85,0)+1))*K85</f>
        <v>94</v>
      </c>
      <c r="AO85">
        <f>H85*I85*J85/1000000000*K85*(1+$T$5)</f>
        <v>0.765</v>
      </c>
      <c r="AP85">
        <f>0.006165*O85^2*T85*U85/1000*(1+$T$6)</f>
        <v>104.3532288</v>
      </c>
      <c r="AQ85">
        <f>0.006165*W85^2*AB85*AC85/1000*(1+$T$6)</f>
        <v>0</v>
      </c>
      <c r="AR85">
        <f>AN85*0.006165*AD85^2*AL85/1000*(1+$T$6)</f>
        <v>77.07483000000002</v>
      </c>
      <c r="AS85">
        <f>AN85*0.006165*AI85^2*AM85/1000*(1+$T$6)</f>
        <v>0</v>
      </c>
      <c r="AT85">
        <f>K85*2*J85*(H85+I85)/1000000*(1+$T$7)</f>
        <v>12.06</v>
      </c>
      <c r="AU85">
        <f>SUM(AP85:AS85)/AO85</f>
        <v>237.16086117647063</v>
      </c>
      <c r="AV85">
        <f>AT85/AO85</f>
        <v>15.764705882352942</v>
      </c>
      <c r="AX85">
        <f>0.006165*O85^2*R85*U85/1000*(1+$T$6)</f>
        <v>104.3532288</v>
      </c>
      <c r="AZ85">
        <f>0.006165*O85^2*S85*U85/1000*(1+$T$6)</f>
        <v>0</v>
      </c>
      <c r="BA85">
        <f>AZ85/AP85</f>
        <v>0</v>
      </c>
    </row>
    <row r="86">
      <c r="A86">
        <f>'Data-Kolom'!A87</f>
        <v>23</v>
      </c>
      <c r="B86" t="str">
        <f>'Data-Kolom'!B87</f>
        <v>Lantai 2</v>
      </c>
      <c r="C86">
        <f>'Data-Kolom'!C87</f>
        <v>0</v>
      </c>
      <c r="D86" t="str">
        <f>'Data-Kolom'!D87</f>
        <v>KL55</v>
      </c>
      <c r="E86" t="str">
        <v>T</v>
      </c>
      <c r="F86">
        <f>'Data-Kolom'!U87</f>
        <v>0</v>
      </c>
      <c r="G86">
        <f>'Data-Kolom'!T87</f>
        <v>0</v>
      </c>
      <c r="H86">
        <f>'Data-Kolom'!E87</f>
        <v>170</v>
      </c>
      <c r="I86">
        <f>'Data-Kolom'!F87</f>
        <v>500</v>
      </c>
      <c r="J86">
        <f>'Data-Kolom'!G87</f>
        <v>4500</v>
      </c>
      <c r="K86">
        <v>2</v>
      </c>
      <c r="M86">
        <f>IF(L86&gt;0,VLOOKUP(L86,'Data-PC'!$B$14:$F$56,4,FALSE),0)</f>
        <v>0</v>
      </c>
      <c r="N86">
        <f>'Data-Kolom'!H87</f>
        <v>6</v>
      </c>
      <c r="O86">
        <f>'Data-Kolom'!I87</f>
        <v>16</v>
      </c>
      <c r="P86">
        <f>IF(N86&gt;0,VLOOKUP(O86,$V$2:$X$9,2,FALSE),0)</f>
        <v>1010</v>
      </c>
      <c r="Q86">
        <f>IF(L86&gt;0,M86-50+$N$6*O86,VLOOKUP(O86,$V$2:$X$9,3,FALSE))</f>
        <v>770</v>
      </c>
      <c r="R86">
        <f>IF(E86="F",J86-$N$5+$N$6*O86+Q86,IF(E86="D",J86+Q86+P86,IF(E86="T",J86+P86,IF(E86="A",J86-$N$5+$N$6*O86,0))))</f>
        <v>5510</v>
      </c>
      <c r="T86">
        <f>SUM(R86:S86)</f>
        <v>5510</v>
      </c>
      <c r="U86">
        <f>K86*N86</f>
        <v>12</v>
      </c>
      <c r="V86">
        <f>'Data-Kolom'!J87</f>
        <v>0</v>
      </c>
      <c r="W86">
        <f>'Data-Kolom'!K87</f>
        <v>0</v>
      </c>
      <c r="X86">
        <f>IF(V86&gt;0,VLOOKUP(W86,$V$2:$X$9,2,FALSE),0)</f>
        <v>0</v>
      </c>
      <c r="Y86">
        <f>IF(V86&gt;0,IF(L86&gt;0,M86-50+$N$6*W86,VLOOKUP(W86,$V$2:$X$9,3,FALSE)),0)</f>
        <v>0</v>
      </c>
      <c r="Z86">
        <f>IF(E86="F",J86-$N$5+$N$6*W86+Y86,IF(E86="D",J86+Y86+X86,IF(E86="T",J86+X86,IF(E86="A",J86-$N$5+$N$6*W86,0))))</f>
        <v>4500</v>
      </c>
      <c r="AB86">
        <f>SUM(Z86:AA86)</f>
        <v>4500</v>
      </c>
      <c r="AC86">
        <f>V86*K86</f>
        <v>0</v>
      </c>
      <c r="AD86">
        <f>'Data-Kolom'!L87</f>
        <v>10</v>
      </c>
      <c r="AE86">
        <f>'Data-Kolom'!M87</f>
        <v>100</v>
      </c>
      <c r="AF86">
        <f>'Data-Kolom'!N87</f>
        <v>100</v>
      </c>
      <c r="AG86">
        <f>'Data-Kolom'!O87</f>
        <v>100</v>
      </c>
      <c r="AH86">
        <f>'Data-Kolom'!P87</f>
        <v>0</v>
      </c>
      <c r="AI86">
        <f>'Data-Kolom'!Q87</f>
        <v>0</v>
      </c>
      <c r="AJ86">
        <f>'Data-Kolom'!R87</f>
        <v>0</v>
      </c>
      <c r="AK86">
        <f>'Data-Kolom'!S87</f>
        <v>0</v>
      </c>
      <c r="AL86">
        <f>2*(H86+I86-4*$N$5)+2*MAX($F$5*AD86,75)</f>
        <v>1330</v>
      </c>
      <c r="AM86">
        <f>+AH86*(H86-2*$N$5+2*MAX($F$5*AI86,75))+AJ86*(I86-2*$N$5+2*MAX($F$5*AK86,75))</f>
        <v>0</v>
      </c>
      <c r="AN86">
        <f>(ROUND((1/2*J86+IF(M86&gt;0,(Q86-$N$6*AD86),0))/AE86,0)+(ROUND(1/2*J86/AF86,0)+1))*K86</f>
        <v>94</v>
      </c>
      <c r="AO86">
        <f>H86*I86*J86/1000000000*K86*(1+$T$5)</f>
        <v>0.765</v>
      </c>
      <c r="AP86">
        <f>0.006165*O86^2*T86*U86/1000*(1+$T$6)</f>
        <v>104.3532288</v>
      </c>
      <c r="AQ86">
        <f>0.006165*W86^2*AB86*AC86/1000*(1+$T$6)</f>
        <v>0</v>
      </c>
      <c r="AR86">
        <f>AN86*0.006165*AD86^2*AL86/1000*(1+$T$6)</f>
        <v>77.07483000000002</v>
      </c>
      <c r="AS86">
        <f>AN86*0.006165*AI86^2*AM86/1000*(1+$T$6)</f>
        <v>0</v>
      </c>
      <c r="AT86">
        <f>K86*2*J86*(H86+I86)/1000000*(1+$T$7)</f>
        <v>12.06</v>
      </c>
      <c r="AU86">
        <f>SUM(AP86:AS86)/AO86</f>
        <v>237.16086117647063</v>
      </c>
      <c r="AV86">
        <f>AT86/AO86</f>
        <v>15.764705882352942</v>
      </c>
      <c r="AX86">
        <f>0.006165*O86^2*R86*U86/1000*(1+$T$6)</f>
        <v>104.3532288</v>
      </c>
      <c r="AZ86">
        <f>0.006165*O86^2*S86*U86/1000*(1+$T$6)</f>
        <v>0</v>
      </c>
      <c r="BA86">
        <f>AZ86/AP86</f>
        <v>0</v>
      </c>
    </row>
    <row r="87">
      <c r="A87">
        <f>'Data-Kolom'!A88</f>
        <v>25</v>
      </c>
      <c r="B87" t="str">
        <f>'Data-Kolom'!B88</f>
        <v>Lantai 2</v>
      </c>
      <c r="C87">
        <f>'Data-Kolom'!C88</f>
        <v>0</v>
      </c>
      <c r="D87" t="str">
        <f>'Data-Kolom'!D88</f>
        <v>K5</v>
      </c>
      <c r="E87" t="str">
        <v>T</v>
      </c>
      <c r="F87">
        <f>'Data-Kolom'!U88</f>
        <v>0</v>
      </c>
      <c r="G87">
        <f>'Data-Kolom'!T88</f>
        <v>0</v>
      </c>
      <c r="H87">
        <f>'Data-Kolom'!E88</f>
        <v>170</v>
      </c>
      <c r="I87">
        <f>'Data-Kolom'!F88</f>
        <v>500</v>
      </c>
      <c r="J87">
        <f>'Data-Kolom'!G88</f>
        <v>4500</v>
      </c>
      <c r="K87">
        <v>1</v>
      </c>
      <c r="M87">
        <f>IF(L87&gt;0,VLOOKUP(L87,'Data-PC'!$B$14:$F$56,4,FALSE),0)</f>
        <v>0</v>
      </c>
      <c r="N87">
        <f>'Data-Kolom'!H88</f>
        <v>8</v>
      </c>
      <c r="O87">
        <f>'Data-Kolom'!I88</f>
        <v>16</v>
      </c>
      <c r="P87">
        <f>IF(N87&gt;0,VLOOKUP(O87,$V$2:$X$9,2,FALSE),0)</f>
        <v>1010</v>
      </c>
      <c r="Q87">
        <f>IF(L87&gt;0,M87-50+$N$6*O87,VLOOKUP(O87,$V$2:$X$9,3,FALSE))</f>
        <v>770</v>
      </c>
      <c r="R87">
        <f>IF(E87="F",J87-$N$5+$N$6*O87+Q87,IF(E87="D",J87+Q87+P87,IF(E87="T",J87+P87,IF(E87="A",J87-$N$5+$N$6*O87,0))))</f>
        <v>5510</v>
      </c>
      <c r="T87">
        <f>SUM(R87:S87)</f>
        <v>5510</v>
      </c>
      <c r="U87">
        <f>K87*N87</f>
        <v>8</v>
      </c>
      <c r="V87">
        <f>'Data-Kolom'!J88</f>
        <v>0</v>
      </c>
      <c r="W87">
        <f>'Data-Kolom'!K88</f>
        <v>0</v>
      </c>
      <c r="X87">
        <f>IF(V87&gt;0,VLOOKUP(W87,$V$2:$X$9,2,FALSE),0)</f>
        <v>0</v>
      </c>
      <c r="Y87">
        <f>IF(V87&gt;0,IF(L87&gt;0,M87-50+$N$6*W87,VLOOKUP(W87,$V$2:$X$9,3,FALSE)),0)</f>
        <v>0</v>
      </c>
      <c r="Z87">
        <f>IF(E87="F",J87-$N$5+$N$6*W87+Y87,IF(E87="D",J87+Y87+X87,IF(E87="T",J87+X87,IF(E87="A",J87-$N$5+$N$6*W87,0))))</f>
        <v>4500</v>
      </c>
      <c r="AB87">
        <f>SUM(Z87:AA87)</f>
        <v>4500</v>
      </c>
      <c r="AC87">
        <f>V87*K87</f>
        <v>0</v>
      </c>
      <c r="AD87">
        <f>'Data-Kolom'!L88</f>
        <v>10</v>
      </c>
      <c r="AE87">
        <f>'Data-Kolom'!M88</f>
        <v>100</v>
      </c>
      <c r="AF87">
        <f>'Data-Kolom'!N88</f>
        <v>100</v>
      </c>
      <c r="AG87">
        <f>'Data-Kolom'!O88</f>
        <v>100</v>
      </c>
      <c r="AH87">
        <f>'Data-Kolom'!P88</f>
        <v>1</v>
      </c>
      <c r="AI87">
        <f>'Data-Kolom'!Q88</f>
        <v>10</v>
      </c>
      <c r="AJ87">
        <f>'Data-Kolom'!R88</f>
        <v>0</v>
      </c>
      <c r="AK87">
        <f>'Data-Kolom'!S88</f>
        <v>0</v>
      </c>
      <c r="AL87">
        <f>2*(H87+I87-4*$N$5)+2*MAX($F$5*AD87,75)</f>
        <v>1330</v>
      </c>
      <c r="AM87">
        <f>+AH87*(H87-2*$N$5+2*MAX($F$5*AI87,75))+AJ87*(I87-2*$N$5+2*MAX($F$5*AK87,75))</f>
        <v>280</v>
      </c>
      <c r="AN87">
        <f>(ROUND((1/2*J87+IF(M87&gt;0,(Q87-$N$6*AD87),0))/AE87,0)+(ROUND(1/2*J87/AF87,0)+1))*K87</f>
        <v>47</v>
      </c>
      <c r="AO87">
        <f>H87*I87*J87/1000000000*K87*(1+$T$5)</f>
        <v>0.3825</v>
      </c>
      <c r="AP87">
        <f>0.006165*O87^2*T87*U87/1000*(1+$T$6)</f>
        <v>69.5688192</v>
      </c>
      <c r="AQ87">
        <f>0.006165*W87^2*AB87*AC87/1000*(1+$T$6)</f>
        <v>0</v>
      </c>
      <c r="AR87">
        <f>AN87*0.006165*AD87^2*AL87/1000*(1+$T$6)</f>
        <v>38.53741500000001</v>
      </c>
      <c r="AS87">
        <f>AN87*0.006165*AI87^2*AM87/1000*(1+$T$6)</f>
        <v>8.113140000000001</v>
      </c>
      <c r="AT87">
        <f>K87*2*J87*(H87+I87)/1000000*(1+$T$7)</f>
        <v>6.03</v>
      </c>
      <c r="AU87">
        <f>SUM(AP87:AS87)/AO87</f>
        <v>303.8415011764706</v>
      </c>
      <c r="AV87">
        <f>AT87/AO87</f>
        <v>15.764705882352942</v>
      </c>
      <c r="AX87">
        <f>0.006165*O87^2*R87*U87/1000*(1+$T$6)</f>
        <v>69.5688192</v>
      </c>
      <c r="AZ87">
        <f>0.006165*O87^2*S87*U87/1000*(1+$T$6)</f>
        <v>0</v>
      </c>
      <c r="BA87">
        <f>AZ87/AP87</f>
        <v>0</v>
      </c>
    </row>
    <row r="88">
      <c r="A88">
        <f>'Data-Kolom'!A89</f>
        <v>26</v>
      </c>
      <c r="B88" t="str">
        <f>'Data-Kolom'!B89</f>
        <v>Lantai 2</v>
      </c>
      <c r="C88">
        <f>'Data-Kolom'!C89</f>
        <v>0</v>
      </c>
      <c r="D88" t="str">
        <f>'Data-Kolom'!D89</f>
        <v>K6</v>
      </c>
      <c r="E88" t="str">
        <v>T</v>
      </c>
      <c r="F88">
        <f>'Data-Kolom'!U89</f>
        <v>0</v>
      </c>
      <c r="G88">
        <f>'Data-Kolom'!T89</f>
        <v>0</v>
      </c>
      <c r="H88">
        <f>'Data-Kolom'!E89</f>
        <v>170</v>
      </c>
      <c r="I88">
        <f>'Data-Kolom'!F89</f>
        <v>600</v>
      </c>
      <c r="J88">
        <f>'Data-Kolom'!G89</f>
        <v>4500</v>
      </c>
      <c r="K88">
        <v>1</v>
      </c>
      <c r="M88">
        <f>IF(L88&gt;0,VLOOKUP(L88,'Data-PC'!$B$14:$F$56,4,FALSE),0)</f>
        <v>0</v>
      </c>
      <c r="N88">
        <f>'Data-Kolom'!H89</f>
        <v>10</v>
      </c>
      <c r="O88">
        <f>'Data-Kolom'!I89</f>
        <v>16</v>
      </c>
      <c r="P88">
        <f>IF(N88&gt;0,VLOOKUP(O88,$V$2:$X$9,2,FALSE),0)</f>
        <v>1010</v>
      </c>
      <c r="Q88">
        <f>IF(L88&gt;0,M88-50+$N$6*O88,VLOOKUP(O88,$V$2:$X$9,3,FALSE))</f>
        <v>770</v>
      </c>
      <c r="R88">
        <f>IF(E88="F",J88-$N$5+$N$6*O88+Q88,IF(E88="D",J88+Q88+P88,IF(E88="T",J88+P88,IF(E88="A",J88-$N$5+$N$6*O88,0))))</f>
        <v>5510</v>
      </c>
      <c r="T88">
        <f>SUM(R88:S88)</f>
        <v>5510</v>
      </c>
      <c r="U88">
        <f>K88*N88</f>
        <v>10</v>
      </c>
      <c r="V88">
        <f>'Data-Kolom'!J89</f>
        <v>0</v>
      </c>
      <c r="W88">
        <f>'Data-Kolom'!K89</f>
        <v>0</v>
      </c>
      <c r="X88">
        <f>IF(V88&gt;0,VLOOKUP(W88,$V$2:$X$9,2,FALSE),0)</f>
        <v>0</v>
      </c>
      <c r="Y88">
        <f>IF(V88&gt;0,IF(L88&gt;0,M88-50+$N$6*W88,VLOOKUP(W88,$V$2:$X$9,3,FALSE)),0)</f>
        <v>0</v>
      </c>
      <c r="Z88">
        <f>IF(E88="F",J88-$N$5+$N$6*W88+Y88,IF(E88="D",J88+Y88+X88,IF(E88="T",J88+X88,IF(E88="A",J88-$N$5+$N$6*W88,0))))</f>
        <v>4500</v>
      </c>
      <c r="AB88">
        <f>SUM(Z88:AA88)</f>
        <v>4500</v>
      </c>
      <c r="AC88">
        <f>V88*K88</f>
        <v>0</v>
      </c>
      <c r="AD88">
        <f>'Data-Kolom'!L89</f>
        <v>10</v>
      </c>
      <c r="AE88">
        <f>'Data-Kolom'!M89</f>
        <v>100</v>
      </c>
      <c r="AF88">
        <f>'Data-Kolom'!N89</f>
        <v>100</v>
      </c>
      <c r="AG88">
        <f>'Data-Kolom'!O89</f>
        <v>100</v>
      </c>
      <c r="AH88">
        <f>'Data-Kolom'!P89</f>
        <v>1</v>
      </c>
      <c r="AI88">
        <f>'Data-Kolom'!Q89</f>
        <v>10</v>
      </c>
      <c r="AJ88">
        <f>'Data-Kolom'!R89</f>
        <v>0</v>
      </c>
      <c r="AK88">
        <f>'Data-Kolom'!S89</f>
        <v>0</v>
      </c>
      <c r="AL88">
        <f>2*(H88+I88-4*$N$5)+2*MAX($F$5*AD88,75)</f>
        <v>1530</v>
      </c>
      <c r="AM88">
        <f>+AH88*(H88-2*$N$5+2*MAX($F$5*AI88,75))+AJ88*(I88-2*$N$5+2*MAX($F$5*AK88,75))</f>
        <v>280</v>
      </c>
      <c r="AN88">
        <f>(ROUND((1/2*J88+IF(M88&gt;0,(Q88-$N$6*AD88),0))/AE88,0)+(ROUND(1/2*J88/AF88,0)+1))*K88</f>
        <v>47</v>
      </c>
      <c r="AO88">
        <f>H88*I88*J88/1000000000*K88*(1+$T$5)</f>
        <v>0.459</v>
      </c>
      <c r="AP88">
        <f>0.006165*O88^2*T88*U88/1000*(1+$T$6)</f>
        <v>86.96102400000001</v>
      </c>
      <c r="AQ88">
        <f>0.006165*W88^2*AB88*AC88/1000*(1+$T$6)</f>
        <v>0</v>
      </c>
      <c r="AR88">
        <f>AN88*0.006165*AD88^2*AL88/1000*(1+$T$6)</f>
        <v>44.33251500000001</v>
      </c>
      <c r="AS88">
        <f>AN88*0.006165*AI88^2*AM88/1000*(1+$T$6)</f>
        <v>8.113140000000001</v>
      </c>
      <c r="AT88">
        <f>K88*2*J88*(H88+I88)/1000000*(1+$T$7)</f>
        <v>6.93</v>
      </c>
      <c r="AU88">
        <f>SUM(AP88:AS88)/AO88</f>
        <v>303.7182549019608</v>
      </c>
      <c r="AV88">
        <f>AT88/AO88</f>
        <v>15.098039215686272</v>
      </c>
      <c r="AX88">
        <f>0.006165*O88^2*R88*U88/1000*(1+$T$6)</f>
        <v>86.96102400000001</v>
      </c>
      <c r="AZ88">
        <f>0.006165*O88^2*S88*U88/1000*(1+$T$6)</f>
        <v>0</v>
      </c>
      <c r="BA88">
        <f>AZ88/AP88</f>
        <v>0</v>
      </c>
    </row>
    <row r="89">
      <c r="A89">
        <f>'Data-Kolom'!A90</f>
        <v>27</v>
      </c>
      <c r="B89" t="str">
        <f>'Data-Kolom'!B90</f>
        <v>Lantai 2</v>
      </c>
      <c r="C89">
        <f>'Data-Kolom'!C90</f>
        <v>0</v>
      </c>
      <c r="D89" t="str">
        <f>'Data-Kolom'!D90</f>
        <v>K6</v>
      </c>
      <c r="E89" t="str">
        <v>T</v>
      </c>
      <c r="F89">
        <f>'Data-Kolom'!U90</f>
        <v>0</v>
      </c>
      <c r="G89">
        <f>'Data-Kolom'!T90</f>
        <v>0</v>
      </c>
      <c r="H89">
        <f>'Data-Kolom'!E90</f>
        <v>170</v>
      </c>
      <c r="I89">
        <f>'Data-Kolom'!F90</f>
        <v>600</v>
      </c>
      <c r="J89">
        <f>'Data-Kolom'!G90</f>
        <v>4500</v>
      </c>
      <c r="K89">
        <v>1</v>
      </c>
      <c r="M89">
        <f>IF(L89&gt;0,VLOOKUP(L89,'Data-PC'!$B$14:$F$56,4,FALSE),0)</f>
        <v>0</v>
      </c>
      <c r="N89">
        <f>'Data-Kolom'!H90</f>
        <v>10</v>
      </c>
      <c r="O89">
        <f>'Data-Kolom'!I90</f>
        <v>16</v>
      </c>
      <c r="P89">
        <f>IF(N89&gt;0,VLOOKUP(O89,$V$2:$X$9,2,FALSE),0)</f>
        <v>1010</v>
      </c>
      <c r="Q89">
        <f>IF(L89&gt;0,M89-50+$N$6*O89,VLOOKUP(O89,$V$2:$X$9,3,FALSE))</f>
        <v>770</v>
      </c>
      <c r="R89">
        <f>IF(E89="F",J89-$N$5+$N$6*O89+Q89,IF(E89="D",J89+Q89+P89,IF(E89="T",J89+P89,IF(E89="A",J89-$N$5+$N$6*O89,0))))</f>
        <v>5510</v>
      </c>
      <c r="T89">
        <f>SUM(R89:S89)</f>
        <v>5510</v>
      </c>
      <c r="U89">
        <f>K89*N89</f>
        <v>10</v>
      </c>
      <c r="V89">
        <f>'Data-Kolom'!J90</f>
        <v>0</v>
      </c>
      <c r="W89">
        <f>'Data-Kolom'!K90</f>
        <v>0</v>
      </c>
      <c r="X89">
        <f>IF(V89&gt;0,VLOOKUP(W89,$V$2:$X$9,2,FALSE),0)</f>
        <v>0</v>
      </c>
      <c r="Y89">
        <f>IF(V89&gt;0,IF(L89&gt;0,M89-50+$N$6*W89,VLOOKUP(W89,$V$2:$X$9,3,FALSE)),0)</f>
        <v>0</v>
      </c>
      <c r="Z89">
        <f>IF(E89="F",J89-$N$5+$N$6*W89+Y89,IF(E89="D",J89+Y89+X89,IF(E89="T",J89+X89,IF(E89="A",J89-$N$5+$N$6*W89,0))))</f>
        <v>4500</v>
      </c>
      <c r="AB89">
        <f>SUM(Z89:AA89)</f>
        <v>4500</v>
      </c>
      <c r="AC89">
        <f>V89*K89</f>
        <v>0</v>
      </c>
      <c r="AD89">
        <f>'Data-Kolom'!L90</f>
        <v>10</v>
      </c>
      <c r="AE89">
        <f>'Data-Kolom'!M90</f>
        <v>100</v>
      </c>
      <c r="AF89">
        <f>'Data-Kolom'!N90</f>
        <v>100</v>
      </c>
      <c r="AG89">
        <f>'Data-Kolom'!O90</f>
        <v>100</v>
      </c>
      <c r="AH89">
        <f>'Data-Kolom'!P90</f>
        <v>1</v>
      </c>
      <c r="AI89">
        <f>'Data-Kolom'!Q90</f>
        <v>10</v>
      </c>
      <c r="AJ89">
        <f>'Data-Kolom'!R90</f>
        <v>0</v>
      </c>
      <c r="AK89">
        <f>'Data-Kolom'!S90</f>
        <v>0</v>
      </c>
      <c r="AL89">
        <f>2*(H89+I89-4*$N$5)+2*MAX($F$5*AD89,75)</f>
        <v>1530</v>
      </c>
      <c r="AM89">
        <f>+AH89*(H89-2*$N$5+2*MAX($F$5*AI89,75))+AJ89*(I89-2*$N$5+2*MAX($F$5*AK89,75))</f>
        <v>280</v>
      </c>
      <c r="AN89">
        <f>(ROUND((1/2*J89+IF(M89&gt;0,(Q89-$N$6*AD89),0))/AE89,0)+(ROUND(1/2*J89/AF89,0)+1))*K89</f>
        <v>47</v>
      </c>
      <c r="AO89">
        <f>H89*I89*J89/1000000000*K89*(1+$T$5)</f>
        <v>0.459</v>
      </c>
      <c r="AP89">
        <f>0.006165*O89^2*T89*U89/1000*(1+$T$6)</f>
        <v>86.96102400000001</v>
      </c>
      <c r="AQ89">
        <f>0.006165*W89^2*AB89*AC89/1000*(1+$T$6)</f>
        <v>0</v>
      </c>
      <c r="AR89">
        <f>AN89*0.006165*AD89^2*AL89/1000*(1+$T$6)</f>
        <v>44.33251500000001</v>
      </c>
      <c r="AS89">
        <f>AN89*0.006165*AI89^2*AM89/1000*(1+$T$6)</f>
        <v>8.113140000000001</v>
      </c>
      <c r="AT89">
        <f>K89*2*J89*(H89+I89)/1000000*(1+$T$7)</f>
        <v>6.93</v>
      </c>
      <c r="AU89">
        <f>SUM(AP89:AS89)/AO89</f>
        <v>303.7182549019608</v>
      </c>
      <c r="AV89">
        <f>AT89/AO89</f>
        <v>15.098039215686272</v>
      </c>
      <c r="AX89">
        <f>0.006165*O89^2*R89*U89/1000*(1+$T$6)</f>
        <v>86.96102400000001</v>
      </c>
      <c r="AZ89">
        <f>0.006165*O89^2*S89*U89/1000*(1+$T$6)</f>
        <v>0</v>
      </c>
      <c r="BA89">
        <f>AZ89/AP89</f>
        <v>0</v>
      </c>
    </row>
    <row r="90">
      <c r="A90">
        <f>'Data-Kolom'!A91</f>
        <v>28</v>
      </c>
      <c r="B90" t="str">
        <f>'Data-Kolom'!B91</f>
        <v>Lantai 2</v>
      </c>
      <c r="C90">
        <f>'Data-Kolom'!C91</f>
        <v>0</v>
      </c>
      <c r="D90" t="str">
        <f>'Data-Kolom'!D91</f>
        <v>K7</v>
      </c>
      <c r="E90" t="str">
        <v>T</v>
      </c>
      <c r="F90">
        <f>'Data-Kolom'!U91</f>
        <v>0</v>
      </c>
      <c r="G90">
        <f>'Data-Kolom'!T91</f>
        <v>0</v>
      </c>
      <c r="H90">
        <f>'Data-Kolom'!E91</f>
        <v>170</v>
      </c>
      <c r="I90">
        <f>'Data-Kolom'!F91</f>
        <v>700</v>
      </c>
      <c r="J90">
        <f>'Data-Kolom'!G91</f>
        <v>4500</v>
      </c>
      <c r="K90">
        <v>1</v>
      </c>
      <c r="M90">
        <f>IF(L90&gt;0,VLOOKUP(L90,'Data-PC'!$B$14:$F$56,4,FALSE),0)</f>
        <v>0</v>
      </c>
      <c r="N90">
        <f>'Data-Kolom'!H91</f>
        <v>10</v>
      </c>
      <c r="O90">
        <f>'Data-Kolom'!I91</f>
        <v>16</v>
      </c>
      <c r="P90">
        <f>IF(N90&gt;0,VLOOKUP(O90,$V$2:$X$9,2,FALSE),0)</f>
        <v>1010</v>
      </c>
      <c r="Q90">
        <f>IF(L90&gt;0,M90-50+$N$6*O90,VLOOKUP(O90,$V$2:$X$9,3,FALSE))</f>
        <v>770</v>
      </c>
      <c r="R90">
        <f>IF(E90="F",J90-$N$5+$N$6*O90+Q90,IF(E90="D",J90+Q90+P90,IF(E90="T",J90+P90,IF(E90="A",J90-$N$5+$N$6*O90,0))))</f>
        <v>5510</v>
      </c>
      <c r="T90">
        <f>SUM(R90:S90)</f>
        <v>5510</v>
      </c>
      <c r="U90">
        <f>K90*N90</f>
        <v>10</v>
      </c>
      <c r="V90">
        <f>'Data-Kolom'!J91</f>
        <v>0</v>
      </c>
      <c r="W90">
        <f>'Data-Kolom'!K91</f>
        <v>0</v>
      </c>
      <c r="X90">
        <f>IF(V90&gt;0,VLOOKUP(W90,$V$2:$X$9,2,FALSE),0)</f>
        <v>0</v>
      </c>
      <c r="Y90">
        <f>IF(V90&gt;0,IF(L90&gt;0,M90-50+$N$6*W90,VLOOKUP(W90,$V$2:$X$9,3,FALSE)),0)</f>
        <v>0</v>
      </c>
      <c r="Z90">
        <f>IF(E90="F",J90-$N$5+$N$6*W90+Y90,IF(E90="D",J90+Y90+X90,IF(E90="T",J90+X90,IF(E90="A",J90-$N$5+$N$6*W90,0))))</f>
        <v>4500</v>
      </c>
      <c r="AB90">
        <f>SUM(Z90:AA90)</f>
        <v>4500</v>
      </c>
      <c r="AC90">
        <f>V90*K90</f>
        <v>0</v>
      </c>
      <c r="AD90">
        <f>'Data-Kolom'!L91</f>
        <v>10</v>
      </c>
      <c r="AE90">
        <f>'Data-Kolom'!M91</f>
        <v>100</v>
      </c>
      <c r="AF90">
        <f>'Data-Kolom'!N91</f>
        <v>100</v>
      </c>
      <c r="AG90">
        <f>'Data-Kolom'!O91</f>
        <v>100</v>
      </c>
      <c r="AH90">
        <f>'Data-Kolom'!P91</f>
        <v>1</v>
      </c>
      <c r="AI90">
        <f>'Data-Kolom'!Q91</f>
        <v>10</v>
      </c>
      <c r="AJ90">
        <f>'Data-Kolom'!R91</f>
        <v>0</v>
      </c>
      <c r="AK90">
        <f>'Data-Kolom'!S91</f>
        <v>0</v>
      </c>
      <c r="AL90">
        <f>2*(H90+I90-4*$N$5)+2*MAX($F$5*AD90,75)</f>
        <v>1730</v>
      </c>
      <c r="AM90">
        <f>+AH90*(H90-2*$N$5+2*MAX($F$5*AI90,75))+AJ90*(I90-2*$N$5+2*MAX($F$5*AK90,75))</f>
        <v>280</v>
      </c>
      <c r="AN90">
        <f>(ROUND((1/2*J90+IF(M90&gt;0,(Q90-$N$6*AD90),0))/AE90,0)+(ROUND(1/2*J90/AF90,0)+1))*K90</f>
        <v>47</v>
      </c>
      <c r="AO90">
        <f>H90*I90*J90/1000000000*K90*(1+$T$5)</f>
        <v>0.5355</v>
      </c>
      <c r="AP90">
        <f>0.006165*O90^2*T90*U90/1000*(1+$T$6)</f>
        <v>86.96102400000001</v>
      </c>
      <c r="AQ90">
        <f>0.006165*W90^2*AB90*AC90/1000*(1+$T$6)</f>
        <v>0</v>
      </c>
      <c r="AR90">
        <f>AN90*0.006165*AD90^2*AL90/1000*(1+$T$6)</f>
        <v>50.127615000000006</v>
      </c>
      <c r="AS90">
        <f>AN90*0.006165*AI90^2*AM90/1000*(1+$T$6)</f>
        <v>8.113140000000001</v>
      </c>
      <c r="AT90">
        <f>K90*2*J90*(H90+I90)/1000000*(1+$T$7)</f>
        <v>7.83</v>
      </c>
      <c r="AU90">
        <f>SUM(AP90:AS90)/AO90</f>
        <v>271.15178151260506</v>
      </c>
      <c r="AV90">
        <f>AT90/AO90</f>
        <v>14.6218487394958</v>
      </c>
      <c r="AX90">
        <f>0.006165*O90^2*R90*U90/1000*(1+$T$6)</f>
        <v>86.96102400000001</v>
      </c>
      <c r="AZ90">
        <f>0.006165*O90^2*S90*U90/1000*(1+$T$6)</f>
        <v>0</v>
      </c>
      <c r="BA90">
        <f>AZ90/AP90</f>
        <v>0</v>
      </c>
    </row>
    <row r="91">
      <c r="A91">
        <f>'Data-Kolom'!A92</f>
        <v>29</v>
      </c>
      <c r="B91" t="str">
        <f>'Data-Kolom'!B92</f>
        <v>Lantai 2</v>
      </c>
      <c r="C91">
        <f>'Data-Kolom'!C92</f>
        <v>0</v>
      </c>
      <c r="D91" t="str">
        <f>'Data-Kolom'!D92</f>
        <v>K5</v>
      </c>
      <c r="E91" t="str">
        <v>T</v>
      </c>
      <c r="F91">
        <f>'Data-Kolom'!U92</f>
        <v>0</v>
      </c>
      <c r="G91">
        <f>'Data-Kolom'!T92</f>
        <v>0</v>
      </c>
      <c r="H91">
        <f>'Data-Kolom'!E92</f>
        <v>170</v>
      </c>
      <c r="I91">
        <f>'Data-Kolom'!F92</f>
        <v>500</v>
      </c>
      <c r="J91">
        <f>'Data-Kolom'!G92</f>
        <v>4500</v>
      </c>
      <c r="K91">
        <v>1</v>
      </c>
      <c r="M91">
        <f>IF(L91&gt;0,VLOOKUP(L91,'Data-PC'!$B$14:$F$56,4,FALSE),0)</f>
        <v>0</v>
      </c>
      <c r="N91">
        <f>'Data-Kolom'!H92</f>
        <v>8</v>
      </c>
      <c r="O91">
        <f>'Data-Kolom'!I92</f>
        <v>16</v>
      </c>
      <c r="P91">
        <f>IF(N91&gt;0,VLOOKUP(O91,$V$2:$X$9,2,FALSE),0)</f>
        <v>1010</v>
      </c>
      <c r="Q91">
        <f>IF(L91&gt;0,M91-50+$N$6*O91,VLOOKUP(O91,$V$2:$X$9,3,FALSE))</f>
        <v>770</v>
      </c>
      <c r="R91">
        <f>IF(E91="F",J91-$N$5+$N$6*O91+Q91,IF(E91="D",J91+Q91+P91,IF(E91="T",J91+P91,IF(E91="A",J91-$N$5+$N$6*O91,0))))</f>
        <v>5510</v>
      </c>
      <c r="T91">
        <f>SUM(R91:S91)</f>
        <v>5510</v>
      </c>
      <c r="U91">
        <f>K91*N91</f>
        <v>8</v>
      </c>
      <c r="V91">
        <f>'Data-Kolom'!J92</f>
        <v>0</v>
      </c>
      <c r="W91">
        <f>'Data-Kolom'!K92</f>
        <v>0</v>
      </c>
      <c r="X91">
        <f>IF(V91&gt;0,VLOOKUP(W91,$V$2:$X$9,2,FALSE),0)</f>
        <v>0</v>
      </c>
      <c r="Y91">
        <f>IF(V91&gt;0,IF(L91&gt;0,M91-50+$N$6*W91,VLOOKUP(W91,$V$2:$X$9,3,FALSE)),0)</f>
        <v>0</v>
      </c>
      <c r="Z91">
        <f>IF(E91="F",J91-$N$5+$N$6*W91+Y91,IF(E91="D",J91+Y91+X91,IF(E91="T",J91+X91,IF(E91="A",J91-$N$5+$N$6*W91,0))))</f>
        <v>4500</v>
      </c>
      <c r="AB91">
        <f>SUM(Z91:AA91)</f>
        <v>4500</v>
      </c>
      <c r="AC91">
        <f>V91*K91</f>
        <v>0</v>
      </c>
      <c r="AD91">
        <f>'Data-Kolom'!L92</f>
        <v>10</v>
      </c>
      <c r="AE91">
        <f>'Data-Kolom'!M92</f>
        <v>100</v>
      </c>
      <c r="AF91">
        <f>'Data-Kolom'!N92</f>
        <v>100</v>
      </c>
      <c r="AG91">
        <f>'Data-Kolom'!O92</f>
        <v>100</v>
      </c>
      <c r="AH91">
        <f>'Data-Kolom'!P92</f>
        <v>1</v>
      </c>
      <c r="AI91">
        <f>'Data-Kolom'!Q92</f>
        <v>10</v>
      </c>
      <c r="AJ91">
        <f>'Data-Kolom'!R92</f>
        <v>0</v>
      </c>
      <c r="AK91">
        <f>'Data-Kolom'!S92</f>
        <v>0</v>
      </c>
      <c r="AL91">
        <f>2*(H91+I91-4*$N$5)+2*MAX($F$5*AD91,75)</f>
        <v>1330</v>
      </c>
      <c r="AM91">
        <f>+AH91*(H91-2*$N$5+2*MAX($F$5*AI91,75))+AJ91*(I91-2*$N$5+2*MAX($F$5*AK91,75))</f>
        <v>280</v>
      </c>
      <c r="AN91">
        <f>(ROUND((1/2*J91+IF(M91&gt;0,(Q91-$N$6*AD91),0))/AE91,0)+(ROUND(1/2*J91/AF91,0)+1))*K91</f>
        <v>47</v>
      </c>
      <c r="AO91">
        <f>H91*I91*J91/1000000000*K91*(1+$T$5)</f>
        <v>0.3825</v>
      </c>
      <c r="AP91">
        <f>0.006165*O91^2*T91*U91/1000*(1+$T$6)</f>
        <v>69.5688192</v>
      </c>
      <c r="AQ91">
        <f>0.006165*W91^2*AB91*AC91/1000*(1+$T$6)</f>
        <v>0</v>
      </c>
      <c r="AR91">
        <f>AN91*0.006165*AD91^2*AL91/1000*(1+$T$6)</f>
        <v>38.53741500000001</v>
      </c>
      <c r="AS91">
        <f>AN91*0.006165*AI91^2*AM91/1000*(1+$T$6)</f>
        <v>8.113140000000001</v>
      </c>
      <c r="AT91">
        <f>K91*2*J91*(H91+I91)/1000000*(1+$T$7)</f>
        <v>6.03</v>
      </c>
      <c r="AU91">
        <f>SUM(AP91:AS91)/AO91</f>
        <v>303.8415011764706</v>
      </c>
      <c r="AV91">
        <f>AT91/AO91</f>
        <v>15.764705882352942</v>
      </c>
      <c r="AX91">
        <f>0.006165*O91^2*R91*U91/1000*(1+$T$6)</f>
        <v>69.5688192</v>
      </c>
      <c r="AZ91">
        <f>0.006165*O91^2*S91*U91/1000*(1+$T$6)</f>
        <v>0</v>
      </c>
      <c r="BA91">
        <f>AZ91/AP91</f>
        <v>0</v>
      </c>
    </row>
    <row r="92">
      <c r="A92">
        <f>'Data-Kolom'!A93</f>
        <v>30</v>
      </c>
      <c r="B92" t="str">
        <f>'Data-Kolom'!B93</f>
        <v>Lantai 2</v>
      </c>
      <c r="C92">
        <f>'Data-Kolom'!C93</f>
        <v>0</v>
      </c>
      <c r="D92" t="str">
        <f>'Data-Kolom'!D93</f>
        <v>K4</v>
      </c>
      <c r="E92" t="str">
        <v>T</v>
      </c>
      <c r="F92">
        <f>'Data-Kolom'!U93</f>
        <v>0</v>
      </c>
      <c r="G92">
        <f>'Data-Kolom'!T93</f>
        <v>0</v>
      </c>
      <c r="H92">
        <f>'Data-Kolom'!E93</f>
        <v>170</v>
      </c>
      <c r="I92">
        <f>'Data-Kolom'!F93</f>
        <v>400</v>
      </c>
      <c r="J92">
        <f>'Data-Kolom'!G93</f>
        <v>4500</v>
      </c>
      <c r="K92">
        <v>1</v>
      </c>
      <c r="M92">
        <f>IF(L92&gt;0,VLOOKUP(L92,'Data-PC'!$B$14:$F$56,4,FALSE),0)</f>
        <v>0</v>
      </c>
      <c r="N92">
        <f>'Data-Kolom'!H93</f>
        <v>6</v>
      </c>
      <c r="O92">
        <f>'Data-Kolom'!I93</f>
        <v>16</v>
      </c>
      <c r="P92">
        <f>IF(N92&gt;0,VLOOKUP(O92,$V$2:$X$9,2,FALSE),0)</f>
        <v>1010</v>
      </c>
      <c r="Q92">
        <f>IF(L92&gt;0,M92-50+$N$6*O92,VLOOKUP(O92,$V$2:$X$9,3,FALSE))</f>
        <v>770</v>
      </c>
      <c r="R92">
        <f>IF(E92="F",J92-$N$5+$N$6*O92+Q92,IF(E92="D",J92+Q92+P92,IF(E92="T",J92+P92,IF(E92="A",J92-$N$5+$N$6*O92,0))))</f>
        <v>5510</v>
      </c>
      <c r="T92">
        <f>SUM(R92:S92)</f>
        <v>5510</v>
      </c>
      <c r="U92">
        <f>K92*N92</f>
        <v>6</v>
      </c>
      <c r="V92">
        <f>'Data-Kolom'!J93</f>
        <v>0</v>
      </c>
      <c r="W92">
        <f>'Data-Kolom'!K93</f>
        <v>0</v>
      </c>
      <c r="X92">
        <f>IF(V92&gt;0,VLOOKUP(W92,$V$2:$X$9,2,FALSE),0)</f>
        <v>0</v>
      </c>
      <c r="Y92">
        <f>IF(V92&gt;0,IF(L92&gt;0,M92-50+$N$6*W92,VLOOKUP(W92,$V$2:$X$9,3,FALSE)),0)</f>
        <v>0</v>
      </c>
      <c r="Z92">
        <f>IF(E92="F",J92-$N$5+$N$6*W92+Y92,IF(E92="D",J92+Y92+X92,IF(E92="T",J92+X92,IF(E92="A",J92-$N$5+$N$6*W92,0))))</f>
        <v>4500</v>
      </c>
      <c r="AB92">
        <f>SUM(Z92:AA92)</f>
        <v>4500</v>
      </c>
      <c r="AC92">
        <f>V92*K92</f>
        <v>0</v>
      </c>
      <c r="AD92">
        <f>'Data-Kolom'!L93</f>
        <v>10</v>
      </c>
      <c r="AE92">
        <f>'Data-Kolom'!M93</f>
        <v>100</v>
      </c>
      <c r="AF92">
        <f>'Data-Kolom'!N93</f>
        <v>100</v>
      </c>
      <c r="AG92">
        <f>'Data-Kolom'!O93</f>
        <v>100</v>
      </c>
      <c r="AH92">
        <f>'Data-Kolom'!P93</f>
        <v>0</v>
      </c>
      <c r="AI92">
        <f>'Data-Kolom'!Q93</f>
        <v>0</v>
      </c>
      <c r="AJ92">
        <f>'Data-Kolom'!R93</f>
        <v>0</v>
      </c>
      <c r="AK92">
        <f>'Data-Kolom'!S93</f>
        <v>0</v>
      </c>
      <c r="AL92">
        <f>2*(H92+I92-4*$N$5)+2*MAX($F$5*AD92,75)</f>
        <v>1130</v>
      </c>
      <c r="AM92">
        <f>+AH92*(H92-2*$N$5+2*MAX($F$5*AI92,75))+AJ92*(I92-2*$N$5+2*MAX($F$5*AK92,75))</f>
        <v>0</v>
      </c>
      <c r="AN92">
        <f>(ROUND((1/2*J92+IF(M92&gt;0,(Q92-$N$6*AD92),0))/AE92,0)+(ROUND(1/2*J92/AF92,0)+1))*K92</f>
        <v>47</v>
      </c>
      <c r="AO92">
        <f>H92*I92*J92/1000000000*K92*(1+$T$5)</f>
        <v>0.306</v>
      </c>
      <c r="AP92">
        <f>0.006165*O92^2*T92*U92/1000*(1+$T$6)</f>
        <v>52.1766144</v>
      </c>
      <c r="AQ92">
        <f>0.006165*W92^2*AB92*AC92/1000*(1+$T$6)</f>
        <v>0</v>
      </c>
      <c r="AR92">
        <f>AN92*0.006165*AD92^2*AL92/1000*(1+$T$6)</f>
        <v>32.742315000000005</v>
      </c>
      <c r="AS92">
        <f>AN92*0.006165*AI92^2*AM92/1000*(1+$T$6)</f>
        <v>0</v>
      </c>
      <c r="AT92">
        <f>K92*2*J92*(H92+I92)/1000000*(1+$T$7)</f>
        <v>5.13</v>
      </c>
      <c r="AU92">
        <f>SUM(AP92:AS92)/AO92</f>
        <v>277.5128411764706</v>
      </c>
      <c r="AV92">
        <f>AT92/AO92</f>
        <v>16.764705882352942</v>
      </c>
      <c r="AX92">
        <f>0.006165*O92^2*R92*U92/1000*(1+$T$6)</f>
        <v>52.1766144</v>
      </c>
      <c r="AZ92">
        <f>0.006165*O92^2*S92*U92/1000*(1+$T$6)</f>
        <v>0</v>
      </c>
      <c r="BA92">
        <f>AZ92/AP92</f>
        <v>0</v>
      </c>
    </row>
    <row r="93">
      <c r="A93">
        <f>'Data-Kolom'!A94</f>
        <v>44</v>
      </c>
      <c r="B93" t="str">
        <f>'Data-Kolom'!B94</f>
        <v>Lantai 2</v>
      </c>
      <c r="C93">
        <f>'Data-Kolom'!C94</f>
        <v>0</v>
      </c>
      <c r="D93" t="str">
        <f>'Data-Kolom'!D94</f>
        <v>K4</v>
      </c>
      <c r="E93" t="str">
        <v>T</v>
      </c>
      <c r="F93">
        <f>'Data-Kolom'!U94</f>
        <v>0</v>
      </c>
      <c r="G93">
        <f>'Data-Kolom'!T94</f>
        <v>0</v>
      </c>
      <c r="H93">
        <f>'Data-Kolom'!E94</f>
        <v>170</v>
      </c>
      <c r="I93">
        <f>'Data-Kolom'!F94</f>
        <v>400</v>
      </c>
      <c r="J93">
        <f>'Data-Kolom'!G94</f>
        <v>4500</v>
      </c>
      <c r="K93">
        <v>1</v>
      </c>
      <c r="M93">
        <f>IF(L93&gt;0,VLOOKUP(L93,'Data-PC'!$B$14:$F$56,4,FALSE),0)</f>
        <v>0</v>
      </c>
      <c r="N93">
        <f>'Data-Kolom'!H94</f>
        <v>6</v>
      </c>
      <c r="O93">
        <f>'Data-Kolom'!I94</f>
        <v>16</v>
      </c>
      <c r="P93">
        <f>IF(N93&gt;0,VLOOKUP(O93,$V$2:$X$9,2,FALSE),0)</f>
        <v>1010</v>
      </c>
      <c r="Q93">
        <f>IF(L93&gt;0,M93-50+$N$6*O93,VLOOKUP(O93,$V$2:$X$9,3,FALSE))</f>
        <v>770</v>
      </c>
      <c r="R93">
        <f>IF(E93="F",J93-$N$5+$N$6*O93+Q93,IF(E93="D",J93+Q93+P93,IF(E93="T",J93+P93,IF(E93="A",J93-$N$5+$N$6*O93,0))))</f>
        <v>5510</v>
      </c>
      <c r="T93">
        <f>SUM(R93:S93)</f>
        <v>5510</v>
      </c>
      <c r="U93">
        <f>K93*N93</f>
        <v>6</v>
      </c>
      <c r="V93">
        <f>'Data-Kolom'!J94</f>
        <v>0</v>
      </c>
      <c r="W93">
        <f>'Data-Kolom'!K94</f>
        <v>0</v>
      </c>
      <c r="X93">
        <f>IF(V93&gt;0,VLOOKUP(W93,$V$2:$X$9,2,FALSE),0)</f>
        <v>0</v>
      </c>
      <c r="Y93">
        <f>IF(V93&gt;0,IF(L93&gt;0,M93-50+$N$6*W93,VLOOKUP(W93,$V$2:$X$9,3,FALSE)),0)</f>
        <v>0</v>
      </c>
      <c r="Z93">
        <f>IF(E93="F",J93-$N$5+$N$6*W93+Y93,IF(E93="D",J93+Y93+X93,IF(E93="T",J93+X93,IF(E93="A",J93-$N$5+$N$6*W93,0))))</f>
        <v>4500</v>
      </c>
      <c r="AB93">
        <f>SUM(Z93:AA93)</f>
        <v>4500</v>
      </c>
      <c r="AC93">
        <f>V93*K93</f>
        <v>0</v>
      </c>
      <c r="AD93">
        <f>'Data-Kolom'!L94</f>
        <v>10</v>
      </c>
      <c r="AE93">
        <f>'Data-Kolom'!M94</f>
        <v>100</v>
      </c>
      <c r="AF93">
        <f>'Data-Kolom'!N94</f>
        <v>100</v>
      </c>
      <c r="AG93">
        <f>'Data-Kolom'!O94</f>
        <v>100</v>
      </c>
      <c r="AH93">
        <f>'Data-Kolom'!P94</f>
        <v>0</v>
      </c>
      <c r="AI93">
        <f>'Data-Kolom'!Q94</f>
        <v>0</v>
      </c>
      <c r="AJ93">
        <f>'Data-Kolom'!R94</f>
        <v>0</v>
      </c>
      <c r="AK93">
        <f>'Data-Kolom'!S94</f>
        <v>0</v>
      </c>
      <c r="AL93">
        <f>2*(H93+I93-4*$N$5)+2*MAX($F$5*AD93,75)</f>
        <v>1130</v>
      </c>
      <c r="AM93">
        <f>+AH93*(H93-2*$N$5+2*MAX($F$5*AI93,75))+AJ93*(I93-2*$N$5+2*MAX($F$5*AK93,75))</f>
        <v>0</v>
      </c>
      <c r="AN93">
        <f>(ROUND((1/2*J93+IF(M93&gt;0,(Q93-$N$6*AD93),0))/AE93,0)+(ROUND(1/2*J93/AF93,0)+1))*K93</f>
        <v>47</v>
      </c>
      <c r="AO93">
        <f>H93*I93*J93/1000000000*K93*(1+$T$5)</f>
        <v>0.306</v>
      </c>
      <c r="AP93">
        <f>0.006165*O93^2*T93*U93/1000*(1+$T$6)</f>
        <v>52.1766144</v>
      </c>
      <c r="AQ93">
        <f>0.006165*W93^2*AB93*AC93/1000*(1+$T$6)</f>
        <v>0</v>
      </c>
      <c r="AR93">
        <f>AN93*0.006165*AD93^2*AL93/1000*(1+$T$6)</f>
        <v>32.742315000000005</v>
      </c>
      <c r="AS93">
        <f>AN93*0.006165*AI93^2*AM93/1000*(1+$T$6)</f>
        <v>0</v>
      </c>
      <c r="AT93">
        <f>K93*2*J93*(H93+I93)/1000000*(1+$T$7)</f>
        <v>5.13</v>
      </c>
      <c r="AU93">
        <f>SUM(AP93:AS93)/AO93</f>
        <v>277.5128411764706</v>
      </c>
      <c r="AV93">
        <f>AT93/AO93</f>
        <v>16.764705882352942</v>
      </c>
      <c r="AX93">
        <f>0.006165*O93^2*R93*U93/1000*(1+$T$6)</f>
        <v>52.1766144</v>
      </c>
      <c r="AZ93">
        <f>0.006165*O93^2*S93*U93/1000*(1+$T$6)</f>
        <v>0</v>
      </c>
      <c r="BA93">
        <f>AZ93/AP93</f>
        <v>0</v>
      </c>
    </row>
    <row r="95">
      <c r="A95">
        <f>'Data-Kolom'!A96</f>
        <v>101</v>
      </c>
      <c r="B95" t="str">
        <f>'Data-Kolom'!B96</f>
        <v>Lantai 2</v>
      </c>
      <c r="C95">
        <f>'Data-Kolom'!C96</f>
        <v>0</v>
      </c>
      <c r="D95" t="str">
        <f>'Data-Kolom'!D96</f>
        <v>K5</v>
      </c>
      <c r="E95" t="str">
        <v>D</v>
      </c>
      <c r="F95">
        <f>'Data-Kolom'!U96</f>
        <v>0</v>
      </c>
      <c r="G95">
        <f>'Data-Kolom'!T96</f>
        <v>0</v>
      </c>
      <c r="H95">
        <f>'Data-Kolom'!E96</f>
        <v>170</v>
      </c>
      <c r="I95">
        <f>'Data-Kolom'!F96</f>
        <v>500</v>
      </c>
      <c r="J95">
        <f>'Data-Kolom'!G96</f>
        <v>4500</v>
      </c>
      <c r="K95">
        <v>1</v>
      </c>
      <c r="M95">
        <f>IF(L95&gt;0,VLOOKUP(L95,'Data-PC'!$B$14:$F$56,4,FALSE),0)</f>
        <v>0</v>
      </c>
      <c r="N95">
        <f>'Data-Kolom'!H96</f>
        <v>8</v>
      </c>
      <c r="O95">
        <f>'Data-Kolom'!I96</f>
        <v>16</v>
      </c>
      <c r="P95">
        <f>IF(N95&gt;0,VLOOKUP(O95,$V$2:$X$9,2,FALSE),0)</f>
        <v>1010</v>
      </c>
      <c r="Q95">
        <f>IF(L95&gt;0,M95-50+$N$6*O95,VLOOKUP(O95,$V$2:$X$9,3,FALSE))</f>
        <v>770</v>
      </c>
      <c r="R95">
        <f>IF(E95="F",J95-$N$5+$N$6*O95+Q95,IF(E95="D",J95+Q95+P95,IF(E95="T",J95+P95,IF(E95="A",J95-$N$5+$N$6*O95,0))))</f>
        <v>6280</v>
      </c>
      <c r="T95">
        <f>SUM(R95:S95)</f>
        <v>6280</v>
      </c>
      <c r="U95">
        <f>K95*N95</f>
        <v>8</v>
      </c>
      <c r="V95">
        <f>'Data-Kolom'!J96</f>
        <v>0</v>
      </c>
      <c r="W95">
        <f>'Data-Kolom'!K96</f>
        <v>0</v>
      </c>
      <c r="X95">
        <f>IF(V95&gt;0,VLOOKUP(W95,$V$2:$X$9,2,FALSE),0)</f>
        <v>0</v>
      </c>
      <c r="Y95">
        <f>IF(V95&gt;0,IF(L95&gt;0,M95-50+$N$6*W95,VLOOKUP(W95,$V$2:$X$9,3,FALSE)),0)</f>
        <v>0</v>
      </c>
      <c r="Z95">
        <f>IF(E95="F",J95-$N$5+$N$6*W95+Y95,IF(E95="D",J95+Y95+X95,IF(E95="T",J95+X95,IF(E95="A",J95-$N$5+$N$6*W95,0))))</f>
        <v>4500</v>
      </c>
      <c r="AB95">
        <f>SUM(Z95:AA95)</f>
        <v>4500</v>
      </c>
      <c r="AC95">
        <f>V95*K95</f>
        <v>0</v>
      </c>
      <c r="AD95">
        <f>'Data-Kolom'!L96</f>
        <v>10</v>
      </c>
      <c r="AE95">
        <f>'Data-Kolom'!M96</f>
        <v>100</v>
      </c>
      <c r="AF95">
        <f>'Data-Kolom'!N96</f>
        <v>100</v>
      </c>
      <c r="AG95">
        <f>'Data-Kolom'!O96</f>
        <v>100</v>
      </c>
      <c r="AH95">
        <f>'Data-Kolom'!P96</f>
        <v>1</v>
      </c>
      <c r="AI95">
        <f>'Data-Kolom'!Q96</f>
        <v>10</v>
      </c>
      <c r="AJ95">
        <f>'Data-Kolom'!R96</f>
        <v>0</v>
      </c>
      <c r="AK95">
        <f>'Data-Kolom'!S96</f>
        <v>0</v>
      </c>
      <c r="AL95">
        <f>2*(H95+I95-4*$N$5)+2*MAX($F$5*AD95,75)</f>
        <v>1330</v>
      </c>
      <c r="AM95">
        <f>+AH95*(H95-2*$N$5+2*MAX($F$5*AI95,75))+AJ95*(I95-2*$N$5+2*MAX($F$5*AK95,75))</f>
        <v>280</v>
      </c>
      <c r="AN95">
        <f>(ROUND((1/2*J95+IF(M95&gt;0,(Q95-$N$6*AD95),0))/AE95,0)+(ROUND(1/2*J95/AF95,0)+1))*K95</f>
        <v>47</v>
      </c>
      <c r="AO95">
        <f>H95*I95*J95/1000000000*K95*(1+$T$5)</f>
        <v>0.3825</v>
      </c>
      <c r="AP95">
        <f>0.006165*O95^2*T95*U95/1000*(1+$T$6)</f>
        <v>79.2907776</v>
      </c>
      <c r="AQ95">
        <f>0.006165*W95^2*AB95*AC95/1000*(1+$T$6)</f>
        <v>0</v>
      </c>
      <c r="AR95">
        <f>AN95*0.006165*AD95^2*AL95/1000*(1+$T$6)</f>
        <v>38.53741500000001</v>
      </c>
      <c r="AS95">
        <f>AN95*0.006165*AI95^2*AM95/1000*(1+$T$6)</f>
        <v>8.113140000000001</v>
      </c>
      <c r="AT95">
        <f>K95*2*J95*(H95+I95)/1000000*(1+$T$7)</f>
        <v>6.03</v>
      </c>
      <c r="AU95">
        <f>SUM(AP95:AS95)/AO95</f>
        <v>329.25838588235297</v>
      </c>
      <c r="AV95">
        <f>AT95/AO95</f>
        <v>15.764705882352942</v>
      </c>
      <c r="AX95">
        <f>0.006165*O95^2*R95*U95/1000*(1+$T$6)</f>
        <v>79.2907776</v>
      </c>
      <c r="AZ95">
        <f>0.006165*O95^2*S95*U95/1000*(1+$T$6)</f>
        <v>0</v>
      </c>
      <c r="BA95">
        <f>AZ95/AP95</f>
        <v>0</v>
      </c>
    </row>
    <row r="96">
      <c r="A96">
        <f>'Data-Kolom'!A97</f>
        <v>102</v>
      </c>
      <c r="B96" t="str">
        <f>'Data-Kolom'!B97</f>
        <v>Lantai 2</v>
      </c>
      <c r="C96">
        <f>'Data-Kolom'!C97</f>
        <v>0</v>
      </c>
      <c r="D96" t="str">
        <f>'Data-Kolom'!D97</f>
        <v>K4</v>
      </c>
      <c r="E96" t="str">
        <v>D</v>
      </c>
      <c r="F96">
        <f>'Data-Kolom'!U97</f>
        <v>0</v>
      </c>
      <c r="G96">
        <f>'Data-Kolom'!T97</f>
        <v>0</v>
      </c>
      <c r="H96">
        <f>'Data-Kolom'!E97</f>
        <v>170</v>
      </c>
      <c r="I96">
        <f>'Data-Kolom'!F97</f>
        <v>400</v>
      </c>
      <c r="J96">
        <f>'Data-Kolom'!G97</f>
        <v>6250</v>
      </c>
      <c r="K96">
        <v>1</v>
      </c>
      <c r="M96">
        <f>IF(L96&gt;0,VLOOKUP(L96,'Data-PC'!$B$14:$F$56,4,FALSE),0)</f>
        <v>0</v>
      </c>
      <c r="N96">
        <f>'Data-Kolom'!H97</f>
        <v>6</v>
      </c>
      <c r="O96">
        <f>'Data-Kolom'!I97</f>
        <v>16</v>
      </c>
      <c r="P96">
        <f>IF(N96&gt;0,VLOOKUP(O96,$V$2:$X$9,2,FALSE),0)</f>
        <v>1010</v>
      </c>
      <c r="Q96">
        <f>IF(L96&gt;0,M96-50+$N$6*O96,VLOOKUP(O96,$V$2:$X$9,3,FALSE))</f>
        <v>770</v>
      </c>
      <c r="R96">
        <f>IF(E96="F",J96-$N$5+$N$6*O96+Q96,IF(E96="D",J96+Q96+P96,IF(E96="T",J96+P96,IF(E96="A",J96-$N$5+$N$6*O96,0))))</f>
        <v>8030</v>
      </c>
      <c r="T96">
        <f>SUM(R96:S96)</f>
        <v>8030</v>
      </c>
      <c r="U96">
        <f>K96*N96</f>
        <v>6</v>
      </c>
      <c r="V96">
        <f>'Data-Kolom'!J97</f>
        <v>0</v>
      </c>
      <c r="W96">
        <f>'Data-Kolom'!K97</f>
        <v>0</v>
      </c>
      <c r="X96">
        <f>IF(V96&gt;0,VLOOKUP(W96,$V$2:$X$9,2,FALSE),0)</f>
        <v>0</v>
      </c>
      <c r="Y96">
        <f>IF(V96&gt;0,IF(L96&gt;0,M96-50+$N$6*W96,VLOOKUP(W96,$V$2:$X$9,3,FALSE)),0)</f>
        <v>0</v>
      </c>
      <c r="Z96">
        <f>IF(E96="F",J96-$N$5+$N$6*W96+Y96,IF(E96="D",J96+Y96+X96,IF(E96="T",J96+X96,IF(E96="A",J96-$N$5+$N$6*W96,0))))</f>
        <v>6250</v>
      </c>
      <c r="AB96">
        <f>SUM(Z96:AA96)</f>
        <v>6250</v>
      </c>
      <c r="AC96">
        <f>V96*K96</f>
        <v>0</v>
      </c>
      <c r="AD96">
        <f>'Data-Kolom'!L97</f>
        <v>10</v>
      </c>
      <c r="AE96">
        <f>'Data-Kolom'!M97</f>
        <v>100</v>
      </c>
      <c r="AF96">
        <f>'Data-Kolom'!N97</f>
        <v>100</v>
      </c>
      <c r="AG96">
        <f>'Data-Kolom'!O97</f>
        <v>100</v>
      </c>
      <c r="AH96">
        <f>'Data-Kolom'!P97</f>
        <v>0</v>
      </c>
      <c r="AI96">
        <f>'Data-Kolom'!Q97</f>
        <v>0</v>
      </c>
      <c r="AJ96">
        <f>'Data-Kolom'!R97</f>
        <v>0</v>
      </c>
      <c r="AK96">
        <f>'Data-Kolom'!S97</f>
        <v>0</v>
      </c>
      <c r="AL96">
        <f>2*(H96+I96-4*$N$5)+2*MAX($F$5*AD96,75)</f>
        <v>1130</v>
      </c>
      <c r="AM96">
        <f>+AH96*(H96-2*$N$5+2*MAX($F$5*AI96,75))+AJ96*(I96-2*$N$5+2*MAX($F$5*AK96,75))</f>
        <v>0</v>
      </c>
      <c r="AN96">
        <f>(ROUND((1/2*J96+IF(M96&gt;0,(Q96-$N$6*AD96),0))/AE96,0)+(ROUND(1/2*J96/AF96,0)+1))*K96</f>
        <v>63</v>
      </c>
      <c r="AO96">
        <f>H96*I96*J96/1000000000*K96*(1+$T$5)</f>
        <v>0.425</v>
      </c>
      <c r="AP96">
        <f>0.006165*O96^2*T96*U96/1000*(1+$T$6)</f>
        <v>76.0396032</v>
      </c>
      <c r="AQ96">
        <f>0.006165*W96^2*AB96*AC96/1000*(1+$T$6)</f>
        <v>0</v>
      </c>
      <c r="AR96">
        <f>AN96*0.006165*AD96^2*AL96/1000*(1+$T$6)</f>
        <v>43.888635</v>
      </c>
      <c r="AS96">
        <f>AN96*0.006165*AI96^2*AM96/1000*(1+$T$6)</f>
        <v>0</v>
      </c>
      <c r="AT96">
        <f>K96*2*J96*(H96+I96)/1000000*(1+$T$7)</f>
        <v>7.125</v>
      </c>
      <c r="AU96">
        <f>SUM(AP96:AS96)/AO96</f>
        <v>282.18408988235296</v>
      </c>
      <c r="AV96">
        <f>AT96/AO96</f>
        <v>16.764705882352942</v>
      </c>
      <c r="AX96">
        <f>0.006165*O96^2*R96*U96/1000*(1+$T$6)</f>
        <v>76.0396032</v>
      </c>
      <c r="AZ96">
        <f>0.006165*O96^2*S96*U96/1000*(1+$T$6)</f>
        <v>0</v>
      </c>
      <c r="BA96">
        <f>AZ96/AP96</f>
        <v>0</v>
      </c>
    </row>
    <row r="97">
      <c r="A97">
        <f>'Data-Kolom'!A98</f>
        <v>103</v>
      </c>
      <c r="B97" t="str">
        <f>'Data-Kolom'!B98</f>
        <v>Lantai 2</v>
      </c>
      <c r="C97">
        <f>'Data-Kolom'!C98</f>
        <v>0</v>
      </c>
      <c r="D97" t="str">
        <f>'Data-Kolom'!D98</f>
        <v>K4</v>
      </c>
      <c r="E97" t="str">
        <v>D</v>
      </c>
      <c r="F97">
        <f>'Data-Kolom'!U98</f>
        <v>0</v>
      </c>
      <c r="G97">
        <f>'Data-Kolom'!T98</f>
        <v>0</v>
      </c>
      <c r="H97">
        <f>'Data-Kolom'!E98</f>
        <v>170</v>
      </c>
      <c r="I97">
        <f>'Data-Kolom'!F98</f>
        <v>400</v>
      </c>
      <c r="J97">
        <f>'Data-Kolom'!G98</f>
        <v>6250</v>
      </c>
      <c r="K97">
        <v>1</v>
      </c>
      <c r="M97">
        <f>IF(L97&gt;0,VLOOKUP(L97,'Data-PC'!$B$14:$F$56,4,FALSE),0)</f>
        <v>0</v>
      </c>
      <c r="N97">
        <f>'Data-Kolom'!H98</f>
        <v>6</v>
      </c>
      <c r="O97">
        <f>'Data-Kolom'!I98</f>
        <v>16</v>
      </c>
      <c r="P97">
        <f>IF(N97&gt;0,VLOOKUP(O97,$V$2:$X$9,2,FALSE),0)</f>
        <v>1010</v>
      </c>
      <c r="Q97">
        <f>IF(L97&gt;0,M97-50+$N$6*O97,VLOOKUP(O97,$V$2:$X$9,3,FALSE))</f>
        <v>770</v>
      </c>
      <c r="R97">
        <f>IF(E97="F",J97-$N$5+$N$6*O97+Q97,IF(E97="D",J97+Q97+P97,IF(E97="T",J97+P97,IF(E97="A",J97-$N$5+$N$6*O97,0))))</f>
        <v>8030</v>
      </c>
      <c r="T97">
        <f>SUM(R97:S97)</f>
        <v>8030</v>
      </c>
      <c r="U97">
        <f>K97*N97</f>
        <v>6</v>
      </c>
      <c r="V97">
        <f>'Data-Kolom'!J98</f>
        <v>0</v>
      </c>
      <c r="W97">
        <f>'Data-Kolom'!K98</f>
        <v>0</v>
      </c>
      <c r="X97">
        <f>IF(V97&gt;0,VLOOKUP(W97,$V$2:$X$9,2,FALSE),0)</f>
        <v>0</v>
      </c>
      <c r="Y97">
        <f>IF(V97&gt;0,IF(L97&gt;0,M97-50+$N$6*W97,VLOOKUP(W97,$V$2:$X$9,3,FALSE)),0)</f>
        <v>0</v>
      </c>
      <c r="Z97">
        <f>IF(E97="F",J97-$N$5+$N$6*W97+Y97,IF(E97="D",J97+Y97+X97,IF(E97="T",J97+X97,IF(E97="A",J97-$N$5+$N$6*W97,0))))</f>
        <v>6250</v>
      </c>
      <c r="AB97">
        <f>SUM(Z97:AA97)</f>
        <v>6250</v>
      </c>
      <c r="AC97">
        <f>V97*K97</f>
        <v>0</v>
      </c>
      <c r="AD97">
        <f>'Data-Kolom'!L98</f>
        <v>10</v>
      </c>
      <c r="AE97">
        <f>'Data-Kolom'!M98</f>
        <v>100</v>
      </c>
      <c r="AF97">
        <f>'Data-Kolom'!N98</f>
        <v>100</v>
      </c>
      <c r="AG97">
        <f>'Data-Kolom'!O98</f>
        <v>100</v>
      </c>
      <c r="AH97">
        <f>'Data-Kolom'!P98</f>
        <v>0</v>
      </c>
      <c r="AI97">
        <f>'Data-Kolom'!Q98</f>
        <v>0</v>
      </c>
      <c r="AJ97">
        <f>'Data-Kolom'!R98</f>
        <v>0</v>
      </c>
      <c r="AK97">
        <f>'Data-Kolom'!S98</f>
        <v>0</v>
      </c>
      <c r="AL97">
        <f>2*(H97+I97-4*$N$5)+2*MAX($F$5*AD97,75)</f>
        <v>1130</v>
      </c>
      <c r="AM97">
        <f>+AH97*(H97-2*$N$5+2*MAX($F$5*AI97,75))+AJ97*(I97-2*$N$5+2*MAX($F$5*AK97,75))</f>
        <v>0</v>
      </c>
      <c r="AN97">
        <f>(ROUND((1/2*J97+IF(M97&gt;0,(Q97-$N$6*AD97),0))/AE97,0)+(ROUND(1/2*J97/AF97,0)+1))*K97</f>
        <v>63</v>
      </c>
      <c r="AO97">
        <f>H97*I97*J97/1000000000*K97*(1+$T$5)</f>
        <v>0.425</v>
      </c>
      <c r="AP97">
        <f>0.006165*O97^2*T97*U97/1000*(1+$T$6)</f>
        <v>76.0396032</v>
      </c>
      <c r="AQ97">
        <f>0.006165*W97^2*AB97*AC97/1000*(1+$T$6)</f>
        <v>0</v>
      </c>
      <c r="AR97">
        <f>AN97*0.006165*AD97^2*AL97/1000*(1+$T$6)</f>
        <v>43.888635</v>
      </c>
      <c r="AS97">
        <f>AN97*0.006165*AI97^2*AM97/1000*(1+$T$6)</f>
        <v>0</v>
      </c>
      <c r="AT97">
        <f>K97*2*J97*(H97+I97)/1000000*(1+$T$7)</f>
        <v>7.125</v>
      </c>
      <c r="AU97">
        <f>SUM(AP97:AS97)/AO97</f>
        <v>282.18408988235296</v>
      </c>
      <c r="AV97">
        <f>AT97/AO97</f>
        <v>16.764705882352942</v>
      </c>
      <c r="AX97">
        <f>0.006165*O97^2*R97*U97/1000*(1+$T$6)</f>
        <v>76.0396032</v>
      </c>
      <c r="AZ97">
        <f>0.006165*O97^2*S97*U97/1000*(1+$T$6)</f>
        <v>0</v>
      </c>
      <c r="BA97">
        <f>AZ97/AP97</f>
        <v>0</v>
      </c>
    </row>
    <row r="99">
      <c r="A99">
        <f>'Data-Kolom'!A100</f>
        <v>1</v>
      </c>
      <c r="B99" t="str">
        <f>'Data-Kolom'!B100</f>
        <v>Lantai 3</v>
      </c>
      <c r="C99">
        <f>'Data-Kolom'!C100</f>
        <v>0</v>
      </c>
      <c r="D99" t="str">
        <f>'Data-Kolom'!D100</f>
        <v>K1A4</v>
      </c>
      <c r="E99" t="str">
        <v>A</v>
      </c>
      <c r="F99">
        <f>'Data-Kolom'!U100</f>
        <v>0</v>
      </c>
      <c r="G99">
        <f>'Data-Kolom'!T100</f>
        <v>0</v>
      </c>
      <c r="H99">
        <f>'Data-Kolom'!E100</f>
        <v>130</v>
      </c>
      <c r="I99">
        <f>'Data-Kolom'!F100</f>
        <v>400</v>
      </c>
      <c r="J99">
        <f>'Data-Kolom'!G100</f>
        <v>3500</v>
      </c>
      <c r="K99">
        <v>1</v>
      </c>
      <c r="M99">
        <f>IF(L99&gt;0,VLOOKUP(L99,'Data-PC'!$B$14:$F$56,4,FALSE),0)</f>
        <v>0</v>
      </c>
      <c r="N99">
        <f>'Data-Kolom'!H100</f>
        <v>6</v>
      </c>
      <c r="O99">
        <f>'Data-Kolom'!I100</f>
        <v>16</v>
      </c>
      <c r="P99">
        <f>IF(N99&gt;0,VLOOKUP(O99,$V$2:$X$9,2,FALSE),0)</f>
        <v>1010</v>
      </c>
      <c r="Q99">
        <f>IF(L99&gt;0,M99-50+$N$6*O99,VLOOKUP(O99,$V$2:$X$9,3,FALSE))</f>
        <v>770</v>
      </c>
      <c r="R99">
        <f>IF(E99="F",J99-$N$5+$N$6*O99+Q99,IF(E99="D",J99+Q99+P99,IF(E99="T",J99+P99,IF(E99="A",J99-$N$5+$N$6*O99,0))))</f>
        <v>3672</v>
      </c>
      <c r="T99">
        <f>SUM(R99:S99)</f>
        <v>3672</v>
      </c>
      <c r="U99">
        <f>K99*N99</f>
        <v>6</v>
      </c>
      <c r="V99">
        <f>'Data-Kolom'!J100</f>
        <v>0</v>
      </c>
      <c r="W99">
        <f>'Data-Kolom'!K100</f>
        <v>0</v>
      </c>
      <c r="X99">
        <f>IF(V99&gt;0,VLOOKUP(W99,$V$2:$X$9,2,FALSE),0)</f>
        <v>0</v>
      </c>
      <c r="Y99">
        <f>IF(V99&gt;0,IF(L99&gt;0,M99-50+$N$6*W99,VLOOKUP(W99,$V$2:$X$9,3,FALSE)),0)</f>
        <v>0</v>
      </c>
      <c r="Z99">
        <f>IF(E99="F",J99-$N$5+$N$6*W99+Y99,IF(E99="D",J99+Y99+X99,IF(E99="T",J99+X99,IF(E99="A",J99-$N$5+$N$6*W99,0))))</f>
        <v>3480</v>
      </c>
      <c r="AB99">
        <f>SUM(Z99:AA99)</f>
        <v>3480</v>
      </c>
      <c r="AC99">
        <f>V99*K99</f>
        <v>0</v>
      </c>
      <c r="AD99">
        <f>'Data-Kolom'!L100</f>
        <v>10</v>
      </c>
      <c r="AE99">
        <f>'Data-Kolom'!M100</f>
        <v>100</v>
      </c>
      <c r="AF99">
        <f>'Data-Kolom'!N100</f>
        <v>100</v>
      </c>
      <c r="AG99">
        <f>'Data-Kolom'!O100</f>
        <v>100</v>
      </c>
      <c r="AH99">
        <f>'Data-Kolom'!P100</f>
        <v>0</v>
      </c>
      <c r="AI99">
        <f>'Data-Kolom'!Q100</f>
        <v>0</v>
      </c>
      <c r="AJ99">
        <f>'Data-Kolom'!R100</f>
        <v>0</v>
      </c>
      <c r="AK99">
        <f>'Data-Kolom'!S100</f>
        <v>0</v>
      </c>
      <c r="AL99">
        <f>2*(H99+I99-4*$N$5)+2*MAX($F$5*AD99,75)</f>
        <v>1050</v>
      </c>
      <c r="AM99">
        <f>+AH99*(H99-2*$N$5+2*MAX($F$5*AI99,75))+AJ99*(I99-2*$N$5+2*MAX($F$5*AK99,75))</f>
        <v>0</v>
      </c>
      <c r="AN99">
        <f>(ROUND((1/2*J99+IF(M99&gt;0,(Q99-$N$6*AD99),0))/AE99,0)+(ROUND(1/2*J99/AF99,0)+1))*K99</f>
        <v>37</v>
      </c>
      <c r="AO99">
        <f>H99*I99*J99/1000000000*K99*(1+$T$5)</f>
        <v>0.182</v>
      </c>
      <c r="AP99">
        <f>0.006165*O99^2*T99*U99/1000*(1+$T$6)</f>
        <v>34.771783680000006</v>
      </c>
      <c r="AQ99">
        <f>0.006165*W99^2*AB99*AC99/1000*(1+$T$6)</f>
        <v>0</v>
      </c>
      <c r="AR99">
        <f>AN99*0.006165*AD99^2*AL99/1000*(1+$T$6)</f>
        <v>23.951025</v>
      </c>
      <c r="AS99">
        <f>AN99*0.006165*AI99^2*AM99/1000*(1+$T$6)</f>
        <v>0</v>
      </c>
      <c r="AT99">
        <f>K99*2*J99*(H99+I99)/1000000*(1+$T$7)</f>
        <v>3.71</v>
      </c>
      <c r="AU99">
        <f>SUM(AP99:AS99)/AO99</f>
        <v>322.652794945055</v>
      </c>
      <c r="AV99">
        <f>AT99/AO99</f>
        <v>20.384615384615383</v>
      </c>
      <c r="AX99">
        <f>0.006165*O99^2*R99*U99/1000*(1+$T$6)</f>
        <v>34.771783680000006</v>
      </c>
      <c r="AZ99">
        <f>0.006165*O99^2*S99*U99/1000*(1+$T$6)</f>
        <v>0</v>
      </c>
      <c r="BA99">
        <f>AZ99/AP99</f>
        <v>0</v>
      </c>
    </row>
    <row r="100">
      <c r="A100">
        <f>'Data-Kolom'!A101</f>
        <v>2</v>
      </c>
      <c r="B100" t="str">
        <f>'Data-Kolom'!B101</f>
        <v>Lantai 3</v>
      </c>
      <c r="C100">
        <f>'Data-Kolom'!C101</f>
        <v>0</v>
      </c>
      <c r="D100" t="str">
        <f>'Data-Kolom'!D101</f>
        <v>K4</v>
      </c>
      <c r="E100" t="str">
        <v>A</v>
      </c>
      <c r="F100">
        <f>'Data-Kolom'!U101</f>
        <v>0</v>
      </c>
      <c r="G100">
        <f>'Data-Kolom'!T101</f>
        <v>0</v>
      </c>
      <c r="H100">
        <f>'Data-Kolom'!E101</f>
        <v>170</v>
      </c>
      <c r="I100">
        <f>'Data-Kolom'!F101</f>
        <v>400</v>
      </c>
      <c r="J100">
        <f>'Data-Kolom'!G101</f>
        <v>3500</v>
      </c>
      <c r="K100">
        <v>1</v>
      </c>
      <c r="M100">
        <f>IF(L100&gt;0,VLOOKUP(L100,'Data-PC'!$B$14:$F$56,4,FALSE),0)</f>
        <v>0</v>
      </c>
      <c r="N100">
        <f>'Data-Kolom'!H101</f>
        <v>6</v>
      </c>
      <c r="O100">
        <f>'Data-Kolom'!I101</f>
        <v>16</v>
      </c>
      <c r="P100">
        <f>IF(N100&gt;0,VLOOKUP(O100,$V$2:$X$9,2,FALSE),0)</f>
        <v>1010</v>
      </c>
      <c r="Q100">
        <f>IF(L100&gt;0,M100-50+$N$6*O100,VLOOKUP(O100,$V$2:$X$9,3,FALSE))</f>
        <v>770</v>
      </c>
      <c r="R100">
        <f>IF(E100="F",J100-$N$5+$N$6*O100+Q100,IF(E100="D",J100+Q100+P100,IF(E100="T",J100+P100,IF(E100="A",J100-$N$5+$N$6*O100,0))))</f>
        <v>3672</v>
      </c>
      <c r="T100">
        <f>SUM(R100:S100)</f>
        <v>3672</v>
      </c>
      <c r="U100">
        <f>K100*N100</f>
        <v>6</v>
      </c>
      <c r="V100">
        <f>'Data-Kolom'!J101</f>
        <v>0</v>
      </c>
      <c r="W100">
        <f>'Data-Kolom'!K101</f>
        <v>0</v>
      </c>
      <c r="X100">
        <f>IF(V100&gt;0,VLOOKUP(W100,$V$2:$X$9,2,FALSE),0)</f>
        <v>0</v>
      </c>
      <c r="Y100">
        <f>IF(V100&gt;0,IF(L100&gt;0,M100-50+$N$6*W100,VLOOKUP(W100,$V$2:$X$9,3,FALSE)),0)</f>
        <v>0</v>
      </c>
      <c r="Z100">
        <f>IF(E100="F",J100-$N$5+$N$6*W100+Y100,IF(E100="D",J100+Y100+X100,IF(E100="T",J100+X100,IF(E100="A",J100-$N$5+$N$6*W100,0))))</f>
        <v>3480</v>
      </c>
      <c r="AB100">
        <f>SUM(Z100:AA100)</f>
        <v>3480</v>
      </c>
      <c r="AC100">
        <f>V100*K100</f>
        <v>0</v>
      </c>
      <c r="AD100">
        <f>'Data-Kolom'!L101</f>
        <v>10</v>
      </c>
      <c r="AE100">
        <f>'Data-Kolom'!M101</f>
        <v>100</v>
      </c>
      <c r="AF100">
        <f>'Data-Kolom'!N101</f>
        <v>100</v>
      </c>
      <c r="AG100">
        <f>'Data-Kolom'!O101</f>
        <v>100</v>
      </c>
      <c r="AH100">
        <f>'Data-Kolom'!P101</f>
        <v>0</v>
      </c>
      <c r="AI100">
        <f>'Data-Kolom'!Q101</f>
        <v>0</v>
      </c>
      <c r="AJ100">
        <f>'Data-Kolom'!R101</f>
        <v>0</v>
      </c>
      <c r="AK100">
        <f>'Data-Kolom'!S101</f>
        <v>0</v>
      </c>
      <c r="AL100">
        <f>2*(H100+I100-4*$N$5)+2*MAX($F$5*AD100,75)</f>
        <v>1130</v>
      </c>
      <c r="AM100">
        <f>+AH100*(H100-2*$N$5+2*MAX($F$5*AI100,75))+AJ100*(I100-2*$N$5+2*MAX($F$5*AK100,75))</f>
        <v>0</v>
      </c>
      <c r="AN100">
        <f>(ROUND((1/2*J100+IF(M100&gt;0,(Q100-$N$6*AD100),0))/AE100,0)+(ROUND(1/2*J100/AF100,0)+1))*K100</f>
        <v>37</v>
      </c>
      <c r="AO100">
        <f>H100*I100*J100/1000000000*K100*(1+$T$5)</f>
        <v>0.238</v>
      </c>
      <c r="AP100">
        <f>0.006165*O100^2*T100*U100/1000*(1+$T$6)</f>
        <v>34.771783680000006</v>
      </c>
      <c r="AQ100">
        <f>0.006165*W100^2*AB100*AC100/1000*(1+$T$6)</f>
        <v>0</v>
      </c>
      <c r="AR100">
        <f>AN100*0.006165*AD100^2*AL100/1000*(1+$T$6)</f>
        <v>25.775865000000003</v>
      </c>
      <c r="AS100">
        <f>AN100*0.006165*AI100^2*AM100/1000*(1+$T$6)</f>
        <v>0</v>
      </c>
      <c r="AT100">
        <f>K100*2*J100*(H100+I100)/1000000*(1+$T$7)</f>
        <v>3.99</v>
      </c>
      <c r="AU100">
        <f>SUM(AP100:AS100)/AO100</f>
        <v>254.4018852100841</v>
      </c>
      <c r="AV100">
        <f>AT100/AO100</f>
        <v>16.764705882352942</v>
      </c>
      <c r="AX100">
        <f>0.006165*O100^2*R100*U100/1000*(1+$T$6)</f>
        <v>34.771783680000006</v>
      </c>
      <c r="AZ100">
        <f>0.006165*O100^2*S100*U100/1000*(1+$T$6)</f>
        <v>0</v>
      </c>
      <c r="BA100">
        <f>AZ100/AP100</f>
        <v>0</v>
      </c>
    </row>
    <row r="101">
      <c r="A101">
        <f>'Data-Kolom'!A102</f>
        <v>3</v>
      </c>
      <c r="B101" t="str">
        <f>'Data-Kolom'!B102</f>
        <v>Lantai 3</v>
      </c>
      <c r="C101">
        <f>'Data-Kolom'!C102</f>
        <v>0</v>
      </c>
      <c r="D101" t="str">
        <f>'Data-Kolom'!D102</f>
        <v>K4</v>
      </c>
      <c r="E101" t="str">
        <v>A</v>
      </c>
      <c r="F101">
        <f>'Data-Kolom'!U102</f>
        <v>0</v>
      </c>
      <c r="G101">
        <f>'Data-Kolom'!T102</f>
        <v>0</v>
      </c>
      <c r="H101">
        <f>'Data-Kolom'!E102</f>
        <v>170</v>
      </c>
      <c r="I101">
        <f>'Data-Kolom'!F102</f>
        <v>400</v>
      </c>
      <c r="J101">
        <f>'Data-Kolom'!G102</f>
        <v>3500</v>
      </c>
      <c r="K101">
        <v>1</v>
      </c>
      <c r="M101">
        <f>IF(L101&gt;0,VLOOKUP(L101,'Data-PC'!$B$14:$F$56,4,FALSE),0)</f>
        <v>0</v>
      </c>
      <c r="N101">
        <f>'Data-Kolom'!H102</f>
        <v>6</v>
      </c>
      <c r="O101">
        <f>'Data-Kolom'!I102</f>
        <v>16</v>
      </c>
      <c r="P101">
        <f>IF(N101&gt;0,VLOOKUP(O101,$V$2:$X$9,2,FALSE),0)</f>
        <v>1010</v>
      </c>
      <c r="Q101">
        <f>IF(L101&gt;0,M101-50+$N$6*O101,VLOOKUP(O101,$V$2:$X$9,3,FALSE))</f>
        <v>770</v>
      </c>
      <c r="R101">
        <f>IF(E101="F",J101-$N$5+$N$6*O101+Q101,IF(E101="D",J101+Q101+P101,IF(E101="T",J101+P101,IF(E101="A",J101-$N$5+$N$6*O101,0))))</f>
        <v>3672</v>
      </c>
      <c r="T101">
        <f>SUM(R101:S101)</f>
        <v>3672</v>
      </c>
      <c r="U101">
        <f>K101*N101</f>
        <v>6</v>
      </c>
      <c r="V101">
        <f>'Data-Kolom'!J102</f>
        <v>0</v>
      </c>
      <c r="W101">
        <f>'Data-Kolom'!K102</f>
        <v>0</v>
      </c>
      <c r="X101">
        <f>IF(V101&gt;0,VLOOKUP(W101,$V$2:$X$9,2,FALSE),0)</f>
        <v>0</v>
      </c>
      <c r="Y101">
        <f>IF(V101&gt;0,IF(L101&gt;0,M101-50+$N$6*W101,VLOOKUP(W101,$V$2:$X$9,3,FALSE)),0)</f>
        <v>0</v>
      </c>
      <c r="Z101">
        <f>IF(E101="F",J101-$N$5+$N$6*W101+Y101,IF(E101="D",J101+Y101+X101,IF(E101="T",J101+X101,IF(E101="A",J101-$N$5+$N$6*W101,0))))</f>
        <v>3480</v>
      </c>
      <c r="AB101">
        <f>SUM(Z101:AA101)</f>
        <v>3480</v>
      </c>
      <c r="AC101">
        <f>V101*K101</f>
        <v>0</v>
      </c>
      <c r="AD101">
        <f>'Data-Kolom'!L102</f>
        <v>10</v>
      </c>
      <c r="AE101">
        <f>'Data-Kolom'!M102</f>
        <v>100</v>
      </c>
      <c r="AF101">
        <f>'Data-Kolom'!N102</f>
        <v>100</v>
      </c>
      <c r="AG101">
        <f>'Data-Kolom'!O102</f>
        <v>100</v>
      </c>
      <c r="AH101">
        <f>'Data-Kolom'!P102</f>
        <v>0</v>
      </c>
      <c r="AI101">
        <f>'Data-Kolom'!Q102</f>
        <v>0</v>
      </c>
      <c r="AJ101">
        <f>'Data-Kolom'!R102</f>
        <v>0</v>
      </c>
      <c r="AK101">
        <f>'Data-Kolom'!S102</f>
        <v>0</v>
      </c>
      <c r="AL101">
        <f>2*(H101+I101-4*$N$5)+2*MAX($F$5*AD101,75)</f>
        <v>1130</v>
      </c>
      <c r="AM101">
        <f>+AH101*(H101-2*$N$5+2*MAX($F$5*AI101,75))+AJ101*(I101-2*$N$5+2*MAX($F$5*AK101,75))</f>
        <v>0</v>
      </c>
      <c r="AN101">
        <f>(ROUND((1/2*J101+IF(M101&gt;0,(Q101-$N$6*AD101),0))/AE101,0)+(ROUND(1/2*J101/AF101,0)+1))*K101</f>
        <v>37</v>
      </c>
      <c r="AO101">
        <f>H101*I101*J101/1000000000*K101*(1+$T$5)</f>
        <v>0.238</v>
      </c>
      <c r="AP101">
        <f>0.006165*O101^2*T101*U101/1000*(1+$T$6)</f>
        <v>34.771783680000006</v>
      </c>
      <c r="AQ101">
        <f>0.006165*W101^2*AB101*AC101/1000*(1+$T$6)</f>
        <v>0</v>
      </c>
      <c r="AR101">
        <f>AN101*0.006165*AD101^2*AL101/1000*(1+$T$6)</f>
        <v>25.775865000000003</v>
      </c>
      <c r="AS101">
        <f>AN101*0.006165*AI101^2*AM101/1000*(1+$T$6)</f>
        <v>0</v>
      </c>
      <c r="AT101">
        <f>K101*2*J101*(H101+I101)/1000000*(1+$T$7)</f>
        <v>3.99</v>
      </c>
      <c r="AU101">
        <f>SUM(AP101:AS101)/AO101</f>
        <v>254.4018852100841</v>
      </c>
      <c r="AV101">
        <f>AT101/AO101</f>
        <v>16.764705882352942</v>
      </c>
      <c r="AX101">
        <f>0.006165*O101^2*R101*U101/1000*(1+$T$6)</f>
        <v>34.771783680000006</v>
      </c>
      <c r="AZ101">
        <f>0.006165*O101^2*S101*U101/1000*(1+$T$6)</f>
        <v>0</v>
      </c>
      <c r="BA101">
        <f>AZ101/AP101</f>
        <v>0</v>
      </c>
    </row>
    <row r="102">
      <c r="A102">
        <f>'Data-Kolom'!A103</f>
        <v>8</v>
      </c>
      <c r="B102" t="str">
        <f>'Data-Kolom'!B103</f>
        <v>Lantai 3</v>
      </c>
      <c r="C102">
        <f>'Data-Kolom'!C103</f>
        <v>0</v>
      </c>
      <c r="D102" t="str">
        <f>'Data-Kolom'!D103</f>
        <v>K1A4</v>
      </c>
      <c r="E102" t="str">
        <v>A</v>
      </c>
      <c r="F102">
        <f>'Data-Kolom'!U103</f>
        <v>0</v>
      </c>
      <c r="G102">
        <f>'Data-Kolom'!T103</f>
        <v>0</v>
      </c>
      <c r="H102">
        <f>'Data-Kolom'!E103</f>
        <v>130</v>
      </c>
      <c r="I102">
        <f>'Data-Kolom'!F103</f>
        <v>400</v>
      </c>
      <c r="J102">
        <f>'Data-Kolom'!G103</f>
        <v>3500</v>
      </c>
      <c r="K102">
        <v>1</v>
      </c>
      <c r="M102">
        <f>IF(L102&gt;0,VLOOKUP(L102,'Data-PC'!$B$14:$F$56,4,FALSE),0)</f>
        <v>0</v>
      </c>
      <c r="N102">
        <f>'Data-Kolom'!H103</f>
        <v>6</v>
      </c>
      <c r="O102">
        <f>'Data-Kolom'!I103</f>
        <v>16</v>
      </c>
      <c r="P102">
        <f>IF(N102&gt;0,VLOOKUP(O102,$V$2:$X$9,2,FALSE),0)</f>
        <v>1010</v>
      </c>
      <c r="Q102">
        <f>IF(L102&gt;0,M102-50+$N$6*O102,VLOOKUP(O102,$V$2:$X$9,3,FALSE))</f>
        <v>770</v>
      </c>
      <c r="R102">
        <f>IF(E102="F",J102-$N$5+$N$6*O102+Q102,IF(E102="D",J102+Q102+P102,IF(E102="T",J102+P102,IF(E102="A",J102-$N$5+$N$6*O102,0))))</f>
        <v>3672</v>
      </c>
      <c r="T102">
        <f>SUM(R102:S102)</f>
        <v>3672</v>
      </c>
      <c r="U102">
        <f>K102*N102</f>
        <v>6</v>
      </c>
      <c r="V102">
        <f>'Data-Kolom'!J103</f>
        <v>0</v>
      </c>
      <c r="W102">
        <f>'Data-Kolom'!K103</f>
        <v>0</v>
      </c>
      <c r="X102">
        <f>IF(V102&gt;0,VLOOKUP(W102,$V$2:$X$9,2,FALSE),0)</f>
        <v>0</v>
      </c>
      <c r="Y102">
        <f>IF(V102&gt;0,IF(L102&gt;0,M102-50+$N$6*W102,VLOOKUP(W102,$V$2:$X$9,3,FALSE)),0)</f>
        <v>0</v>
      </c>
      <c r="Z102">
        <f>IF(E102="F",J102-$N$5+$N$6*W102+Y102,IF(E102="D",J102+Y102+X102,IF(E102="T",J102+X102,IF(E102="A",J102-$N$5+$N$6*W102,0))))</f>
        <v>3480</v>
      </c>
      <c r="AB102">
        <f>SUM(Z102:AA102)</f>
        <v>3480</v>
      </c>
      <c r="AC102">
        <f>V102*K102</f>
        <v>0</v>
      </c>
      <c r="AD102">
        <f>'Data-Kolom'!L103</f>
        <v>10</v>
      </c>
      <c r="AE102">
        <f>'Data-Kolom'!M103</f>
        <v>100</v>
      </c>
      <c r="AF102">
        <f>'Data-Kolom'!N103</f>
        <v>100</v>
      </c>
      <c r="AG102">
        <f>'Data-Kolom'!O103</f>
        <v>100</v>
      </c>
      <c r="AH102">
        <f>'Data-Kolom'!P103</f>
        <v>0</v>
      </c>
      <c r="AI102">
        <f>'Data-Kolom'!Q103</f>
        <v>0</v>
      </c>
      <c r="AJ102">
        <f>'Data-Kolom'!R103</f>
        <v>0</v>
      </c>
      <c r="AK102">
        <f>'Data-Kolom'!S103</f>
        <v>0</v>
      </c>
      <c r="AL102">
        <f>2*(H102+I102-4*$N$5)+2*MAX($F$5*AD102,75)</f>
        <v>1050</v>
      </c>
      <c r="AM102">
        <f>+AH102*(H102-2*$N$5+2*MAX($F$5*AI102,75))+AJ102*(I102-2*$N$5+2*MAX($F$5*AK102,75))</f>
        <v>0</v>
      </c>
      <c r="AN102">
        <f>(ROUND((1/2*J102+IF(M102&gt;0,(Q102-$N$6*AD102),0))/AE102,0)+(ROUND(1/2*J102/AF102,0)+1))*K102</f>
        <v>37</v>
      </c>
      <c r="AO102">
        <f>H102*I102*J102/1000000000*K102*(1+$T$5)</f>
        <v>0.182</v>
      </c>
      <c r="AP102">
        <f>0.006165*O102^2*T102*U102/1000*(1+$T$6)</f>
        <v>34.771783680000006</v>
      </c>
      <c r="AQ102">
        <f>0.006165*W102^2*AB102*AC102/1000*(1+$T$6)</f>
        <v>0</v>
      </c>
      <c r="AR102">
        <f>AN102*0.006165*AD102^2*AL102/1000*(1+$T$6)</f>
        <v>23.951025</v>
      </c>
      <c r="AS102">
        <f>AN102*0.006165*AI102^2*AM102/1000*(1+$T$6)</f>
        <v>0</v>
      </c>
      <c r="AT102">
        <f>K102*2*J102*(H102+I102)/1000000*(1+$T$7)</f>
        <v>3.71</v>
      </c>
      <c r="AU102">
        <f>SUM(AP102:AS102)/AO102</f>
        <v>322.652794945055</v>
      </c>
      <c r="AV102">
        <f>AT102/AO102</f>
        <v>20.384615384615383</v>
      </c>
      <c r="AX102">
        <f>0.006165*O102^2*R102*U102/1000*(1+$T$6)</f>
        <v>34.771783680000006</v>
      </c>
      <c r="AZ102">
        <f>0.006165*O102^2*S102*U102/1000*(1+$T$6)</f>
        <v>0</v>
      </c>
      <c r="BA102">
        <f>AZ102/AP102</f>
        <v>0</v>
      </c>
    </row>
    <row r="103">
      <c r="A103">
        <f>'Data-Kolom'!A104</f>
        <v>10</v>
      </c>
      <c r="B103" t="str">
        <f>'Data-Kolom'!B104</f>
        <v>Lantai 3</v>
      </c>
      <c r="C103">
        <f>'Data-Kolom'!C104</f>
        <v>0</v>
      </c>
      <c r="D103" t="str">
        <f>'Data-Kolom'!D104</f>
        <v>K1A4</v>
      </c>
      <c r="E103" t="str">
        <v>A</v>
      </c>
      <c r="F103">
        <f>'Data-Kolom'!U104</f>
        <v>0</v>
      </c>
      <c r="G103">
        <f>'Data-Kolom'!T104</f>
        <v>0</v>
      </c>
      <c r="H103">
        <f>'Data-Kolom'!E104</f>
        <v>130</v>
      </c>
      <c r="I103">
        <f>'Data-Kolom'!F104</f>
        <v>400</v>
      </c>
      <c r="J103">
        <f>'Data-Kolom'!G104</f>
        <v>3500</v>
      </c>
      <c r="K103">
        <v>1</v>
      </c>
      <c r="M103">
        <f>IF(L103&gt;0,VLOOKUP(L103,'Data-PC'!$B$14:$F$56,4,FALSE),0)</f>
        <v>0</v>
      </c>
      <c r="N103">
        <f>'Data-Kolom'!H104</f>
        <v>6</v>
      </c>
      <c r="O103">
        <f>'Data-Kolom'!I104</f>
        <v>16</v>
      </c>
      <c r="P103">
        <f>IF(N103&gt;0,VLOOKUP(O103,$V$2:$X$9,2,FALSE),0)</f>
        <v>1010</v>
      </c>
      <c r="Q103">
        <f>IF(L103&gt;0,M103-50+$N$6*O103,VLOOKUP(O103,$V$2:$X$9,3,FALSE))</f>
        <v>770</v>
      </c>
      <c r="R103">
        <f>IF(E103="F",J103-$N$5+$N$6*O103+Q103,IF(E103="D",J103+Q103+P103,IF(E103="T",J103+P103,IF(E103="A",J103-$N$5+$N$6*O103,0))))</f>
        <v>3672</v>
      </c>
      <c r="T103">
        <f>SUM(R103:S103)</f>
        <v>3672</v>
      </c>
      <c r="U103">
        <f>K103*N103</f>
        <v>6</v>
      </c>
      <c r="V103">
        <f>'Data-Kolom'!J104</f>
        <v>0</v>
      </c>
      <c r="W103">
        <f>'Data-Kolom'!K104</f>
        <v>0</v>
      </c>
      <c r="X103">
        <f>IF(V103&gt;0,VLOOKUP(W103,$V$2:$X$9,2,FALSE),0)</f>
        <v>0</v>
      </c>
      <c r="Y103">
        <f>IF(V103&gt;0,IF(L103&gt;0,M103-50+$N$6*W103,VLOOKUP(W103,$V$2:$X$9,3,FALSE)),0)</f>
        <v>0</v>
      </c>
      <c r="Z103">
        <f>IF(E103="F",J103-$N$5+$N$6*W103+Y103,IF(E103="D",J103+Y103+X103,IF(E103="T",J103+X103,IF(E103="A",J103-$N$5+$N$6*W103,0))))</f>
        <v>3480</v>
      </c>
      <c r="AB103">
        <f>SUM(Z103:AA103)</f>
        <v>3480</v>
      </c>
      <c r="AC103">
        <f>V103*K103</f>
        <v>0</v>
      </c>
      <c r="AD103">
        <f>'Data-Kolom'!L104</f>
        <v>10</v>
      </c>
      <c r="AE103">
        <f>'Data-Kolom'!M104</f>
        <v>100</v>
      </c>
      <c r="AF103">
        <f>'Data-Kolom'!N104</f>
        <v>100</v>
      </c>
      <c r="AG103">
        <f>'Data-Kolom'!O104</f>
        <v>100</v>
      </c>
      <c r="AH103">
        <f>'Data-Kolom'!P104</f>
        <v>0</v>
      </c>
      <c r="AI103">
        <f>'Data-Kolom'!Q104</f>
        <v>0</v>
      </c>
      <c r="AJ103">
        <f>'Data-Kolom'!R104</f>
        <v>0</v>
      </c>
      <c r="AK103">
        <f>'Data-Kolom'!S104</f>
        <v>0</v>
      </c>
      <c r="AL103">
        <f>2*(H103+I103-4*$N$5)+2*MAX($F$5*AD103,75)</f>
        <v>1050</v>
      </c>
      <c r="AM103">
        <f>+AH103*(H103-2*$N$5+2*MAX($F$5*AI103,75))+AJ103*(I103-2*$N$5+2*MAX($F$5*AK103,75))</f>
        <v>0</v>
      </c>
      <c r="AN103">
        <f>(ROUND((1/2*J103+IF(M103&gt;0,(Q103-$N$6*AD103),0))/AE103,0)+(ROUND(1/2*J103/AF103,0)+1))*K103</f>
        <v>37</v>
      </c>
      <c r="AO103">
        <f>H103*I103*J103/1000000000*K103*(1+$T$5)</f>
        <v>0.182</v>
      </c>
      <c r="AP103">
        <f>0.006165*O103^2*T103*U103/1000*(1+$T$6)</f>
        <v>34.771783680000006</v>
      </c>
      <c r="AQ103">
        <f>0.006165*W103^2*AB103*AC103/1000*(1+$T$6)</f>
        <v>0</v>
      </c>
      <c r="AR103">
        <f>AN103*0.006165*AD103^2*AL103/1000*(1+$T$6)</f>
        <v>23.951025</v>
      </c>
      <c r="AS103">
        <f>AN103*0.006165*AI103^2*AM103/1000*(1+$T$6)</f>
        <v>0</v>
      </c>
      <c r="AT103">
        <f>K103*2*J103*(H103+I103)/1000000*(1+$T$7)</f>
        <v>3.71</v>
      </c>
      <c r="AU103">
        <f>SUM(AP103:AS103)/AO103</f>
        <v>322.652794945055</v>
      </c>
      <c r="AV103">
        <f>AT103/AO103</f>
        <v>20.384615384615383</v>
      </c>
      <c r="AX103">
        <f>0.006165*O103^2*R103*U103/1000*(1+$T$6)</f>
        <v>34.771783680000006</v>
      </c>
      <c r="AZ103">
        <f>0.006165*O103^2*S103*U103/1000*(1+$T$6)</f>
        <v>0</v>
      </c>
      <c r="BA103">
        <f>AZ103/AP103</f>
        <v>0</v>
      </c>
    </row>
    <row r="104">
      <c r="A104">
        <f>'Data-Kolom'!A105</f>
        <v>11</v>
      </c>
      <c r="B104" t="str">
        <f>'Data-Kolom'!B105</f>
        <v>Lantai 3</v>
      </c>
      <c r="C104">
        <f>'Data-Kolom'!C105</f>
        <v>0</v>
      </c>
      <c r="D104" t="str">
        <f>'Data-Kolom'!D105</f>
        <v>K1A5</v>
      </c>
      <c r="E104" t="str">
        <v>A</v>
      </c>
      <c r="F104">
        <f>'Data-Kolom'!U105</f>
        <v>0</v>
      </c>
      <c r="G104">
        <f>'Data-Kolom'!T105</f>
        <v>0</v>
      </c>
      <c r="H104">
        <f>'Data-Kolom'!E105</f>
        <v>130</v>
      </c>
      <c r="I104">
        <f>'Data-Kolom'!F105</f>
        <v>500</v>
      </c>
      <c r="J104">
        <f>'Data-Kolom'!G105</f>
        <v>3500</v>
      </c>
      <c r="K104">
        <v>1</v>
      </c>
      <c r="M104">
        <f>IF(L104&gt;0,VLOOKUP(L104,'Data-PC'!$B$14:$F$56,4,FALSE),0)</f>
        <v>0</v>
      </c>
      <c r="N104">
        <f>'Data-Kolom'!H105</f>
        <v>6</v>
      </c>
      <c r="O104">
        <f>'Data-Kolom'!I105</f>
        <v>16</v>
      </c>
      <c r="P104">
        <f>IF(N104&gt;0,VLOOKUP(O104,$V$2:$X$9,2,FALSE),0)</f>
        <v>1010</v>
      </c>
      <c r="Q104">
        <f>IF(L104&gt;0,M104-50+$N$6*O104,VLOOKUP(O104,$V$2:$X$9,3,FALSE))</f>
        <v>770</v>
      </c>
      <c r="R104">
        <f>IF(E104="F",J104-$N$5+$N$6*O104+Q104,IF(E104="D",J104+Q104+P104,IF(E104="T",J104+P104,IF(E104="A",J104-$N$5+$N$6*O104,0))))</f>
        <v>3672</v>
      </c>
      <c r="T104">
        <f>SUM(R104:S104)</f>
        <v>3672</v>
      </c>
      <c r="U104">
        <f>K104*N104</f>
        <v>6</v>
      </c>
      <c r="V104">
        <f>'Data-Kolom'!J105</f>
        <v>0</v>
      </c>
      <c r="W104">
        <f>'Data-Kolom'!K105</f>
        <v>0</v>
      </c>
      <c r="X104">
        <f>IF(V104&gt;0,VLOOKUP(W104,$V$2:$X$9,2,FALSE),0)</f>
        <v>0</v>
      </c>
      <c r="Y104">
        <f>IF(V104&gt;0,IF(L104&gt;0,M104-50+$N$6*W104,VLOOKUP(W104,$V$2:$X$9,3,FALSE)),0)</f>
        <v>0</v>
      </c>
      <c r="Z104">
        <f>IF(E104="F",J104-$N$5+$N$6*W104+Y104,IF(E104="D",J104+Y104+X104,IF(E104="T",J104+X104,IF(E104="A",J104-$N$5+$N$6*W104,0))))</f>
        <v>3480</v>
      </c>
      <c r="AB104">
        <f>SUM(Z104:AA104)</f>
        <v>3480</v>
      </c>
      <c r="AC104">
        <f>V104*K104</f>
        <v>0</v>
      </c>
      <c r="AD104">
        <f>'Data-Kolom'!L105</f>
        <v>10</v>
      </c>
      <c r="AE104">
        <f>'Data-Kolom'!M105</f>
        <v>100</v>
      </c>
      <c r="AF104">
        <f>'Data-Kolom'!N105</f>
        <v>100</v>
      </c>
      <c r="AG104">
        <f>'Data-Kolom'!O105</f>
        <v>100</v>
      </c>
      <c r="AH104">
        <f>'Data-Kolom'!P105</f>
        <v>0</v>
      </c>
      <c r="AI104">
        <f>'Data-Kolom'!Q105</f>
        <v>0</v>
      </c>
      <c r="AJ104">
        <f>'Data-Kolom'!R105</f>
        <v>0</v>
      </c>
      <c r="AK104">
        <f>'Data-Kolom'!S105</f>
        <v>0</v>
      </c>
      <c r="AL104">
        <f>2*(H104+I104-4*$N$5)+2*MAX($F$5*AD104,75)</f>
        <v>1250</v>
      </c>
      <c r="AM104">
        <f>+AH104*(H104-2*$N$5+2*MAX($F$5*AI104,75))+AJ104*(I104-2*$N$5+2*MAX($F$5*AK104,75))</f>
        <v>0</v>
      </c>
      <c r="AN104">
        <f>(ROUND((1/2*J104+IF(M104&gt;0,(Q104-$N$6*AD104),0))/AE104,0)+(ROUND(1/2*J104/AF104,0)+1))*K104</f>
        <v>37</v>
      </c>
      <c r="AO104">
        <f>H104*I104*J104/1000000000*K104*(1+$T$5)</f>
        <v>0.2275</v>
      </c>
      <c r="AP104">
        <f>0.006165*O104^2*T104*U104/1000*(1+$T$6)</f>
        <v>34.771783680000006</v>
      </c>
      <c r="AQ104">
        <f>0.006165*W104^2*AB104*AC104/1000*(1+$T$6)</f>
        <v>0</v>
      </c>
      <c r="AR104">
        <f>AN104*0.006165*AD104^2*AL104/1000*(1+$T$6)</f>
        <v>28.513125</v>
      </c>
      <c r="AS104">
        <f>AN104*0.006165*AI104^2*AM104/1000*(1+$T$6)</f>
        <v>0</v>
      </c>
      <c r="AT104">
        <f>K104*2*J104*(H104+I104)/1000000*(1+$T$7)</f>
        <v>4.41</v>
      </c>
      <c r="AU104">
        <f>SUM(AP104:AS104)/AO104</f>
        <v>278.17542276923075</v>
      </c>
      <c r="AV104">
        <f>AT104/AO104</f>
        <v>19.384615384615383</v>
      </c>
      <c r="AX104">
        <f>0.006165*O104^2*R104*U104/1000*(1+$T$6)</f>
        <v>34.771783680000006</v>
      </c>
      <c r="AZ104">
        <f>0.006165*O104^2*S104*U104/1000*(1+$T$6)</f>
        <v>0</v>
      </c>
      <c r="BA104">
        <f>AZ104/AP104</f>
        <v>0</v>
      </c>
    </row>
    <row r="105">
      <c r="A105">
        <f>'Data-Kolom'!A106</f>
        <v>12</v>
      </c>
      <c r="B105" t="str">
        <f>'Data-Kolom'!B106</f>
        <v>Lantai 3</v>
      </c>
      <c r="C105">
        <f>'Data-Kolom'!C106</f>
        <v>0</v>
      </c>
      <c r="D105" t="str">
        <f>'Data-Kolom'!D106</f>
        <v>K1A5</v>
      </c>
      <c r="E105" t="str">
        <v>A</v>
      </c>
      <c r="F105">
        <f>'Data-Kolom'!U106</f>
        <v>0</v>
      </c>
      <c r="G105">
        <f>'Data-Kolom'!T106</f>
        <v>0</v>
      </c>
      <c r="H105">
        <f>'Data-Kolom'!E106</f>
        <v>130</v>
      </c>
      <c r="I105">
        <f>'Data-Kolom'!F106</f>
        <v>500</v>
      </c>
      <c r="J105">
        <f>'Data-Kolom'!G106</f>
        <v>3500</v>
      </c>
      <c r="K105">
        <v>1</v>
      </c>
      <c r="M105">
        <f>IF(L105&gt;0,VLOOKUP(L105,'Data-PC'!$B$14:$F$56,4,FALSE),0)</f>
        <v>0</v>
      </c>
      <c r="N105">
        <f>'Data-Kolom'!H106</f>
        <v>6</v>
      </c>
      <c r="O105">
        <f>'Data-Kolom'!I106</f>
        <v>16</v>
      </c>
      <c r="P105">
        <f>IF(N105&gt;0,VLOOKUP(O105,$V$2:$X$9,2,FALSE),0)</f>
        <v>1010</v>
      </c>
      <c r="Q105">
        <f>IF(L105&gt;0,M105-50+$N$6*O105,VLOOKUP(O105,$V$2:$X$9,3,FALSE))</f>
        <v>770</v>
      </c>
      <c r="R105">
        <f>IF(E105="F",J105-$N$5+$N$6*O105+Q105,IF(E105="D",J105+Q105+P105,IF(E105="T",J105+P105,IF(E105="A",J105-$N$5+$N$6*O105,0))))</f>
        <v>3672</v>
      </c>
      <c r="T105">
        <f>SUM(R105:S105)</f>
        <v>3672</v>
      </c>
      <c r="U105">
        <f>K105*N105</f>
        <v>6</v>
      </c>
      <c r="V105">
        <f>'Data-Kolom'!J106</f>
        <v>0</v>
      </c>
      <c r="W105">
        <f>'Data-Kolom'!K106</f>
        <v>0</v>
      </c>
      <c r="X105">
        <f>IF(V105&gt;0,VLOOKUP(W105,$V$2:$X$9,2,FALSE),0)</f>
        <v>0</v>
      </c>
      <c r="Y105">
        <f>IF(V105&gt;0,IF(L105&gt;0,M105-50+$N$6*W105,VLOOKUP(W105,$V$2:$X$9,3,FALSE)),0)</f>
        <v>0</v>
      </c>
      <c r="Z105">
        <f>IF(E105="F",J105-$N$5+$N$6*W105+Y105,IF(E105="D",J105+Y105+X105,IF(E105="T",J105+X105,IF(E105="A",J105-$N$5+$N$6*W105,0))))</f>
        <v>3480</v>
      </c>
      <c r="AB105">
        <f>SUM(Z105:AA105)</f>
        <v>3480</v>
      </c>
      <c r="AC105">
        <f>V105*K105</f>
        <v>0</v>
      </c>
      <c r="AD105">
        <f>'Data-Kolom'!L106</f>
        <v>10</v>
      </c>
      <c r="AE105">
        <f>'Data-Kolom'!M106</f>
        <v>100</v>
      </c>
      <c r="AF105">
        <f>'Data-Kolom'!N106</f>
        <v>100</v>
      </c>
      <c r="AG105">
        <f>'Data-Kolom'!O106</f>
        <v>100</v>
      </c>
      <c r="AH105">
        <f>'Data-Kolom'!P106</f>
        <v>0</v>
      </c>
      <c r="AI105">
        <f>'Data-Kolom'!Q106</f>
        <v>0</v>
      </c>
      <c r="AJ105">
        <f>'Data-Kolom'!R106</f>
        <v>0</v>
      </c>
      <c r="AK105">
        <f>'Data-Kolom'!S106</f>
        <v>0</v>
      </c>
      <c r="AL105">
        <f>2*(H105+I105-4*$N$5)+2*MAX($F$5*AD105,75)</f>
        <v>1250</v>
      </c>
      <c r="AM105">
        <f>+AH105*(H105-2*$N$5+2*MAX($F$5*AI105,75))+AJ105*(I105-2*$N$5+2*MAX($F$5*AK105,75))</f>
        <v>0</v>
      </c>
      <c r="AN105">
        <f>(ROUND((1/2*J105+IF(M105&gt;0,(Q105-$N$6*AD105),0))/AE105,0)+(ROUND(1/2*J105/AF105,0)+1))*K105</f>
        <v>37</v>
      </c>
      <c r="AO105">
        <f>H105*I105*J105/1000000000*K105*(1+$T$5)</f>
        <v>0.2275</v>
      </c>
      <c r="AP105">
        <f>0.006165*O105^2*T105*U105/1000*(1+$T$6)</f>
        <v>34.771783680000006</v>
      </c>
      <c r="AQ105">
        <f>0.006165*W105^2*AB105*AC105/1000*(1+$T$6)</f>
        <v>0</v>
      </c>
      <c r="AR105">
        <f>AN105*0.006165*AD105^2*AL105/1000*(1+$T$6)</f>
        <v>28.513125</v>
      </c>
      <c r="AS105">
        <f>AN105*0.006165*AI105^2*AM105/1000*(1+$T$6)</f>
        <v>0</v>
      </c>
      <c r="AT105">
        <f>K105*2*J105*(H105+I105)/1000000*(1+$T$7)</f>
        <v>4.41</v>
      </c>
      <c r="AU105">
        <f>SUM(AP105:AS105)/AO105</f>
        <v>278.17542276923075</v>
      </c>
      <c r="AV105">
        <f>AT105/AO105</f>
        <v>19.384615384615383</v>
      </c>
      <c r="AX105">
        <f>0.006165*O105^2*R105*U105/1000*(1+$T$6)</f>
        <v>34.771783680000006</v>
      </c>
      <c r="AZ105">
        <f>0.006165*O105^2*S105*U105/1000*(1+$T$6)</f>
        <v>0</v>
      </c>
      <c r="BA105">
        <f>AZ105/AP105</f>
        <v>0</v>
      </c>
    </row>
    <row r="106">
      <c r="A106">
        <f>'Data-Kolom'!A107</f>
        <v>14</v>
      </c>
      <c r="B106" t="str">
        <f>'Data-Kolom'!B107</f>
        <v>Lantai 3</v>
      </c>
      <c r="C106">
        <f>'Data-Kolom'!C107</f>
        <v>0</v>
      </c>
      <c r="D106" t="str">
        <f>'Data-Kolom'!D107</f>
        <v>K1A4</v>
      </c>
      <c r="E106" t="str">
        <v>A</v>
      </c>
      <c r="F106">
        <f>'Data-Kolom'!U107</f>
        <v>0</v>
      </c>
      <c r="G106">
        <f>'Data-Kolom'!T107</f>
        <v>0</v>
      </c>
      <c r="H106">
        <f>'Data-Kolom'!E107</f>
        <v>130</v>
      </c>
      <c r="I106">
        <f>'Data-Kolom'!F107</f>
        <v>400</v>
      </c>
      <c r="J106">
        <f>'Data-Kolom'!G107</f>
        <v>3500</v>
      </c>
      <c r="K106">
        <v>1</v>
      </c>
      <c r="M106">
        <f>IF(L106&gt;0,VLOOKUP(L106,'Data-PC'!$B$14:$F$56,4,FALSE),0)</f>
        <v>0</v>
      </c>
      <c r="N106">
        <f>'Data-Kolom'!H107</f>
        <v>6</v>
      </c>
      <c r="O106">
        <f>'Data-Kolom'!I107</f>
        <v>16</v>
      </c>
      <c r="P106">
        <f>IF(N106&gt;0,VLOOKUP(O106,$V$2:$X$9,2,FALSE),0)</f>
        <v>1010</v>
      </c>
      <c r="Q106">
        <f>IF(L106&gt;0,M106-50+$N$6*O106,VLOOKUP(O106,$V$2:$X$9,3,FALSE))</f>
        <v>770</v>
      </c>
      <c r="R106">
        <f>IF(E106="F",J106-$N$5+$N$6*O106+Q106,IF(E106="D",J106+Q106+P106,IF(E106="T",J106+P106,IF(E106="A",J106-$N$5+$N$6*O106,0))))</f>
        <v>3672</v>
      </c>
      <c r="T106">
        <f>SUM(R106:S106)</f>
        <v>3672</v>
      </c>
      <c r="U106">
        <f>K106*N106</f>
        <v>6</v>
      </c>
      <c r="V106">
        <f>'Data-Kolom'!J107</f>
        <v>0</v>
      </c>
      <c r="W106">
        <f>'Data-Kolom'!K107</f>
        <v>0</v>
      </c>
      <c r="X106">
        <f>IF(V106&gt;0,VLOOKUP(W106,$V$2:$X$9,2,FALSE),0)</f>
        <v>0</v>
      </c>
      <c r="Y106">
        <f>IF(V106&gt;0,IF(L106&gt;0,M106-50+$N$6*W106,VLOOKUP(W106,$V$2:$X$9,3,FALSE)),0)</f>
        <v>0</v>
      </c>
      <c r="Z106">
        <f>IF(E106="F",J106-$N$5+$N$6*W106+Y106,IF(E106="D",J106+Y106+X106,IF(E106="T",J106+X106,IF(E106="A",J106-$N$5+$N$6*W106,0))))</f>
        <v>3480</v>
      </c>
      <c r="AB106">
        <f>SUM(Z106:AA106)</f>
        <v>3480</v>
      </c>
      <c r="AC106">
        <f>V106*K106</f>
        <v>0</v>
      </c>
      <c r="AD106">
        <f>'Data-Kolom'!L107</f>
        <v>10</v>
      </c>
      <c r="AE106">
        <f>'Data-Kolom'!M107</f>
        <v>100</v>
      </c>
      <c r="AF106">
        <f>'Data-Kolom'!N107</f>
        <v>100</v>
      </c>
      <c r="AG106">
        <f>'Data-Kolom'!O107</f>
        <v>100</v>
      </c>
      <c r="AH106">
        <f>'Data-Kolom'!P107</f>
        <v>0</v>
      </c>
      <c r="AI106">
        <f>'Data-Kolom'!Q107</f>
        <v>0</v>
      </c>
      <c r="AJ106">
        <f>'Data-Kolom'!R107</f>
        <v>0</v>
      </c>
      <c r="AK106">
        <f>'Data-Kolom'!S107</f>
        <v>0</v>
      </c>
      <c r="AL106">
        <f>2*(H106+I106-4*$N$5)+2*MAX($F$5*AD106,75)</f>
        <v>1050</v>
      </c>
      <c r="AM106">
        <f>+AH106*(H106-2*$N$5+2*MAX($F$5*AI106,75))+AJ106*(I106-2*$N$5+2*MAX($F$5*AK106,75))</f>
        <v>0</v>
      </c>
      <c r="AN106">
        <f>(ROUND((1/2*J106+IF(M106&gt;0,(Q106-$N$6*AD106),0))/AE106,0)+(ROUND(1/2*J106/AF106,0)+1))*K106</f>
        <v>37</v>
      </c>
      <c r="AO106">
        <f>H106*I106*J106/1000000000*K106*(1+$T$5)</f>
        <v>0.182</v>
      </c>
      <c r="AP106">
        <f>0.006165*O106^2*T106*U106/1000*(1+$T$6)</f>
        <v>34.771783680000006</v>
      </c>
      <c r="AQ106">
        <f>0.006165*W106^2*AB106*AC106/1000*(1+$T$6)</f>
        <v>0</v>
      </c>
      <c r="AR106">
        <f>AN106*0.006165*AD106^2*AL106/1000*(1+$T$6)</f>
        <v>23.951025</v>
      </c>
      <c r="AS106">
        <f>AN106*0.006165*AI106^2*AM106/1000*(1+$T$6)</f>
        <v>0</v>
      </c>
      <c r="AT106">
        <f>K106*2*J106*(H106+I106)/1000000*(1+$T$7)</f>
        <v>3.71</v>
      </c>
      <c r="AU106">
        <f>SUM(AP106:AS106)/AO106</f>
        <v>322.652794945055</v>
      </c>
      <c r="AV106">
        <f>AT106/AO106</f>
        <v>20.384615384615383</v>
      </c>
      <c r="AX106">
        <f>0.006165*O106^2*R106*U106/1000*(1+$T$6)</f>
        <v>34.771783680000006</v>
      </c>
      <c r="AZ106">
        <f>0.006165*O106^2*S106*U106/1000*(1+$T$6)</f>
        <v>0</v>
      </c>
      <c r="BA106">
        <f>AZ106/AP106</f>
        <v>0</v>
      </c>
    </row>
    <row r="107">
      <c r="A107">
        <f>'Data-Kolom'!A108</f>
        <v>15</v>
      </c>
      <c r="B107" t="str">
        <f>'Data-Kolom'!B108</f>
        <v>Lantai 3</v>
      </c>
      <c r="C107">
        <f>'Data-Kolom'!C108</f>
        <v>0</v>
      </c>
      <c r="D107" t="str">
        <f>'Data-Kolom'!D108</f>
        <v>K1A4</v>
      </c>
      <c r="E107" t="str">
        <v>A</v>
      </c>
      <c r="F107">
        <f>'Data-Kolom'!U108</f>
        <v>0</v>
      </c>
      <c r="G107">
        <f>'Data-Kolom'!T108</f>
        <v>0</v>
      </c>
      <c r="H107">
        <f>'Data-Kolom'!E108</f>
        <v>130</v>
      </c>
      <c r="I107">
        <f>'Data-Kolom'!F108</f>
        <v>400</v>
      </c>
      <c r="J107">
        <f>'Data-Kolom'!G108</f>
        <v>3500</v>
      </c>
      <c r="K107">
        <v>1</v>
      </c>
      <c r="M107">
        <f>IF(L107&gt;0,VLOOKUP(L107,'Data-PC'!$B$14:$F$56,4,FALSE),0)</f>
        <v>0</v>
      </c>
      <c r="N107">
        <f>'Data-Kolom'!H108</f>
        <v>6</v>
      </c>
      <c r="O107">
        <f>'Data-Kolom'!I108</f>
        <v>16</v>
      </c>
      <c r="P107">
        <f>IF(N107&gt;0,VLOOKUP(O107,$V$2:$X$9,2,FALSE),0)</f>
        <v>1010</v>
      </c>
      <c r="Q107">
        <f>IF(L107&gt;0,M107-50+$N$6*O107,VLOOKUP(O107,$V$2:$X$9,3,FALSE))</f>
        <v>770</v>
      </c>
      <c r="R107">
        <f>IF(E107="F",J107-$N$5+$N$6*O107+Q107,IF(E107="D",J107+Q107+P107,IF(E107="T",J107+P107,IF(E107="A",J107-$N$5+$N$6*O107,0))))</f>
        <v>3672</v>
      </c>
      <c r="T107">
        <f>SUM(R107:S107)</f>
        <v>3672</v>
      </c>
      <c r="U107">
        <f>K107*N107</f>
        <v>6</v>
      </c>
      <c r="V107">
        <f>'Data-Kolom'!J108</f>
        <v>0</v>
      </c>
      <c r="W107">
        <f>'Data-Kolom'!K108</f>
        <v>0</v>
      </c>
      <c r="X107">
        <f>IF(V107&gt;0,VLOOKUP(W107,$V$2:$X$9,2,FALSE),0)</f>
        <v>0</v>
      </c>
      <c r="Y107">
        <f>IF(V107&gt;0,IF(L107&gt;0,M107-50+$N$6*W107,VLOOKUP(W107,$V$2:$X$9,3,FALSE)),0)</f>
        <v>0</v>
      </c>
      <c r="Z107">
        <f>IF(E107="F",J107-$N$5+$N$6*W107+Y107,IF(E107="D",J107+Y107+X107,IF(E107="T",J107+X107,IF(E107="A",J107-$N$5+$N$6*W107,0))))</f>
        <v>3480</v>
      </c>
      <c r="AB107">
        <f>SUM(Z107:AA107)</f>
        <v>3480</v>
      </c>
      <c r="AC107">
        <f>V107*K107</f>
        <v>0</v>
      </c>
      <c r="AD107">
        <f>'Data-Kolom'!L108</f>
        <v>10</v>
      </c>
      <c r="AE107">
        <f>'Data-Kolom'!M108</f>
        <v>100</v>
      </c>
      <c r="AF107">
        <f>'Data-Kolom'!N108</f>
        <v>100</v>
      </c>
      <c r="AG107">
        <f>'Data-Kolom'!O108</f>
        <v>100</v>
      </c>
      <c r="AH107">
        <f>'Data-Kolom'!P108</f>
        <v>0</v>
      </c>
      <c r="AI107">
        <f>'Data-Kolom'!Q108</f>
        <v>0</v>
      </c>
      <c r="AJ107">
        <f>'Data-Kolom'!R108</f>
        <v>0</v>
      </c>
      <c r="AK107">
        <f>'Data-Kolom'!S108</f>
        <v>0</v>
      </c>
      <c r="AL107">
        <f>2*(H107+I107-4*$N$5)+2*MAX($F$5*AD107,75)</f>
        <v>1050</v>
      </c>
      <c r="AM107">
        <f>+AH107*(H107-2*$N$5+2*MAX($F$5*AI107,75))+AJ107*(I107-2*$N$5+2*MAX($F$5*AK107,75))</f>
        <v>0</v>
      </c>
      <c r="AN107">
        <f>(ROUND((1/2*J107+IF(M107&gt;0,(Q107-$N$6*AD107),0))/AE107,0)+(ROUND(1/2*J107/AF107,0)+1))*K107</f>
        <v>37</v>
      </c>
      <c r="AO107">
        <f>H107*I107*J107/1000000000*K107*(1+$T$5)</f>
        <v>0.182</v>
      </c>
      <c r="AP107">
        <f>0.006165*O107^2*T107*U107/1000*(1+$T$6)</f>
        <v>34.771783680000006</v>
      </c>
      <c r="AQ107">
        <f>0.006165*W107^2*AB107*AC107/1000*(1+$T$6)</f>
        <v>0</v>
      </c>
      <c r="AR107">
        <f>AN107*0.006165*AD107^2*AL107/1000*(1+$T$6)</f>
        <v>23.951025</v>
      </c>
      <c r="AS107">
        <f>AN107*0.006165*AI107^2*AM107/1000*(1+$T$6)</f>
        <v>0</v>
      </c>
      <c r="AT107">
        <f>K107*2*J107*(H107+I107)/1000000*(1+$T$7)</f>
        <v>3.71</v>
      </c>
      <c r="AU107">
        <f>SUM(AP107:AS107)/AO107</f>
        <v>322.652794945055</v>
      </c>
      <c r="AV107">
        <f>AT107/AO107</f>
        <v>20.384615384615383</v>
      </c>
      <c r="AX107">
        <f>0.006165*O107^2*R107*U107/1000*(1+$T$6)</f>
        <v>34.771783680000006</v>
      </c>
      <c r="AZ107">
        <f>0.006165*O107^2*S107*U107/1000*(1+$T$6)</f>
        <v>0</v>
      </c>
      <c r="BA107">
        <f>AZ107/AP107</f>
        <v>0</v>
      </c>
    </row>
    <row r="108">
      <c r="A108">
        <f>'Data-Kolom'!A109</f>
        <v>17</v>
      </c>
      <c r="B108" t="str">
        <f>'Data-Kolom'!B109</f>
        <v>Lantai 3</v>
      </c>
      <c r="C108">
        <f>'Data-Kolom'!C109</f>
        <v>0</v>
      </c>
      <c r="D108" t="str">
        <f>'Data-Kolom'!D109</f>
        <v>K1A4</v>
      </c>
      <c r="E108" t="str">
        <v>A</v>
      </c>
      <c r="F108">
        <f>'Data-Kolom'!U109</f>
        <v>0</v>
      </c>
      <c r="G108">
        <f>'Data-Kolom'!T109</f>
        <v>0</v>
      </c>
      <c r="H108">
        <f>'Data-Kolom'!E109</f>
        <v>130</v>
      </c>
      <c r="I108">
        <f>'Data-Kolom'!F109</f>
        <v>400</v>
      </c>
      <c r="J108">
        <f>'Data-Kolom'!G109</f>
        <v>3500</v>
      </c>
      <c r="K108">
        <v>1</v>
      </c>
      <c r="M108">
        <f>IF(L108&gt;0,VLOOKUP(L108,'Data-PC'!$B$14:$F$56,4,FALSE),0)</f>
        <v>0</v>
      </c>
      <c r="N108">
        <f>'Data-Kolom'!H109</f>
        <v>6</v>
      </c>
      <c r="O108">
        <f>'Data-Kolom'!I109</f>
        <v>16</v>
      </c>
      <c r="P108">
        <f>IF(N108&gt;0,VLOOKUP(O108,$V$2:$X$9,2,FALSE),0)</f>
        <v>1010</v>
      </c>
      <c r="Q108">
        <f>IF(L108&gt;0,M108-50+$N$6*O108,VLOOKUP(O108,$V$2:$X$9,3,FALSE))</f>
        <v>770</v>
      </c>
      <c r="R108">
        <f>IF(E108="F",J108-$N$5+$N$6*O108+Q108,IF(E108="D",J108+Q108+P108,IF(E108="T",J108+P108,IF(E108="A",J108-$N$5+$N$6*O108,0))))</f>
        <v>3672</v>
      </c>
      <c r="T108">
        <f>SUM(R108:S108)</f>
        <v>3672</v>
      </c>
      <c r="U108">
        <f>K108*N108</f>
        <v>6</v>
      </c>
      <c r="V108">
        <f>'Data-Kolom'!J109</f>
        <v>0</v>
      </c>
      <c r="W108">
        <f>'Data-Kolom'!K109</f>
        <v>0</v>
      </c>
      <c r="X108">
        <f>IF(V108&gt;0,VLOOKUP(W108,$V$2:$X$9,2,FALSE),0)</f>
        <v>0</v>
      </c>
      <c r="Y108">
        <f>IF(V108&gt;0,IF(L108&gt;0,M108-50+$N$6*W108,VLOOKUP(W108,$V$2:$X$9,3,FALSE)),0)</f>
        <v>0</v>
      </c>
      <c r="Z108">
        <f>IF(E108="F",J108-$N$5+$N$6*W108+Y108,IF(E108="D",J108+Y108+X108,IF(E108="T",J108+X108,IF(E108="A",J108-$N$5+$N$6*W108,0))))</f>
        <v>3480</v>
      </c>
      <c r="AB108">
        <f>SUM(Z108:AA108)</f>
        <v>3480</v>
      </c>
      <c r="AC108">
        <f>V108*K108</f>
        <v>0</v>
      </c>
      <c r="AD108">
        <f>'Data-Kolom'!L109</f>
        <v>10</v>
      </c>
      <c r="AE108">
        <f>'Data-Kolom'!M109</f>
        <v>100</v>
      </c>
      <c r="AF108">
        <f>'Data-Kolom'!N109</f>
        <v>100</v>
      </c>
      <c r="AG108">
        <f>'Data-Kolom'!O109</f>
        <v>100</v>
      </c>
      <c r="AH108">
        <f>'Data-Kolom'!P109</f>
        <v>0</v>
      </c>
      <c r="AI108">
        <f>'Data-Kolom'!Q109</f>
        <v>0</v>
      </c>
      <c r="AJ108">
        <f>'Data-Kolom'!R109</f>
        <v>0</v>
      </c>
      <c r="AK108">
        <f>'Data-Kolom'!S109</f>
        <v>0</v>
      </c>
      <c r="AL108">
        <f>2*(H108+I108-4*$N$5)+2*MAX($F$5*AD108,75)</f>
        <v>1050</v>
      </c>
      <c r="AM108">
        <f>+AH108*(H108-2*$N$5+2*MAX($F$5*AI108,75))+AJ108*(I108-2*$N$5+2*MAX($F$5*AK108,75))</f>
        <v>0</v>
      </c>
      <c r="AN108">
        <f>(ROUND((1/2*J108+IF(M108&gt;0,(Q108-$N$6*AD108),0))/AE108,0)+(ROUND(1/2*J108/AF108,0)+1))*K108</f>
        <v>37</v>
      </c>
      <c r="AO108">
        <f>H108*I108*J108/1000000000*K108*(1+$T$5)</f>
        <v>0.182</v>
      </c>
      <c r="AP108">
        <f>0.006165*O108^2*T108*U108/1000*(1+$T$6)</f>
        <v>34.771783680000006</v>
      </c>
      <c r="AQ108">
        <f>0.006165*W108^2*AB108*AC108/1000*(1+$T$6)</f>
        <v>0</v>
      </c>
      <c r="AR108">
        <f>AN108*0.006165*AD108^2*AL108/1000*(1+$T$6)</f>
        <v>23.951025</v>
      </c>
      <c r="AS108">
        <f>AN108*0.006165*AI108^2*AM108/1000*(1+$T$6)</f>
        <v>0</v>
      </c>
      <c r="AT108">
        <f>K108*2*J108*(H108+I108)/1000000*(1+$T$7)</f>
        <v>3.71</v>
      </c>
      <c r="AU108">
        <f>SUM(AP108:AS108)/AO108</f>
        <v>322.652794945055</v>
      </c>
      <c r="AV108">
        <f>AT108/AO108</f>
        <v>20.384615384615383</v>
      </c>
      <c r="AX108">
        <f>0.006165*O108^2*R108*U108/1000*(1+$T$6)</f>
        <v>34.771783680000006</v>
      </c>
      <c r="AZ108">
        <f>0.006165*O108^2*S108*U108/1000*(1+$T$6)</f>
        <v>0</v>
      </c>
      <c r="BA108">
        <f>AZ108/AP108</f>
        <v>0</v>
      </c>
    </row>
    <row r="109">
      <c r="A109">
        <f>'Data-Kolom'!A110</f>
        <v>18</v>
      </c>
      <c r="B109" t="str">
        <f>'Data-Kolom'!B110</f>
        <v>Lantai 3</v>
      </c>
      <c r="C109">
        <f>'Data-Kolom'!C110</f>
        <v>0</v>
      </c>
      <c r="D109" t="str">
        <f>'Data-Kolom'!D110</f>
        <v>KL55</v>
      </c>
      <c r="E109" t="str">
        <v>A</v>
      </c>
      <c r="F109">
        <f>'Data-Kolom'!U110</f>
        <v>0</v>
      </c>
      <c r="G109">
        <f>'Data-Kolom'!T110</f>
        <v>0</v>
      </c>
      <c r="H109">
        <f>'Data-Kolom'!E110</f>
        <v>170</v>
      </c>
      <c r="I109">
        <f>'Data-Kolom'!F110</f>
        <v>500</v>
      </c>
      <c r="J109">
        <f>'Data-Kolom'!G110</f>
        <v>3500</v>
      </c>
      <c r="K109">
        <v>2</v>
      </c>
      <c r="M109">
        <f>IF(L109&gt;0,VLOOKUP(L109,'Data-PC'!$B$14:$F$56,4,FALSE),0)</f>
        <v>0</v>
      </c>
      <c r="N109">
        <f>'Data-Kolom'!H110</f>
        <v>6</v>
      </c>
      <c r="O109">
        <f>'Data-Kolom'!I110</f>
        <v>16</v>
      </c>
      <c r="P109">
        <f>IF(N109&gt;0,VLOOKUP(O109,$V$2:$X$9,2,FALSE),0)</f>
        <v>1010</v>
      </c>
      <c r="Q109">
        <f>IF(L109&gt;0,M109-50+$N$6*O109,VLOOKUP(O109,$V$2:$X$9,3,FALSE))</f>
        <v>770</v>
      </c>
      <c r="R109">
        <f>IF(E109="F",J109-$N$5+$N$6*O109+Q109,IF(E109="D",J109+Q109+P109,IF(E109="T",J109+P109,IF(E109="A",J109-$N$5+$N$6*O109,0))))</f>
        <v>3672</v>
      </c>
      <c r="T109">
        <f>SUM(R109:S109)</f>
        <v>3672</v>
      </c>
      <c r="U109">
        <f>K109*N109</f>
        <v>12</v>
      </c>
      <c r="V109">
        <f>'Data-Kolom'!J110</f>
        <v>0</v>
      </c>
      <c r="W109">
        <f>'Data-Kolom'!K110</f>
        <v>0</v>
      </c>
      <c r="X109">
        <f>IF(V109&gt;0,VLOOKUP(W109,$V$2:$X$9,2,FALSE),0)</f>
        <v>0</v>
      </c>
      <c r="Y109">
        <f>IF(V109&gt;0,IF(L109&gt;0,M109-50+$N$6*W109,VLOOKUP(W109,$V$2:$X$9,3,FALSE)),0)</f>
        <v>0</v>
      </c>
      <c r="Z109">
        <f>IF(E109="F",J109-$N$5+$N$6*W109+Y109,IF(E109="D",J109+Y109+X109,IF(E109="T",J109+X109,IF(E109="A",J109-$N$5+$N$6*W109,0))))</f>
        <v>3480</v>
      </c>
      <c r="AB109">
        <f>SUM(Z109:AA109)</f>
        <v>3480</v>
      </c>
      <c r="AC109">
        <f>V109*K109</f>
        <v>0</v>
      </c>
      <c r="AD109">
        <f>'Data-Kolom'!L110</f>
        <v>10</v>
      </c>
      <c r="AE109">
        <f>'Data-Kolom'!M110</f>
        <v>100</v>
      </c>
      <c r="AF109">
        <f>'Data-Kolom'!N110</f>
        <v>100</v>
      </c>
      <c r="AG109">
        <f>'Data-Kolom'!O110</f>
        <v>100</v>
      </c>
      <c r="AH109">
        <f>'Data-Kolom'!P110</f>
        <v>0</v>
      </c>
      <c r="AI109">
        <f>'Data-Kolom'!Q110</f>
        <v>0</v>
      </c>
      <c r="AJ109">
        <f>'Data-Kolom'!R110</f>
        <v>0</v>
      </c>
      <c r="AK109">
        <f>'Data-Kolom'!S110</f>
        <v>0</v>
      </c>
      <c r="AL109">
        <f>2*(H109+I109-4*$N$5)+2*MAX($F$5*AD109,75)</f>
        <v>1330</v>
      </c>
      <c r="AM109">
        <f>+AH109*(H109-2*$N$5+2*MAX($F$5*AI109,75))+AJ109*(I109-2*$N$5+2*MAX($F$5*AK109,75))</f>
        <v>0</v>
      </c>
      <c r="AN109">
        <f>(ROUND((1/2*J109+IF(M109&gt;0,(Q109-$N$6*AD109),0))/AE109,0)+(ROUND(1/2*J109/AF109,0)+1))*K109</f>
        <v>74</v>
      </c>
      <c r="AO109">
        <f>H109*I109*J109/1000000000*K109*(1+$T$5)</f>
        <v>0.595</v>
      </c>
      <c r="AP109">
        <f>0.006165*O109^2*T109*U109/1000*(1+$T$6)</f>
        <v>69.54356736000001</v>
      </c>
      <c r="AQ109">
        <f>0.006165*W109^2*AB109*AC109/1000*(1+$T$6)</f>
        <v>0</v>
      </c>
      <c r="AR109">
        <f>AN109*0.006165*AD109^2*AL109/1000*(1+$T$6)</f>
        <v>60.67593</v>
      </c>
      <c r="AS109">
        <f>AN109*0.006165*AI109^2*AM109/1000*(1+$T$6)</f>
        <v>0</v>
      </c>
      <c r="AT109">
        <f>K109*2*J109*(H109+I109)/1000000*(1+$T$7)</f>
        <v>9.38</v>
      </c>
      <c r="AU109">
        <f>SUM(AP109:AS109)/AO109</f>
        <v>218.85629808403365</v>
      </c>
      <c r="AV109">
        <f>AT109/AO109</f>
        <v>15.764705882352944</v>
      </c>
      <c r="AX109">
        <f>0.006165*O109^2*R109*U109/1000*(1+$T$6)</f>
        <v>69.54356736000001</v>
      </c>
      <c r="AZ109">
        <f>0.006165*O109^2*S109*U109/1000*(1+$T$6)</f>
        <v>0</v>
      </c>
      <c r="BA109">
        <f>AZ109/AP109</f>
        <v>0</v>
      </c>
    </row>
    <row r="110">
      <c r="A110">
        <f>'Data-Kolom'!A111</f>
        <v>19</v>
      </c>
      <c r="B110" t="str">
        <f>'Data-Kolom'!B111</f>
        <v>Lantai 3</v>
      </c>
      <c r="C110">
        <f>'Data-Kolom'!C111</f>
        <v>0</v>
      </c>
      <c r="D110" t="str">
        <f>'Data-Kolom'!D111</f>
        <v>KL55</v>
      </c>
      <c r="E110" t="str">
        <v>A</v>
      </c>
      <c r="F110">
        <f>'Data-Kolom'!U111</f>
        <v>0</v>
      </c>
      <c r="G110">
        <f>'Data-Kolom'!T111</f>
        <v>0</v>
      </c>
      <c r="H110">
        <f>'Data-Kolom'!E111</f>
        <v>170</v>
      </c>
      <c r="I110">
        <f>'Data-Kolom'!F111</f>
        <v>500</v>
      </c>
      <c r="J110">
        <f>'Data-Kolom'!G111</f>
        <v>3500</v>
      </c>
      <c r="K110">
        <v>2</v>
      </c>
      <c r="M110">
        <f>IF(L110&gt;0,VLOOKUP(L110,'Data-PC'!$B$14:$F$56,4,FALSE),0)</f>
        <v>0</v>
      </c>
      <c r="N110">
        <f>'Data-Kolom'!H111</f>
        <v>6</v>
      </c>
      <c r="O110">
        <f>'Data-Kolom'!I111</f>
        <v>16</v>
      </c>
      <c r="P110">
        <f>IF(N110&gt;0,VLOOKUP(O110,$V$2:$X$9,2,FALSE),0)</f>
        <v>1010</v>
      </c>
      <c r="Q110">
        <f>IF(L110&gt;0,M110-50+$N$6*O110,VLOOKUP(O110,$V$2:$X$9,3,FALSE))</f>
        <v>770</v>
      </c>
      <c r="R110">
        <f>IF(E110="F",J110-$N$5+$N$6*O110+Q110,IF(E110="D",J110+Q110+P110,IF(E110="T",J110+P110,IF(E110="A",J110-$N$5+$N$6*O110,0))))</f>
        <v>3672</v>
      </c>
      <c r="T110">
        <f>SUM(R110:S110)</f>
        <v>3672</v>
      </c>
      <c r="U110">
        <f>K110*N110</f>
        <v>12</v>
      </c>
      <c r="V110">
        <f>'Data-Kolom'!J111</f>
        <v>0</v>
      </c>
      <c r="W110">
        <f>'Data-Kolom'!K111</f>
        <v>0</v>
      </c>
      <c r="X110">
        <f>IF(V110&gt;0,VLOOKUP(W110,$V$2:$X$9,2,FALSE),0)</f>
        <v>0</v>
      </c>
      <c r="Y110">
        <f>IF(V110&gt;0,IF(L110&gt;0,M110-50+$N$6*W110,VLOOKUP(W110,$V$2:$X$9,3,FALSE)),0)</f>
        <v>0</v>
      </c>
      <c r="Z110">
        <f>IF(E110="F",J110-$N$5+$N$6*W110+Y110,IF(E110="D",J110+Y110+X110,IF(E110="T",J110+X110,IF(E110="A",J110-$N$5+$N$6*W110,0))))</f>
        <v>3480</v>
      </c>
      <c r="AB110">
        <f>SUM(Z110:AA110)</f>
        <v>3480</v>
      </c>
      <c r="AC110">
        <f>V110*K110</f>
        <v>0</v>
      </c>
      <c r="AD110">
        <f>'Data-Kolom'!L111</f>
        <v>10</v>
      </c>
      <c r="AE110">
        <f>'Data-Kolom'!M111</f>
        <v>100</v>
      </c>
      <c r="AF110">
        <f>'Data-Kolom'!N111</f>
        <v>100</v>
      </c>
      <c r="AG110">
        <f>'Data-Kolom'!O111</f>
        <v>100</v>
      </c>
      <c r="AH110">
        <f>'Data-Kolom'!P111</f>
        <v>0</v>
      </c>
      <c r="AI110">
        <f>'Data-Kolom'!Q111</f>
        <v>0</v>
      </c>
      <c r="AJ110">
        <f>'Data-Kolom'!R111</f>
        <v>0</v>
      </c>
      <c r="AK110">
        <f>'Data-Kolom'!S111</f>
        <v>0</v>
      </c>
      <c r="AL110">
        <f>2*(H110+I110-4*$N$5)+2*MAX($F$5*AD110,75)</f>
        <v>1330</v>
      </c>
      <c r="AM110">
        <f>+AH110*(H110-2*$N$5+2*MAX($F$5*AI110,75))+AJ110*(I110-2*$N$5+2*MAX($F$5*AK110,75))</f>
        <v>0</v>
      </c>
      <c r="AN110">
        <f>(ROUND((1/2*J110+IF(M110&gt;0,(Q110-$N$6*AD110),0))/AE110,0)+(ROUND(1/2*J110/AF110,0)+1))*K110</f>
        <v>74</v>
      </c>
      <c r="AO110">
        <f>H110*I110*J110/1000000000*K110*(1+$T$5)</f>
        <v>0.595</v>
      </c>
      <c r="AP110">
        <f>0.006165*O110^2*T110*U110/1000*(1+$T$6)</f>
        <v>69.54356736000001</v>
      </c>
      <c r="AQ110">
        <f>0.006165*W110^2*AB110*AC110/1000*(1+$T$6)</f>
        <v>0</v>
      </c>
      <c r="AR110">
        <f>AN110*0.006165*AD110^2*AL110/1000*(1+$T$6)</f>
        <v>60.67593</v>
      </c>
      <c r="AS110">
        <f>AN110*0.006165*AI110^2*AM110/1000*(1+$T$6)</f>
        <v>0</v>
      </c>
      <c r="AT110">
        <f>K110*2*J110*(H110+I110)/1000000*(1+$T$7)</f>
        <v>9.38</v>
      </c>
      <c r="AU110">
        <f>SUM(AP110:AS110)/AO110</f>
        <v>218.85629808403365</v>
      </c>
      <c r="AV110">
        <f>AT110/AO110</f>
        <v>15.764705882352944</v>
      </c>
      <c r="AX110">
        <f>0.006165*O110^2*R110*U110/1000*(1+$T$6)</f>
        <v>69.54356736000001</v>
      </c>
      <c r="AZ110">
        <f>0.006165*O110^2*S110*U110/1000*(1+$T$6)</f>
        <v>0</v>
      </c>
      <c r="BA110">
        <f>AZ110/AP110</f>
        <v>0</v>
      </c>
    </row>
    <row r="111">
      <c r="A111">
        <f>'Data-Kolom'!A112</f>
        <v>20</v>
      </c>
      <c r="B111" t="str">
        <f>'Data-Kolom'!B112</f>
        <v>Lantai 3</v>
      </c>
      <c r="C111">
        <f>'Data-Kolom'!C112</f>
        <v>0</v>
      </c>
      <c r="D111" t="str">
        <f>'Data-Kolom'!D112</f>
        <v>K1A5</v>
      </c>
      <c r="E111" t="str">
        <v>A</v>
      </c>
      <c r="F111">
        <f>'Data-Kolom'!U112</f>
        <v>0</v>
      </c>
      <c r="G111">
        <f>'Data-Kolom'!T112</f>
        <v>0</v>
      </c>
      <c r="H111">
        <f>'Data-Kolom'!E112</f>
        <v>130</v>
      </c>
      <c r="I111">
        <f>'Data-Kolom'!F112</f>
        <v>500</v>
      </c>
      <c r="J111">
        <f>'Data-Kolom'!G112</f>
        <v>3500</v>
      </c>
      <c r="K111">
        <v>1</v>
      </c>
      <c r="M111">
        <f>IF(L111&gt;0,VLOOKUP(L111,'Data-PC'!$B$14:$F$56,4,FALSE),0)</f>
        <v>0</v>
      </c>
      <c r="N111">
        <f>'Data-Kolom'!H112</f>
        <v>6</v>
      </c>
      <c r="O111">
        <f>'Data-Kolom'!I112</f>
        <v>16</v>
      </c>
      <c r="P111">
        <f>IF(N111&gt;0,VLOOKUP(O111,$V$2:$X$9,2,FALSE),0)</f>
        <v>1010</v>
      </c>
      <c r="Q111">
        <f>IF(L111&gt;0,M111-50+$N$6*O111,VLOOKUP(O111,$V$2:$X$9,3,FALSE))</f>
        <v>770</v>
      </c>
      <c r="R111">
        <f>IF(E111="F",J111-$N$5+$N$6*O111+Q111,IF(E111="D",J111+Q111+P111,IF(E111="T",J111+P111,IF(E111="A",J111-$N$5+$N$6*O111,0))))</f>
        <v>3672</v>
      </c>
      <c r="T111">
        <f>SUM(R111:S111)</f>
        <v>3672</v>
      </c>
      <c r="U111">
        <f>K111*N111</f>
        <v>6</v>
      </c>
      <c r="V111">
        <f>'Data-Kolom'!J112</f>
        <v>0</v>
      </c>
      <c r="W111">
        <f>'Data-Kolom'!K112</f>
        <v>0</v>
      </c>
      <c r="X111">
        <f>IF(V111&gt;0,VLOOKUP(W111,$V$2:$X$9,2,FALSE),0)</f>
        <v>0</v>
      </c>
      <c r="Y111">
        <f>IF(V111&gt;0,IF(L111&gt;0,M111-50+$N$6*W111,VLOOKUP(W111,$V$2:$X$9,3,FALSE)),0)</f>
        <v>0</v>
      </c>
      <c r="Z111">
        <f>IF(E111="F",J111-$N$5+$N$6*W111+Y111,IF(E111="D",J111+Y111+X111,IF(E111="T",J111+X111,IF(E111="A",J111-$N$5+$N$6*W111,0))))</f>
        <v>3480</v>
      </c>
      <c r="AB111">
        <f>SUM(Z111:AA111)</f>
        <v>3480</v>
      </c>
      <c r="AC111">
        <f>V111*K111</f>
        <v>0</v>
      </c>
      <c r="AD111">
        <f>'Data-Kolom'!L112</f>
        <v>10</v>
      </c>
      <c r="AE111">
        <f>'Data-Kolom'!M112</f>
        <v>100</v>
      </c>
      <c r="AF111">
        <f>'Data-Kolom'!N112</f>
        <v>100</v>
      </c>
      <c r="AG111">
        <f>'Data-Kolom'!O112</f>
        <v>100</v>
      </c>
      <c r="AH111">
        <f>'Data-Kolom'!P112</f>
        <v>0</v>
      </c>
      <c r="AI111">
        <f>'Data-Kolom'!Q112</f>
        <v>0</v>
      </c>
      <c r="AJ111">
        <f>'Data-Kolom'!R112</f>
        <v>0</v>
      </c>
      <c r="AK111">
        <f>'Data-Kolom'!S112</f>
        <v>0</v>
      </c>
      <c r="AL111">
        <f>2*(H111+I111-4*$N$5)+2*MAX($F$5*AD111,75)</f>
        <v>1250</v>
      </c>
      <c r="AM111">
        <f>+AH111*(H111-2*$N$5+2*MAX($F$5*AI111,75))+AJ111*(I111-2*$N$5+2*MAX($F$5*AK111,75))</f>
        <v>0</v>
      </c>
      <c r="AN111">
        <f>(ROUND((1/2*J111+IF(M111&gt;0,(Q111-$N$6*AD111),0))/AE111,0)+(ROUND(1/2*J111/AF111,0)+1))*K111</f>
        <v>37</v>
      </c>
      <c r="AO111">
        <f>H111*I111*J111/1000000000*K111*(1+$T$5)</f>
        <v>0.2275</v>
      </c>
      <c r="AP111">
        <f>0.006165*O111^2*T111*U111/1000*(1+$T$6)</f>
        <v>34.771783680000006</v>
      </c>
      <c r="AQ111">
        <f>0.006165*W111^2*AB111*AC111/1000*(1+$T$6)</f>
        <v>0</v>
      </c>
      <c r="AR111">
        <f>AN111*0.006165*AD111^2*AL111/1000*(1+$T$6)</f>
        <v>28.513125</v>
      </c>
      <c r="AS111">
        <f>AN111*0.006165*AI111^2*AM111/1000*(1+$T$6)</f>
        <v>0</v>
      </c>
      <c r="AT111">
        <f>K111*2*J111*(H111+I111)/1000000*(1+$T$7)</f>
        <v>4.41</v>
      </c>
      <c r="AU111">
        <f>SUM(AP111:AS111)/AO111</f>
        <v>278.17542276923075</v>
      </c>
      <c r="AV111">
        <f>AT111/AO111</f>
        <v>19.384615384615383</v>
      </c>
      <c r="AX111">
        <f>0.006165*O111^2*R111*U111/1000*(1+$T$6)</f>
        <v>34.771783680000006</v>
      </c>
      <c r="AZ111">
        <f>0.006165*O111^2*S111*U111/1000*(1+$T$6)</f>
        <v>0</v>
      </c>
      <c r="BA111">
        <f>AZ111/AP111</f>
        <v>0</v>
      </c>
    </row>
    <row r="112">
      <c r="A112">
        <f>'Data-Kolom'!A113</f>
        <v>21</v>
      </c>
      <c r="B112" t="str">
        <f>'Data-Kolom'!B113</f>
        <v>Lantai 3</v>
      </c>
      <c r="C112">
        <f>'Data-Kolom'!C113</f>
        <v>0</v>
      </c>
      <c r="D112" t="str">
        <f>'Data-Kolom'!D113</f>
        <v>KL55</v>
      </c>
      <c r="E112" t="str">
        <v>A</v>
      </c>
      <c r="F112">
        <f>'Data-Kolom'!U113</f>
        <v>0</v>
      </c>
      <c r="G112">
        <f>'Data-Kolom'!T113</f>
        <v>0</v>
      </c>
      <c r="H112">
        <f>'Data-Kolom'!E113</f>
        <v>170</v>
      </c>
      <c r="I112">
        <f>'Data-Kolom'!F113</f>
        <v>500</v>
      </c>
      <c r="J112">
        <f>'Data-Kolom'!G113</f>
        <v>3500</v>
      </c>
      <c r="K112">
        <v>2</v>
      </c>
      <c r="M112">
        <f>IF(L112&gt;0,VLOOKUP(L112,'Data-PC'!$B$14:$F$56,4,FALSE),0)</f>
        <v>0</v>
      </c>
      <c r="N112">
        <f>'Data-Kolom'!H113</f>
        <v>6</v>
      </c>
      <c r="O112">
        <f>'Data-Kolom'!I113</f>
        <v>16</v>
      </c>
      <c r="P112">
        <f>IF(N112&gt;0,VLOOKUP(O112,$V$2:$X$9,2,FALSE),0)</f>
        <v>1010</v>
      </c>
      <c r="Q112">
        <f>IF(L112&gt;0,M112-50+$N$6*O112,VLOOKUP(O112,$V$2:$X$9,3,FALSE))</f>
        <v>770</v>
      </c>
      <c r="R112">
        <f>IF(E112="F",J112-$N$5+$N$6*O112+Q112,IF(E112="D",J112+Q112+P112,IF(E112="T",J112+P112,IF(E112="A",J112-$N$5+$N$6*O112,0))))</f>
        <v>3672</v>
      </c>
      <c r="T112">
        <f>SUM(R112:S112)</f>
        <v>3672</v>
      </c>
      <c r="U112">
        <f>K112*N112</f>
        <v>12</v>
      </c>
      <c r="V112">
        <f>'Data-Kolom'!J113</f>
        <v>0</v>
      </c>
      <c r="W112">
        <f>'Data-Kolom'!K113</f>
        <v>0</v>
      </c>
      <c r="X112">
        <f>IF(V112&gt;0,VLOOKUP(W112,$V$2:$X$9,2,FALSE),0)</f>
        <v>0</v>
      </c>
      <c r="Y112">
        <f>IF(V112&gt;0,IF(L112&gt;0,M112-50+$N$6*W112,VLOOKUP(W112,$V$2:$X$9,3,FALSE)),0)</f>
        <v>0</v>
      </c>
      <c r="Z112">
        <f>IF(E112="F",J112-$N$5+$N$6*W112+Y112,IF(E112="D",J112+Y112+X112,IF(E112="T",J112+X112,IF(E112="A",J112-$N$5+$N$6*W112,0))))</f>
        <v>3480</v>
      </c>
      <c r="AB112">
        <f>SUM(Z112:AA112)</f>
        <v>3480</v>
      </c>
      <c r="AC112">
        <f>V112*K112</f>
        <v>0</v>
      </c>
      <c r="AD112">
        <f>'Data-Kolom'!L113</f>
        <v>10</v>
      </c>
      <c r="AE112">
        <f>'Data-Kolom'!M113</f>
        <v>100</v>
      </c>
      <c r="AF112">
        <f>'Data-Kolom'!N113</f>
        <v>100</v>
      </c>
      <c r="AG112">
        <f>'Data-Kolom'!O113</f>
        <v>100</v>
      </c>
      <c r="AH112">
        <f>'Data-Kolom'!P113</f>
        <v>0</v>
      </c>
      <c r="AI112">
        <f>'Data-Kolom'!Q113</f>
        <v>0</v>
      </c>
      <c r="AJ112">
        <f>'Data-Kolom'!R113</f>
        <v>0</v>
      </c>
      <c r="AK112">
        <f>'Data-Kolom'!S113</f>
        <v>0</v>
      </c>
      <c r="AL112">
        <f>2*(H112+I112-4*$N$5)+2*MAX($F$5*AD112,75)</f>
        <v>1330</v>
      </c>
      <c r="AM112">
        <f>+AH112*(H112-2*$N$5+2*MAX($F$5*AI112,75))+AJ112*(I112-2*$N$5+2*MAX($F$5*AK112,75))</f>
        <v>0</v>
      </c>
      <c r="AN112">
        <f>(ROUND((1/2*J112+IF(M112&gt;0,(Q112-$N$6*AD112),0))/AE112,0)+(ROUND(1/2*J112/AF112,0)+1))*K112</f>
        <v>74</v>
      </c>
      <c r="AO112">
        <f>H112*I112*J112/1000000000*K112*(1+$T$5)</f>
        <v>0.595</v>
      </c>
      <c r="AP112">
        <f>0.006165*O112^2*T112*U112/1000*(1+$T$6)</f>
        <v>69.54356736000001</v>
      </c>
      <c r="AQ112">
        <f>0.006165*W112^2*AB112*AC112/1000*(1+$T$6)</f>
        <v>0</v>
      </c>
      <c r="AR112">
        <f>AN112*0.006165*AD112^2*AL112/1000*(1+$T$6)</f>
        <v>60.67593</v>
      </c>
      <c r="AS112">
        <f>AN112*0.006165*AI112^2*AM112/1000*(1+$T$6)</f>
        <v>0</v>
      </c>
      <c r="AT112">
        <f>K112*2*J112*(H112+I112)/1000000*(1+$T$7)</f>
        <v>9.38</v>
      </c>
      <c r="AU112">
        <f>SUM(AP112:AS112)/AO112</f>
        <v>218.85629808403365</v>
      </c>
      <c r="AV112">
        <f>AT112/AO112</f>
        <v>15.764705882352944</v>
      </c>
      <c r="AX112">
        <f>0.006165*O112^2*R112*U112/1000*(1+$T$6)</f>
        <v>69.54356736000001</v>
      </c>
      <c r="AZ112">
        <f>0.006165*O112^2*S112*U112/1000*(1+$T$6)</f>
        <v>0</v>
      </c>
      <c r="BA112">
        <f>AZ112/AP112</f>
        <v>0</v>
      </c>
    </row>
    <row r="113">
      <c r="A113">
        <f>'Data-Kolom'!A114</f>
        <v>22</v>
      </c>
      <c r="B113" t="str">
        <f>'Data-Kolom'!B114</f>
        <v>Lantai 3</v>
      </c>
      <c r="C113">
        <f>'Data-Kolom'!C114</f>
        <v>0</v>
      </c>
      <c r="D113" t="str">
        <f>'Data-Kolom'!D114</f>
        <v>KL55</v>
      </c>
      <c r="E113" t="str">
        <v>A</v>
      </c>
      <c r="F113">
        <f>'Data-Kolom'!U114</f>
        <v>0</v>
      </c>
      <c r="G113">
        <f>'Data-Kolom'!T114</f>
        <v>0</v>
      </c>
      <c r="H113">
        <f>'Data-Kolom'!E114</f>
        <v>170</v>
      </c>
      <c r="I113">
        <f>'Data-Kolom'!F114</f>
        <v>500</v>
      </c>
      <c r="J113">
        <f>'Data-Kolom'!G114</f>
        <v>3500</v>
      </c>
      <c r="K113">
        <v>2</v>
      </c>
      <c r="M113">
        <f>IF(L113&gt;0,VLOOKUP(L113,'Data-PC'!$B$14:$F$56,4,FALSE),0)</f>
        <v>0</v>
      </c>
      <c r="N113">
        <f>'Data-Kolom'!H114</f>
        <v>6</v>
      </c>
      <c r="O113">
        <f>'Data-Kolom'!I114</f>
        <v>16</v>
      </c>
      <c r="P113">
        <f>IF(N113&gt;0,VLOOKUP(O113,$V$2:$X$9,2,FALSE),0)</f>
        <v>1010</v>
      </c>
      <c r="Q113">
        <f>IF(L113&gt;0,M113-50+$N$6*O113,VLOOKUP(O113,$V$2:$X$9,3,FALSE))</f>
        <v>770</v>
      </c>
      <c r="R113">
        <f>IF(E113="F",J113-$N$5+$N$6*O113+Q113,IF(E113="D",J113+Q113+P113,IF(E113="T",J113+P113,IF(E113="A",J113-$N$5+$N$6*O113,0))))</f>
        <v>3672</v>
      </c>
      <c r="T113">
        <f>SUM(R113:S113)</f>
        <v>3672</v>
      </c>
      <c r="U113">
        <f>K113*N113</f>
        <v>12</v>
      </c>
      <c r="V113">
        <f>'Data-Kolom'!J114</f>
        <v>0</v>
      </c>
      <c r="W113">
        <f>'Data-Kolom'!K114</f>
        <v>0</v>
      </c>
      <c r="X113">
        <f>IF(V113&gt;0,VLOOKUP(W113,$V$2:$X$9,2,FALSE),0)</f>
        <v>0</v>
      </c>
      <c r="Y113">
        <f>IF(V113&gt;0,IF(L113&gt;0,M113-50+$N$6*W113,VLOOKUP(W113,$V$2:$X$9,3,FALSE)),0)</f>
        <v>0</v>
      </c>
      <c r="Z113">
        <f>IF(E113="F",J113-$N$5+$N$6*W113+Y113,IF(E113="D",J113+Y113+X113,IF(E113="T",J113+X113,IF(E113="A",J113-$N$5+$N$6*W113,0))))</f>
        <v>3480</v>
      </c>
      <c r="AB113">
        <f>SUM(Z113:AA113)</f>
        <v>3480</v>
      </c>
      <c r="AC113">
        <f>V113*K113</f>
        <v>0</v>
      </c>
      <c r="AD113">
        <f>'Data-Kolom'!L114</f>
        <v>10</v>
      </c>
      <c r="AE113">
        <f>'Data-Kolom'!M114</f>
        <v>100</v>
      </c>
      <c r="AF113">
        <f>'Data-Kolom'!N114</f>
        <v>100</v>
      </c>
      <c r="AG113">
        <f>'Data-Kolom'!O114</f>
        <v>100</v>
      </c>
      <c r="AH113">
        <f>'Data-Kolom'!P114</f>
        <v>0</v>
      </c>
      <c r="AI113">
        <f>'Data-Kolom'!Q114</f>
        <v>0</v>
      </c>
      <c r="AJ113">
        <f>'Data-Kolom'!R114</f>
        <v>0</v>
      </c>
      <c r="AK113">
        <f>'Data-Kolom'!S114</f>
        <v>0</v>
      </c>
      <c r="AL113">
        <f>2*(H113+I113-4*$N$5)+2*MAX($F$5*AD113,75)</f>
        <v>1330</v>
      </c>
      <c r="AM113">
        <f>+AH113*(H113-2*$N$5+2*MAX($F$5*AI113,75))+AJ113*(I113-2*$N$5+2*MAX($F$5*AK113,75))</f>
        <v>0</v>
      </c>
      <c r="AN113">
        <f>(ROUND((1/2*J113+IF(M113&gt;0,(Q113-$N$6*AD113),0))/AE113,0)+(ROUND(1/2*J113/AF113,0)+1))*K113</f>
        <v>74</v>
      </c>
      <c r="AO113">
        <f>H113*I113*J113/1000000000*K113*(1+$T$5)</f>
        <v>0.595</v>
      </c>
      <c r="AP113">
        <f>0.006165*O113^2*T113*U113/1000*(1+$T$6)</f>
        <v>69.54356736000001</v>
      </c>
      <c r="AQ113">
        <f>0.006165*W113^2*AB113*AC113/1000*(1+$T$6)</f>
        <v>0</v>
      </c>
      <c r="AR113">
        <f>AN113*0.006165*AD113^2*AL113/1000*(1+$T$6)</f>
        <v>60.67593</v>
      </c>
      <c r="AS113">
        <f>AN113*0.006165*AI113^2*AM113/1000*(1+$T$6)</f>
        <v>0</v>
      </c>
      <c r="AT113">
        <f>K113*2*J113*(H113+I113)/1000000*(1+$T$7)</f>
        <v>9.38</v>
      </c>
      <c r="AU113">
        <f>SUM(AP113:AS113)/AO113</f>
        <v>218.85629808403365</v>
      </c>
      <c r="AV113">
        <f>AT113/AO113</f>
        <v>15.764705882352944</v>
      </c>
      <c r="AX113">
        <f>0.006165*O113^2*R113*U113/1000*(1+$T$6)</f>
        <v>69.54356736000001</v>
      </c>
      <c r="AZ113">
        <f>0.006165*O113^2*S113*U113/1000*(1+$T$6)</f>
        <v>0</v>
      </c>
      <c r="BA113">
        <f>AZ113/AP113</f>
        <v>0</v>
      </c>
    </row>
    <row r="114">
      <c r="A114">
        <f>'Data-Kolom'!A115</f>
        <v>23</v>
      </c>
      <c r="B114" t="str">
        <f>'Data-Kolom'!B115</f>
        <v>Lantai 3</v>
      </c>
      <c r="C114">
        <f>'Data-Kolom'!C115</f>
        <v>0</v>
      </c>
      <c r="D114" t="str">
        <f>'Data-Kolom'!D115</f>
        <v>K1A5</v>
      </c>
      <c r="E114" t="str">
        <v>A</v>
      </c>
      <c r="F114">
        <f>'Data-Kolom'!U115</f>
        <v>0</v>
      </c>
      <c r="G114">
        <f>'Data-Kolom'!T115</f>
        <v>0</v>
      </c>
      <c r="H114">
        <f>'Data-Kolom'!E115</f>
        <v>130</v>
      </c>
      <c r="I114">
        <f>'Data-Kolom'!F115</f>
        <v>500</v>
      </c>
      <c r="J114">
        <f>'Data-Kolom'!G115</f>
        <v>3500</v>
      </c>
      <c r="K114">
        <v>1</v>
      </c>
      <c r="M114">
        <f>IF(L114&gt;0,VLOOKUP(L114,'Data-PC'!$B$14:$F$56,4,FALSE),0)</f>
        <v>0</v>
      </c>
      <c r="N114">
        <f>'Data-Kolom'!H115</f>
        <v>6</v>
      </c>
      <c r="O114">
        <f>'Data-Kolom'!I115</f>
        <v>16</v>
      </c>
      <c r="P114">
        <f>IF(N114&gt;0,VLOOKUP(O114,$V$2:$X$9,2,FALSE),0)</f>
        <v>1010</v>
      </c>
      <c r="Q114">
        <f>IF(L114&gt;0,M114-50+$N$6*O114,VLOOKUP(O114,$V$2:$X$9,3,FALSE))</f>
        <v>770</v>
      </c>
      <c r="R114">
        <f>IF(E114="F",J114-$N$5+$N$6*O114+Q114,IF(E114="D",J114+Q114+P114,IF(E114="T",J114+P114,IF(E114="A",J114-$N$5+$N$6*O114,0))))</f>
        <v>3672</v>
      </c>
      <c r="T114">
        <f>SUM(R114:S114)</f>
        <v>3672</v>
      </c>
      <c r="U114">
        <f>K114*N114</f>
        <v>6</v>
      </c>
      <c r="V114">
        <f>'Data-Kolom'!J115</f>
        <v>0</v>
      </c>
      <c r="W114">
        <f>'Data-Kolom'!K115</f>
        <v>0</v>
      </c>
      <c r="X114">
        <f>IF(V114&gt;0,VLOOKUP(W114,$V$2:$X$9,2,FALSE),0)</f>
        <v>0</v>
      </c>
      <c r="Y114">
        <f>IF(V114&gt;0,IF(L114&gt;0,M114-50+$N$6*W114,VLOOKUP(W114,$V$2:$X$9,3,FALSE)),0)</f>
        <v>0</v>
      </c>
      <c r="Z114">
        <f>IF(E114="F",J114-$N$5+$N$6*W114+Y114,IF(E114="D",J114+Y114+X114,IF(E114="T",J114+X114,IF(E114="A",J114-$N$5+$N$6*W114,0))))</f>
        <v>3480</v>
      </c>
      <c r="AB114">
        <f>SUM(Z114:AA114)</f>
        <v>3480</v>
      </c>
      <c r="AC114">
        <f>V114*K114</f>
        <v>0</v>
      </c>
      <c r="AD114">
        <f>'Data-Kolom'!L115</f>
        <v>10</v>
      </c>
      <c r="AE114">
        <f>'Data-Kolom'!M115</f>
        <v>100</v>
      </c>
      <c r="AF114">
        <f>'Data-Kolom'!N115</f>
        <v>100</v>
      </c>
      <c r="AG114">
        <f>'Data-Kolom'!O115</f>
        <v>100</v>
      </c>
      <c r="AH114">
        <f>'Data-Kolom'!P115</f>
        <v>0</v>
      </c>
      <c r="AI114">
        <f>'Data-Kolom'!Q115</f>
        <v>0</v>
      </c>
      <c r="AJ114">
        <f>'Data-Kolom'!R115</f>
        <v>0</v>
      </c>
      <c r="AK114">
        <f>'Data-Kolom'!S115</f>
        <v>0</v>
      </c>
      <c r="AL114">
        <f>2*(H114+I114-4*$N$5)+2*MAX($F$5*AD114,75)</f>
        <v>1250</v>
      </c>
      <c r="AM114">
        <f>+AH114*(H114-2*$N$5+2*MAX($F$5*AI114,75))+AJ114*(I114-2*$N$5+2*MAX($F$5*AK114,75))</f>
        <v>0</v>
      </c>
      <c r="AN114">
        <f>(ROUND((1/2*J114+IF(M114&gt;0,(Q114-$N$6*AD114),0))/AE114,0)+(ROUND(1/2*J114/AF114,0)+1))*K114</f>
        <v>37</v>
      </c>
      <c r="AO114">
        <f>H114*I114*J114/1000000000*K114*(1+$T$5)</f>
        <v>0.2275</v>
      </c>
      <c r="AP114">
        <f>0.006165*O114^2*T114*U114/1000*(1+$T$6)</f>
        <v>34.771783680000006</v>
      </c>
      <c r="AQ114">
        <f>0.006165*W114^2*AB114*AC114/1000*(1+$T$6)</f>
        <v>0</v>
      </c>
      <c r="AR114">
        <f>AN114*0.006165*AD114^2*AL114/1000*(1+$T$6)</f>
        <v>28.513125</v>
      </c>
      <c r="AS114">
        <f>AN114*0.006165*AI114^2*AM114/1000*(1+$T$6)</f>
        <v>0</v>
      </c>
      <c r="AT114">
        <f>K114*2*J114*(H114+I114)/1000000*(1+$T$7)</f>
        <v>4.41</v>
      </c>
      <c r="AU114">
        <f>SUM(AP114:AS114)/AO114</f>
        <v>278.17542276923075</v>
      </c>
      <c r="AV114">
        <f>AT114/AO114</f>
        <v>19.384615384615383</v>
      </c>
      <c r="AX114">
        <f>0.006165*O114^2*R114*U114/1000*(1+$T$6)</f>
        <v>34.771783680000006</v>
      </c>
      <c r="AZ114">
        <f>0.006165*O114^2*S114*U114/1000*(1+$T$6)</f>
        <v>0</v>
      </c>
      <c r="BA114">
        <f>AZ114/AP114</f>
        <v>0</v>
      </c>
    </row>
    <row r="115">
      <c r="A115">
        <f>'Data-Kolom'!A116</f>
        <v>25</v>
      </c>
      <c r="B115" t="str">
        <f>'Data-Kolom'!B116</f>
        <v>Lantai 3</v>
      </c>
      <c r="C115">
        <f>'Data-Kolom'!C116</f>
        <v>0</v>
      </c>
      <c r="D115" t="str">
        <f>'Data-Kolom'!D116</f>
        <v>K1A5</v>
      </c>
      <c r="E115" t="str">
        <v>A</v>
      </c>
      <c r="F115">
        <f>'Data-Kolom'!U116</f>
        <v>0</v>
      </c>
      <c r="G115">
        <f>'Data-Kolom'!T116</f>
        <v>0</v>
      </c>
      <c r="H115">
        <f>'Data-Kolom'!E116</f>
        <v>130</v>
      </c>
      <c r="I115">
        <f>'Data-Kolom'!F116</f>
        <v>500</v>
      </c>
      <c r="J115">
        <f>'Data-Kolom'!G116</f>
        <v>3500</v>
      </c>
      <c r="K115">
        <v>1</v>
      </c>
      <c r="M115">
        <f>IF(L115&gt;0,VLOOKUP(L115,'Data-PC'!$B$14:$F$56,4,FALSE),0)</f>
        <v>0</v>
      </c>
      <c r="N115">
        <f>'Data-Kolom'!H116</f>
        <v>6</v>
      </c>
      <c r="O115">
        <f>'Data-Kolom'!I116</f>
        <v>16</v>
      </c>
      <c r="P115">
        <f>IF(N115&gt;0,VLOOKUP(O115,$V$2:$X$9,2,FALSE),0)</f>
        <v>1010</v>
      </c>
      <c r="Q115">
        <f>IF(L115&gt;0,M115-50+$N$6*O115,VLOOKUP(O115,$V$2:$X$9,3,FALSE))</f>
        <v>770</v>
      </c>
      <c r="R115">
        <f>IF(E115="F",J115-$N$5+$N$6*O115+Q115,IF(E115="D",J115+Q115+P115,IF(E115="T",J115+P115,IF(E115="A",J115-$N$5+$N$6*O115,0))))</f>
        <v>3672</v>
      </c>
      <c r="T115">
        <f>SUM(R115:S115)</f>
        <v>3672</v>
      </c>
      <c r="U115">
        <f>K115*N115</f>
        <v>6</v>
      </c>
      <c r="V115">
        <f>'Data-Kolom'!J116</f>
        <v>0</v>
      </c>
      <c r="W115">
        <f>'Data-Kolom'!K116</f>
        <v>0</v>
      </c>
      <c r="X115">
        <f>IF(V115&gt;0,VLOOKUP(W115,$V$2:$X$9,2,FALSE),0)</f>
        <v>0</v>
      </c>
      <c r="Y115">
        <f>IF(V115&gt;0,IF(L115&gt;0,M115-50+$N$6*W115,VLOOKUP(W115,$V$2:$X$9,3,FALSE)),0)</f>
        <v>0</v>
      </c>
      <c r="Z115">
        <f>IF(E115="F",J115-$N$5+$N$6*W115+Y115,IF(E115="D",J115+Y115+X115,IF(E115="T",J115+X115,IF(E115="A",J115-$N$5+$N$6*W115,0))))</f>
        <v>3480</v>
      </c>
      <c r="AB115">
        <f>SUM(Z115:AA115)</f>
        <v>3480</v>
      </c>
      <c r="AC115">
        <f>V115*K115</f>
        <v>0</v>
      </c>
      <c r="AD115">
        <f>'Data-Kolom'!L116</f>
        <v>10</v>
      </c>
      <c r="AE115">
        <f>'Data-Kolom'!M116</f>
        <v>100</v>
      </c>
      <c r="AF115">
        <f>'Data-Kolom'!N116</f>
        <v>100</v>
      </c>
      <c r="AG115">
        <f>'Data-Kolom'!O116</f>
        <v>100</v>
      </c>
      <c r="AH115">
        <f>'Data-Kolom'!P116</f>
        <v>0</v>
      </c>
      <c r="AI115">
        <f>'Data-Kolom'!Q116</f>
        <v>0</v>
      </c>
      <c r="AJ115">
        <f>'Data-Kolom'!R116</f>
        <v>0</v>
      </c>
      <c r="AK115">
        <f>'Data-Kolom'!S116</f>
        <v>0</v>
      </c>
      <c r="AL115">
        <f>2*(H115+I115-4*$N$5)+2*MAX($F$5*AD115,75)</f>
        <v>1250</v>
      </c>
      <c r="AM115">
        <f>+AH115*(H115-2*$N$5+2*MAX($F$5*AI115,75))+AJ115*(I115-2*$N$5+2*MAX($F$5*AK115,75))</f>
        <v>0</v>
      </c>
      <c r="AN115">
        <f>(ROUND((1/2*J115+IF(M115&gt;0,(Q115-$N$6*AD115),0))/AE115,0)+(ROUND(1/2*J115/AF115,0)+1))*K115</f>
        <v>37</v>
      </c>
      <c r="AO115">
        <f>H115*I115*J115/1000000000*K115*(1+$T$5)</f>
        <v>0.2275</v>
      </c>
      <c r="AP115">
        <f>0.006165*O115^2*T115*U115/1000*(1+$T$6)</f>
        <v>34.771783680000006</v>
      </c>
      <c r="AQ115">
        <f>0.006165*W115^2*AB115*AC115/1000*(1+$T$6)</f>
        <v>0</v>
      </c>
      <c r="AR115">
        <f>AN115*0.006165*AD115^2*AL115/1000*(1+$T$6)</f>
        <v>28.513125</v>
      </c>
      <c r="AS115">
        <f>AN115*0.006165*AI115^2*AM115/1000*(1+$T$6)</f>
        <v>0</v>
      </c>
      <c r="AT115">
        <f>K115*2*J115*(H115+I115)/1000000*(1+$T$7)</f>
        <v>4.41</v>
      </c>
      <c r="AU115">
        <f>SUM(AP115:AS115)/AO115</f>
        <v>278.17542276923075</v>
      </c>
      <c r="AV115">
        <f>AT115/AO115</f>
        <v>19.384615384615383</v>
      </c>
      <c r="AX115">
        <f>0.006165*O115^2*R115*U115/1000*(1+$T$6)</f>
        <v>34.771783680000006</v>
      </c>
      <c r="AZ115">
        <f>0.006165*O115^2*S115*U115/1000*(1+$T$6)</f>
        <v>0</v>
      </c>
      <c r="BA115">
        <f>AZ115/AP115</f>
        <v>0</v>
      </c>
    </row>
    <row r="116">
      <c r="A116">
        <f>'Data-Kolom'!A117</f>
        <v>27</v>
      </c>
      <c r="B116" t="str">
        <f>'Data-Kolom'!B117</f>
        <v>Lantai 3</v>
      </c>
      <c r="C116">
        <f>'Data-Kolom'!C117</f>
        <v>0</v>
      </c>
      <c r="D116" t="str">
        <f>'Data-Kolom'!D117</f>
        <v>K4</v>
      </c>
      <c r="E116" t="str">
        <v>A</v>
      </c>
      <c r="F116">
        <f>'Data-Kolom'!U117</f>
        <v>0</v>
      </c>
      <c r="G116">
        <f>'Data-Kolom'!T117</f>
        <v>0</v>
      </c>
      <c r="H116">
        <f>'Data-Kolom'!E117</f>
        <v>170</v>
      </c>
      <c r="I116">
        <f>'Data-Kolom'!F117</f>
        <v>400</v>
      </c>
      <c r="J116">
        <f>'Data-Kolom'!G117</f>
        <v>3500</v>
      </c>
      <c r="K116">
        <v>1</v>
      </c>
      <c r="M116">
        <f>IF(L116&gt;0,VLOOKUP(L116,'Data-PC'!$B$14:$F$56,4,FALSE),0)</f>
        <v>0</v>
      </c>
      <c r="N116">
        <f>'Data-Kolom'!H117</f>
        <v>6</v>
      </c>
      <c r="O116">
        <f>'Data-Kolom'!I117</f>
        <v>16</v>
      </c>
      <c r="P116">
        <f>IF(N116&gt;0,VLOOKUP(O116,$V$2:$X$9,2,FALSE),0)</f>
        <v>1010</v>
      </c>
      <c r="Q116">
        <f>IF(L116&gt;0,M116-50+$N$6*O116,VLOOKUP(O116,$V$2:$X$9,3,FALSE))</f>
        <v>770</v>
      </c>
      <c r="R116">
        <f>IF(E116="F",J116-$N$5+$N$6*O116+Q116,IF(E116="D",J116+Q116+P116,IF(E116="T",J116+P116,IF(E116="A",J116-$N$5+$N$6*O116,0))))</f>
        <v>3672</v>
      </c>
      <c r="T116">
        <f>SUM(R116:S116)</f>
        <v>3672</v>
      </c>
      <c r="U116">
        <f>K116*N116</f>
        <v>6</v>
      </c>
      <c r="V116">
        <f>'Data-Kolom'!J117</f>
        <v>0</v>
      </c>
      <c r="W116">
        <f>'Data-Kolom'!K117</f>
        <v>0</v>
      </c>
      <c r="X116">
        <f>IF(V116&gt;0,VLOOKUP(W116,$V$2:$X$9,2,FALSE),0)</f>
        <v>0</v>
      </c>
      <c r="Y116">
        <f>IF(V116&gt;0,IF(L116&gt;0,M116-50+$N$6*W116,VLOOKUP(W116,$V$2:$X$9,3,FALSE)),0)</f>
        <v>0</v>
      </c>
      <c r="Z116">
        <f>IF(E116="F",J116-$N$5+$N$6*W116+Y116,IF(E116="D",J116+Y116+X116,IF(E116="T",J116+X116,IF(E116="A",J116-$N$5+$N$6*W116,0))))</f>
        <v>3480</v>
      </c>
      <c r="AB116">
        <f>SUM(Z116:AA116)</f>
        <v>3480</v>
      </c>
      <c r="AC116">
        <f>V116*K116</f>
        <v>0</v>
      </c>
      <c r="AD116">
        <f>'Data-Kolom'!L117</f>
        <v>10</v>
      </c>
      <c r="AE116">
        <f>'Data-Kolom'!M117</f>
        <v>100</v>
      </c>
      <c r="AF116">
        <f>'Data-Kolom'!N117</f>
        <v>100</v>
      </c>
      <c r="AG116">
        <f>'Data-Kolom'!O117</f>
        <v>100</v>
      </c>
      <c r="AH116">
        <f>'Data-Kolom'!P117</f>
        <v>0</v>
      </c>
      <c r="AI116">
        <f>'Data-Kolom'!Q117</f>
        <v>0</v>
      </c>
      <c r="AJ116">
        <f>'Data-Kolom'!R117</f>
        <v>0</v>
      </c>
      <c r="AK116">
        <f>'Data-Kolom'!S117</f>
        <v>0</v>
      </c>
      <c r="AL116">
        <f>2*(H116+I116-4*$N$5)+2*MAX($F$5*AD116,75)</f>
        <v>1130</v>
      </c>
      <c r="AM116">
        <f>+AH116*(H116-2*$N$5+2*MAX($F$5*AI116,75))+AJ116*(I116-2*$N$5+2*MAX($F$5*AK116,75))</f>
        <v>0</v>
      </c>
      <c r="AN116">
        <f>(ROUND((1/2*J116+IF(M116&gt;0,(Q116-$N$6*AD116),0))/AE116,0)+(ROUND(1/2*J116/AF116,0)+1))*K116</f>
        <v>37</v>
      </c>
      <c r="AO116">
        <f>H116*I116*J116/1000000000*K116*(1+$T$5)</f>
        <v>0.238</v>
      </c>
      <c r="AP116">
        <f>0.006165*O116^2*T116*U116/1000*(1+$T$6)</f>
        <v>34.771783680000006</v>
      </c>
      <c r="AQ116">
        <f>0.006165*W116^2*AB116*AC116/1000*(1+$T$6)</f>
        <v>0</v>
      </c>
      <c r="AR116">
        <f>AN116*0.006165*AD116^2*AL116/1000*(1+$T$6)</f>
        <v>25.775865000000003</v>
      </c>
      <c r="AS116">
        <f>AN116*0.006165*AI116^2*AM116/1000*(1+$T$6)</f>
        <v>0</v>
      </c>
      <c r="AT116">
        <f>K116*2*J116*(H116+I116)/1000000*(1+$T$7)</f>
        <v>3.99</v>
      </c>
      <c r="AU116">
        <f>SUM(AP116:AS116)/AO116</f>
        <v>254.4018852100841</v>
      </c>
      <c r="AV116">
        <f>AT116/AO116</f>
        <v>16.764705882352942</v>
      </c>
      <c r="AX116">
        <f>0.006165*O116^2*R116*U116/1000*(1+$T$6)</f>
        <v>34.771783680000006</v>
      </c>
      <c r="AZ116">
        <f>0.006165*O116^2*S116*U116/1000*(1+$T$6)</f>
        <v>0</v>
      </c>
      <c r="BA116">
        <f>AZ116/AP116</f>
        <v>0</v>
      </c>
    </row>
    <row r="117">
      <c r="A117">
        <f>'Data-Kolom'!A118</f>
        <v>28</v>
      </c>
      <c r="B117" t="str">
        <f>'Data-Kolom'!B118</f>
        <v>Lantai 3</v>
      </c>
      <c r="C117">
        <f>'Data-Kolom'!C118</f>
        <v>0</v>
      </c>
      <c r="D117" t="str">
        <f>'Data-Kolom'!D118</f>
        <v>K1A5</v>
      </c>
      <c r="E117" t="str">
        <v>A</v>
      </c>
      <c r="F117">
        <f>'Data-Kolom'!U118</f>
        <v>0</v>
      </c>
      <c r="G117">
        <f>'Data-Kolom'!T118</f>
        <v>0</v>
      </c>
      <c r="H117">
        <f>'Data-Kolom'!E118</f>
        <v>130</v>
      </c>
      <c r="I117">
        <f>'Data-Kolom'!F118</f>
        <v>500</v>
      </c>
      <c r="J117">
        <f>'Data-Kolom'!G118</f>
        <v>3500</v>
      </c>
      <c r="K117">
        <v>1</v>
      </c>
      <c r="M117">
        <f>IF(L117&gt;0,VLOOKUP(L117,'Data-PC'!$B$14:$F$56,4,FALSE),0)</f>
        <v>0</v>
      </c>
      <c r="N117">
        <f>'Data-Kolom'!H118</f>
        <v>6</v>
      </c>
      <c r="O117">
        <f>'Data-Kolom'!I118</f>
        <v>16</v>
      </c>
      <c r="P117">
        <f>IF(N117&gt;0,VLOOKUP(O117,$V$2:$X$9,2,FALSE),0)</f>
        <v>1010</v>
      </c>
      <c r="Q117">
        <f>IF(L117&gt;0,M117-50+$N$6*O117,VLOOKUP(O117,$V$2:$X$9,3,FALSE))</f>
        <v>770</v>
      </c>
      <c r="R117">
        <f>IF(E117="F",J117-$N$5+$N$6*O117+Q117,IF(E117="D",J117+Q117+P117,IF(E117="T",J117+P117,IF(E117="A",J117-$N$5+$N$6*O117,0))))</f>
        <v>3672</v>
      </c>
      <c r="T117">
        <f>SUM(R117:S117)</f>
        <v>3672</v>
      </c>
      <c r="U117">
        <f>K117*N117</f>
        <v>6</v>
      </c>
      <c r="V117">
        <f>'Data-Kolom'!J118</f>
        <v>0</v>
      </c>
      <c r="W117">
        <f>'Data-Kolom'!K118</f>
        <v>0</v>
      </c>
      <c r="X117">
        <f>IF(V117&gt;0,VLOOKUP(W117,$V$2:$X$9,2,FALSE),0)</f>
        <v>0</v>
      </c>
      <c r="Y117">
        <f>IF(V117&gt;0,IF(L117&gt;0,M117-50+$N$6*W117,VLOOKUP(W117,$V$2:$X$9,3,FALSE)),0)</f>
        <v>0</v>
      </c>
      <c r="Z117">
        <f>IF(E117="F",J117-$N$5+$N$6*W117+Y117,IF(E117="D",J117+Y117+X117,IF(E117="T",J117+X117,IF(E117="A",J117-$N$5+$N$6*W117,0))))</f>
        <v>3480</v>
      </c>
      <c r="AB117">
        <f>SUM(Z117:AA117)</f>
        <v>3480</v>
      </c>
      <c r="AC117">
        <f>V117*K117</f>
        <v>0</v>
      </c>
      <c r="AD117">
        <f>'Data-Kolom'!L118</f>
        <v>10</v>
      </c>
      <c r="AE117">
        <f>'Data-Kolom'!M118</f>
        <v>100</v>
      </c>
      <c r="AF117">
        <f>'Data-Kolom'!N118</f>
        <v>100</v>
      </c>
      <c r="AG117">
        <f>'Data-Kolom'!O118</f>
        <v>100</v>
      </c>
      <c r="AH117">
        <f>'Data-Kolom'!P118</f>
        <v>0</v>
      </c>
      <c r="AI117">
        <f>'Data-Kolom'!Q118</f>
        <v>0</v>
      </c>
      <c r="AJ117">
        <f>'Data-Kolom'!R118</f>
        <v>0</v>
      </c>
      <c r="AK117">
        <f>'Data-Kolom'!S118</f>
        <v>0</v>
      </c>
      <c r="AL117">
        <f>2*(H117+I117-4*$N$5)+2*MAX($F$5*AD117,75)</f>
        <v>1250</v>
      </c>
      <c r="AM117">
        <f>+AH117*(H117-2*$N$5+2*MAX($F$5*AI117,75))+AJ117*(I117-2*$N$5+2*MAX($F$5*AK117,75))</f>
        <v>0</v>
      </c>
      <c r="AN117">
        <f>(ROUND((1/2*J117+IF(M117&gt;0,(Q117-$N$6*AD117),0))/AE117,0)+(ROUND(1/2*J117/AF117,0)+1))*K117</f>
        <v>37</v>
      </c>
      <c r="AO117">
        <f>H117*I117*J117/1000000000*K117*(1+$T$5)</f>
        <v>0.2275</v>
      </c>
      <c r="AP117">
        <f>0.006165*O117^2*T117*U117/1000*(1+$T$6)</f>
        <v>34.771783680000006</v>
      </c>
      <c r="AQ117">
        <f>0.006165*W117^2*AB117*AC117/1000*(1+$T$6)</f>
        <v>0</v>
      </c>
      <c r="AR117">
        <f>AN117*0.006165*AD117^2*AL117/1000*(1+$T$6)</f>
        <v>28.513125</v>
      </c>
      <c r="AS117">
        <f>AN117*0.006165*AI117^2*AM117/1000*(1+$T$6)</f>
        <v>0</v>
      </c>
      <c r="AT117">
        <f>K117*2*J117*(H117+I117)/1000000*(1+$T$7)</f>
        <v>4.41</v>
      </c>
      <c r="AU117">
        <f>SUM(AP117:AS117)/AO117</f>
        <v>278.17542276923075</v>
      </c>
      <c r="AV117">
        <f>AT117/AO117</f>
        <v>19.384615384615383</v>
      </c>
      <c r="AX117">
        <f>0.006165*O117^2*R117*U117/1000*(1+$T$6)</f>
        <v>34.771783680000006</v>
      </c>
      <c r="AZ117">
        <f>0.006165*O117^2*S117*U117/1000*(1+$T$6)</f>
        <v>0</v>
      </c>
      <c r="BA117">
        <f>AZ117/AP117</f>
        <v>0</v>
      </c>
    </row>
    <row r="118">
      <c r="A118">
        <f>'Data-Kolom'!A119</f>
        <v>29</v>
      </c>
      <c r="B118" t="str">
        <f>'Data-Kolom'!B119</f>
        <v>Lantai 3</v>
      </c>
      <c r="C118">
        <f>'Data-Kolom'!C119</f>
        <v>0</v>
      </c>
      <c r="D118" t="str">
        <f>'Data-Kolom'!D119</f>
        <v>K1A5</v>
      </c>
      <c r="E118" t="str">
        <v>A</v>
      </c>
      <c r="F118">
        <f>'Data-Kolom'!U119</f>
        <v>0</v>
      </c>
      <c r="G118">
        <f>'Data-Kolom'!T119</f>
        <v>0</v>
      </c>
      <c r="H118">
        <f>'Data-Kolom'!E119</f>
        <v>130</v>
      </c>
      <c r="I118">
        <f>'Data-Kolom'!F119</f>
        <v>500</v>
      </c>
      <c r="J118">
        <f>'Data-Kolom'!G119</f>
        <v>3500</v>
      </c>
      <c r="K118">
        <v>1</v>
      </c>
      <c r="M118">
        <f>IF(L118&gt;0,VLOOKUP(L118,'Data-PC'!$B$14:$F$56,4,FALSE),0)</f>
        <v>0</v>
      </c>
      <c r="N118">
        <f>'Data-Kolom'!H119</f>
        <v>6</v>
      </c>
      <c r="O118">
        <f>'Data-Kolom'!I119</f>
        <v>16</v>
      </c>
      <c r="P118">
        <f>IF(N118&gt;0,VLOOKUP(O118,$V$2:$X$9,2,FALSE),0)</f>
        <v>1010</v>
      </c>
      <c r="Q118">
        <f>IF(L118&gt;0,M118-50+$N$6*O118,VLOOKUP(O118,$V$2:$X$9,3,FALSE))</f>
        <v>770</v>
      </c>
      <c r="R118">
        <f>IF(E118="F",J118-$N$5+$N$6*O118+Q118,IF(E118="D",J118+Q118+P118,IF(E118="T",J118+P118,IF(E118="A",J118-$N$5+$N$6*O118,0))))</f>
        <v>3672</v>
      </c>
      <c r="T118">
        <f>SUM(R118:S118)</f>
        <v>3672</v>
      </c>
      <c r="U118">
        <f>K118*N118</f>
        <v>6</v>
      </c>
      <c r="V118">
        <f>'Data-Kolom'!J119</f>
        <v>0</v>
      </c>
      <c r="W118">
        <f>'Data-Kolom'!K119</f>
        <v>0</v>
      </c>
      <c r="X118">
        <f>IF(V118&gt;0,VLOOKUP(W118,$V$2:$X$9,2,FALSE),0)</f>
        <v>0</v>
      </c>
      <c r="Y118">
        <f>IF(V118&gt;0,IF(L118&gt;0,M118-50+$N$6*W118,VLOOKUP(W118,$V$2:$X$9,3,FALSE)),0)</f>
        <v>0</v>
      </c>
      <c r="Z118">
        <f>IF(E118="F",J118-$N$5+$N$6*W118+Y118,IF(E118="D",J118+Y118+X118,IF(E118="T",J118+X118,IF(E118="A",J118-$N$5+$N$6*W118,0))))</f>
        <v>3480</v>
      </c>
      <c r="AB118">
        <f>SUM(Z118:AA118)</f>
        <v>3480</v>
      </c>
      <c r="AC118">
        <f>V118*K118</f>
        <v>0</v>
      </c>
      <c r="AD118">
        <f>'Data-Kolom'!L119</f>
        <v>10</v>
      </c>
      <c r="AE118">
        <f>'Data-Kolom'!M119</f>
        <v>100</v>
      </c>
      <c r="AF118">
        <f>'Data-Kolom'!N119</f>
        <v>100</v>
      </c>
      <c r="AG118">
        <f>'Data-Kolom'!O119</f>
        <v>100</v>
      </c>
      <c r="AH118">
        <f>'Data-Kolom'!P119</f>
        <v>0</v>
      </c>
      <c r="AI118">
        <f>'Data-Kolom'!Q119</f>
        <v>0</v>
      </c>
      <c r="AJ118">
        <f>'Data-Kolom'!R119</f>
        <v>0</v>
      </c>
      <c r="AK118">
        <f>'Data-Kolom'!S119</f>
        <v>0</v>
      </c>
      <c r="AL118">
        <f>2*(H118+I118-4*$N$5)+2*MAX($F$5*AD118,75)</f>
        <v>1250</v>
      </c>
      <c r="AM118">
        <f>+AH118*(H118-2*$N$5+2*MAX($F$5*AI118,75))+AJ118*(I118-2*$N$5+2*MAX($F$5*AK118,75))</f>
        <v>0</v>
      </c>
      <c r="AN118">
        <f>(ROUND((1/2*J118+IF(M118&gt;0,(Q118-$N$6*AD118),0))/AE118,0)+(ROUND(1/2*J118/AF118,0)+1))*K118</f>
        <v>37</v>
      </c>
      <c r="AO118">
        <f>H118*I118*J118/1000000000*K118*(1+$T$5)</f>
        <v>0.2275</v>
      </c>
      <c r="AP118">
        <f>0.006165*O118^2*T118*U118/1000*(1+$T$6)</f>
        <v>34.771783680000006</v>
      </c>
      <c r="AQ118">
        <f>0.006165*W118^2*AB118*AC118/1000*(1+$T$6)</f>
        <v>0</v>
      </c>
      <c r="AR118">
        <f>AN118*0.006165*AD118^2*AL118/1000*(1+$T$6)</f>
        <v>28.513125</v>
      </c>
      <c r="AS118">
        <f>AN118*0.006165*AI118^2*AM118/1000*(1+$T$6)</f>
        <v>0</v>
      </c>
      <c r="AT118">
        <f>K118*2*J118*(H118+I118)/1000000*(1+$T$7)</f>
        <v>4.41</v>
      </c>
      <c r="AU118">
        <f>SUM(AP118:AS118)/AO118</f>
        <v>278.17542276923075</v>
      </c>
      <c r="AV118">
        <f>AT118/AO118</f>
        <v>19.384615384615383</v>
      </c>
      <c r="AX118">
        <f>0.006165*O118^2*R118*U118/1000*(1+$T$6)</f>
        <v>34.771783680000006</v>
      </c>
      <c r="AZ118">
        <f>0.006165*O118^2*S118*U118/1000*(1+$T$6)</f>
        <v>0</v>
      </c>
      <c r="BA118">
        <f>AZ118/AP118</f>
        <v>0</v>
      </c>
    </row>
    <row r="120">
      <c r="A120">
        <f>'Data-Kolom'!A121</f>
        <v>101</v>
      </c>
      <c r="B120" t="str">
        <f>'Data-Kolom'!B121</f>
        <v>Lantai 3</v>
      </c>
      <c r="C120">
        <f>'Data-Kolom'!C121</f>
        <v>0</v>
      </c>
      <c r="D120" t="str">
        <f>'Data-Kolom'!D121</f>
        <v>K1A5</v>
      </c>
      <c r="E120" t="str">
        <v>A</v>
      </c>
      <c r="F120">
        <f>'Data-Kolom'!U121</f>
        <v>0</v>
      </c>
      <c r="G120">
        <f>'Data-Kolom'!T121</f>
        <v>0</v>
      </c>
      <c r="H120">
        <f>'Data-Kolom'!E121</f>
        <v>130</v>
      </c>
      <c r="I120">
        <f>'Data-Kolom'!F121</f>
        <v>500</v>
      </c>
      <c r="J120">
        <f>'Data-Kolom'!G121</f>
        <v>3500</v>
      </c>
      <c r="K120">
        <v>1</v>
      </c>
      <c r="M120">
        <f>IF(L120&gt;0,VLOOKUP(L120,'Data-PC'!$B$14:$F$56,4,FALSE),0)</f>
        <v>0</v>
      </c>
      <c r="N120">
        <f>'Data-Kolom'!H121</f>
        <v>6</v>
      </c>
      <c r="O120">
        <f>'Data-Kolom'!I121</f>
        <v>16</v>
      </c>
      <c r="P120">
        <f>IF(N120&gt;0,VLOOKUP(O120,$V$2:$X$9,2,FALSE),0)</f>
        <v>1010</v>
      </c>
      <c r="Q120">
        <f>IF(L120&gt;0,M120-50+$N$6*O120,VLOOKUP(O120,$V$2:$X$9,3,FALSE))</f>
        <v>770</v>
      </c>
      <c r="R120">
        <f>IF(E120="F",J120-$N$5+$N$6*O120+Q120,IF(E120="D",J120+Q120+P120,IF(E120="T",J120+P120,IF(E120="A",J120-$N$5+$N$6*O120,0))))</f>
        <v>3672</v>
      </c>
      <c r="T120">
        <f>SUM(R120:S120)</f>
        <v>3672</v>
      </c>
      <c r="U120">
        <f>K120*N120</f>
        <v>6</v>
      </c>
      <c r="V120">
        <f>'Data-Kolom'!J121</f>
        <v>0</v>
      </c>
      <c r="W120">
        <f>'Data-Kolom'!K121</f>
        <v>0</v>
      </c>
      <c r="X120">
        <f>IF(V120&gt;0,VLOOKUP(W120,$V$2:$X$9,2,FALSE),0)</f>
        <v>0</v>
      </c>
      <c r="Y120">
        <f>IF(V120&gt;0,IF(L120&gt;0,M120-50+$N$6*W120,VLOOKUP(W120,$V$2:$X$9,3,FALSE)),0)</f>
        <v>0</v>
      </c>
      <c r="Z120">
        <f>IF(E120="F",J120-$N$5+$N$6*W120+Y120,IF(E120="D",J120+Y120+X120,IF(E120="T",J120+X120,IF(E120="A",J120-$N$5+$N$6*W120,0))))</f>
        <v>3480</v>
      </c>
      <c r="AB120">
        <f>SUM(Z120:AA120)</f>
        <v>3480</v>
      </c>
      <c r="AC120">
        <f>V120*K120</f>
        <v>0</v>
      </c>
      <c r="AD120">
        <f>'Data-Kolom'!L121</f>
        <v>10</v>
      </c>
      <c r="AE120">
        <f>'Data-Kolom'!M121</f>
        <v>100</v>
      </c>
      <c r="AF120">
        <f>'Data-Kolom'!N121</f>
        <v>100</v>
      </c>
      <c r="AG120">
        <f>'Data-Kolom'!O121</f>
        <v>100</v>
      </c>
      <c r="AH120">
        <f>'Data-Kolom'!P121</f>
        <v>0</v>
      </c>
      <c r="AI120">
        <f>'Data-Kolom'!Q121</f>
        <v>0</v>
      </c>
      <c r="AJ120">
        <f>'Data-Kolom'!R121</f>
        <v>0</v>
      </c>
      <c r="AK120">
        <f>'Data-Kolom'!S121</f>
        <v>0</v>
      </c>
      <c r="AL120">
        <f>2*(H120+I120-4*$N$5)+2*MAX($F$5*AD120,75)</f>
        <v>1250</v>
      </c>
      <c r="AM120">
        <f>+AH120*(H120-2*$N$5+2*MAX($F$5*AI120,75))+AJ120*(I120-2*$N$5+2*MAX($F$5*AK120,75))</f>
        <v>0</v>
      </c>
      <c r="AN120">
        <f>(ROUND((1/2*J120+IF(M120&gt;0,(Q120-$N$6*AD120),0))/AE120,0)+(ROUND(1/2*J120/AF120,0)+1))*K120</f>
        <v>37</v>
      </c>
      <c r="AO120">
        <f>H120*I120*J120/1000000000*K120*(1+$T$5)</f>
        <v>0.2275</v>
      </c>
      <c r="AP120">
        <f>0.006165*O120^2*T120*U120/1000*(1+$T$6)</f>
        <v>34.771783680000006</v>
      </c>
      <c r="AQ120">
        <f>0.006165*W120^2*AB120*AC120/1000*(1+$T$6)</f>
        <v>0</v>
      </c>
      <c r="AR120">
        <f>AN120*0.006165*AD120^2*AL120/1000*(1+$T$6)</f>
        <v>28.513125</v>
      </c>
      <c r="AS120">
        <f>AN120*0.006165*AI120^2*AM120/1000*(1+$T$6)</f>
        <v>0</v>
      </c>
      <c r="AT120">
        <f>K120*2*J120*(H120+I120)/1000000*(1+$T$7)</f>
        <v>4.41</v>
      </c>
      <c r="AU120">
        <f>SUM(AP120:AS120)/AO120</f>
        <v>278.17542276923075</v>
      </c>
      <c r="AV120">
        <f>AT120/AO120</f>
        <v>19.384615384615383</v>
      </c>
      <c r="AX120">
        <f>0.006165*O120^2*R120*U120/1000*(1+$T$6)</f>
        <v>34.771783680000006</v>
      </c>
      <c r="AZ120">
        <f>0.006165*O120^2*S120*U120/1000*(1+$T$6)</f>
        <v>0</v>
      </c>
      <c r="BA120">
        <f>AZ120/AP120</f>
        <v>0</v>
      </c>
    </row>
    <row r="121">
      <c r="A121">
        <f>'Data-Kolom'!A122</f>
        <v>102</v>
      </c>
      <c r="B121" t="str">
        <f>'Data-Kolom'!B122</f>
        <v>Lantai 3</v>
      </c>
      <c r="C121">
        <f>'Data-Kolom'!C122</f>
        <v>0</v>
      </c>
      <c r="D121" t="str">
        <f>'Data-Kolom'!D122</f>
        <v>K4</v>
      </c>
      <c r="E121" t="str">
        <v>A</v>
      </c>
      <c r="F121">
        <f>'Data-Kolom'!U122</f>
        <v>0</v>
      </c>
      <c r="G121">
        <f>'Data-Kolom'!T122</f>
        <v>0</v>
      </c>
      <c r="H121">
        <f>'Data-Kolom'!E122</f>
        <v>170</v>
      </c>
      <c r="I121">
        <f>'Data-Kolom'!F122</f>
        <v>400</v>
      </c>
      <c r="J121">
        <f>'Data-Kolom'!G122</f>
        <v>3500</v>
      </c>
      <c r="K121">
        <v>1</v>
      </c>
      <c r="M121">
        <f>IF(L121&gt;0,VLOOKUP(L121,'Data-PC'!$B$14:$F$56,4,FALSE),0)</f>
        <v>0</v>
      </c>
      <c r="N121">
        <f>'Data-Kolom'!H122</f>
        <v>6</v>
      </c>
      <c r="O121">
        <f>'Data-Kolom'!I122</f>
        <v>16</v>
      </c>
      <c r="P121">
        <f>IF(N121&gt;0,VLOOKUP(O121,$V$2:$X$9,2,FALSE),0)</f>
        <v>1010</v>
      </c>
      <c r="Q121">
        <f>IF(L121&gt;0,M121-50+$N$6*O121,VLOOKUP(O121,$V$2:$X$9,3,FALSE))</f>
        <v>770</v>
      </c>
      <c r="R121">
        <f>IF(E121="F",J121-$N$5+$N$6*O121+Q121,IF(E121="D",J121+Q121+P121,IF(E121="T",J121+P121,IF(E121="A",J121-$N$5+$N$6*O121,0))))</f>
        <v>3672</v>
      </c>
      <c r="T121">
        <f>SUM(R121:S121)</f>
        <v>3672</v>
      </c>
      <c r="U121">
        <f>K121*N121</f>
        <v>6</v>
      </c>
      <c r="V121">
        <f>'Data-Kolom'!J122</f>
        <v>0</v>
      </c>
      <c r="W121">
        <f>'Data-Kolom'!K122</f>
        <v>0</v>
      </c>
      <c r="X121">
        <f>IF(V121&gt;0,VLOOKUP(W121,$V$2:$X$9,2,FALSE),0)</f>
        <v>0</v>
      </c>
      <c r="Y121">
        <f>IF(V121&gt;0,IF(L121&gt;0,M121-50+$N$6*W121,VLOOKUP(W121,$V$2:$X$9,3,FALSE)),0)</f>
        <v>0</v>
      </c>
      <c r="Z121">
        <f>IF(E121="F",J121-$N$5+$N$6*W121+Y121,IF(E121="D",J121+Y121+X121,IF(E121="T",J121+X121,IF(E121="A",J121-$N$5+$N$6*W121,0))))</f>
        <v>3480</v>
      </c>
      <c r="AB121">
        <f>SUM(Z121:AA121)</f>
        <v>3480</v>
      </c>
      <c r="AC121">
        <f>V121*K121</f>
        <v>0</v>
      </c>
      <c r="AD121">
        <f>'Data-Kolom'!L122</f>
        <v>10</v>
      </c>
      <c r="AE121">
        <f>'Data-Kolom'!M122</f>
        <v>100</v>
      </c>
      <c r="AF121">
        <f>'Data-Kolom'!N122</f>
        <v>100</v>
      </c>
      <c r="AG121">
        <f>'Data-Kolom'!O122</f>
        <v>100</v>
      </c>
      <c r="AH121">
        <f>'Data-Kolom'!P122</f>
        <v>0</v>
      </c>
      <c r="AI121">
        <f>'Data-Kolom'!Q122</f>
        <v>0</v>
      </c>
      <c r="AJ121">
        <f>'Data-Kolom'!R122</f>
        <v>0</v>
      </c>
      <c r="AK121">
        <f>'Data-Kolom'!S122</f>
        <v>0</v>
      </c>
      <c r="AL121">
        <f>2*(H121+I121-4*$N$5)+2*MAX($F$5*AD121,75)</f>
        <v>1130</v>
      </c>
      <c r="AM121">
        <f>+AH121*(H121-2*$N$5+2*MAX($F$5*AI121,75))+AJ121*(I121-2*$N$5+2*MAX($F$5*AK121,75))</f>
        <v>0</v>
      </c>
      <c r="AN121">
        <f>(ROUND((1/2*J121+IF(M121&gt;0,(Q121-$N$6*AD121),0))/AE121,0)+(ROUND(1/2*J121/AF121,0)+1))*K121</f>
        <v>37</v>
      </c>
      <c r="AO121">
        <f>H121*I121*J121/1000000000*K121*(1+$T$5)</f>
        <v>0.238</v>
      </c>
      <c r="AP121">
        <f>0.006165*O121^2*T121*U121/1000*(1+$T$6)</f>
        <v>34.771783680000006</v>
      </c>
      <c r="AQ121">
        <f>0.006165*W121^2*AB121*AC121/1000*(1+$T$6)</f>
        <v>0</v>
      </c>
      <c r="AR121">
        <f>AN121*0.006165*AD121^2*AL121/1000*(1+$T$6)</f>
        <v>25.775865000000003</v>
      </c>
      <c r="AS121">
        <f>AN121*0.006165*AI121^2*AM121/1000*(1+$T$6)</f>
        <v>0</v>
      </c>
      <c r="AT121">
        <f>K121*2*J121*(H121+I121)/1000000*(1+$T$7)</f>
        <v>3.99</v>
      </c>
      <c r="AU121">
        <f>SUM(AP121:AS121)/AO121</f>
        <v>254.4018852100841</v>
      </c>
      <c r="AV121">
        <f>AT121/AO121</f>
        <v>16.764705882352942</v>
      </c>
      <c r="AX121">
        <f>0.006165*O121^2*R121*U121/1000*(1+$T$6)</f>
        <v>34.771783680000006</v>
      </c>
      <c r="AZ121">
        <f>0.006165*O121^2*S121*U121/1000*(1+$T$6)</f>
        <v>0</v>
      </c>
      <c r="BA121">
        <f>AZ121/AP121</f>
        <v>0</v>
      </c>
    </row>
    <row r="122">
      <c r="A122">
        <f>'Data-Kolom'!A123</f>
        <v>103</v>
      </c>
      <c r="B122" t="str">
        <f>'Data-Kolom'!B123</f>
        <v>Lantai 3</v>
      </c>
      <c r="C122">
        <f>'Data-Kolom'!C123</f>
        <v>0</v>
      </c>
      <c r="D122" t="str">
        <f>'Data-Kolom'!D123</f>
        <v>K4</v>
      </c>
      <c r="E122" t="str">
        <v>A</v>
      </c>
      <c r="F122">
        <f>'Data-Kolom'!U123</f>
        <v>0</v>
      </c>
      <c r="G122">
        <f>'Data-Kolom'!T123</f>
        <v>0</v>
      </c>
      <c r="H122">
        <f>'Data-Kolom'!E123</f>
        <v>170</v>
      </c>
      <c r="I122">
        <f>'Data-Kolom'!F123</f>
        <v>400</v>
      </c>
      <c r="J122">
        <f>'Data-Kolom'!G123</f>
        <v>3500</v>
      </c>
      <c r="K122">
        <v>1</v>
      </c>
      <c r="M122">
        <f>IF(L122&gt;0,VLOOKUP(L122,'Data-PC'!$B$14:$F$56,4,FALSE),0)</f>
        <v>0</v>
      </c>
      <c r="N122">
        <f>'Data-Kolom'!H123</f>
        <v>6</v>
      </c>
      <c r="O122">
        <f>'Data-Kolom'!I123</f>
        <v>16</v>
      </c>
      <c r="P122">
        <f>IF(N122&gt;0,VLOOKUP(O122,$V$2:$X$9,2,FALSE),0)</f>
        <v>1010</v>
      </c>
      <c r="Q122">
        <f>IF(L122&gt;0,M122-50+$N$6*O122,VLOOKUP(O122,$V$2:$X$9,3,FALSE))</f>
        <v>770</v>
      </c>
      <c r="R122">
        <f>IF(E122="F",J122-$N$5+$N$6*O122+Q122,IF(E122="D",J122+Q122+P122,IF(E122="T",J122+P122,IF(E122="A",J122-$N$5+$N$6*O122,0))))</f>
        <v>3672</v>
      </c>
      <c r="T122">
        <f>SUM(R122:S122)</f>
        <v>3672</v>
      </c>
      <c r="U122">
        <f>K122*N122</f>
        <v>6</v>
      </c>
      <c r="V122">
        <f>'Data-Kolom'!J123</f>
        <v>0</v>
      </c>
      <c r="W122">
        <f>'Data-Kolom'!K123</f>
        <v>0</v>
      </c>
      <c r="X122">
        <f>IF(V122&gt;0,VLOOKUP(W122,$V$2:$X$9,2,FALSE),0)</f>
        <v>0</v>
      </c>
      <c r="Y122">
        <f>IF(V122&gt;0,IF(L122&gt;0,M122-50+$N$6*W122,VLOOKUP(W122,$V$2:$X$9,3,FALSE)),0)</f>
        <v>0</v>
      </c>
      <c r="Z122">
        <f>IF(E122="F",J122-$N$5+$N$6*W122+Y122,IF(E122="D",J122+Y122+X122,IF(E122="T",J122+X122,IF(E122="A",J122-$N$5+$N$6*W122,0))))</f>
        <v>3480</v>
      </c>
      <c r="AB122">
        <f>SUM(Z122:AA122)</f>
        <v>3480</v>
      </c>
      <c r="AC122">
        <f>V122*K122</f>
        <v>0</v>
      </c>
      <c r="AD122">
        <f>'Data-Kolom'!L123</f>
        <v>10</v>
      </c>
      <c r="AE122">
        <f>'Data-Kolom'!M123</f>
        <v>100</v>
      </c>
      <c r="AF122">
        <f>'Data-Kolom'!N123</f>
        <v>100</v>
      </c>
      <c r="AG122">
        <f>'Data-Kolom'!O123</f>
        <v>100</v>
      </c>
      <c r="AH122">
        <f>'Data-Kolom'!P123</f>
        <v>0</v>
      </c>
      <c r="AI122">
        <f>'Data-Kolom'!Q123</f>
        <v>0</v>
      </c>
      <c r="AJ122">
        <f>'Data-Kolom'!R123</f>
        <v>0</v>
      </c>
      <c r="AK122">
        <f>'Data-Kolom'!S123</f>
        <v>0</v>
      </c>
      <c r="AL122">
        <f>2*(H122+I122-4*$N$5)+2*MAX($F$5*AD122,75)</f>
        <v>1130</v>
      </c>
      <c r="AM122">
        <f>+AH122*(H122-2*$N$5+2*MAX($F$5*AI122,75))+AJ122*(I122-2*$N$5+2*MAX($F$5*AK122,75))</f>
        <v>0</v>
      </c>
      <c r="AN122">
        <f>(ROUND((1/2*J122+IF(M122&gt;0,(Q122-$N$6*AD122),0))/AE122,0)+(ROUND(1/2*J122/AF122,0)+1))*K122</f>
        <v>37</v>
      </c>
      <c r="AO122">
        <f>H122*I122*J122/1000000000*K122*(1+$T$5)</f>
        <v>0.238</v>
      </c>
      <c r="AP122">
        <f>0.006165*O122^2*T122*U122/1000*(1+$T$6)</f>
        <v>34.771783680000006</v>
      </c>
      <c r="AQ122">
        <f>0.006165*W122^2*AB122*AC122/1000*(1+$T$6)</f>
        <v>0</v>
      </c>
      <c r="AR122">
        <f>AN122*0.006165*AD122^2*AL122/1000*(1+$T$6)</f>
        <v>25.775865000000003</v>
      </c>
      <c r="AS122">
        <f>AN122*0.006165*AI122^2*AM122/1000*(1+$T$6)</f>
        <v>0</v>
      </c>
      <c r="AT122">
        <f>K122*2*J122*(H122+I122)/1000000*(1+$T$7)</f>
        <v>3.99</v>
      </c>
      <c r="AU122">
        <f>SUM(AP122:AS122)/AO122</f>
        <v>254.4018852100841</v>
      </c>
      <c r="AV122">
        <f>AT122/AO122</f>
        <v>16.764705882352942</v>
      </c>
      <c r="AX122">
        <f>0.006165*O122^2*R122*U122/1000*(1+$T$6)</f>
        <v>34.771783680000006</v>
      </c>
      <c r="AZ122">
        <f>0.006165*O122^2*S122*U122/1000*(1+$T$6)</f>
        <v>0</v>
      </c>
      <c r="BA122">
        <f>AZ122/AP122</f>
        <v>0</v>
      </c>
    </row>
    <row r="124">
      <c r="A124">
        <f>'Data-Kolom'!A125</f>
        <v>201</v>
      </c>
      <c r="B124" t="str">
        <f>'Data-Kolom'!B125</f>
        <v>Lantai 3</v>
      </c>
      <c r="C124">
        <f>'Data-Kolom'!C125</f>
        <v>0</v>
      </c>
      <c r="D124" t="str">
        <f>'Data-Kolom'!D125</f>
        <v>K1A4</v>
      </c>
      <c r="E124" t="str">
        <v>F</v>
      </c>
      <c r="F124">
        <f>'Data-Kolom'!U125</f>
        <v>0</v>
      </c>
      <c r="G124">
        <f>'Data-Kolom'!T125</f>
        <v>0</v>
      </c>
      <c r="H124">
        <f>'Data-Kolom'!E125</f>
        <v>130</v>
      </c>
      <c r="I124">
        <f>'Data-Kolom'!F125</f>
        <v>400</v>
      </c>
      <c r="J124">
        <f>'Data-Kolom'!G125</f>
        <v>3500</v>
      </c>
      <c r="K124">
        <v>1</v>
      </c>
      <c r="M124">
        <f>IF(L124&gt;0,VLOOKUP(L124,'Data-PC'!$B$14:$F$56,4,FALSE),0)</f>
        <v>0</v>
      </c>
      <c r="N124">
        <f>'Data-Kolom'!H125</f>
        <v>6</v>
      </c>
      <c r="O124">
        <f>'Data-Kolom'!I125</f>
        <v>16</v>
      </c>
      <c r="P124">
        <f>IF(N124&gt;0,VLOOKUP(O124,$V$2:$X$9,2,FALSE),0)</f>
        <v>1010</v>
      </c>
      <c r="Q124">
        <f>IF(L124&gt;0,M124-50+$N$6*O124,VLOOKUP(O124,$V$2:$X$9,3,FALSE))</f>
        <v>770</v>
      </c>
      <c r="R124">
        <f>IF(E124="F",J124-$N$5+$N$6*O124+Q124,IF(E124="D",J124+Q124+P124,IF(E124="T",J124+P124,IF(E124="A",J124-$N$5+$N$6*O124,0))))</f>
        <v>4442</v>
      </c>
      <c r="T124">
        <f>SUM(R124:S124)</f>
        <v>4442</v>
      </c>
      <c r="U124">
        <f>K124*N124</f>
        <v>6</v>
      </c>
      <c r="V124">
        <f>'Data-Kolom'!J125</f>
        <v>0</v>
      </c>
      <c r="W124">
        <f>'Data-Kolom'!K125</f>
        <v>0</v>
      </c>
      <c r="X124">
        <f>IF(V124&gt;0,VLOOKUP(W124,$V$2:$X$9,2,FALSE),0)</f>
        <v>0</v>
      </c>
      <c r="Y124">
        <f>IF(V124&gt;0,IF(L124&gt;0,M124-50+$N$6*W124,VLOOKUP(W124,$V$2:$X$9,3,FALSE)),0)</f>
        <v>0</v>
      </c>
      <c r="Z124">
        <f>IF(E124="F",J124-$N$5+$N$6*W124+Y124,IF(E124="D",J124+Y124+X124,IF(E124="T",J124+X124,IF(E124="A",J124-$N$5+$N$6*W124,0))))</f>
        <v>3480</v>
      </c>
      <c r="AB124">
        <f>SUM(Z124:AA124)</f>
        <v>3480</v>
      </c>
      <c r="AC124">
        <f>V124*K124</f>
        <v>0</v>
      </c>
      <c r="AD124">
        <f>'Data-Kolom'!L125</f>
        <v>10</v>
      </c>
      <c r="AE124">
        <f>'Data-Kolom'!M125</f>
        <v>100</v>
      </c>
      <c r="AF124">
        <f>'Data-Kolom'!N125</f>
        <v>100</v>
      </c>
      <c r="AG124">
        <f>'Data-Kolom'!O125</f>
        <v>100</v>
      </c>
      <c r="AH124">
        <f>'Data-Kolom'!P125</f>
        <v>0</v>
      </c>
      <c r="AI124">
        <f>'Data-Kolom'!Q125</f>
        <v>0</v>
      </c>
      <c r="AJ124">
        <f>'Data-Kolom'!R125</f>
        <v>0</v>
      </c>
      <c r="AK124">
        <f>'Data-Kolom'!S125</f>
        <v>0</v>
      </c>
      <c r="AL124">
        <f>2*(H124+I124-4*$N$5)+2*MAX($F$5*AD124,75)</f>
        <v>1050</v>
      </c>
      <c r="AM124">
        <f>+AH124*(H124-2*$N$5+2*MAX($F$5*AI124,75))+AJ124*(I124-2*$N$5+2*MAX($F$5*AK124,75))</f>
        <v>0</v>
      </c>
      <c r="AN124">
        <f>(ROUND((1/2*J124+IF(M124&gt;0,(Q124-$N$6*AD124),0))/AE124,0)+(ROUND(1/2*J124/AF124,0)+1))*K124</f>
        <v>37</v>
      </c>
      <c r="AO124">
        <f>H124*I124*J124/1000000000*K124*(1+$T$5)</f>
        <v>0.182</v>
      </c>
      <c r="AP124">
        <f>0.006165*O124^2*T124*U124/1000*(1+$T$6)</f>
        <v>42.06325248</v>
      </c>
      <c r="AQ124">
        <f>0.006165*W124^2*AB124*AC124/1000*(1+$T$6)</f>
        <v>0</v>
      </c>
      <c r="AR124">
        <f>AN124*0.006165*AD124^2*AL124/1000*(1+$T$6)</f>
        <v>23.951025</v>
      </c>
      <c r="AS124">
        <f>AN124*0.006165*AI124^2*AM124/1000*(1+$T$6)</f>
        <v>0</v>
      </c>
      <c r="AT124">
        <f>K124*2*J124*(H124+I124)/1000000*(1+$T$7)</f>
        <v>3.71</v>
      </c>
      <c r="AU124">
        <f>SUM(AP124:AS124)/AO124</f>
        <v>362.7158103296704</v>
      </c>
      <c r="AV124">
        <f>AT124/AO124</f>
        <v>20.384615384615383</v>
      </c>
      <c r="AX124">
        <f>0.006165*O124^2*R124*U124/1000*(1+$T$6)</f>
        <v>42.06325248</v>
      </c>
      <c r="AZ124">
        <f>0.006165*O124^2*S124*U124/1000*(1+$T$6)</f>
        <v>0</v>
      </c>
      <c r="BA124">
        <f>AZ124/AP124</f>
        <v>0</v>
      </c>
    </row>
    <row r="125">
      <c r="A125">
        <f>'Data-Kolom'!A126</f>
        <v>202</v>
      </c>
      <c r="B125" t="str">
        <f>'Data-Kolom'!B126</f>
        <v>Lantai 3</v>
      </c>
      <c r="C125">
        <f>'Data-Kolom'!C126</f>
        <v>0</v>
      </c>
      <c r="D125" t="str">
        <f>'Data-Kolom'!D126</f>
        <v>K1A4</v>
      </c>
      <c r="E125" t="str">
        <v>F</v>
      </c>
      <c r="F125">
        <f>'Data-Kolom'!U126</f>
        <v>0</v>
      </c>
      <c r="G125">
        <f>'Data-Kolom'!T126</f>
        <v>0</v>
      </c>
      <c r="H125">
        <f>'Data-Kolom'!E126</f>
        <v>130</v>
      </c>
      <c r="I125">
        <f>'Data-Kolom'!F126</f>
        <v>400</v>
      </c>
      <c r="J125">
        <f>'Data-Kolom'!G126</f>
        <v>3500</v>
      </c>
      <c r="K125">
        <v>1</v>
      </c>
      <c r="M125">
        <f>IF(L125&gt;0,VLOOKUP(L125,'Data-PC'!$B$14:$F$56,4,FALSE),0)</f>
        <v>0</v>
      </c>
      <c r="N125">
        <f>'Data-Kolom'!H126</f>
        <v>6</v>
      </c>
      <c r="O125">
        <f>'Data-Kolom'!I126</f>
        <v>16</v>
      </c>
      <c r="P125">
        <f>IF(N125&gt;0,VLOOKUP(O125,$V$2:$X$9,2,FALSE),0)</f>
        <v>1010</v>
      </c>
      <c r="Q125">
        <f>IF(L125&gt;0,M125-50+$N$6*O125,VLOOKUP(O125,$V$2:$X$9,3,FALSE))</f>
        <v>770</v>
      </c>
      <c r="R125">
        <f>IF(E125="F",J125-$N$5+$N$6*O125+Q125,IF(E125="D",J125+Q125+P125,IF(E125="T",J125+P125,IF(E125="A",J125-$N$5+$N$6*O125,0))))</f>
        <v>4442</v>
      </c>
      <c r="T125">
        <f>SUM(R125:S125)</f>
        <v>4442</v>
      </c>
      <c r="U125">
        <f>K125*N125</f>
        <v>6</v>
      </c>
      <c r="V125">
        <f>'Data-Kolom'!J126</f>
        <v>0</v>
      </c>
      <c r="W125">
        <f>'Data-Kolom'!K126</f>
        <v>0</v>
      </c>
      <c r="X125">
        <f>IF(V125&gt;0,VLOOKUP(W125,$V$2:$X$9,2,FALSE),0)</f>
        <v>0</v>
      </c>
      <c r="Y125">
        <f>IF(V125&gt;0,IF(L125&gt;0,M125-50+$N$6*W125,VLOOKUP(W125,$V$2:$X$9,3,FALSE)),0)</f>
        <v>0</v>
      </c>
      <c r="Z125">
        <f>IF(E125="F",J125-$N$5+$N$6*W125+Y125,IF(E125="D",J125+Y125+X125,IF(E125="T",J125+X125,IF(E125="A",J125-$N$5+$N$6*W125,0))))</f>
        <v>3480</v>
      </c>
      <c r="AB125">
        <f>SUM(Z125:AA125)</f>
        <v>3480</v>
      </c>
      <c r="AC125">
        <f>V125*K125</f>
        <v>0</v>
      </c>
      <c r="AD125">
        <f>'Data-Kolom'!L126</f>
        <v>10</v>
      </c>
      <c r="AE125">
        <f>'Data-Kolom'!M126</f>
        <v>100</v>
      </c>
      <c r="AF125">
        <f>'Data-Kolom'!N126</f>
        <v>100</v>
      </c>
      <c r="AG125">
        <f>'Data-Kolom'!O126</f>
        <v>100</v>
      </c>
      <c r="AH125">
        <f>'Data-Kolom'!P126</f>
        <v>0</v>
      </c>
      <c r="AI125">
        <f>'Data-Kolom'!Q126</f>
        <v>0</v>
      </c>
      <c r="AJ125">
        <f>'Data-Kolom'!R126</f>
        <v>0</v>
      </c>
      <c r="AK125">
        <f>'Data-Kolom'!S126</f>
        <v>0</v>
      </c>
      <c r="AL125">
        <f>2*(H125+I125-4*$N$5)+2*MAX($F$5*AD125,75)</f>
        <v>1050</v>
      </c>
      <c r="AM125">
        <f>+AH125*(H125-2*$N$5+2*MAX($F$5*AI125,75))+AJ125*(I125-2*$N$5+2*MAX($F$5*AK125,75))</f>
        <v>0</v>
      </c>
      <c r="AN125">
        <f>(ROUND((1/2*J125+IF(M125&gt;0,(Q125-$N$6*AD125),0))/AE125,0)+(ROUND(1/2*J125/AF125,0)+1))*K125</f>
        <v>37</v>
      </c>
      <c r="AO125">
        <f>H125*I125*J125/1000000000*K125*(1+$T$5)</f>
        <v>0.182</v>
      </c>
      <c r="AP125">
        <f>0.006165*O125^2*T125*U125/1000*(1+$T$6)</f>
        <v>42.06325248</v>
      </c>
      <c r="AQ125">
        <f>0.006165*W125^2*AB125*AC125/1000*(1+$T$6)</f>
        <v>0</v>
      </c>
      <c r="AR125">
        <f>AN125*0.006165*AD125^2*AL125/1000*(1+$T$6)</f>
        <v>23.951025</v>
      </c>
      <c r="AS125">
        <f>AN125*0.006165*AI125^2*AM125/1000*(1+$T$6)</f>
        <v>0</v>
      </c>
      <c r="AT125">
        <f>K125*2*J125*(H125+I125)/1000000*(1+$T$7)</f>
        <v>3.71</v>
      </c>
      <c r="AU125">
        <f>SUM(AP125:AS125)/AO125</f>
        <v>362.7158103296704</v>
      </c>
      <c r="AV125">
        <f>AT125/AO125</f>
        <v>20.384615384615383</v>
      </c>
      <c r="AX125">
        <f>0.006165*O125^2*R125*U125/1000*(1+$T$6)</f>
        <v>42.06325248</v>
      </c>
      <c r="AZ125">
        <f>0.006165*O125^2*S125*U125/1000*(1+$T$6)</f>
        <v>0</v>
      </c>
      <c r="BA125">
        <f>AZ125/AP125</f>
        <v>0</v>
      </c>
    </row>
    <row r="126">
      <c r="A126">
        <f>'Data-Kolom'!A127</f>
        <v>203</v>
      </c>
      <c r="B126" t="str">
        <f>'Data-Kolom'!B127</f>
        <v>Lantai 3</v>
      </c>
      <c r="C126">
        <f>'Data-Kolom'!C127</f>
        <v>0</v>
      </c>
      <c r="D126" t="str">
        <f>'Data-Kolom'!D127</f>
        <v>K1A4</v>
      </c>
      <c r="E126" t="str">
        <v>F</v>
      </c>
      <c r="F126">
        <f>'Data-Kolom'!U127</f>
        <v>0</v>
      </c>
      <c r="G126">
        <f>'Data-Kolom'!T127</f>
        <v>0</v>
      </c>
      <c r="H126">
        <f>'Data-Kolom'!E127</f>
        <v>130</v>
      </c>
      <c r="I126">
        <f>'Data-Kolom'!F127</f>
        <v>400</v>
      </c>
      <c r="J126">
        <f>'Data-Kolom'!G127</f>
        <v>3500</v>
      </c>
      <c r="K126">
        <v>1</v>
      </c>
      <c r="M126">
        <f>IF(L126&gt;0,VLOOKUP(L126,'Data-PC'!$B$14:$F$56,4,FALSE),0)</f>
        <v>0</v>
      </c>
      <c r="N126">
        <f>'Data-Kolom'!H127</f>
        <v>6</v>
      </c>
      <c r="O126">
        <f>'Data-Kolom'!I127</f>
        <v>16</v>
      </c>
      <c r="P126">
        <f>IF(N126&gt;0,VLOOKUP(O126,$V$2:$X$9,2,FALSE),0)</f>
        <v>1010</v>
      </c>
      <c r="Q126">
        <f>IF(L126&gt;0,M126-50+$N$6*O126,VLOOKUP(O126,$V$2:$X$9,3,FALSE))</f>
        <v>770</v>
      </c>
      <c r="R126">
        <f>IF(E126="F",J126-$N$5+$N$6*O126+Q126,IF(E126="D",J126+Q126+P126,IF(E126="T",J126+P126,IF(E126="A",J126-$N$5+$N$6*O126,0))))</f>
        <v>4442</v>
      </c>
      <c r="T126">
        <f>SUM(R126:S126)</f>
        <v>4442</v>
      </c>
      <c r="U126">
        <f>K126*N126</f>
        <v>6</v>
      </c>
      <c r="V126">
        <f>'Data-Kolom'!J127</f>
        <v>0</v>
      </c>
      <c r="W126">
        <f>'Data-Kolom'!K127</f>
        <v>0</v>
      </c>
      <c r="X126">
        <f>IF(V126&gt;0,VLOOKUP(W126,$V$2:$X$9,2,FALSE),0)</f>
        <v>0</v>
      </c>
      <c r="Y126">
        <f>IF(V126&gt;0,IF(L126&gt;0,M126-50+$N$6*W126,VLOOKUP(W126,$V$2:$X$9,3,FALSE)),0)</f>
        <v>0</v>
      </c>
      <c r="Z126">
        <f>IF(E126="F",J126-$N$5+$N$6*W126+Y126,IF(E126="D",J126+Y126+X126,IF(E126="T",J126+X126,IF(E126="A",J126-$N$5+$N$6*W126,0))))</f>
        <v>3480</v>
      </c>
      <c r="AB126">
        <f>SUM(Z126:AA126)</f>
        <v>3480</v>
      </c>
      <c r="AC126">
        <f>V126*K126</f>
        <v>0</v>
      </c>
      <c r="AD126">
        <f>'Data-Kolom'!L127</f>
        <v>10</v>
      </c>
      <c r="AE126">
        <f>'Data-Kolom'!M127</f>
        <v>100</v>
      </c>
      <c r="AF126">
        <f>'Data-Kolom'!N127</f>
        <v>100</v>
      </c>
      <c r="AG126">
        <f>'Data-Kolom'!O127</f>
        <v>100</v>
      </c>
      <c r="AH126">
        <f>'Data-Kolom'!P127</f>
        <v>0</v>
      </c>
      <c r="AI126">
        <f>'Data-Kolom'!Q127</f>
        <v>0</v>
      </c>
      <c r="AJ126">
        <f>'Data-Kolom'!R127</f>
        <v>0</v>
      </c>
      <c r="AK126">
        <f>'Data-Kolom'!S127</f>
        <v>0</v>
      </c>
      <c r="AL126">
        <f>2*(H126+I126-4*$N$5)+2*MAX($F$5*AD126,75)</f>
        <v>1050</v>
      </c>
      <c r="AM126">
        <f>+AH126*(H126-2*$N$5+2*MAX($F$5*AI126,75))+AJ126*(I126-2*$N$5+2*MAX($F$5*AK126,75))</f>
        <v>0</v>
      </c>
      <c r="AN126">
        <f>(ROUND((1/2*J126+IF(M126&gt;0,(Q126-$N$6*AD126),0))/AE126,0)+(ROUND(1/2*J126/AF126,0)+1))*K126</f>
        <v>37</v>
      </c>
      <c r="AO126">
        <f>H126*I126*J126/1000000000*K126*(1+$T$5)</f>
        <v>0.182</v>
      </c>
      <c r="AP126">
        <f>0.006165*O126^2*T126*U126/1000*(1+$T$6)</f>
        <v>42.06325248</v>
      </c>
      <c r="AQ126">
        <f>0.006165*W126^2*AB126*AC126/1000*(1+$T$6)</f>
        <v>0</v>
      </c>
      <c r="AR126">
        <f>AN126*0.006165*AD126^2*AL126/1000*(1+$T$6)</f>
        <v>23.951025</v>
      </c>
      <c r="AS126">
        <f>AN126*0.006165*AI126^2*AM126/1000*(1+$T$6)</f>
        <v>0</v>
      </c>
      <c r="AT126">
        <f>K126*2*J126*(H126+I126)/1000000*(1+$T$7)</f>
        <v>3.71</v>
      </c>
      <c r="AU126">
        <f>SUM(AP126:AS126)/AO126</f>
        <v>362.7158103296704</v>
      </c>
      <c r="AV126">
        <f>AT126/AO126</f>
        <v>20.384615384615383</v>
      </c>
      <c r="AX126">
        <f>0.006165*O126^2*R126*U126/1000*(1+$T$6)</f>
        <v>42.06325248</v>
      </c>
      <c r="AZ126">
        <f>0.006165*O126^2*S126*U126/1000*(1+$T$6)</f>
        <v>0</v>
      </c>
      <c r="BA126">
        <f>AZ126/AP126</f>
        <v>0</v>
      </c>
    </row>
    <row r="127">
      <c r="A127">
        <f>'Data-Kolom'!A128</f>
        <v>204</v>
      </c>
      <c r="B127" t="str">
        <f>'Data-Kolom'!B128</f>
        <v>Lantai 3</v>
      </c>
      <c r="C127">
        <f>'Data-Kolom'!C128</f>
        <v>0</v>
      </c>
      <c r="D127" t="str">
        <f>'Data-Kolom'!D128</f>
        <v>K1A4</v>
      </c>
      <c r="E127" t="str">
        <v>F</v>
      </c>
      <c r="F127">
        <f>'Data-Kolom'!U128</f>
        <v>0</v>
      </c>
      <c r="G127">
        <f>'Data-Kolom'!T128</f>
        <v>0</v>
      </c>
      <c r="H127">
        <f>'Data-Kolom'!E128</f>
        <v>130</v>
      </c>
      <c r="I127">
        <f>'Data-Kolom'!F128</f>
        <v>400</v>
      </c>
      <c r="J127">
        <f>'Data-Kolom'!G128</f>
        <v>3500</v>
      </c>
      <c r="K127">
        <v>1</v>
      </c>
      <c r="M127">
        <f>IF(L127&gt;0,VLOOKUP(L127,'Data-PC'!$B$14:$F$56,4,FALSE),0)</f>
        <v>0</v>
      </c>
      <c r="N127">
        <f>'Data-Kolom'!H128</f>
        <v>6</v>
      </c>
      <c r="O127">
        <f>'Data-Kolom'!I128</f>
        <v>16</v>
      </c>
      <c r="P127">
        <f>IF(N127&gt;0,VLOOKUP(O127,$V$2:$X$9,2,FALSE),0)</f>
        <v>1010</v>
      </c>
      <c r="Q127">
        <f>IF(L127&gt;0,M127-50+$N$6*O127,VLOOKUP(O127,$V$2:$X$9,3,FALSE))</f>
        <v>770</v>
      </c>
      <c r="R127">
        <f>IF(E127="F",J127-$N$5+$N$6*O127+Q127,IF(E127="D",J127+Q127+P127,IF(E127="T",J127+P127,IF(E127="A",J127-$N$5+$N$6*O127,0))))</f>
        <v>4442</v>
      </c>
      <c r="T127">
        <f>SUM(R127:S127)</f>
        <v>4442</v>
      </c>
      <c r="U127">
        <f>K127*N127</f>
        <v>6</v>
      </c>
      <c r="V127">
        <f>'Data-Kolom'!J128</f>
        <v>0</v>
      </c>
      <c r="W127">
        <f>'Data-Kolom'!K128</f>
        <v>0</v>
      </c>
      <c r="X127">
        <f>IF(V127&gt;0,VLOOKUP(W127,$V$2:$X$9,2,FALSE),0)</f>
        <v>0</v>
      </c>
      <c r="Y127">
        <f>IF(V127&gt;0,IF(L127&gt;0,M127-50+$N$6*W127,VLOOKUP(W127,$V$2:$X$9,3,FALSE)),0)</f>
        <v>0</v>
      </c>
      <c r="Z127">
        <f>IF(E127="F",J127-$N$5+$N$6*W127+Y127,IF(E127="D",J127+Y127+X127,IF(E127="T",J127+X127,IF(E127="A",J127-$N$5+$N$6*W127,0))))</f>
        <v>3480</v>
      </c>
      <c r="AB127">
        <f>SUM(Z127:AA127)</f>
        <v>3480</v>
      </c>
      <c r="AC127">
        <f>V127*K127</f>
        <v>0</v>
      </c>
      <c r="AD127">
        <f>'Data-Kolom'!L128</f>
        <v>10</v>
      </c>
      <c r="AE127">
        <f>'Data-Kolom'!M128</f>
        <v>100</v>
      </c>
      <c r="AF127">
        <f>'Data-Kolom'!N128</f>
        <v>100</v>
      </c>
      <c r="AG127">
        <f>'Data-Kolom'!O128</f>
        <v>100</v>
      </c>
      <c r="AH127">
        <f>'Data-Kolom'!P128</f>
        <v>0</v>
      </c>
      <c r="AI127">
        <f>'Data-Kolom'!Q128</f>
        <v>0</v>
      </c>
      <c r="AJ127">
        <f>'Data-Kolom'!R128</f>
        <v>0</v>
      </c>
      <c r="AK127">
        <f>'Data-Kolom'!S128</f>
        <v>0</v>
      </c>
      <c r="AL127">
        <f>2*(H127+I127-4*$N$5)+2*MAX($F$5*AD127,75)</f>
        <v>1050</v>
      </c>
      <c r="AM127">
        <f>+AH127*(H127-2*$N$5+2*MAX($F$5*AI127,75))+AJ127*(I127-2*$N$5+2*MAX($F$5*AK127,75))</f>
        <v>0</v>
      </c>
      <c r="AN127">
        <f>(ROUND((1/2*J127+IF(M127&gt;0,(Q127-$N$6*AD127),0))/AE127,0)+(ROUND(1/2*J127/AF127,0)+1))*K127</f>
        <v>37</v>
      </c>
      <c r="AO127">
        <f>H127*I127*J127/1000000000*K127*(1+$T$5)</f>
        <v>0.182</v>
      </c>
      <c r="AP127">
        <f>0.006165*O127^2*T127*U127/1000*(1+$T$6)</f>
        <v>42.06325248</v>
      </c>
      <c r="AQ127">
        <f>0.006165*W127^2*AB127*AC127/1000*(1+$T$6)</f>
        <v>0</v>
      </c>
      <c r="AR127">
        <f>AN127*0.006165*AD127^2*AL127/1000*(1+$T$6)</f>
        <v>23.951025</v>
      </c>
      <c r="AS127">
        <f>AN127*0.006165*AI127^2*AM127/1000*(1+$T$6)</f>
        <v>0</v>
      </c>
      <c r="AT127">
        <f>K127*2*J127*(H127+I127)/1000000*(1+$T$7)</f>
        <v>3.71</v>
      </c>
      <c r="AU127">
        <f>SUM(AP127:AS127)/AO127</f>
        <v>362.7158103296704</v>
      </c>
      <c r="AV127">
        <f>AT127/AO127</f>
        <v>20.384615384615383</v>
      </c>
      <c r="AX127">
        <f>0.006165*O127^2*R127*U127/1000*(1+$T$6)</f>
        <v>42.06325248</v>
      </c>
      <c r="AZ127">
        <f>0.006165*O127^2*S127*U127/1000*(1+$T$6)</f>
        <v>0</v>
      </c>
      <c r="BA127">
        <f>AZ127/AP127</f>
        <v>0</v>
      </c>
    </row>
    <row r="128">
      <c r="A128">
        <f>'Data-Kolom'!A129</f>
        <v>205</v>
      </c>
      <c r="B128" t="str">
        <f>'Data-Kolom'!B129</f>
        <v>Lantai 3</v>
      </c>
      <c r="C128">
        <f>'Data-Kolom'!C129</f>
        <v>0</v>
      </c>
      <c r="D128" t="str">
        <f>'Data-Kolom'!D129</f>
        <v>K1A5</v>
      </c>
      <c r="E128" t="str">
        <v>D</v>
      </c>
      <c r="F128">
        <f>'Data-Kolom'!U129</f>
        <v>0</v>
      </c>
      <c r="G128">
        <f>'Data-Kolom'!T129</f>
        <v>0</v>
      </c>
      <c r="H128">
        <f>'Data-Kolom'!E129</f>
        <v>130</v>
      </c>
      <c r="I128">
        <f>'Data-Kolom'!F129</f>
        <v>500</v>
      </c>
      <c r="J128">
        <f>'Data-Kolom'!G129</f>
        <v>3500</v>
      </c>
      <c r="K128">
        <v>1</v>
      </c>
      <c r="M128">
        <f>IF(L128&gt;0,VLOOKUP(L128,'Data-PC'!$B$14:$F$56,4,FALSE),0)</f>
        <v>0</v>
      </c>
      <c r="N128">
        <f>'Data-Kolom'!H129</f>
        <v>6</v>
      </c>
      <c r="O128">
        <f>'Data-Kolom'!I129</f>
        <v>16</v>
      </c>
      <c r="P128">
        <f>IF(N128&gt;0,VLOOKUP(O128,$V$2:$X$9,2,FALSE),0)</f>
        <v>1010</v>
      </c>
      <c r="Q128">
        <f>IF(L128&gt;0,M128-50+$N$6*O128,VLOOKUP(O128,$V$2:$X$9,3,FALSE))</f>
        <v>770</v>
      </c>
      <c r="R128">
        <f>IF(E128="F",J128-$N$5+$N$6*O128+Q128,IF(E128="D",J128+Q128+P128,IF(E128="T",J128+P128,IF(E128="A",J128-$N$5+$N$6*O128,0))))</f>
        <v>5280</v>
      </c>
      <c r="T128">
        <f>SUM(R128:S128)</f>
        <v>5280</v>
      </c>
      <c r="U128">
        <f>K128*N128</f>
        <v>6</v>
      </c>
      <c r="V128">
        <f>'Data-Kolom'!J129</f>
        <v>0</v>
      </c>
      <c r="W128">
        <f>'Data-Kolom'!K129</f>
        <v>0</v>
      </c>
      <c r="X128">
        <f>IF(V128&gt;0,VLOOKUP(W128,$V$2:$X$9,2,FALSE),0)</f>
        <v>0</v>
      </c>
      <c r="Y128">
        <f>IF(V128&gt;0,IF(L128&gt;0,M128-50+$N$6*W128,VLOOKUP(W128,$V$2:$X$9,3,FALSE)),0)</f>
        <v>0</v>
      </c>
      <c r="Z128">
        <f>IF(E128="F",J128-$N$5+$N$6*W128+Y128,IF(E128="D",J128+Y128+X128,IF(E128="T",J128+X128,IF(E128="A",J128-$N$5+$N$6*W128,0))))</f>
        <v>3500</v>
      </c>
      <c r="AB128">
        <f>SUM(Z128:AA128)</f>
        <v>3500</v>
      </c>
      <c r="AC128">
        <f>V128*K128</f>
        <v>0</v>
      </c>
      <c r="AD128">
        <f>'Data-Kolom'!L129</f>
        <v>10</v>
      </c>
      <c r="AE128">
        <f>'Data-Kolom'!M129</f>
        <v>100</v>
      </c>
      <c r="AF128">
        <f>'Data-Kolom'!N129</f>
        <v>100</v>
      </c>
      <c r="AG128">
        <f>'Data-Kolom'!O129</f>
        <v>100</v>
      </c>
      <c r="AH128">
        <f>'Data-Kolom'!P129</f>
        <v>0</v>
      </c>
      <c r="AI128">
        <f>'Data-Kolom'!Q129</f>
        <v>0</v>
      </c>
      <c r="AJ128">
        <f>'Data-Kolom'!R129</f>
        <v>0</v>
      </c>
      <c r="AK128">
        <f>'Data-Kolom'!S129</f>
        <v>0</v>
      </c>
      <c r="AL128">
        <f>2*(H128+I128-4*$N$5)+2*MAX($F$5*AD128,75)</f>
        <v>1250</v>
      </c>
      <c r="AM128">
        <f>+AH128*(H128-2*$N$5+2*MAX($F$5*AI128,75))+AJ128*(I128-2*$N$5+2*MAX($F$5*AK128,75))</f>
        <v>0</v>
      </c>
      <c r="AN128">
        <f>(ROUND((1/2*J128+IF(M128&gt;0,(Q128-$N$6*AD128),0))/AE128,0)+(ROUND(1/2*J128/AF128,0)+1))*K128</f>
        <v>37</v>
      </c>
      <c r="AO128">
        <f>H128*I128*J128/1000000000*K128*(1+$T$5)</f>
        <v>0.2275</v>
      </c>
      <c r="AP128">
        <f>0.006165*O128^2*T128*U128/1000*(1+$T$6)</f>
        <v>49.998643200000004</v>
      </c>
      <c r="AQ128">
        <f>0.006165*W128^2*AB128*AC128/1000*(1+$T$6)</f>
        <v>0</v>
      </c>
      <c r="AR128">
        <f>AN128*0.006165*AD128^2*AL128/1000*(1+$T$6)</f>
        <v>28.513125</v>
      </c>
      <c r="AS128">
        <f>AN128*0.006165*AI128^2*AM128/1000*(1+$T$6)</f>
        <v>0</v>
      </c>
      <c r="AT128">
        <f>K128*2*J128*(H128+I128)/1000000*(1+$T$7)</f>
        <v>4.41</v>
      </c>
      <c r="AU128">
        <f>SUM(AP128:AS128)/AO128</f>
        <v>345.1066734065934</v>
      </c>
      <c r="AV128">
        <f>AT128/AO128</f>
        <v>19.384615384615383</v>
      </c>
      <c r="AX128">
        <f>0.006165*O128^2*R128*U128/1000*(1+$T$6)</f>
        <v>49.998643200000004</v>
      </c>
      <c r="AZ128">
        <f>0.006165*O128^2*S128*U128/1000*(1+$T$6)</f>
        <v>0</v>
      </c>
      <c r="BA128">
        <f>AZ128/AP128</f>
        <v>0</v>
      </c>
    </row>
    <row r="129">
      <c r="A129">
        <f>'Data-Kolom'!A130</f>
        <v>206</v>
      </c>
      <c r="B129" t="str">
        <f>'Data-Kolom'!B130</f>
        <v>Lantai 3</v>
      </c>
      <c r="C129">
        <f>'Data-Kolom'!C130</f>
        <v>0</v>
      </c>
      <c r="D129" t="str">
        <f>'Data-Kolom'!D130</f>
        <v>K1A5</v>
      </c>
      <c r="E129" t="str">
        <v>F</v>
      </c>
      <c r="F129">
        <f>'Data-Kolom'!U130</f>
        <v>0</v>
      </c>
      <c r="G129">
        <f>'Data-Kolom'!T130</f>
        <v>0</v>
      </c>
      <c r="H129">
        <f>'Data-Kolom'!E130</f>
        <v>130</v>
      </c>
      <c r="I129">
        <f>'Data-Kolom'!F130</f>
        <v>500</v>
      </c>
      <c r="J129">
        <f>'Data-Kolom'!G130</f>
        <v>3500</v>
      </c>
      <c r="K129">
        <v>1</v>
      </c>
      <c r="M129">
        <f>IF(L129&gt;0,VLOOKUP(L129,'Data-PC'!$B$14:$F$56,4,FALSE),0)</f>
        <v>0</v>
      </c>
      <c r="N129">
        <f>'Data-Kolom'!H130</f>
        <v>6</v>
      </c>
      <c r="O129">
        <f>'Data-Kolom'!I130</f>
        <v>16</v>
      </c>
      <c r="P129">
        <f>IF(N129&gt;0,VLOOKUP(O129,$V$2:$X$9,2,FALSE),0)</f>
        <v>1010</v>
      </c>
      <c r="Q129">
        <f>IF(L129&gt;0,M129-50+$N$6*O129,VLOOKUP(O129,$V$2:$X$9,3,FALSE))</f>
        <v>770</v>
      </c>
      <c r="R129">
        <f>IF(E129="F",J129-$N$5+$N$6*O129+Q129,IF(E129="D",J129+Q129+P129,IF(E129="T",J129+P129,IF(E129="A",J129-$N$5+$N$6*O129,0))))</f>
        <v>4442</v>
      </c>
      <c r="T129">
        <f>SUM(R129:S129)</f>
        <v>4442</v>
      </c>
      <c r="U129">
        <f>K129*N129</f>
        <v>6</v>
      </c>
      <c r="V129">
        <f>'Data-Kolom'!J130</f>
        <v>0</v>
      </c>
      <c r="W129">
        <f>'Data-Kolom'!K130</f>
        <v>0</v>
      </c>
      <c r="X129">
        <f>IF(V129&gt;0,VLOOKUP(W129,$V$2:$X$9,2,FALSE),0)</f>
        <v>0</v>
      </c>
      <c r="Y129">
        <f>IF(V129&gt;0,IF(L129&gt;0,M129-50+$N$6*W129,VLOOKUP(W129,$V$2:$X$9,3,FALSE)),0)</f>
        <v>0</v>
      </c>
      <c r="Z129">
        <f>IF(E129="F",J129-$N$5+$N$6*W129+Y129,IF(E129="D",J129+Y129+X129,IF(E129="T",J129+X129,IF(E129="A",J129-$N$5+$N$6*W129,0))))</f>
        <v>3480</v>
      </c>
      <c r="AB129">
        <f>SUM(Z129:AA129)</f>
        <v>3480</v>
      </c>
      <c r="AC129">
        <f>V129*K129</f>
        <v>0</v>
      </c>
      <c r="AD129">
        <f>'Data-Kolom'!L130</f>
        <v>10</v>
      </c>
      <c r="AE129">
        <f>'Data-Kolom'!M130</f>
        <v>100</v>
      </c>
      <c r="AF129">
        <f>'Data-Kolom'!N130</f>
        <v>100</v>
      </c>
      <c r="AG129">
        <f>'Data-Kolom'!O130</f>
        <v>100</v>
      </c>
      <c r="AH129">
        <f>'Data-Kolom'!P130</f>
        <v>0</v>
      </c>
      <c r="AI129">
        <f>'Data-Kolom'!Q130</f>
        <v>0</v>
      </c>
      <c r="AJ129">
        <f>'Data-Kolom'!R130</f>
        <v>0</v>
      </c>
      <c r="AK129">
        <f>'Data-Kolom'!S130</f>
        <v>0</v>
      </c>
      <c r="AL129">
        <f>2*(H129+I129-4*$N$5)+2*MAX($F$5*AD129,75)</f>
        <v>1250</v>
      </c>
      <c r="AM129">
        <f>+AH129*(H129-2*$N$5+2*MAX($F$5*AI129,75))+AJ129*(I129-2*$N$5+2*MAX($F$5*AK129,75))</f>
        <v>0</v>
      </c>
      <c r="AN129">
        <f>(ROUND((1/2*J129+IF(M129&gt;0,(Q129-$N$6*AD129),0))/AE129,0)+(ROUND(1/2*J129/AF129,0)+1))*K129</f>
        <v>37</v>
      </c>
      <c r="AO129">
        <f>H129*I129*J129/1000000000*K129*(1+$T$5)</f>
        <v>0.2275</v>
      </c>
      <c r="AP129">
        <f>0.006165*O129^2*T129*U129/1000*(1+$T$6)</f>
        <v>42.06325248</v>
      </c>
      <c r="AQ129">
        <f>0.006165*W129^2*AB129*AC129/1000*(1+$T$6)</f>
        <v>0</v>
      </c>
      <c r="AR129">
        <f>AN129*0.006165*AD129^2*AL129/1000*(1+$T$6)</f>
        <v>28.513125</v>
      </c>
      <c r="AS129">
        <f>AN129*0.006165*AI129^2*AM129/1000*(1+$T$6)</f>
        <v>0</v>
      </c>
      <c r="AT129">
        <f>K129*2*J129*(H129+I129)/1000000*(1+$T$7)</f>
        <v>4.41</v>
      </c>
      <c r="AU129">
        <f>SUM(AP129:AS129)/AO129</f>
        <v>310.2258350769231</v>
      </c>
      <c r="AV129">
        <f>AT129/AO129</f>
        <v>19.384615384615383</v>
      </c>
      <c r="AX129">
        <f>0.006165*O129^2*R129*U129/1000*(1+$T$6)</f>
        <v>42.06325248</v>
      </c>
      <c r="AZ129">
        <f>0.006165*O129^2*S129*U129/1000*(1+$T$6)</f>
        <v>0</v>
      </c>
      <c r="BA129">
        <f>AZ129/AP129</f>
        <v>0</v>
      </c>
    </row>
    <row r="131">
      <c r="A131">
        <f>'Data-Kolom'!A132</f>
        <v>205</v>
      </c>
      <c r="B131" t="str">
        <f>'Data-Kolom'!B132</f>
        <v>Lantai Atap</v>
      </c>
      <c r="C131">
        <f>'Data-Kolom'!C132</f>
        <v>0</v>
      </c>
      <c r="D131" t="str">
        <f>'Data-Kolom'!D132</f>
        <v>K1A4</v>
      </c>
      <c r="E131" t="str">
        <v>A</v>
      </c>
      <c r="F131">
        <f>'Data-Kolom'!U132</f>
        <v>0</v>
      </c>
      <c r="G131">
        <f>'Data-Kolom'!T132</f>
        <v>0</v>
      </c>
      <c r="H131">
        <f>'Data-Kolom'!E132</f>
        <v>130</v>
      </c>
      <c r="I131">
        <f>'Data-Kolom'!F132</f>
        <v>400</v>
      </c>
      <c r="J131">
        <f>'Data-Kolom'!G132</f>
        <v>1000</v>
      </c>
      <c r="K131">
        <v>1</v>
      </c>
      <c r="M131">
        <f>IF(L131&gt;0,VLOOKUP(L131,'Data-PC'!$B$14:$F$56,4,FALSE),0)</f>
        <v>0</v>
      </c>
      <c r="N131">
        <f>'Data-Kolom'!H132</f>
        <v>6</v>
      </c>
      <c r="O131">
        <f>'Data-Kolom'!I132</f>
        <v>16</v>
      </c>
      <c r="P131">
        <f>IF(N131&gt;0,VLOOKUP(O131,$V$2:$X$9,2,FALSE),0)</f>
        <v>1010</v>
      </c>
      <c r="Q131">
        <f>IF(L131&gt;0,M131-50+$N$6*O131,VLOOKUP(O131,$V$2:$X$9,3,FALSE))</f>
        <v>770</v>
      </c>
      <c r="R131">
        <f>IF(E131="F",J131-$N$5+$N$6*O131+Q131,IF(E131="D",J131+Q131+P131,IF(E131="T",J131+P131,IF(E131="A",J131-$N$5+$N$6*O131,0))))</f>
        <v>1172</v>
      </c>
      <c r="T131">
        <f>SUM(R131:S131)</f>
        <v>1172</v>
      </c>
      <c r="U131">
        <f>K131*N131</f>
        <v>6</v>
      </c>
      <c r="V131">
        <f>'Data-Kolom'!J132</f>
        <v>0</v>
      </c>
      <c r="W131">
        <f>'Data-Kolom'!K132</f>
        <v>0</v>
      </c>
      <c r="X131">
        <f>IF(V131&gt;0,VLOOKUP(W131,$V$2:$X$9,2,FALSE),0)</f>
        <v>0</v>
      </c>
      <c r="Y131">
        <f>IF(V131&gt;0,IF(L131&gt;0,M131-50+$N$6*W131,VLOOKUP(W131,$V$2:$X$9,3,FALSE)),0)</f>
        <v>0</v>
      </c>
      <c r="Z131">
        <f>IF(E131="F",J131-$N$5+$N$6*W131+Y131,IF(E131="D",J131+Y131+X131,IF(E131="T",J131+X131,IF(E131="A",J131-$N$5+$N$6*W131,0))))</f>
        <v>980</v>
      </c>
      <c r="AB131">
        <f>SUM(Z131:AA131)</f>
        <v>980</v>
      </c>
      <c r="AC131">
        <f>V131*K131</f>
        <v>0</v>
      </c>
      <c r="AD131">
        <f>'Data-Kolom'!L132</f>
        <v>10</v>
      </c>
      <c r="AE131">
        <f>'Data-Kolom'!M132</f>
        <v>100</v>
      </c>
      <c r="AF131">
        <f>'Data-Kolom'!N132</f>
        <v>100</v>
      </c>
      <c r="AG131">
        <f>'Data-Kolom'!O132</f>
        <v>100</v>
      </c>
      <c r="AH131">
        <f>'Data-Kolom'!P132</f>
        <v>0</v>
      </c>
      <c r="AI131">
        <f>'Data-Kolom'!Q132</f>
        <v>0</v>
      </c>
      <c r="AJ131">
        <f>'Data-Kolom'!R132</f>
        <v>0</v>
      </c>
      <c r="AK131">
        <f>'Data-Kolom'!S132</f>
        <v>0</v>
      </c>
      <c r="AL131">
        <f>2*(H131+I131-4*$N$5)+2*MAX($F$5*AD131,75)</f>
        <v>1050</v>
      </c>
      <c r="AM131">
        <f>+AH131*(H131-2*$N$5+2*MAX($F$5*AI131,75))+AJ131*(I131-2*$N$5+2*MAX($F$5*AK131,75))</f>
        <v>0</v>
      </c>
      <c r="AN131">
        <f>(ROUND((1/2*J131+IF(M131&gt;0,(Q131-$N$6*AD131),0))/AE131,0)+(ROUND(1/2*J131/AF131,0)+1))*K131</f>
        <v>11</v>
      </c>
      <c r="AO131">
        <f>H131*I131*J131/1000000000*K131*(1+$T$5)</f>
        <v>0.052</v>
      </c>
      <c r="AP131">
        <f>0.006165*O131^2*T131*U131/1000*(1+$T$6)</f>
        <v>11.09818368</v>
      </c>
      <c r="AQ131">
        <f>0.006165*W131^2*AB131*AC131/1000*(1+$T$6)</f>
        <v>0</v>
      </c>
      <c r="AR131">
        <f>AN131*0.006165*AD131^2*AL131/1000*(1+$T$6)</f>
        <v>7.1205750000000005</v>
      </c>
      <c r="AS131">
        <f>AN131*0.006165*AI131^2*AM131/1000*(1+$T$6)</f>
        <v>0</v>
      </c>
      <c r="AT131">
        <f>K131*2*J131*(H131+I131)/1000000*(1+$T$7)</f>
        <v>1.06</v>
      </c>
      <c r="AU131">
        <f>SUM(AP131:AS131)/AO131</f>
        <v>350.36074384615387</v>
      </c>
      <c r="AV131">
        <f>AT131/AO131</f>
        <v>20.384615384615387</v>
      </c>
      <c r="AX131">
        <f>0.006165*O131^2*R131*U131/1000*(1+$T$6)</f>
        <v>11.09818368</v>
      </c>
      <c r="AZ131">
        <f>0.006165*O131^2*S131*U131/1000*(1+$T$6)</f>
        <v>0</v>
      </c>
      <c r="BA131">
        <f>AZ131/AP131</f>
        <v>0</v>
      </c>
    </row>
    <row r="133">
      <c r="A133">
        <f>'Data-Kolom'!A134</f>
        <v>301</v>
      </c>
      <c r="B133" t="str">
        <f>'Data-Kolom'!B134</f>
        <v>Lantai Atap</v>
      </c>
      <c r="C133">
        <f>'Data-Kolom'!C134</f>
        <v>0</v>
      </c>
      <c r="D133" t="str">
        <f>'Data-Kolom'!D134</f>
        <v>K1A4</v>
      </c>
      <c r="E133" t="str">
        <v>F</v>
      </c>
      <c r="F133">
        <f>'Data-Kolom'!U134</f>
        <v>0</v>
      </c>
      <c r="G133">
        <f>'Data-Kolom'!T134</f>
        <v>0</v>
      </c>
      <c r="H133">
        <f>'Data-Kolom'!E134</f>
        <v>130</v>
      </c>
      <c r="I133">
        <f>'Data-Kolom'!F134</f>
        <v>400</v>
      </c>
      <c r="J133">
        <f>'Data-Kolom'!G134</f>
        <v>1000</v>
      </c>
      <c r="K133">
        <v>1</v>
      </c>
      <c r="M133">
        <f>IF(L133&gt;0,VLOOKUP(L133,'Data-PC'!$B$14:$F$56,4,FALSE),0)</f>
        <v>0</v>
      </c>
      <c r="N133">
        <f>'Data-Kolom'!H134</f>
        <v>6</v>
      </c>
      <c r="O133">
        <f>'Data-Kolom'!I134</f>
        <v>16</v>
      </c>
      <c r="P133">
        <f>IF(N133&gt;0,VLOOKUP(O133,$V$2:$X$9,2,FALSE),0)</f>
        <v>1010</v>
      </c>
      <c r="Q133">
        <f>IF(L133&gt;0,M133-50+$N$6*O133,VLOOKUP(O133,$V$2:$X$9,3,FALSE))</f>
        <v>770</v>
      </c>
      <c r="R133">
        <f>IF(E133="F",J133-$N$5+$N$6*O133+Q133,IF(E133="D",J133+Q133+P133,IF(E133="T",J133+P133,IF(E133="A",J133-$N$5+$N$6*O133,0))))</f>
        <v>1942</v>
      </c>
      <c r="T133">
        <f>SUM(R133:S133)</f>
        <v>1942</v>
      </c>
      <c r="U133">
        <f>K133*N133</f>
        <v>6</v>
      </c>
      <c r="V133">
        <f>'Data-Kolom'!J134</f>
        <v>0</v>
      </c>
      <c r="W133">
        <f>'Data-Kolom'!K134</f>
        <v>0</v>
      </c>
      <c r="X133">
        <f>IF(V133&gt;0,VLOOKUP(W133,$V$2:$X$9,2,FALSE),0)</f>
        <v>0</v>
      </c>
      <c r="Y133">
        <f>IF(V133&gt;0,IF(L133&gt;0,M133-50+$N$6*W133,VLOOKUP(W133,$V$2:$X$9,3,FALSE)),0)</f>
        <v>0</v>
      </c>
      <c r="Z133">
        <f>IF(E133="F",J133-$N$5+$N$6*W133+Y133,IF(E133="D",J133+Y133+X133,IF(E133="T",J133+X133,IF(E133="A",J133-$N$5+$N$6*W133,0))))</f>
        <v>980</v>
      </c>
      <c r="AB133">
        <f>SUM(Z133:AA133)</f>
        <v>980</v>
      </c>
      <c r="AC133">
        <f>V133*K133</f>
        <v>0</v>
      </c>
      <c r="AD133">
        <f>'Data-Kolom'!L134</f>
        <v>10</v>
      </c>
      <c r="AE133">
        <f>'Data-Kolom'!M134</f>
        <v>100</v>
      </c>
      <c r="AF133">
        <f>'Data-Kolom'!N134</f>
        <v>100</v>
      </c>
      <c r="AG133">
        <f>'Data-Kolom'!O134</f>
        <v>100</v>
      </c>
      <c r="AH133">
        <f>'Data-Kolom'!P134</f>
        <v>0</v>
      </c>
      <c r="AI133">
        <f>'Data-Kolom'!Q134</f>
        <v>0</v>
      </c>
      <c r="AJ133">
        <f>'Data-Kolom'!R134</f>
        <v>0</v>
      </c>
      <c r="AK133">
        <f>'Data-Kolom'!S134</f>
        <v>0</v>
      </c>
      <c r="AL133">
        <f>2*(H133+I133-4*$N$5)+2*MAX($F$5*AD133,75)</f>
        <v>1050</v>
      </c>
      <c r="AM133">
        <f>+AH133*(H133-2*$N$5+2*MAX($F$5*AI133,75))+AJ133*(I133-2*$N$5+2*MAX($F$5*AK133,75))</f>
        <v>0</v>
      </c>
      <c r="AN133">
        <f>(ROUND((1/2*J133+IF(M133&gt;0,(Q133-$N$6*AD133),0))/AE133,0)+(ROUND(1/2*J133/AF133,0)+1))*K133</f>
        <v>11</v>
      </c>
      <c r="AO133">
        <f>H133*I133*J133/1000000000*K133*(1+$T$5)</f>
        <v>0.052</v>
      </c>
      <c r="AP133">
        <f>0.006165*O133^2*T133*U133/1000*(1+$T$6)</f>
        <v>18.389652480000002</v>
      </c>
      <c r="AQ133">
        <f>0.006165*W133^2*AB133*AC133/1000*(1+$T$6)</f>
        <v>0</v>
      </c>
      <c r="AR133">
        <f>AN133*0.006165*AD133^2*AL133/1000*(1+$T$6)</f>
        <v>7.1205750000000005</v>
      </c>
      <c r="AS133">
        <f>AN133*0.006165*AI133^2*AM133/1000*(1+$T$6)</f>
        <v>0</v>
      </c>
      <c r="AT133">
        <f>K133*2*J133*(H133+I133)/1000000*(1+$T$7)</f>
        <v>1.06</v>
      </c>
      <c r="AU133">
        <f>SUM(AP133:AS133)/AO133</f>
        <v>490.5812976923078</v>
      </c>
      <c r="AV133">
        <f>AT133/AO133</f>
        <v>20.384615384615387</v>
      </c>
      <c r="AX133">
        <f>0.006165*O133^2*R133*U133/1000*(1+$T$6)</f>
        <v>18.389652480000002</v>
      </c>
      <c r="AZ133">
        <f>0.006165*O133^2*S133*U133/1000*(1+$T$6)</f>
        <v>0</v>
      </c>
      <c r="BA133">
        <f>AZ133/AP133</f>
        <v>0</v>
      </c>
    </row>
    <row r="134">
      <c r="A134">
        <f>'Data-Kolom'!A135</f>
        <v>302</v>
      </c>
      <c r="B134" t="str">
        <f>'Data-Kolom'!B135</f>
        <v>Lantai Atap</v>
      </c>
      <c r="C134">
        <f>'Data-Kolom'!C135</f>
        <v>0</v>
      </c>
      <c r="D134" t="str">
        <f>'Data-Kolom'!D135</f>
        <v>K1A4</v>
      </c>
      <c r="E134" t="str">
        <v>F</v>
      </c>
      <c r="F134">
        <f>'Data-Kolom'!U135</f>
        <v>0</v>
      </c>
      <c r="G134">
        <f>'Data-Kolom'!T135</f>
        <v>0</v>
      </c>
      <c r="H134">
        <f>'Data-Kolom'!E135</f>
        <v>130</v>
      </c>
      <c r="I134">
        <f>'Data-Kolom'!F135</f>
        <v>400</v>
      </c>
      <c r="J134">
        <f>'Data-Kolom'!G135</f>
        <v>1000</v>
      </c>
      <c r="K134">
        <v>1</v>
      </c>
      <c r="M134">
        <f>IF(L134&gt;0,VLOOKUP(L134,'Data-PC'!$B$14:$F$56,4,FALSE),0)</f>
        <v>0</v>
      </c>
      <c r="N134">
        <f>'Data-Kolom'!H135</f>
        <v>6</v>
      </c>
      <c r="O134">
        <f>'Data-Kolom'!I135</f>
        <v>16</v>
      </c>
      <c r="P134">
        <f>IF(N134&gt;0,VLOOKUP(O134,$V$2:$X$9,2,FALSE),0)</f>
        <v>1010</v>
      </c>
      <c r="Q134">
        <f>IF(L134&gt;0,M134-50+$N$6*O134,VLOOKUP(O134,$V$2:$X$9,3,FALSE))</f>
        <v>770</v>
      </c>
      <c r="R134">
        <f>IF(E134="F",J134-$N$5+$N$6*O134+Q134,IF(E134="D",J134+Q134+P134,IF(E134="T",J134+P134,IF(E134="A",J134-$N$5+$N$6*O134,0))))</f>
        <v>1942</v>
      </c>
      <c r="T134">
        <f>SUM(R134:S134)</f>
        <v>1942</v>
      </c>
      <c r="U134">
        <f>K134*N134</f>
        <v>6</v>
      </c>
      <c r="V134">
        <f>'Data-Kolom'!J135</f>
        <v>0</v>
      </c>
      <c r="W134">
        <f>'Data-Kolom'!K135</f>
        <v>0</v>
      </c>
      <c r="X134">
        <f>IF(V134&gt;0,VLOOKUP(W134,$V$2:$X$9,2,FALSE),0)</f>
        <v>0</v>
      </c>
      <c r="Y134">
        <f>IF(V134&gt;0,IF(L134&gt;0,M134-50+$N$6*W134,VLOOKUP(W134,$V$2:$X$9,3,FALSE)),0)</f>
        <v>0</v>
      </c>
      <c r="Z134">
        <f>IF(E134="F",J134-$N$5+$N$6*W134+Y134,IF(E134="D",J134+Y134+X134,IF(E134="T",J134+X134,IF(E134="A",J134-$N$5+$N$6*W134,0))))</f>
        <v>980</v>
      </c>
      <c r="AB134">
        <f>SUM(Z134:AA134)</f>
        <v>980</v>
      </c>
      <c r="AC134">
        <f>V134*K134</f>
        <v>0</v>
      </c>
      <c r="AD134">
        <f>'Data-Kolom'!L135</f>
        <v>10</v>
      </c>
      <c r="AE134">
        <f>'Data-Kolom'!M135</f>
        <v>100</v>
      </c>
      <c r="AF134">
        <f>'Data-Kolom'!N135</f>
        <v>100</v>
      </c>
      <c r="AG134">
        <f>'Data-Kolom'!O135</f>
        <v>100</v>
      </c>
      <c r="AH134">
        <f>'Data-Kolom'!P135</f>
        <v>0</v>
      </c>
      <c r="AI134">
        <f>'Data-Kolom'!Q135</f>
        <v>0</v>
      </c>
      <c r="AJ134">
        <f>'Data-Kolom'!R135</f>
        <v>0</v>
      </c>
      <c r="AK134">
        <f>'Data-Kolom'!S135</f>
        <v>0</v>
      </c>
      <c r="AL134">
        <f>2*(H134+I134-4*$N$5)+2*MAX($F$5*AD134,75)</f>
        <v>1050</v>
      </c>
      <c r="AM134">
        <f>+AH134*(H134-2*$N$5+2*MAX($F$5*AI134,75))+AJ134*(I134-2*$N$5+2*MAX($F$5*AK134,75))</f>
        <v>0</v>
      </c>
      <c r="AN134">
        <f>(ROUND((1/2*J134+IF(M134&gt;0,(Q134-$N$6*AD134),0))/AE134,0)+(ROUND(1/2*J134/AF134,0)+1))*K134</f>
        <v>11</v>
      </c>
      <c r="AO134">
        <f>H134*I134*J134/1000000000*K134*(1+$T$5)</f>
        <v>0.052</v>
      </c>
      <c r="AP134">
        <f>0.006165*O134^2*T134*U134/1000*(1+$T$6)</f>
        <v>18.389652480000002</v>
      </c>
      <c r="AQ134">
        <f>0.006165*W134^2*AB134*AC134/1000*(1+$T$6)</f>
        <v>0</v>
      </c>
      <c r="AR134">
        <f>AN134*0.006165*AD134^2*AL134/1000*(1+$T$6)</f>
        <v>7.1205750000000005</v>
      </c>
      <c r="AS134">
        <f>AN134*0.006165*AI134^2*AM134/1000*(1+$T$6)</f>
        <v>0</v>
      </c>
      <c r="AT134">
        <f>K134*2*J134*(H134+I134)/1000000*(1+$T$7)</f>
        <v>1.06</v>
      </c>
      <c r="AU134">
        <f>SUM(AP134:AS134)/AO134</f>
        <v>490.5812976923078</v>
      </c>
      <c r="AV134">
        <f>AT134/AO134</f>
        <v>20.384615384615387</v>
      </c>
      <c r="AX134">
        <f>0.006165*O134^2*R134*U134/1000*(1+$T$6)</f>
        <v>18.389652480000002</v>
      </c>
      <c r="AZ134">
        <f>0.006165*O134^2*S134*U134/1000*(1+$T$6)</f>
        <v>0</v>
      </c>
      <c r="BA134">
        <f>AZ134/AP134</f>
        <v>0</v>
      </c>
    </row>
    <row r="135">
      <c r="A135">
        <f>'Data-Kolom'!A136</f>
        <v>303</v>
      </c>
      <c r="B135" t="str">
        <f>'Data-Kolom'!B136</f>
        <v>Lantai Atap</v>
      </c>
      <c r="C135">
        <f>'Data-Kolom'!C136</f>
        <v>0</v>
      </c>
      <c r="D135" t="str">
        <f>'Data-Kolom'!D136</f>
        <v>K1A4</v>
      </c>
      <c r="E135" t="str">
        <v>F</v>
      </c>
      <c r="F135">
        <f>'Data-Kolom'!U136</f>
        <v>0</v>
      </c>
      <c r="G135">
        <f>'Data-Kolom'!T136</f>
        <v>0</v>
      </c>
      <c r="H135">
        <f>'Data-Kolom'!E136</f>
        <v>130</v>
      </c>
      <c r="I135">
        <f>'Data-Kolom'!F136</f>
        <v>400</v>
      </c>
      <c r="J135">
        <f>'Data-Kolom'!G136</f>
        <v>1000</v>
      </c>
      <c r="K135">
        <v>1</v>
      </c>
      <c r="M135">
        <f>IF(L135&gt;0,VLOOKUP(L135,'Data-PC'!$B$14:$F$56,4,FALSE),0)</f>
        <v>0</v>
      </c>
      <c r="N135">
        <f>'Data-Kolom'!H136</f>
        <v>6</v>
      </c>
      <c r="O135">
        <f>'Data-Kolom'!I136</f>
        <v>16</v>
      </c>
      <c r="P135">
        <f>IF(N135&gt;0,VLOOKUP(O135,$V$2:$X$9,2,FALSE),0)</f>
        <v>1010</v>
      </c>
      <c r="Q135">
        <f>IF(L135&gt;0,M135-50+$N$6*O135,VLOOKUP(O135,$V$2:$X$9,3,FALSE))</f>
        <v>770</v>
      </c>
      <c r="R135">
        <f>IF(E135="F",J135-$N$5+$N$6*O135+Q135,IF(E135="D",J135+Q135+P135,IF(E135="T",J135+P135,IF(E135="A",J135-$N$5+$N$6*O135,0))))</f>
        <v>1942</v>
      </c>
      <c r="T135">
        <f>SUM(R135:S135)</f>
        <v>1942</v>
      </c>
      <c r="U135">
        <f>K135*N135</f>
        <v>6</v>
      </c>
      <c r="V135">
        <f>'Data-Kolom'!J136</f>
        <v>0</v>
      </c>
      <c r="W135">
        <f>'Data-Kolom'!K136</f>
        <v>0</v>
      </c>
      <c r="X135">
        <f>IF(V135&gt;0,VLOOKUP(W135,$V$2:$X$9,2,FALSE),0)</f>
        <v>0</v>
      </c>
      <c r="Y135">
        <f>IF(V135&gt;0,IF(L135&gt;0,M135-50+$N$6*W135,VLOOKUP(W135,$V$2:$X$9,3,FALSE)),0)</f>
        <v>0</v>
      </c>
      <c r="Z135">
        <f>IF(E135="F",J135-$N$5+$N$6*W135+Y135,IF(E135="D",J135+Y135+X135,IF(E135="T",J135+X135,IF(E135="A",J135-$N$5+$N$6*W135,0))))</f>
        <v>980</v>
      </c>
      <c r="AB135">
        <f>SUM(Z135:AA135)</f>
        <v>980</v>
      </c>
      <c r="AC135">
        <f>V135*K135</f>
        <v>0</v>
      </c>
      <c r="AD135">
        <f>'Data-Kolom'!L136</f>
        <v>10</v>
      </c>
      <c r="AE135">
        <f>'Data-Kolom'!M136</f>
        <v>100</v>
      </c>
      <c r="AF135">
        <f>'Data-Kolom'!N136</f>
        <v>100</v>
      </c>
      <c r="AG135">
        <f>'Data-Kolom'!O136</f>
        <v>100</v>
      </c>
      <c r="AH135">
        <f>'Data-Kolom'!P136</f>
        <v>0</v>
      </c>
      <c r="AI135">
        <f>'Data-Kolom'!Q136</f>
        <v>0</v>
      </c>
      <c r="AJ135">
        <f>'Data-Kolom'!R136</f>
        <v>0</v>
      </c>
      <c r="AK135">
        <f>'Data-Kolom'!S136</f>
        <v>0</v>
      </c>
      <c r="AL135">
        <f>2*(H135+I135-4*$N$5)+2*MAX($F$5*AD135,75)</f>
        <v>1050</v>
      </c>
      <c r="AM135">
        <f>+AH135*(H135-2*$N$5+2*MAX($F$5*AI135,75))+AJ135*(I135-2*$N$5+2*MAX($F$5*AK135,75))</f>
        <v>0</v>
      </c>
      <c r="AN135">
        <f>(ROUND((1/2*J135+IF(M135&gt;0,(Q135-$N$6*AD135),0))/AE135,0)+(ROUND(1/2*J135/AF135,0)+1))*K135</f>
        <v>11</v>
      </c>
      <c r="AO135">
        <f>H135*I135*J135/1000000000*K135*(1+$T$5)</f>
        <v>0.052</v>
      </c>
      <c r="AP135">
        <f>0.006165*O135^2*T135*U135/1000*(1+$T$6)</f>
        <v>18.389652480000002</v>
      </c>
      <c r="AQ135">
        <f>0.006165*W135^2*AB135*AC135/1000*(1+$T$6)</f>
        <v>0</v>
      </c>
      <c r="AR135">
        <f>AN135*0.006165*AD135^2*AL135/1000*(1+$T$6)</f>
        <v>7.1205750000000005</v>
      </c>
      <c r="AS135">
        <f>AN135*0.006165*AI135^2*AM135/1000*(1+$T$6)</f>
        <v>0</v>
      </c>
      <c r="AT135">
        <f>K135*2*J135*(H135+I135)/1000000*(1+$T$7)</f>
        <v>1.06</v>
      </c>
      <c r="AU135">
        <f>SUM(AP135:AS135)/AO135</f>
        <v>490.5812976923078</v>
      </c>
      <c r="AV135">
        <f>AT135/AO135</f>
        <v>20.384615384615387</v>
      </c>
      <c r="AX135">
        <f>0.006165*O135^2*R135*U135/1000*(1+$T$6)</f>
        <v>18.389652480000002</v>
      </c>
      <c r="AZ135">
        <f>0.006165*O135^2*S135*U135/1000*(1+$T$6)</f>
        <v>0</v>
      </c>
      <c r="BA135">
        <f>AZ135/AP135</f>
        <v>0</v>
      </c>
    </row>
    <row r="136">
      <c r="A136">
        <f>'Data-Kolom'!A137</f>
        <v>304</v>
      </c>
      <c r="B136" t="str">
        <f>'Data-Kolom'!B137</f>
        <v>Lantai Atap</v>
      </c>
      <c r="C136">
        <f>'Data-Kolom'!C137</f>
        <v>0</v>
      </c>
      <c r="D136" t="str">
        <f>'Data-Kolom'!D137</f>
        <v>K1A4</v>
      </c>
      <c r="E136" t="str">
        <v>F</v>
      </c>
      <c r="F136">
        <f>'Data-Kolom'!U137</f>
        <v>0</v>
      </c>
      <c r="G136">
        <f>'Data-Kolom'!T137</f>
        <v>0</v>
      </c>
      <c r="H136">
        <f>'Data-Kolom'!E137</f>
        <v>130</v>
      </c>
      <c r="I136">
        <f>'Data-Kolom'!F137</f>
        <v>400</v>
      </c>
      <c r="J136">
        <f>'Data-Kolom'!G137</f>
        <v>1000</v>
      </c>
      <c r="K136">
        <v>1</v>
      </c>
      <c r="M136">
        <f>IF(L136&gt;0,VLOOKUP(L136,'Data-PC'!$B$14:$F$56,4,FALSE),0)</f>
        <v>0</v>
      </c>
      <c r="N136">
        <f>'Data-Kolom'!H137</f>
        <v>6</v>
      </c>
      <c r="O136">
        <f>'Data-Kolom'!I137</f>
        <v>16</v>
      </c>
      <c r="P136">
        <f>IF(N136&gt;0,VLOOKUP(O136,$V$2:$X$9,2,FALSE),0)</f>
        <v>1010</v>
      </c>
      <c r="Q136">
        <f>IF(L136&gt;0,M136-50+$N$6*O136,VLOOKUP(O136,$V$2:$X$9,3,FALSE))</f>
        <v>770</v>
      </c>
      <c r="R136">
        <f>IF(E136="F",J136-$N$5+$N$6*O136+Q136,IF(E136="D",J136+Q136+P136,IF(E136="T",J136+P136,IF(E136="A",J136-$N$5+$N$6*O136,0))))</f>
        <v>1942</v>
      </c>
      <c r="T136">
        <f>SUM(R136:S136)</f>
        <v>1942</v>
      </c>
      <c r="U136">
        <f>K136*N136</f>
        <v>6</v>
      </c>
      <c r="V136">
        <f>'Data-Kolom'!J137</f>
        <v>0</v>
      </c>
      <c r="W136">
        <f>'Data-Kolom'!K137</f>
        <v>0</v>
      </c>
      <c r="X136">
        <f>IF(V136&gt;0,VLOOKUP(W136,$V$2:$X$9,2,FALSE),0)</f>
        <v>0</v>
      </c>
      <c r="Y136">
        <f>IF(V136&gt;0,IF(L136&gt;0,M136-50+$N$6*W136,VLOOKUP(W136,$V$2:$X$9,3,FALSE)),0)</f>
        <v>0</v>
      </c>
      <c r="Z136">
        <f>IF(E136="F",J136-$N$5+$N$6*W136+Y136,IF(E136="D",J136+Y136+X136,IF(E136="T",J136+X136,IF(E136="A",J136-$N$5+$N$6*W136,0))))</f>
        <v>980</v>
      </c>
      <c r="AB136">
        <f>SUM(Z136:AA136)</f>
        <v>980</v>
      </c>
      <c r="AC136">
        <f>V136*K136</f>
        <v>0</v>
      </c>
      <c r="AD136">
        <f>'Data-Kolom'!L137</f>
        <v>10</v>
      </c>
      <c r="AE136">
        <f>'Data-Kolom'!M137</f>
        <v>100</v>
      </c>
      <c r="AF136">
        <f>'Data-Kolom'!N137</f>
        <v>100</v>
      </c>
      <c r="AG136">
        <f>'Data-Kolom'!O137</f>
        <v>100</v>
      </c>
      <c r="AH136">
        <f>'Data-Kolom'!P137</f>
        <v>0</v>
      </c>
      <c r="AI136">
        <f>'Data-Kolom'!Q137</f>
        <v>0</v>
      </c>
      <c r="AJ136">
        <f>'Data-Kolom'!R137</f>
        <v>0</v>
      </c>
      <c r="AK136">
        <f>'Data-Kolom'!S137</f>
        <v>0</v>
      </c>
      <c r="AL136">
        <f>2*(H136+I136-4*$N$5)+2*MAX($F$5*AD136,75)</f>
        <v>1050</v>
      </c>
      <c r="AM136">
        <f>+AH136*(H136-2*$N$5+2*MAX($F$5*AI136,75))+AJ136*(I136-2*$N$5+2*MAX($F$5*AK136,75))</f>
        <v>0</v>
      </c>
      <c r="AN136">
        <f>(ROUND((1/2*J136+IF(M136&gt;0,(Q136-$N$6*AD136),0))/AE136,0)+(ROUND(1/2*J136/AF136,0)+1))*K136</f>
        <v>11</v>
      </c>
      <c r="AO136">
        <f>H136*I136*J136/1000000000*K136*(1+$T$5)</f>
        <v>0.052</v>
      </c>
      <c r="AP136">
        <f>0.006165*O136^2*T136*U136/1000*(1+$T$6)</f>
        <v>18.389652480000002</v>
      </c>
      <c r="AQ136">
        <f>0.006165*W136^2*AB136*AC136/1000*(1+$T$6)</f>
        <v>0</v>
      </c>
      <c r="AR136">
        <f>AN136*0.006165*AD136^2*AL136/1000*(1+$T$6)</f>
        <v>7.1205750000000005</v>
      </c>
      <c r="AS136">
        <f>AN136*0.006165*AI136^2*AM136/1000*(1+$T$6)</f>
        <v>0</v>
      </c>
      <c r="AT136">
        <f>K136*2*J136*(H136+I136)/1000000*(1+$T$7)</f>
        <v>1.06</v>
      </c>
      <c r="AU136">
        <f>SUM(AP136:AS136)/AO136</f>
        <v>490.5812976923078</v>
      </c>
      <c r="AV136">
        <f>AT136/AO136</f>
        <v>20.384615384615387</v>
      </c>
      <c r="AX136">
        <f>0.006165*O136^2*R136*U136/1000*(1+$T$6)</f>
        <v>18.389652480000002</v>
      </c>
      <c r="AZ136">
        <f>0.006165*O136^2*S136*U136/1000*(1+$T$6)</f>
        <v>0</v>
      </c>
      <c r="BA136">
        <f>AZ136/AP136</f>
        <v>0</v>
      </c>
    </row>
    <row r="137">
      <c r="A137">
        <f>'Data-Kolom'!A138</f>
        <v>305</v>
      </c>
      <c r="B137" t="str">
        <f>'Data-Kolom'!B138</f>
        <v>Lantai Atap</v>
      </c>
      <c r="C137">
        <f>'Data-Kolom'!C138</f>
        <v>0</v>
      </c>
      <c r="D137" t="str">
        <f>'Data-Kolom'!D138</f>
        <v>K1A4</v>
      </c>
      <c r="E137" t="str">
        <v>F</v>
      </c>
      <c r="F137">
        <f>'Data-Kolom'!U138</f>
        <v>0</v>
      </c>
      <c r="G137">
        <f>'Data-Kolom'!T138</f>
        <v>0</v>
      </c>
      <c r="H137">
        <f>'Data-Kolom'!E138</f>
        <v>130</v>
      </c>
      <c r="I137">
        <f>'Data-Kolom'!F138</f>
        <v>400</v>
      </c>
      <c r="J137">
        <f>'Data-Kolom'!G138</f>
        <v>1000</v>
      </c>
      <c r="K137">
        <v>1</v>
      </c>
      <c r="M137">
        <f>IF(L137&gt;0,VLOOKUP(L137,'Data-PC'!$B$14:$F$56,4,FALSE),0)</f>
        <v>0</v>
      </c>
      <c r="N137">
        <f>'Data-Kolom'!H138</f>
        <v>6</v>
      </c>
      <c r="O137">
        <f>'Data-Kolom'!I138</f>
        <v>16</v>
      </c>
      <c r="P137">
        <f>IF(N137&gt;0,VLOOKUP(O137,$V$2:$X$9,2,FALSE),0)</f>
        <v>1010</v>
      </c>
      <c r="Q137">
        <f>IF(L137&gt;0,M137-50+$N$6*O137,VLOOKUP(O137,$V$2:$X$9,3,FALSE))</f>
        <v>770</v>
      </c>
      <c r="R137">
        <f>IF(E137="F",J137-$N$5+$N$6*O137+Q137,IF(E137="D",J137+Q137+P137,IF(E137="T",J137+P137,IF(E137="A",J137-$N$5+$N$6*O137,0))))</f>
        <v>1942</v>
      </c>
      <c r="T137">
        <f>SUM(R137:S137)</f>
        <v>1942</v>
      </c>
      <c r="U137">
        <f>K137*N137</f>
        <v>6</v>
      </c>
      <c r="V137">
        <f>'Data-Kolom'!J138</f>
        <v>0</v>
      </c>
      <c r="W137">
        <f>'Data-Kolom'!K138</f>
        <v>0</v>
      </c>
      <c r="X137">
        <f>IF(V137&gt;0,VLOOKUP(W137,$V$2:$X$9,2,FALSE),0)</f>
        <v>0</v>
      </c>
      <c r="Y137">
        <f>IF(V137&gt;0,IF(L137&gt;0,M137-50+$N$6*W137,VLOOKUP(W137,$V$2:$X$9,3,FALSE)),0)</f>
        <v>0</v>
      </c>
      <c r="Z137">
        <f>IF(E137="F",J137-$N$5+$N$6*W137+Y137,IF(E137="D",J137+Y137+X137,IF(E137="T",J137+X137,IF(E137="A",J137-$N$5+$N$6*W137,0))))</f>
        <v>980</v>
      </c>
      <c r="AB137">
        <f>SUM(Z137:AA137)</f>
        <v>980</v>
      </c>
      <c r="AC137">
        <f>V137*K137</f>
        <v>0</v>
      </c>
      <c r="AD137">
        <f>'Data-Kolom'!L138</f>
        <v>10</v>
      </c>
      <c r="AE137">
        <f>'Data-Kolom'!M138</f>
        <v>100</v>
      </c>
      <c r="AF137">
        <f>'Data-Kolom'!N138</f>
        <v>100</v>
      </c>
      <c r="AG137">
        <f>'Data-Kolom'!O138</f>
        <v>100</v>
      </c>
      <c r="AH137">
        <f>'Data-Kolom'!P138</f>
        <v>0</v>
      </c>
      <c r="AI137">
        <f>'Data-Kolom'!Q138</f>
        <v>0</v>
      </c>
      <c r="AJ137">
        <f>'Data-Kolom'!R138</f>
        <v>0</v>
      </c>
      <c r="AK137">
        <f>'Data-Kolom'!S138</f>
        <v>0</v>
      </c>
      <c r="AL137">
        <f>2*(H137+I137-4*$N$5)+2*MAX($F$5*AD137,75)</f>
        <v>1050</v>
      </c>
      <c r="AM137">
        <f>+AH137*(H137-2*$N$5+2*MAX($F$5*AI137,75))+AJ137*(I137-2*$N$5+2*MAX($F$5*AK137,75))</f>
        <v>0</v>
      </c>
      <c r="AN137">
        <f>(ROUND((1/2*J137+IF(M137&gt;0,(Q137-$N$6*AD137),0))/AE137,0)+(ROUND(1/2*J137/AF137,0)+1))*K137</f>
        <v>11</v>
      </c>
      <c r="AO137">
        <f>H137*I137*J137/1000000000*K137*(1+$T$5)</f>
        <v>0.052</v>
      </c>
      <c r="AP137">
        <f>0.006165*O137^2*T137*U137/1000*(1+$T$6)</f>
        <v>18.389652480000002</v>
      </c>
      <c r="AQ137">
        <f>0.006165*W137^2*AB137*AC137/1000*(1+$T$6)</f>
        <v>0</v>
      </c>
      <c r="AR137">
        <f>AN137*0.006165*AD137^2*AL137/1000*(1+$T$6)</f>
        <v>7.1205750000000005</v>
      </c>
      <c r="AS137">
        <f>AN137*0.006165*AI137^2*AM137/1000*(1+$T$6)</f>
        <v>0</v>
      </c>
      <c r="AT137">
        <f>K137*2*J137*(H137+I137)/1000000*(1+$T$7)</f>
        <v>1.06</v>
      </c>
      <c r="AU137">
        <f>SUM(AP137:AS137)/AO137</f>
        <v>490.5812976923078</v>
      </c>
      <c r="AV137">
        <f>AT137/AO137</f>
        <v>20.384615384615387</v>
      </c>
      <c r="AX137">
        <f>0.006165*O137^2*R137*U137/1000*(1+$T$6)</f>
        <v>18.389652480000002</v>
      </c>
      <c r="AZ137">
        <f>0.006165*O137^2*S137*U137/1000*(1+$T$6)</f>
        <v>0</v>
      </c>
      <c r="BA137">
        <f>AZ137/AP137</f>
        <v>0</v>
      </c>
    </row>
    <row r="139">
      <c r="AZ139">
        <f>0.006165*O139^2*S139*U139/1000*(1+$T$6)</f>
        <v>0</v>
      </c>
      <c r="BA139" t="e">
        <f>AZ139/AP139</f>
        <v>#DIV/0!</v>
      </c>
    </row>
    <row r="141">
      <c r="AL141" t="str">
        <v>TOTAL</v>
      </c>
      <c r="AO141">
        <f>SUM(AO14:AO140)</f>
        <v>51.80546072515711</v>
      </c>
      <c r="AP141">
        <f>SUM(AP14:AQ140)</f>
        <v>8117.671127040009</v>
      </c>
      <c r="AR141">
        <f>SUM(AR14:AR140)</f>
        <v>4993.062836211363</v>
      </c>
      <c r="AS141">
        <f>SUM(AS14:AS140)</f>
        <v>311.7208949999997</v>
      </c>
      <c r="AT141">
        <f>SUM(AT14:AT140)</f>
        <v>770.1090429006276</v>
      </c>
      <c r="AU141">
        <f>AVERAGE(AU14:AU140)</f>
        <v>284.95824989516285</v>
      </c>
      <c r="AV141">
        <f>AVERAGE(AV14:AV140)</f>
        <v>16.12841688399499</v>
      </c>
      <c r="AX141">
        <f>SUM(AX14:AX140)</f>
        <v>8117.671127040009</v>
      </c>
      <c r="AY141" t="str">
        <v>vol besi jika pakai hitungan estimasi biasa</v>
      </c>
    </row>
    <row r="142">
      <c r="C142" t="str">
        <v>cek jumlah</v>
      </c>
      <c r="D142">
        <f>COUNT(D14:D140)-COUNT('Data-Kolom'!D14:D248)</f>
        <v>0</v>
      </c>
      <c r="AL142" t="str">
        <v>CEK RASIO</v>
      </c>
      <c r="AP142">
        <f>SUM(AP141:AS141)/AO141</f>
        <v>259.0934366834678</v>
      </c>
      <c r="AT142">
        <f>AT141/AO141</f>
        <v>14.865402838250544</v>
      </c>
      <c r="AX142">
        <f>AP141-AX141</f>
        <v>0</v>
      </c>
      <c r="AY142" t="str">
        <v>selisih vol besi BBS dan estimasi biasa</v>
      </c>
    </row>
    <row r="143">
      <c r="AZ143">
        <f>AX142/AP141</f>
        <v>0</v>
      </c>
      <c r="BA143" t="str">
        <v>"waste" dari BBS</v>
      </c>
    </row>
    <row r="144">
      <c r="B144" t="str">
        <v>REKAP VOLUME</v>
      </c>
    </row>
    <row r="146">
      <c r="B146" t="str">
        <v>Bangunan</v>
      </c>
      <c r="D146" t="str">
        <v>Tipe Kolom</v>
      </c>
      <c r="F146" t="str">
        <v>Beton</v>
      </c>
      <c r="G146" t="str">
        <v>Bekisting</v>
      </c>
      <c r="H146" t="str">
        <v>Besi Sengkang</v>
      </c>
      <c r="L146" t="str">
        <v>Besi Utama + Extra</v>
      </c>
      <c r="T146" t="str">
        <v>TOTAL BESI</v>
      </c>
      <c r="V146" t="str">
        <v>RASIO (TOTAL)</v>
      </c>
    </row>
    <row r="147">
      <c r="H147">
        <v>8</v>
      </c>
      <c r="I147">
        <v>10</v>
      </c>
      <c r="J147">
        <v>13</v>
      </c>
      <c r="K147">
        <v>16</v>
      </c>
      <c r="L147">
        <v>10</v>
      </c>
      <c r="M147">
        <v>13</v>
      </c>
      <c r="N147">
        <v>16</v>
      </c>
      <c r="O147">
        <v>19</v>
      </c>
      <c r="P147">
        <v>22</v>
      </c>
      <c r="Q147">
        <v>25</v>
      </c>
      <c r="R147">
        <v>29</v>
      </c>
      <c r="S147">
        <v>32</v>
      </c>
      <c r="V147" t="str">
        <v>BEKISTING</v>
      </c>
      <c r="W147" t="str">
        <v>BESI</v>
      </c>
    </row>
    <row r="149">
      <c r="B149" t="str">
        <v>Lantai 1</v>
      </c>
    </row>
    <row r="150">
      <c r="D150" t="str">
        <v>K1A4</v>
      </c>
      <c r="F150">
        <f>SUMIFS($AO$15:$AO$140,$B$15:$B$140,$B$149,$D$15:$D$140,$D150)</f>
        <v>0</v>
      </c>
      <c r="G150">
        <f>SUMIFS($AT$15:$AT$140,$B$15:$B$140,$B$149,$D$15:$D$140,$D150)</f>
        <v>0</v>
      </c>
      <c r="H150">
        <f>SUMIFS($AR$15:$AR$140,$B$15:$B$140,$B$149,$D$15:$D$140,$D150,$AD$15:$AD$140,H$147)+SUMIFS($AS$15:$AS$140,$B$15:$B$140,$B$149,$D$15:$D$140,$D150,$AI$15:$AI$140,H$147)</f>
        <v>0</v>
      </c>
      <c r="I150">
        <f>SUMIFS($AR$15:$AR$140,$B$15:$B$140,$B$149,$D$15:$D$140,$D150,$AD$15:$AD$140,I$147)+SUMIFS($AS$15:$AS$140,$B$15:$B$140,$B$149,$D$15:$D$140,$D150,$AI$15:$AI$140,I$147)</f>
        <v>0</v>
      </c>
      <c r="J150">
        <f>SUMIFS($AR$15:$AR$140,$B$15:$B$140,$B$149,$D$15:$D$140,$D150,$AD$15:$AD$140,J$147)+SUMIFS($AS$15:$AS$140,$B$15:$B$140,$B$149,$D$15:$D$140,$D150,$AI$15:$AI$140,J$147)</f>
        <v>0</v>
      </c>
      <c r="K150">
        <f>SUMIFS($AR$15:$AR$140,$B$15:$B$140,$B$149,$D$15:$D$140,$D150,$AD$15:$AD$140,K$147)+SUMIFS($AS$15:$AS$140,$B$15:$B$140,$B$149,$D$15:$D$140,$D150,$AI$15:$AI$140,K$147)</f>
        <v>0</v>
      </c>
      <c r="L150">
        <f>SUMIFS($AP$15:$AP$140,$B$15:$B$140,$B$149,$D$15:$D$140,$D150,$O$15:$O$140,L$147)+SUMIFS($AQ$15:$AQ$140,$B$15:$B$140,$B$149,$D$15:$D$140,$D150,$W$15:$W$140,L$147)</f>
        <v>0</v>
      </c>
      <c r="M150">
        <f>SUMIFS($AP$15:$AP$140,$B$15:$B$140,$B$149,$D$15:$D$140,$D150,$O$15:$O$140,M$147)+SUMIFS($AQ$15:$AQ$140,$B$15:$B$140,$B$149,$D$15:$D$140,$D150,$W$15:$W$140,M$147)</f>
        <v>0</v>
      </c>
      <c r="N150">
        <f>SUMIFS($AP$15:$AP$140,$B$15:$B$140,$B$149,$D$15:$D$140,$D150,$O$15:$O$140,N$147)+SUMIFS($AQ$15:$AQ$140,$B$15:$B$140,$B$149,$D$15:$D$140,$D150,$W$15:$W$140,N$147)</f>
        <v>0</v>
      </c>
      <c r="O150">
        <f>SUMIFS($AP$15:$AP$140,$B$15:$B$140,$B$149,$D$15:$D$140,$D150,$O$15:$O$140,O$147)+SUMIFS($AQ$15:$AQ$140,$B$15:$B$140,$B$149,$D$15:$D$140,$D150,$W$15:$W$140,O$147)</f>
        <v>0</v>
      </c>
      <c r="P150">
        <f>SUMIFS($AP$15:$AP$140,$B$15:$B$140,$B$149,$D$15:$D$140,$D150,$O$15:$O$140,P$147)+SUMIFS($AQ$15:$AQ$140,$B$15:$B$140,$B$149,$D$15:$D$140,$D150,$W$15:$W$140,P$147)</f>
        <v>0</v>
      </c>
      <c r="Q150">
        <f>SUMIFS($AP$15:$AP$140,$B$15:$B$140,$B$149,$D$15:$D$140,$D150,$O$15:$O$140,Q$147)+SUMIFS($AQ$15:$AQ$140,$B$15:$B$140,$B$149,$D$15:$D$140,$D150,$W$15:$W$140,Q$147)</f>
        <v>0</v>
      </c>
      <c r="R150">
        <f>SUMIFS($AP$15:$AP$140,$B$15:$B$140,$B$149,$D$15:$D$140,$D150,$O$15:$O$140,R$147)+SUMIFS($AQ$15:$AQ$140,$B$15:$B$140,$B$149,$D$15:$D$140,$D150,$W$15:$W$140,R$147)</f>
        <v>0</v>
      </c>
      <c r="S150">
        <f>SUMIFS($AP$15:$AP$140,$B$15:$B$140,$B$149,$D$15:$D$140,$D150,$O$15:$O$140,S$147)+SUMIFS($AQ$15:$AQ$140,$B$15:$B$140,$B$149,$D$15:$D$140,$D150,$W$15:$W$140,S$147)</f>
        <v>0</v>
      </c>
      <c r="T150">
        <f>SUM(H150:R150)</f>
        <v>0</v>
      </c>
      <c r="V150">
        <f>IF(F150&gt;0,G150/F150,0)</f>
        <v>0</v>
      </c>
      <c r="W150">
        <f>IF(F150&gt;0,T150/F150,0)</f>
        <v>0</v>
      </c>
    </row>
    <row r="151">
      <c r="D151" t="str">
        <v>K1A5</v>
      </c>
      <c r="F151">
        <f>SUMIFS($AO$15:$AO$140,$B$15:$B$140,$B$149,$D$15:$D$140,$D151)</f>
        <v>0</v>
      </c>
      <c r="G151">
        <f>SUMIFS($AT$15:$AT$140,$B$15:$B$140,$B$149,$D$15:$D$140,$D151)</f>
        <v>0</v>
      </c>
      <c r="H151">
        <f>SUMIFS($AR$15:$AR$140,$B$15:$B$140,$B$149,$D$15:$D$140,$D151,$AD$15:$AD$140,H$147)+SUMIFS($AS$15:$AS$140,$B$15:$B$140,$B$149,$D$15:$D$140,$D151,$AI$15:$AI$140,H$147)</f>
        <v>0</v>
      </c>
      <c r="I151">
        <f>SUMIFS($AR$15:$AR$140,$B$15:$B$140,$B$149,$D$15:$D$140,$D151,$AD$15:$AD$140,I$147)+SUMIFS($AS$15:$AS$140,$B$15:$B$140,$B$149,$D$15:$D$140,$D151,$AI$15:$AI$140,I$147)</f>
        <v>0</v>
      </c>
      <c r="J151">
        <f>SUMIFS($AR$15:$AR$140,$B$15:$B$140,$B$149,$D$15:$D$140,$D151,$AD$15:$AD$140,J$147)+SUMIFS($AS$15:$AS$140,$B$15:$B$140,$B$149,$D$15:$D$140,$D151,$AI$15:$AI$140,J$147)</f>
        <v>0</v>
      </c>
      <c r="K151">
        <f>SUMIFS($AR$15:$AR$140,$B$15:$B$140,$B$149,$D$15:$D$140,$D151,$AD$15:$AD$140,K$147)+SUMIFS($AS$15:$AS$140,$B$15:$B$140,$B$149,$D$15:$D$140,$D151,$AI$15:$AI$140,K$147)</f>
        <v>0</v>
      </c>
      <c r="L151">
        <f>SUMIFS($AP$15:$AP$140,$B$15:$B$140,$B$149,$D$15:$D$140,$D151,$O$15:$O$140,L$147)+SUMIFS($AQ$15:$AQ$140,$B$15:$B$140,$B$149,$D$15:$D$140,$D151,$W$15:$W$140,L$147)</f>
        <v>0</v>
      </c>
      <c r="M151">
        <f>SUMIFS($AP$15:$AP$140,$B$15:$B$140,$B$149,$D$15:$D$140,$D151,$O$15:$O$140,M$147)+SUMIFS($AQ$15:$AQ$140,$B$15:$B$140,$B$149,$D$15:$D$140,$D151,$W$15:$W$140,M$147)</f>
        <v>0</v>
      </c>
      <c r="N151">
        <f>SUMIFS($AP$15:$AP$140,$B$15:$B$140,$B$149,$D$15:$D$140,$D151,$O$15:$O$140,N$147)+SUMIFS($AQ$15:$AQ$140,$B$15:$B$140,$B$149,$D$15:$D$140,$D151,$W$15:$W$140,N$147)</f>
        <v>0</v>
      </c>
      <c r="O151">
        <f>SUMIFS($AP$15:$AP$140,$B$15:$B$140,$B$149,$D$15:$D$140,$D151,$O$15:$O$140,O$147)+SUMIFS($AQ$15:$AQ$140,$B$15:$B$140,$B$149,$D$15:$D$140,$D151,$W$15:$W$140,O$147)</f>
        <v>0</v>
      </c>
      <c r="P151">
        <f>SUMIFS($AP$15:$AP$140,$B$15:$B$140,$B$149,$D$15:$D$140,$D151,$O$15:$O$140,P$147)+SUMIFS($AQ$15:$AQ$140,$B$15:$B$140,$B$149,$D$15:$D$140,$D151,$W$15:$W$140,P$147)</f>
        <v>0</v>
      </c>
      <c r="Q151">
        <f>SUMIFS($AP$15:$AP$140,$B$15:$B$140,$B$149,$D$15:$D$140,$D151,$O$15:$O$140,Q$147)+SUMIFS($AQ$15:$AQ$140,$B$15:$B$140,$B$149,$D$15:$D$140,$D151,$W$15:$W$140,Q$147)</f>
        <v>0</v>
      </c>
      <c r="R151">
        <f>SUMIFS($AP$15:$AP$140,$B$15:$B$140,$B$149,$D$15:$D$140,$D151,$O$15:$O$140,R$147)+SUMIFS($AQ$15:$AQ$140,$B$15:$B$140,$B$149,$D$15:$D$140,$D151,$W$15:$W$140,R$147)</f>
        <v>0</v>
      </c>
      <c r="S151">
        <f>SUMIFS($AP$15:$AP$140,$B$15:$B$140,$B$149,$D$15:$D$140,$D151,$O$15:$O$140,S$147)+SUMIFS($AQ$15:$AQ$140,$B$15:$B$140,$B$149,$D$15:$D$140,$D151,$W$15:$W$140,S$147)</f>
        <v>0</v>
      </c>
      <c r="T151">
        <f>SUM(H151:R151)</f>
        <v>0</v>
      </c>
      <c r="V151">
        <f>IF(F151&gt;0,G151/F151,0)</f>
        <v>0</v>
      </c>
      <c r="W151">
        <f>IF(F151&gt;0,T151/F151,0)</f>
        <v>0</v>
      </c>
    </row>
    <row r="152">
      <c r="D152" t="str">
        <v>K24</v>
      </c>
      <c r="F152">
        <f>SUMIFS($AO$15:$AO$140,$B$15:$B$140,$B$149,$D$15:$D$140,$D152)</f>
        <v>0.8160000000000001</v>
      </c>
      <c r="G152">
        <f>SUMIFS($AT$15:$AT$140,$B$15:$B$140,$B$149,$D$15:$D$140,$D152)</f>
        <v>12.239999999999998</v>
      </c>
      <c r="H152">
        <f>SUMIFS($AR$15:$AR$140,$B$15:$B$140,$B$149,$D$15:$D$140,$D152,$AD$15:$AD$140,H$147)+SUMIFS($AS$15:$AS$140,$B$15:$B$140,$B$149,$D$15:$D$140,$D152,$AI$15:$AI$140,H$147)</f>
        <v>0</v>
      </c>
      <c r="I152">
        <f>SUMIFS($AR$15:$AR$140,$B$15:$B$140,$B$149,$D$15:$D$140,$D152,$AD$15:$AD$140,I$147)+SUMIFS($AS$15:$AS$140,$B$15:$B$140,$B$149,$D$15:$D$140,$D152,$AI$15:$AI$140,I$147)</f>
        <v>105.42150000000001</v>
      </c>
      <c r="J152">
        <f>SUMIFS($AR$15:$AR$140,$B$15:$B$140,$B$149,$D$15:$D$140,$D152,$AD$15:$AD$140,J$147)+SUMIFS($AS$15:$AS$140,$B$15:$B$140,$B$149,$D$15:$D$140,$D152,$AI$15:$AI$140,J$147)</f>
        <v>0</v>
      </c>
      <c r="K152">
        <f>SUMIFS($AR$15:$AR$140,$B$15:$B$140,$B$149,$D$15:$D$140,$D152,$AD$15:$AD$140,K$147)+SUMIFS($AS$15:$AS$140,$B$15:$B$140,$B$149,$D$15:$D$140,$D152,$AI$15:$AI$140,K$147)</f>
        <v>0</v>
      </c>
      <c r="L152">
        <f>SUMIFS($AP$15:$AP$140,$B$15:$B$140,$B$149,$D$15:$D$140,$D152,$O$15:$O$140,L$147)+SUMIFS($AQ$15:$AQ$140,$B$15:$B$140,$B$149,$D$15:$D$140,$D152,$W$15:$W$140,L$147)</f>
        <v>0</v>
      </c>
      <c r="M152">
        <f>SUMIFS($AP$15:$AP$140,$B$15:$B$140,$B$149,$D$15:$D$140,$D152,$O$15:$O$140,M$147)+SUMIFS($AQ$15:$AQ$140,$B$15:$B$140,$B$149,$D$15:$D$140,$D152,$W$15:$W$140,M$147)</f>
        <v>0</v>
      </c>
      <c r="N152">
        <f>SUMIFS($AP$15:$AP$140,$B$15:$B$140,$B$149,$D$15:$D$140,$D152,$O$15:$O$140,N$147)+SUMIFS($AQ$15:$AQ$140,$B$15:$B$140,$B$149,$D$15:$D$140,$D152,$W$15:$W$140,N$147)</f>
        <v>150.10956288</v>
      </c>
      <c r="O152">
        <f>SUMIFS($AP$15:$AP$140,$B$15:$B$140,$B$149,$D$15:$D$140,$D152,$O$15:$O$140,O$147)+SUMIFS($AQ$15:$AQ$140,$B$15:$B$140,$B$149,$D$15:$D$140,$D152,$W$15:$W$140,O$147)</f>
        <v>0</v>
      </c>
      <c r="P152">
        <f>SUMIFS($AP$15:$AP$140,$B$15:$B$140,$B$149,$D$15:$D$140,$D152,$O$15:$O$140,P$147)+SUMIFS($AQ$15:$AQ$140,$B$15:$B$140,$B$149,$D$15:$D$140,$D152,$W$15:$W$140,P$147)</f>
        <v>0</v>
      </c>
      <c r="Q152">
        <f>SUMIFS($AP$15:$AP$140,$B$15:$B$140,$B$149,$D$15:$D$140,$D152,$O$15:$O$140,Q$147)+SUMIFS($AQ$15:$AQ$140,$B$15:$B$140,$B$149,$D$15:$D$140,$D152,$W$15:$W$140,Q$147)</f>
        <v>0</v>
      </c>
      <c r="R152">
        <f>SUMIFS($AP$15:$AP$140,$B$15:$B$140,$B$149,$D$15:$D$140,$D152,$O$15:$O$140,R$147)+SUMIFS($AQ$15:$AQ$140,$B$15:$B$140,$B$149,$D$15:$D$140,$D152,$W$15:$W$140,R$147)</f>
        <v>0</v>
      </c>
      <c r="S152">
        <f>SUMIFS($AP$15:$AP$140,$B$15:$B$140,$B$149,$D$15:$D$140,$D152,$O$15:$O$140,S$147)+SUMIFS($AQ$15:$AQ$140,$B$15:$B$140,$B$149,$D$15:$D$140,$D152,$W$15:$W$140,S$147)</f>
        <v>0</v>
      </c>
      <c r="T152">
        <f>SUM(H152:R152)</f>
        <v>255.53106288</v>
      </c>
      <c r="V152">
        <f>IF(F152&gt;0,G152/F152,0)</f>
        <v>14.999999999999996</v>
      </c>
      <c r="W152">
        <f>IF(F152&gt;0,T152/F152,0)</f>
        <v>313.15081235294116</v>
      </c>
    </row>
    <row r="153">
      <c r="D153" t="str">
        <v>K25</v>
      </c>
      <c r="F153">
        <f>SUMIFS($AO$15:$AO$140,$B$15:$B$140,$B$149,$D$15:$D$140,$D153)</f>
        <v>1.6500000000000001</v>
      </c>
      <c r="G153">
        <f>SUMIFS($AT$15:$AT$140,$B$15:$B$140,$B$149,$D$15:$D$140,$D153)</f>
        <v>23.1</v>
      </c>
      <c r="H153">
        <f>SUMIFS($AR$15:$AR$140,$B$15:$B$140,$B$149,$D$15:$D$140,$D153,$AD$15:$AD$140,H$147)+SUMIFS($AS$15:$AS$140,$B$15:$B$140,$B$149,$D$15:$D$140,$D153,$AI$15:$AI$140,H$147)</f>
        <v>0</v>
      </c>
      <c r="I153">
        <f>SUMIFS($AR$15:$AR$140,$B$15:$B$140,$B$149,$D$15:$D$140,$D153,$AD$15:$AD$140,I$147)+SUMIFS($AS$15:$AS$140,$B$15:$B$140,$B$149,$D$15:$D$140,$D153,$AI$15:$AI$140,I$147)</f>
        <v>179.21655</v>
      </c>
      <c r="J153">
        <f>SUMIFS($AR$15:$AR$140,$B$15:$B$140,$B$149,$D$15:$D$140,$D153,$AD$15:$AD$140,J$147)+SUMIFS($AS$15:$AS$140,$B$15:$B$140,$B$149,$D$15:$D$140,$D153,$AI$15:$AI$140,J$147)</f>
        <v>0</v>
      </c>
      <c r="K153">
        <f>SUMIFS($AR$15:$AR$140,$B$15:$B$140,$B$149,$D$15:$D$140,$D153,$AD$15:$AD$140,K$147)+SUMIFS($AS$15:$AS$140,$B$15:$B$140,$B$149,$D$15:$D$140,$D153,$AI$15:$AI$140,K$147)</f>
        <v>0</v>
      </c>
      <c r="L153">
        <f>SUMIFS($AP$15:$AP$140,$B$15:$B$140,$B$149,$D$15:$D$140,$D153,$O$15:$O$140,L$147)+SUMIFS($AQ$15:$AQ$140,$B$15:$B$140,$B$149,$D$15:$D$140,$D153,$W$15:$W$140,L$147)</f>
        <v>0</v>
      </c>
      <c r="M153">
        <f>SUMIFS($AP$15:$AP$140,$B$15:$B$140,$B$149,$D$15:$D$140,$D153,$O$15:$O$140,M$147)+SUMIFS($AQ$15:$AQ$140,$B$15:$B$140,$B$149,$D$15:$D$140,$D153,$W$15:$W$140,M$147)</f>
        <v>0</v>
      </c>
      <c r="N153">
        <f>SUMIFS($AP$15:$AP$140,$B$15:$B$140,$B$149,$D$15:$D$140,$D153,$O$15:$O$140,N$147)+SUMIFS($AQ$15:$AQ$140,$B$15:$B$140,$B$149,$D$15:$D$140,$D153,$W$15:$W$140,N$147)</f>
        <v>275.7500928</v>
      </c>
      <c r="O153">
        <f>SUMIFS($AP$15:$AP$140,$B$15:$B$140,$B$149,$D$15:$D$140,$D153,$O$15:$O$140,O$147)+SUMIFS($AQ$15:$AQ$140,$B$15:$B$140,$B$149,$D$15:$D$140,$D153,$W$15:$W$140,O$147)</f>
        <v>0</v>
      </c>
      <c r="P153">
        <f>SUMIFS($AP$15:$AP$140,$B$15:$B$140,$B$149,$D$15:$D$140,$D153,$O$15:$O$140,P$147)+SUMIFS($AQ$15:$AQ$140,$B$15:$B$140,$B$149,$D$15:$D$140,$D153,$W$15:$W$140,P$147)</f>
        <v>0</v>
      </c>
      <c r="Q153">
        <f>SUMIFS($AP$15:$AP$140,$B$15:$B$140,$B$149,$D$15:$D$140,$D153,$O$15:$O$140,Q$147)+SUMIFS($AQ$15:$AQ$140,$B$15:$B$140,$B$149,$D$15:$D$140,$D153,$W$15:$W$140,Q$147)</f>
        <v>0</v>
      </c>
      <c r="R153">
        <f>SUMIFS($AP$15:$AP$140,$B$15:$B$140,$B$149,$D$15:$D$140,$D153,$O$15:$O$140,R$147)+SUMIFS($AQ$15:$AQ$140,$B$15:$B$140,$B$149,$D$15:$D$140,$D153,$W$15:$W$140,R$147)</f>
        <v>0</v>
      </c>
      <c r="S153">
        <f>SUMIFS($AP$15:$AP$140,$B$15:$B$140,$B$149,$D$15:$D$140,$D153,$O$15:$O$140,S$147)+SUMIFS($AQ$15:$AQ$140,$B$15:$B$140,$B$149,$D$15:$D$140,$D153,$W$15:$W$140,S$147)</f>
        <v>0</v>
      </c>
      <c r="T153">
        <f>SUM(H153:R153)</f>
        <v>454.96664280000005</v>
      </c>
      <c r="V153">
        <f>IF(F153&gt;0,G153/F153,0)</f>
        <v>14</v>
      </c>
      <c r="W153">
        <f>IF(F153&gt;0,T153/F153,0)</f>
        <v>275.7373592727273</v>
      </c>
    </row>
    <row r="154">
      <c r="D154" t="str">
        <v>K26</v>
      </c>
      <c r="F154">
        <f>SUMIFS($AO$15:$AO$140,$B$15:$B$140,$B$149,$D$15:$D$140,$D154)</f>
        <v>5.388</v>
      </c>
      <c r="G154">
        <f>SUMIFS($AT$15:$AT$140,$B$15:$B$140,$B$149,$D$15:$D$140,$D154)</f>
        <v>71.84</v>
      </c>
      <c r="H154">
        <f>SUMIFS($AR$15:$AR$140,$B$15:$B$140,$B$149,$D$15:$D$140,$D154,$AD$15:$AD$140,H$147)+SUMIFS($AS$15:$AS$140,$B$15:$B$140,$B$149,$D$15:$D$140,$D154,$AI$15:$AI$140,H$147)</f>
        <v>0</v>
      </c>
      <c r="I154">
        <f>SUMIFS($AR$15:$AR$140,$B$15:$B$140,$B$149,$D$15:$D$140,$D154,$AD$15:$AD$140,I$147)+SUMIFS($AS$15:$AS$140,$B$15:$B$140,$B$149,$D$15:$D$140,$D154,$AI$15:$AI$140,I$147)</f>
        <v>447.967395</v>
      </c>
      <c r="J154">
        <f>SUMIFS($AR$15:$AR$140,$B$15:$B$140,$B$149,$D$15:$D$140,$D154,$AD$15:$AD$140,J$147)+SUMIFS($AS$15:$AS$140,$B$15:$B$140,$B$149,$D$15:$D$140,$D154,$AI$15:$AI$140,J$147)</f>
        <v>0</v>
      </c>
      <c r="K154">
        <f>SUMIFS($AR$15:$AR$140,$B$15:$B$140,$B$149,$D$15:$D$140,$D154,$AD$15:$AD$140,K$147)+SUMIFS($AS$15:$AS$140,$B$15:$B$140,$B$149,$D$15:$D$140,$D154,$AI$15:$AI$140,K$147)</f>
        <v>0</v>
      </c>
      <c r="L154">
        <f>SUMIFS($AP$15:$AP$140,$B$15:$B$140,$B$149,$D$15:$D$140,$D154,$O$15:$O$140,L$147)+SUMIFS($AQ$15:$AQ$140,$B$15:$B$140,$B$149,$D$15:$D$140,$D154,$W$15:$W$140,L$147)</f>
        <v>0</v>
      </c>
      <c r="M154">
        <f>SUMIFS($AP$15:$AP$140,$B$15:$B$140,$B$149,$D$15:$D$140,$D154,$O$15:$O$140,M$147)+SUMIFS($AQ$15:$AQ$140,$B$15:$B$140,$B$149,$D$15:$D$140,$D154,$W$15:$W$140,M$147)</f>
        <v>0</v>
      </c>
      <c r="N154">
        <f>SUMIFS($AP$15:$AP$140,$B$15:$B$140,$B$149,$D$15:$D$140,$D154,$O$15:$O$140,N$147)+SUMIFS($AQ$15:$AQ$140,$B$15:$B$140,$B$149,$D$15:$D$140,$D154,$W$15:$W$140,N$147)</f>
        <v>961.4638080000002</v>
      </c>
      <c r="O154">
        <f>SUMIFS($AP$15:$AP$140,$B$15:$B$140,$B$149,$D$15:$D$140,$D154,$O$15:$O$140,O$147)+SUMIFS($AQ$15:$AQ$140,$B$15:$B$140,$B$149,$D$15:$D$140,$D154,$W$15:$W$140,O$147)</f>
        <v>0</v>
      </c>
      <c r="P154">
        <f>SUMIFS($AP$15:$AP$140,$B$15:$B$140,$B$149,$D$15:$D$140,$D154,$O$15:$O$140,P$147)+SUMIFS($AQ$15:$AQ$140,$B$15:$B$140,$B$149,$D$15:$D$140,$D154,$W$15:$W$140,P$147)</f>
        <v>0</v>
      </c>
      <c r="Q154">
        <f>SUMIFS($AP$15:$AP$140,$B$15:$B$140,$B$149,$D$15:$D$140,$D154,$O$15:$O$140,Q$147)+SUMIFS($AQ$15:$AQ$140,$B$15:$B$140,$B$149,$D$15:$D$140,$D154,$W$15:$W$140,Q$147)</f>
        <v>0</v>
      </c>
      <c r="R154">
        <f>SUMIFS($AP$15:$AP$140,$B$15:$B$140,$B$149,$D$15:$D$140,$D154,$O$15:$O$140,R$147)+SUMIFS($AQ$15:$AQ$140,$B$15:$B$140,$B$149,$D$15:$D$140,$D154,$W$15:$W$140,R$147)</f>
        <v>0</v>
      </c>
      <c r="S154">
        <f>SUMIFS($AP$15:$AP$140,$B$15:$B$140,$B$149,$D$15:$D$140,$D154,$O$15:$O$140,S$147)+SUMIFS($AQ$15:$AQ$140,$B$15:$B$140,$B$149,$D$15:$D$140,$D154,$W$15:$W$140,S$147)</f>
        <v>0</v>
      </c>
      <c r="T154">
        <f>SUM(H154:R154)</f>
        <v>1409.431203</v>
      </c>
      <c r="V154">
        <f>IF(F154&gt;0,G154/F154,0)</f>
        <v>13.333333333333334</v>
      </c>
      <c r="W154">
        <f>IF(F154&gt;0,T154/F154,0)</f>
        <v>261.5870829621381</v>
      </c>
    </row>
    <row r="155">
      <c r="D155" t="str">
        <v>K2A5</v>
      </c>
      <c r="F155">
        <f>SUMIFS($AO$15:$AO$140,$B$15:$B$140,$B$149,$D$15:$D$140,$D155)</f>
        <v>1.15</v>
      </c>
      <c r="G155">
        <f>SUMIFS($AT$15:$AT$140,$B$15:$B$140,$B$149,$D$15:$D$140,$D155)</f>
        <v>13.8</v>
      </c>
      <c r="H155">
        <f>SUMIFS($AR$15:$AR$140,$B$15:$B$140,$B$149,$D$15:$D$140,$D155,$AD$15:$AD$140,H$147)+SUMIFS($AS$15:$AS$140,$B$15:$B$140,$B$149,$D$15:$D$140,$D155,$AI$15:$AI$140,H$147)</f>
        <v>0</v>
      </c>
      <c r="I155">
        <f>SUMIFS($AR$15:$AR$140,$B$15:$B$140,$B$149,$D$15:$D$140,$D155,$AD$15:$AD$140,I$147)+SUMIFS($AS$15:$AS$140,$B$15:$B$140,$B$149,$D$15:$D$140,$D155,$AI$15:$AI$140,I$147)</f>
        <v>107.20935</v>
      </c>
      <c r="J155">
        <f>SUMIFS($AR$15:$AR$140,$B$15:$B$140,$B$149,$D$15:$D$140,$D155,$AD$15:$AD$140,J$147)+SUMIFS($AS$15:$AS$140,$B$15:$B$140,$B$149,$D$15:$D$140,$D155,$AI$15:$AI$140,J$147)</f>
        <v>0</v>
      </c>
      <c r="K155">
        <f>SUMIFS($AR$15:$AR$140,$B$15:$B$140,$B$149,$D$15:$D$140,$D155,$AD$15:$AD$140,K$147)+SUMIFS($AS$15:$AS$140,$B$15:$B$140,$B$149,$D$15:$D$140,$D155,$AI$15:$AI$140,K$147)</f>
        <v>0</v>
      </c>
      <c r="L155">
        <f>SUMIFS($AP$15:$AP$140,$B$15:$B$140,$B$149,$D$15:$D$140,$D155,$O$15:$O$140,L$147)+SUMIFS($AQ$15:$AQ$140,$B$15:$B$140,$B$149,$D$15:$D$140,$D155,$W$15:$W$140,L$147)</f>
        <v>0</v>
      </c>
      <c r="M155">
        <f>SUMIFS($AP$15:$AP$140,$B$15:$B$140,$B$149,$D$15:$D$140,$D155,$O$15:$O$140,M$147)+SUMIFS($AQ$15:$AQ$140,$B$15:$B$140,$B$149,$D$15:$D$140,$D155,$W$15:$W$140,M$147)</f>
        <v>0</v>
      </c>
      <c r="N155">
        <f>SUMIFS($AP$15:$AP$140,$B$15:$B$140,$B$149,$D$15:$D$140,$D155,$O$15:$O$140,N$147)+SUMIFS($AQ$15:$AQ$140,$B$15:$B$140,$B$149,$D$15:$D$140,$D155,$W$15:$W$140,N$147)</f>
        <v>161.10673920000002</v>
      </c>
      <c r="O155">
        <f>SUMIFS($AP$15:$AP$140,$B$15:$B$140,$B$149,$D$15:$D$140,$D155,$O$15:$O$140,O$147)+SUMIFS($AQ$15:$AQ$140,$B$15:$B$140,$B$149,$D$15:$D$140,$D155,$W$15:$W$140,O$147)</f>
        <v>0</v>
      </c>
      <c r="P155">
        <f>SUMIFS($AP$15:$AP$140,$B$15:$B$140,$B$149,$D$15:$D$140,$D155,$O$15:$O$140,P$147)+SUMIFS($AQ$15:$AQ$140,$B$15:$B$140,$B$149,$D$15:$D$140,$D155,$W$15:$W$140,P$147)</f>
        <v>0</v>
      </c>
      <c r="Q155">
        <f>SUMIFS($AP$15:$AP$140,$B$15:$B$140,$B$149,$D$15:$D$140,$D155,$O$15:$O$140,Q$147)+SUMIFS($AQ$15:$AQ$140,$B$15:$B$140,$B$149,$D$15:$D$140,$D155,$W$15:$W$140,Q$147)</f>
        <v>0</v>
      </c>
      <c r="R155">
        <f>SUMIFS($AP$15:$AP$140,$B$15:$B$140,$B$149,$D$15:$D$140,$D155,$O$15:$O$140,R$147)+SUMIFS($AQ$15:$AQ$140,$B$15:$B$140,$B$149,$D$15:$D$140,$D155,$W$15:$W$140,R$147)</f>
        <v>0</v>
      </c>
      <c r="S155">
        <f>SUMIFS($AP$15:$AP$140,$B$15:$B$140,$B$149,$D$15:$D$140,$D155,$O$15:$O$140,S$147)+SUMIFS($AQ$15:$AQ$140,$B$15:$B$140,$B$149,$D$15:$D$140,$D155,$W$15:$W$140,S$147)</f>
        <v>0</v>
      </c>
      <c r="T155">
        <f>SUM(H155:R155)</f>
        <v>268.3160892</v>
      </c>
      <c r="V155">
        <f>IF(F155&gt;0,G155/F155,0)</f>
        <v>12.000000000000002</v>
      </c>
      <c r="W155">
        <f>IF(F155&gt;0,T155/F155,0)</f>
        <v>233.31833843478265</v>
      </c>
    </row>
    <row r="156">
      <c r="D156" t="str">
        <v>K2A6</v>
      </c>
      <c r="F156">
        <f>SUMIFS($AO$15:$AO$140,$B$15:$B$140,$B$149,$D$15:$D$140,$D156)</f>
        <v>0.69</v>
      </c>
      <c r="G156">
        <f>SUMIFS($AT$15:$AT$140,$B$15:$B$140,$B$149,$D$15:$D$140,$D156)</f>
        <v>7.82</v>
      </c>
      <c r="H156">
        <f>SUMIFS($AR$15:$AR$140,$B$15:$B$140,$B$149,$D$15:$D$140,$D156,$AD$15:$AD$140,H$147)+SUMIFS($AS$15:$AS$140,$B$15:$B$140,$B$149,$D$15:$D$140,$D156,$AI$15:$AI$140,H$147)</f>
        <v>0</v>
      </c>
      <c r="I156">
        <f>SUMIFS($AR$15:$AR$140,$B$15:$B$140,$B$149,$D$15:$D$140,$D156,$AD$15:$AD$140,I$147)+SUMIFS($AS$15:$AS$140,$B$15:$B$140,$B$149,$D$15:$D$140,$D156,$AI$15:$AI$140,I$147)</f>
        <v>59.399775000000005</v>
      </c>
      <c r="J156">
        <f>SUMIFS($AR$15:$AR$140,$B$15:$B$140,$B$149,$D$15:$D$140,$D156,$AD$15:$AD$140,J$147)+SUMIFS($AS$15:$AS$140,$B$15:$B$140,$B$149,$D$15:$D$140,$D156,$AI$15:$AI$140,J$147)</f>
        <v>0</v>
      </c>
      <c r="K156">
        <f>SUMIFS($AR$15:$AR$140,$B$15:$B$140,$B$149,$D$15:$D$140,$D156,$AD$15:$AD$140,K$147)+SUMIFS($AS$15:$AS$140,$B$15:$B$140,$B$149,$D$15:$D$140,$D156,$AI$15:$AI$140,K$147)</f>
        <v>0</v>
      </c>
      <c r="L156">
        <f>SUMIFS($AP$15:$AP$140,$B$15:$B$140,$B$149,$D$15:$D$140,$D156,$O$15:$O$140,L$147)+SUMIFS($AQ$15:$AQ$140,$B$15:$B$140,$B$149,$D$15:$D$140,$D156,$W$15:$W$140,L$147)</f>
        <v>0</v>
      </c>
      <c r="M156">
        <f>SUMIFS($AP$15:$AP$140,$B$15:$B$140,$B$149,$D$15:$D$140,$D156,$O$15:$O$140,M$147)+SUMIFS($AQ$15:$AQ$140,$B$15:$B$140,$B$149,$D$15:$D$140,$D156,$W$15:$W$140,M$147)</f>
        <v>0</v>
      </c>
      <c r="N156">
        <f>SUMIFS($AP$15:$AP$140,$B$15:$B$140,$B$149,$D$15:$D$140,$D156,$O$15:$O$140,N$147)+SUMIFS($AQ$15:$AQ$140,$B$15:$B$140,$B$149,$D$15:$D$140,$D156,$W$15:$W$140,N$147)</f>
        <v>100.691712</v>
      </c>
      <c r="O156">
        <f>SUMIFS($AP$15:$AP$140,$B$15:$B$140,$B$149,$D$15:$D$140,$D156,$O$15:$O$140,O$147)+SUMIFS($AQ$15:$AQ$140,$B$15:$B$140,$B$149,$D$15:$D$140,$D156,$W$15:$W$140,O$147)</f>
        <v>0</v>
      </c>
      <c r="P156">
        <f>SUMIFS($AP$15:$AP$140,$B$15:$B$140,$B$149,$D$15:$D$140,$D156,$O$15:$O$140,P$147)+SUMIFS($AQ$15:$AQ$140,$B$15:$B$140,$B$149,$D$15:$D$140,$D156,$W$15:$W$140,P$147)</f>
        <v>0</v>
      </c>
      <c r="Q156">
        <f>SUMIFS($AP$15:$AP$140,$B$15:$B$140,$B$149,$D$15:$D$140,$D156,$O$15:$O$140,Q$147)+SUMIFS($AQ$15:$AQ$140,$B$15:$B$140,$B$149,$D$15:$D$140,$D156,$W$15:$W$140,Q$147)</f>
        <v>0</v>
      </c>
      <c r="R156">
        <f>SUMIFS($AP$15:$AP$140,$B$15:$B$140,$B$149,$D$15:$D$140,$D156,$O$15:$O$140,R$147)+SUMIFS($AQ$15:$AQ$140,$B$15:$B$140,$B$149,$D$15:$D$140,$D156,$W$15:$W$140,R$147)</f>
        <v>0</v>
      </c>
      <c r="S156">
        <f>SUMIFS($AP$15:$AP$140,$B$15:$B$140,$B$149,$D$15:$D$140,$D156,$O$15:$O$140,S$147)+SUMIFS($AQ$15:$AQ$140,$B$15:$B$140,$B$149,$D$15:$D$140,$D156,$W$15:$W$140,S$147)</f>
        <v>0</v>
      </c>
      <c r="T156">
        <f>SUM(H156:R156)</f>
        <v>160.091487</v>
      </c>
      <c r="V156">
        <f>IF(F156&gt;0,G156/F156,0)</f>
        <v>11.333333333333334</v>
      </c>
      <c r="W156">
        <f>IF(F156&gt;0,T156/F156,0)</f>
        <v>232.01664782608697</v>
      </c>
    </row>
    <row r="157">
      <c r="D157" t="str">
        <v>K4</v>
      </c>
      <c r="F157">
        <f>SUMIFS($AO$15:$AO$140,$B$15:$B$140,$B$149,$D$15:$D$140,$D157)</f>
        <v>5.664399999999999</v>
      </c>
      <c r="G157">
        <f>SUMIFS($AT$15:$AT$140,$B$15:$B$140,$B$149,$D$15:$D$140,$D157)</f>
        <v>94.96199999999997</v>
      </c>
      <c r="H157">
        <f>SUMIFS($AR$15:$AR$140,$B$15:$B$140,$B$149,$D$15:$D$140,$D157,$AD$15:$AD$140,H$147)+SUMIFS($AS$15:$AS$140,$B$15:$B$140,$B$149,$D$15:$D$140,$D157,$AI$15:$AI$140,H$147)</f>
        <v>0</v>
      </c>
      <c r="I157">
        <f>SUMIFS($AR$15:$AR$140,$B$15:$B$140,$B$149,$D$15:$D$140,$D157,$AD$15:$AD$140,I$147)+SUMIFS($AS$15:$AS$140,$B$15:$B$140,$B$149,$D$15:$D$140,$D157,$AI$15:$AI$140,I$147)</f>
        <v>595.6314750000001</v>
      </c>
      <c r="J157">
        <f>SUMIFS($AR$15:$AR$140,$B$15:$B$140,$B$149,$D$15:$D$140,$D157,$AD$15:$AD$140,J$147)+SUMIFS($AS$15:$AS$140,$B$15:$B$140,$B$149,$D$15:$D$140,$D157,$AI$15:$AI$140,J$147)</f>
        <v>0</v>
      </c>
      <c r="K157">
        <f>SUMIFS($AR$15:$AR$140,$B$15:$B$140,$B$149,$D$15:$D$140,$D157,$AD$15:$AD$140,K$147)+SUMIFS($AS$15:$AS$140,$B$15:$B$140,$B$149,$D$15:$D$140,$D157,$AI$15:$AI$140,K$147)</f>
        <v>0</v>
      </c>
      <c r="L157">
        <f>SUMIFS($AP$15:$AP$140,$B$15:$B$140,$B$149,$D$15:$D$140,$D157,$O$15:$O$140,L$147)+SUMIFS($AQ$15:$AQ$140,$B$15:$B$140,$B$149,$D$15:$D$140,$D157,$W$15:$W$140,L$147)</f>
        <v>0</v>
      </c>
      <c r="M157">
        <f>SUMIFS($AP$15:$AP$140,$B$15:$B$140,$B$149,$D$15:$D$140,$D157,$O$15:$O$140,M$147)+SUMIFS($AQ$15:$AQ$140,$B$15:$B$140,$B$149,$D$15:$D$140,$D157,$W$15:$W$140,M$147)</f>
        <v>0</v>
      </c>
      <c r="N157">
        <f>SUMIFS($AP$15:$AP$140,$B$15:$B$140,$B$149,$D$15:$D$140,$D157,$O$15:$O$140,N$147)+SUMIFS($AQ$15:$AQ$140,$B$15:$B$140,$B$149,$D$15:$D$140,$D157,$W$15:$W$140,N$147)</f>
        <v>1041.6384</v>
      </c>
      <c r="O157">
        <f>SUMIFS($AP$15:$AP$140,$B$15:$B$140,$B$149,$D$15:$D$140,$D157,$O$15:$O$140,O$147)+SUMIFS($AQ$15:$AQ$140,$B$15:$B$140,$B$149,$D$15:$D$140,$D157,$W$15:$W$140,O$147)</f>
        <v>0</v>
      </c>
      <c r="P157">
        <f>SUMIFS($AP$15:$AP$140,$B$15:$B$140,$B$149,$D$15:$D$140,$D157,$O$15:$O$140,P$147)+SUMIFS($AQ$15:$AQ$140,$B$15:$B$140,$B$149,$D$15:$D$140,$D157,$W$15:$W$140,P$147)</f>
        <v>0</v>
      </c>
      <c r="Q157">
        <f>SUMIFS($AP$15:$AP$140,$B$15:$B$140,$B$149,$D$15:$D$140,$D157,$O$15:$O$140,Q$147)+SUMIFS($AQ$15:$AQ$140,$B$15:$B$140,$B$149,$D$15:$D$140,$D157,$W$15:$W$140,Q$147)</f>
        <v>0</v>
      </c>
      <c r="R157">
        <f>SUMIFS($AP$15:$AP$140,$B$15:$B$140,$B$149,$D$15:$D$140,$D157,$O$15:$O$140,R$147)+SUMIFS($AQ$15:$AQ$140,$B$15:$B$140,$B$149,$D$15:$D$140,$D157,$W$15:$W$140,R$147)</f>
        <v>0</v>
      </c>
      <c r="S157">
        <f>SUMIFS($AP$15:$AP$140,$B$15:$B$140,$B$149,$D$15:$D$140,$D157,$O$15:$O$140,S$147)+SUMIFS($AQ$15:$AQ$140,$B$15:$B$140,$B$149,$D$15:$D$140,$D157,$W$15:$W$140,S$147)</f>
        <v>0</v>
      </c>
      <c r="T157">
        <f>SUM(H157:R157)</f>
        <v>1637.2698750000002</v>
      </c>
      <c r="V157">
        <f>IF(F157&gt;0,G157/F157,0)</f>
        <v>16.764705882352942</v>
      </c>
      <c r="W157">
        <f>IF(F157&gt;0,T157/F157,0)</f>
        <v>289.04559617964844</v>
      </c>
    </row>
    <row r="158">
      <c r="D158" t="str">
        <v>K5</v>
      </c>
      <c r="F158">
        <f>SUMIFS($AO$15:$AO$140,$B$15:$B$140,$B$149,$D$15:$D$140,$D158)</f>
        <v>0</v>
      </c>
      <c r="G158">
        <f>SUMIFS($AT$15:$AT$140,$B$15:$B$140,$B$149,$D$15:$D$140,$D158)</f>
        <v>0</v>
      </c>
      <c r="H158">
        <f>SUMIFS($AR$15:$AR$140,$B$15:$B$140,$B$149,$D$15:$D$140,$D158,$AD$15:$AD$140,H$147)+SUMIFS($AS$15:$AS$140,$B$15:$B$140,$B$149,$D$15:$D$140,$D158,$AI$15:$AI$140,H$147)</f>
        <v>0</v>
      </c>
      <c r="I158">
        <f>SUMIFS($AR$15:$AR$140,$B$15:$B$140,$B$149,$D$15:$D$140,$D158,$AD$15:$AD$140,I$147)+SUMIFS($AS$15:$AS$140,$B$15:$B$140,$B$149,$D$15:$D$140,$D158,$AI$15:$AI$140,I$147)</f>
        <v>0</v>
      </c>
      <c r="J158">
        <f>SUMIFS($AR$15:$AR$140,$B$15:$B$140,$B$149,$D$15:$D$140,$D158,$AD$15:$AD$140,J$147)+SUMIFS($AS$15:$AS$140,$B$15:$B$140,$B$149,$D$15:$D$140,$D158,$AI$15:$AI$140,J$147)</f>
        <v>0</v>
      </c>
      <c r="K158">
        <f>SUMIFS($AR$15:$AR$140,$B$15:$B$140,$B$149,$D$15:$D$140,$D158,$AD$15:$AD$140,K$147)+SUMIFS($AS$15:$AS$140,$B$15:$B$140,$B$149,$D$15:$D$140,$D158,$AI$15:$AI$140,K$147)</f>
        <v>0</v>
      </c>
      <c r="L158">
        <f>SUMIFS($AP$15:$AP$140,$B$15:$B$140,$B$149,$D$15:$D$140,$D158,$O$15:$O$140,L$147)+SUMIFS($AQ$15:$AQ$140,$B$15:$B$140,$B$149,$D$15:$D$140,$D158,$W$15:$W$140,L$147)</f>
        <v>0</v>
      </c>
      <c r="M158">
        <f>SUMIFS($AP$15:$AP$140,$B$15:$B$140,$B$149,$D$15:$D$140,$D158,$O$15:$O$140,M$147)+SUMIFS($AQ$15:$AQ$140,$B$15:$B$140,$B$149,$D$15:$D$140,$D158,$W$15:$W$140,M$147)</f>
        <v>0</v>
      </c>
      <c r="N158">
        <f>SUMIFS($AP$15:$AP$140,$B$15:$B$140,$B$149,$D$15:$D$140,$D158,$O$15:$O$140,N$147)+SUMIFS($AQ$15:$AQ$140,$B$15:$B$140,$B$149,$D$15:$D$140,$D158,$W$15:$W$140,N$147)</f>
        <v>0</v>
      </c>
      <c r="O158">
        <f>SUMIFS($AP$15:$AP$140,$B$15:$B$140,$B$149,$D$15:$D$140,$D158,$O$15:$O$140,O$147)+SUMIFS($AQ$15:$AQ$140,$B$15:$B$140,$B$149,$D$15:$D$140,$D158,$W$15:$W$140,O$147)</f>
        <v>0</v>
      </c>
      <c r="P158">
        <f>SUMIFS($AP$15:$AP$140,$B$15:$B$140,$B$149,$D$15:$D$140,$D158,$O$15:$O$140,P$147)+SUMIFS($AQ$15:$AQ$140,$B$15:$B$140,$B$149,$D$15:$D$140,$D158,$W$15:$W$140,P$147)</f>
        <v>0</v>
      </c>
      <c r="Q158">
        <f>SUMIFS($AP$15:$AP$140,$B$15:$B$140,$B$149,$D$15:$D$140,$D158,$O$15:$O$140,Q$147)+SUMIFS($AQ$15:$AQ$140,$B$15:$B$140,$B$149,$D$15:$D$140,$D158,$W$15:$W$140,Q$147)</f>
        <v>0</v>
      </c>
      <c r="R158">
        <f>SUMIFS($AP$15:$AP$140,$B$15:$B$140,$B$149,$D$15:$D$140,$D158,$O$15:$O$140,R$147)+SUMIFS($AQ$15:$AQ$140,$B$15:$B$140,$B$149,$D$15:$D$140,$D158,$W$15:$W$140,R$147)</f>
        <v>0</v>
      </c>
      <c r="S158">
        <f>SUMIFS($AP$15:$AP$140,$B$15:$B$140,$B$149,$D$15:$D$140,$D158,$O$15:$O$140,S$147)+SUMIFS($AQ$15:$AQ$140,$B$15:$B$140,$B$149,$D$15:$D$140,$D158,$W$15:$W$140,S$147)</f>
        <v>0</v>
      </c>
      <c r="T158">
        <f>SUM(H158:R158)</f>
        <v>0</v>
      </c>
      <c r="V158">
        <f>IF(F158&gt;0,G158/F158,0)</f>
        <v>0</v>
      </c>
      <c r="W158">
        <f>IF(F158&gt;0,T158/F158,0)</f>
        <v>0</v>
      </c>
    </row>
    <row r="159">
      <c r="D159" t="str">
        <v>K6</v>
      </c>
      <c r="F159">
        <f>SUMIFS($AO$15:$AO$140,$B$15:$B$140,$B$149,$D$15:$D$140,$D159)</f>
        <v>0</v>
      </c>
      <c r="G159">
        <f>SUMIFS($AT$15:$AT$140,$B$15:$B$140,$B$149,$D$15:$D$140,$D159)</f>
        <v>0</v>
      </c>
      <c r="H159">
        <f>SUMIFS($AR$15:$AR$140,$B$15:$B$140,$B$149,$D$15:$D$140,$D159,$AD$15:$AD$140,H$147)+SUMIFS($AS$15:$AS$140,$B$15:$B$140,$B$149,$D$15:$D$140,$D159,$AI$15:$AI$140,H$147)</f>
        <v>0</v>
      </c>
      <c r="I159">
        <f>SUMIFS($AR$15:$AR$140,$B$15:$B$140,$B$149,$D$15:$D$140,$D159,$AD$15:$AD$140,I$147)+SUMIFS($AS$15:$AS$140,$B$15:$B$140,$B$149,$D$15:$D$140,$D159,$AI$15:$AI$140,I$147)</f>
        <v>0</v>
      </c>
      <c r="J159">
        <f>SUMIFS($AR$15:$AR$140,$B$15:$B$140,$B$149,$D$15:$D$140,$D159,$AD$15:$AD$140,J$147)+SUMIFS($AS$15:$AS$140,$B$15:$B$140,$B$149,$D$15:$D$140,$D159,$AI$15:$AI$140,J$147)</f>
        <v>0</v>
      </c>
      <c r="K159">
        <f>SUMIFS($AR$15:$AR$140,$B$15:$B$140,$B$149,$D$15:$D$140,$D159,$AD$15:$AD$140,K$147)+SUMIFS($AS$15:$AS$140,$B$15:$B$140,$B$149,$D$15:$D$140,$D159,$AI$15:$AI$140,K$147)</f>
        <v>0</v>
      </c>
      <c r="L159">
        <f>SUMIFS($AP$15:$AP$140,$B$15:$B$140,$B$149,$D$15:$D$140,$D159,$O$15:$O$140,L$147)+SUMIFS($AQ$15:$AQ$140,$B$15:$B$140,$B$149,$D$15:$D$140,$D159,$W$15:$W$140,L$147)</f>
        <v>0</v>
      </c>
      <c r="M159">
        <f>SUMIFS($AP$15:$AP$140,$B$15:$B$140,$B$149,$D$15:$D$140,$D159,$O$15:$O$140,M$147)+SUMIFS($AQ$15:$AQ$140,$B$15:$B$140,$B$149,$D$15:$D$140,$D159,$W$15:$W$140,M$147)</f>
        <v>0</v>
      </c>
      <c r="N159">
        <f>SUMIFS($AP$15:$AP$140,$B$15:$B$140,$B$149,$D$15:$D$140,$D159,$O$15:$O$140,N$147)+SUMIFS($AQ$15:$AQ$140,$B$15:$B$140,$B$149,$D$15:$D$140,$D159,$W$15:$W$140,N$147)</f>
        <v>0</v>
      </c>
      <c r="O159">
        <f>SUMIFS($AP$15:$AP$140,$B$15:$B$140,$B$149,$D$15:$D$140,$D159,$O$15:$O$140,O$147)+SUMIFS($AQ$15:$AQ$140,$B$15:$B$140,$B$149,$D$15:$D$140,$D159,$W$15:$W$140,O$147)</f>
        <v>0</v>
      </c>
      <c r="P159">
        <f>SUMIFS($AP$15:$AP$140,$B$15:$B$140,$B$149,$D$15:$D$140,$D159,$O$15:$O$140,P$147)+SUMIFS($AQ$15:$AQ$140,$B$15:$B$140,$B$149,$D$15:$D$140,$D159,$W$15:$W$140,P$147)</f>
        <v>0</v>
      </c>
      <c r="Q159">
        <f>SUMIFS($AP$15:$AP$140,$B$15:$B$140,$B$149,$D$15:$D$140,$D159,$O$15:$O$140,Q$147)+SUMIFS($AQ$15:$AQ$140,$B$15:$B$140,$B$149,$D$15:$D$140,$D159,$W$15:$W$140,Q$147)</f>
        <v>0</v>
      </c>
      <c r="R159">
        <f>SUMIFS($AP$15:$AP$140,$B$15:$B$140,$B$149,$D$15:$D$140,$D159,$O$15:$O$140,R$147)+SUMIFS($AQ$15:$AQ$140,$B$15:$B$140,$B$149,$D$15:$D$140,$D159,$W$15:$W$140,R$147)</f>
        <v>0</v>
      </c>
      <c r="S159">
        <f>SUMIFS($AP$15:$AP$140,$B$15:$B$140,$B$149,$D$15:$D$140,$D159,$O$15:$O$140,S$147)+SUMIFS($AQ$15:$AQ$140,$B$15:$B$140,$B$149,$D$15:$D$140,$D159,$W$15:$W$140,S$147)</f>
        <v>0</v>
      </c>
      <c r="T159">
        <f>SUM(H159:R159)</f>
        <v>0</v>
      </c>
      <c r="V159">
        <f>IF(F159&gt;0,G159/F159,0)</f>
        <v>0</v>
      </c>
      <c r="W159">
        <f>IF(F159&gt;0,T159/F159,0)</f>
        <v>0</v>
      </c>
    </row>
    <row r="160">
      <c r="D160" t="str">
        <v>K7</v>
      </c>
      <c r="F160">
        <f>SUMIFS($AO$15:$AO$140,$B$15:$B$140,$B$149,$D$15:$D$140,$D160)</f>
        <v>0</v>
      </c>
      <c r="G160">
        <f>SUMIFS($AT$15:$AT$140,$B$15:$B$140,$B$149,$D$15:$D$140,$D160)</f>
        <v>0</v>
      </c>
      <c r="H160">
        <f>SUMIFS($AR$15:$AR$140,$B$15:$B$140,$B$149,$D$15:$D$140,$D160,$AD$15:$AD$140,H$147)+SUMIFS($AS$15:$AS$140,$B$15:$B$140,$B$149,$D$15:$D$140,$D160,$AI$15:$AI$140,H$147)</f>
        <v>0</v>
      </c>
      <c r="I160">
        <f>SUMIFS($AR$15:$AR$140,$B$15:$B$140,$B$149,$D$15:$D$140,$D160,$AD$15:$AD$140,I$147)+SUMIFS($AS$15:$AS$140,$B$15:$B$140,$B$149,$D$15:$D$140,$D160,$AI$15:$AI$140,I$147)</f>
        <v>0</v>
      </c>
      <c r="J160">
        <f>SUMIFS($AR$15:$AR$140,$B$15:$B$140,$B$149,$D$15:$D$140,$D160,$AD$15:$AD$140,J$147)+SUMIFS($AS$15:$AS$140,$B$15:$B$140,$B$149,$D$15:$D$140,$D160,$AI$15:$AI$140,J$147)</f>
        <v>0</v>
      </c>
      <c r="K160">
        <f>SUMIFS($AR$15:$AR$140,$B$15:$B$140,$B$149,$D$15:$D$140,$D160,$AD$15:$AD$140,K$147)+SUMIFS($AS$15:$AS$140,$B$15:$B$140,$B$149,$D$15:$D$140,$D160,$AI$15:$AI$140,K$147)</f>
        <v>0</v>
      </c>
      <c r="L160">
        <f>SUMIFS($AP$15:$AP$140,$B$15:$B$140,$B$149,$D$15:$D$140,$D160,$O$15:$O$140,L$147)+SUMIFS($AQ$15:$AQ$140,$B$15:$B$140,$B$149,$D$15:$D$140,$D160,$W$15:$W$140,L$147)</f>
        <v>0</v>
      </c>
      <c r="M160">
        <f>SUMIFS($AP$15:$AP$140,$B$15:$B$140,$B$149,$D$15:$D$140,$D160,$O$15:$O$140,M$147)+SUMIFS($AQ$15:$AQ$140,$B$15:$B$140,$B$149,$D$15:$D$140,$D160,$W$15:$W$140,M$147)</f>
        <v>0</v>
      </c>
      <c r="N160">
        <f>SUMIFS($AP$15:$AP$140,$B$15:$B$140,$B$149,$D$15:$D$140,$D160,$O$15:$O$140,N$147)+SUMIFS($AQ$15:$AQ$140,$B$15:$B$140,$B$149,$D$15:$D$140,$D160,$W$15:$W$140,N$147)</f>
        <v>0</v>
      </c>
      <c r="O160">
        <f>SUMIFS($AP$15:$AP$140,$B$15:$B$140,$B$149,$D$15:$D$140,$D160,$O$15:$O$140,O$147)+SUMIFS($AQ$15:$AQ$140,$B$15:$B$140,$B$149,$D$15:$D$140,$D160,$W$15:$W$140,O$147)</f>
        <v>0</v>
      </c>
      <c r="P160">
        <f>SUMIFS($AP$15:$AP$140,$B$15:$B$140,$B$149,$D$15:$D$140,$D160,$O$15:$O$140,P$147)+SUMIFS($AQ$15:$AQ$140,$B$15:$B$140,$B$149,$D$15:$D$140,$D160,$W$15:$W$140,P$147)</f>
        <v>0</v>
      </c>
      <c r="Q160">
        <f>SUMIFS($AP$15:$AP$140,$B$15:$B$140,$B$149,$D$15:$D$140,$D160,$O$15:$O$140,Q$147)+SUMIFS($AQ$15:$AQ$140,$B$15:$B$140,$B$149,$D$15:$D$140,$D160,$W$15:$W$140,Q$147)</f>
        <v>0</v>
      </c>
      <c r="R160">
        <f>SUMIFS($AP$15:$AP$140,$B$15:$B$140,$B$149,$D$15:$D$140,$D160,$O$15:$O$140,R$147)+SUMIFS($AQ$15:$AQ$140,$B$15:$B$140,$B$149,$D$15:$D$140,$D160,$W$15:$W$140,R$147)</f>
        <v>0</v>
      </c>
      <c r="S160">
        <f>SUMIFS($AP$15:$AP$140,$B$15:$B$140,$B$149,$D$15:$D$140,$D160,$O$15:$O$140,S$147)+SUMIFS($AQ$15:$AQ$140,$B$15:$B$140,$B$149,$D$15:$D$140,$D160,$W$15:$W$140,S$147)</f>
        <v>0</v>
      </c>
      <c r="T160">
        <f>SUM(H160:R160)</f>
        <v>0</v>
      </c>
      <c r="V160">
        <f>IF(F160&gt;0,G160/F160,0)</f>
        <v>0</v>
      </c>
      <c r="W160">
        <f>IF(F160&gt;0,T160/F160,0)</f>
        <v>0</v>
      </c>
    </row>
    <row r="161">
      <c r="D161" t="str">
        <v>KB2A</v>
      </c>
      <c r="F161">
        <f>SUMIFS($AO$15:$AO$140,$B$15:$B$140,$B$149,$D$15:$D$140,$D161)</f>
        <v>3.966260725157114</v>
      </c>
      <c r="G161">
        <f>SUMIFS($AT$15:$AT$140,$B$15:$B$140,$B$149,$D$15:$D$140,$D161)</f>
        <v>15.865042900628456</v>
      </c>
      <c r="H161">
        <f>SUMIFS($AR$15:$AR$140,$B$15:$B$140,$B$149,$D$15:$D$140,$D161,$AD$15:$AD$140,H$147)+SUMIFS($AS$15:$AS$140,$B$15:$B$140,$B$149,$D$15:$D$140,$D161,$AI$15:$AI$140,H$147)</f>
        <v>0</v>
      </c>
      <c r="I161">
        <f>SUMIFS($AR$15:$AR$140,$B$15:$B$140,$B$149,$D$15:$D$140,$D161,$AD$15:$AD$140,I$147)+SUMIFS($AS$15:$AS$140,$B$15:$B$140,$B$149,$D$15:$D$140,$D161,$AI$15:$AI$140,I$147)</f>
        <v>204.54704621135815</v>
      </c>
      <c r="J161">
        <f>SUMIFS($AR$15:$AR$140,$B$15:$B$140,$B$149,$D$15:$D$140,$D161,$AD$15:$AD$140,J$147)+SUMIFS($AS$15:$AS$140,$B$15:$B$140,$B$149,$D$15:$D$140,$D161,$AI$15:$AI$140,J$147)</f>
        <v>0</v>
      </c>
      <c r="K161">
        <f>SUMIFS($AR$15:$AR$140,$B$15:$B$140,$B$149,$D$15:$D$140,$D161,$AD$15:$AD$140,K$147)+SUMIFS($AS$15:$AS$140,$B$15:$B$140,$B$149,$D$15:$D$140,$D161,$AI$15:$AI$140,K$147)</f>
        <v>0</v>
      </c>
      <c r="L161">
        <f>SUMIFS($AP$15:$AP$140,$B$15:$B$140,$B$149,$D$15:$D$140,$D161,$O$15:$O$140,L$147)+SUMIFS($AQ$15:$AQ$140,$B$15:$B$140,$B$149,$D$15:$D$140,$D161,$W$15:$W$140,L$147)</f>
        <v>0</v>
      </c>
      <c r="M161">
        <f>SUMIFS($AP$15:$AP$140,$B$15:$B$140,$B$149,$D$15:$D$140,$D161,$O$15:$O$140,M$147)+SUMIFS($AQ$15:$AQ$140,$B$15:$B$140,$B$149,$D$15:$D$140,$D161,$W$15:$W$140,M$147)</f>
        <v>0</v>
      </c>
      <c r="N161">
        <f>SUMIFS($AP$15:$AP$140,$B$15:$B$140,$B$149,$D$15:$D$140,$D161,$O$15:$O$140,N$147)+SUMIFS($AQ$15:$AQ$140,$B$15:$B$140,$B$149,$D$15:$D$140,$D161,$W$15:$W$140,N$147)</f>
        <v>226.96353792000002</v>
      </c>
      <c r="O161">
        <f>SUMIFS($AP$15:$AP$140,$B$15:$B$140,$B$149,$D$15:$D$140,$D161,$O$15:$O$140,O$147)+SUMIFS($AQ$15:$AQ$140,$B$15:$B$140,$B$149,$D$15:$D$140,$D161,$W$15:$W$140,O$147)</f>
        <v>0</v>
      </c>
      <c r="P161">
        <f>SUMIFS($AP$15:$AP$140,$B$15:$B$140,$B$149,$D$15:$D$140,$D161,$O$15:$O$140,P$147)+SUMIFS($AQ$15:$AQ$140,$B$15:$B$140,$B$149,$D$15:$D$140,$D161,$W$15:$W$140,P$147)</f>
        <v>0</v>
      </c>
      <c r="Q161">
        <f>SUMIFS($AP$15:$AP$140,$B$15:$B$140,$B$149,$D$15:$D$140,$D161,$O$15:$O$140,Q$147)+SUMIFS($AQ$15:$AQ$140,$B$15:$B$140,$B$149,$D$15:$D$140,$D161,$W$15:$W$140,Q$147)</f>
        <v>0</v>
      </c>
      <c r="R161">
        <f>SUMIFS($AP$15:$AP$140,$B$15:$B$140,$B$149,$D$15:$D$140,$D161,$O$15:$O$140,R$147)+SUMIFS($AQ$15:$AQ$140,$B$15:$B$140,$B$149,$D$15:$D$140,$D161,$W$15:$W$140,R$147)</f>
        <v>0</v>
      </c>
      <c r="S161">
        <f>SUMIFS($AP$15:$AP$140,$B$15:$B$140,$B$149,$D$15:$D$140,$D161,$O$15:$O$140,S$147)+SUMIFS($AQ$15:$AQ$140,$B$15:$B$140,$B$149,$D$15:$D$140,$D161,$W$15:$W$140,S$147)</f>
        <v>0</v>
      </c>
      <c r="T161">
        <f>SUM(H161:R161)</f>
        <v>431.5105841313582</v>
      </c>
      <c r="V161">
        <f>IF(F161&gt;0,G161/F161,0)</f>
        <v>4</v>
      </c>
      <c r="W161">
        <f>IF(F161&gt;0,T161/F161,0)</f>
        <v>108.79531478966626</v>
      </c>
    </row>
    <row r="162">
      <c r="D162" t="str">
        <v>KL55</v>
      </c>
      <c r="F162">
        <f>SUMIFS($AO$15:$AO$140,$B$15:$B$140,$B$149,$D$15:$D$140,$D162)</f>
        <v>6.579000000000001</v>
      </c>
      <c r="G162">
        <f>SUMIFS($AT$15:$AT$140,$B$15:$B$140,$B$149,$D$15:$D$140,$D162)</f>
        <v>103.71599999999998</v>
      </c>
      <c r="H162">
        <f>SUMIFS($AR$15:$AR$140,$B$15:$B$140,$B$149,$D$15:$D$140,$D162,$AD$15:$AD$140,H$147)+SUMIFS($AS$15:$AS$140,$B$15:$B$140,$B$149,$D$15:$D$140,$D162,$AI$15:$AI$140,H$147)</f>
        <v>0</v>
      </c>
      <c r="I162">
        <f>SUMIFS($AR$15:$AR$140,$B$15:$B$140,$B$149,$D$15:$D$140,$D162,$AD$15:$AD$140,I$147)+SUMIFS($AS$15:$AS$140,$B$15:$B$140,$B$149,$D$15:$D$140,$D162,$AI$15:$AI$140,I$147)</f>
        <v>647.7565500000002</v>
      </c>
      <c r="J162">
        <f>SUMIFS($AR$15:$AR$140,$B$15:$B$140,$B$149,$D$15:$D$140,$D162,$AD$15:$AD$140,J$147)+SUMIFS($AS$15:$AS$140,$B$15:$B$140,$B$149,$D$15:$D$140,$D162,$AI$15:$AI$140,J$147)</f>
        <v>0</v>
      </c>
      <c r="K162">
        <f>SUMIFS($AR$15:$AR$140,$B$15:$B$140,$B$149,$D$15:$D$140,$D162,$AD$15:$AD$140,K$147)+SUMIFS($AS$15:$AS$140,$B$15:$B$140,$B$149,$D$15:$D$140,$D162,$AI$15:$AI$140,K$147)</f>
        <v>0</v>
      </c>
      <c r="L162">
        <f>SUMIFS($AP$15:$AP$140,$B$15:$B$140,$B$149,$D$15:$D$140,$D162,$O$15:$O$140,L$147)+SUMIFS($AQ$15:$AQ$140,$B$15:$B$140,$B$149,$D$15:$D$140,$D162,$W$15:$W$140,L$147)</f>
        <v>0</v>
      </c>
      <c r="M162">
        <f>SUMIFS($AP$15:$AP$140,$B$15:$B$140,$B$149,$D$15:$D$140,$D162,$O$15:$O$140,M$147)+SUMIFS($AQ$15:$AQ$140,$B$15:$B$140,$B$149,$D$15:$D$140,$D162,$W$15:$W$140,M$147)</f>
        <v>0</v>
      </c>
      <c r="N162">
        <f>SUMIFS($AP$15:$AP$140,$B$15:$B$140,$B$149,$D$15:$D$140,$D162,$O$15:$O$140,N$147)+SUMIFS($AQ$15:$AQ$140,$B$15:$B$140,$B$149,$D$15:$D$140,$D162,$W$15:$W$140,N$147)</f>
        <v>968.9131008000002</v>
      </c>
      <c r="O162">
        <f>SUMIFS($AP$15:$AP$140,$B$15:$B$140,$B$149,$D$15:$D$140,$D162,$O$15:$O$140,O$147)+SUMIFS($AQ$15:$AQ$140,$B$15:$B$140,$B$149,$D$15:$D$140,$D162,$W$15:$W$140,O$147)</f>
        <v>0</v>
      </c>
      <c r="P162">
        <f>SUMIFS($AP$15:$AP$140,$B$15:$B$140,$B$149,$D$15:$D$140,$D162,$O$15:$O$140,P$147)+SUMIFS($AQ$15:$AQ$140,$B$15:$B$140,$B$149,$D$15:$D$140,$D162,$W$15:$W$140,P$147)</f>
        <v>0</v>
      </c>
      <c r="Q162">
        <f>SUMIFS($AP$15:$AP$140,$B$15:$B$140,$B$149,$D$15:$D$140,$D162,$O$15:$O$140,Q$147)+SUMIFS($AQ$15:$AQ$140,$B$15:$B$140,$B$149,$D$15:$D$140,$D162,$W$15:$W$140,Q$147)</f>
        <v>0</v>
      </c>
      <c r="R162">
        <f>SUMIFS($AP$15:$AP$140,$B$15:$B$140,$B$149,$D$15:$D$140,$D162,$O$15:$O$140,R$147)+SUMIFS($AQ$15:$AQ$140,$B$15:$B$140,$B$149,$D$15:$D$140,$D162,$W$15:$W$140,R$147)</f>
        <v>0</v>
      </c>
      <c r="S162">
        <f>SUMIFS($AP$15:$AP$140,$B$15:$B$140,$B$149,$D$15:$D$140,$D162,$O$15:$O$140,S$147)+SUMIFS($AQ$15:$AQ$140,$B$15:$B$140,$B$149,$D$15:$D$140,$D162,$W$15:$W$140,S$147)</f>
        <v>0</v>
      </c>
      <c r="T162">
        <f>SUM(H162:R162)</f>
        <v>1616.6696508000005</v>
      </c>
      <c r="V162">
        <f>IF(F162&gt;0,G162/F162,0)</f>
        <v>15.764705882352937</v>
      </c>
      <c r="W162">
        <f>IF(F162&gt;0,T162/F162,0)</f>
        <v>245.73182106703152</v>
      </c>
    </row>
    <row r="163">
      <c r="D163" t="str">
        <v>KL66</v>
      </c>
      <c r="F163">
        <f>SUMIFS($AO$15:$AO$140,$B$15:$B$140,$B$149,$D$15:$D$140,$D163)</f>
        <v>2.9988</v>
      </c>
      <c r="G163">
        <f>SUMIFS($AT$15:$AT$140,$B$15:$B$140,$B$149,$D$15:$D$140,$D163)</f>
        <v>45.275999999999996</v>
      </c>
      <c r="H163">
        <f>SUMIFS($AR$15:$AR$140,$B$15:$B$140,$B$149,$D$15:$D$140,$D163,$AD$15:$AD$140,H$147)+SUMIFS($AS$15:$AS$140,$B$15:$B$140,$B$149,$D$15:$D$140,$D163,$AI$15:$AI$140,H$147)</f>
        <v>0</v>
      </c>
      <c r="I163">
        <f>SUMIFS($AR$15:$AR$140,$B$15:$B$140,$B$149,$D$15:$D$140,$D163,$AD$15:$AD$140,I$147)+SUMIFS($AS$15:$AS$140,$B$15:$B$140,$B$149,$D$15:$D$140,$D163,$AI$15:$AI$140,I$147)</f>
        <v>389.12247</v>
      </c>
      <c r="J163">
        <f>SUMIFS($AR$15:$AR$140,$B$15:$B$140,$B$149,$D$15:$D$140,$D163,$AD$15:$AD$140,J$147)+SUMIFS($AS$15:$AS$140,$B$15:$B$140,$B$149,$D$15:$D$140,$D163,$AI$15:$AI$140,J$147)</f>
        <v>0</v>
      </c>
      <c r="K163">
        <f>SUMIFS($AR$15:$AR$140,$B$15:$B$140,$B$149,$D$15:$D$140,$D163,$AD$15:$AD$140,K$147)+SUMIFS($AS$15:$AS$140,$B$15:$B$140,$B$149,$D$15:$D$140,$D163,$AI$15:$AI$140,K$147)</f>
        <v>0</v>
      </c>
      <c r="L163">
        <f>SUMIFS($AP$15:$AP$140,$B$15:$B$140,$B$149,$D$15:$D$140,$D163,$O$15:$O$140,L$147)+SUMIFS($AQ$15:$AQ$140,$B$15:$B$140,$B$149,$D$15:$D$140,$D163,$W$15:$W$140,L$147)</f>
        <v>0</v>
      </c>
      <c r="M163">
        <f>SUMIFS($AP$15:$AP$140,$B$15:$B$140,$B$149,$D$15:$D$140,$D163,$O$15:$O$140,M$147)+SUMIFS($AQ$15:$AQ$140,$B$15:$B$140,$B$149,$D$15:$D$140,$D163,$W$15:$W$140,M$147)</f>
        <v>0</v>
      </c>
      <c r="N163">
        <f>SUMIFS($AP$15:$AP$140,$B$15:$B$140,$B$149,$D$15:$D$140,$D163,$O$15:$O$140,N$147)+SUMIFS($AQ$15:$AQ$140,$B$15:$B$140,$B$149,$D$15:$D$140,$D163,$W$15:$W$140,N$147)</f>
        <v>506.0468736</v>
      </c>
      <c r="O163">
        <f>SUMIFS($AP$15:$AP$140,$B$15:$B$140,$B$149,$D$15:$D$140,$D163,$O$15:$O$140,O$147)+SUMIFS($AQ$15:$AQ$140,$B$15:$B$140,$B$149,$D$15:$D$140,$D163,$W$15:$W$140,O$147)</f>
        <v>0</v>
      </c>
      <c r="P163">
        <f>SUMIFS($AP$15:$AP$140,$B$15:$B$140,$B$149,$D$15:$D$140,$D163,$O$15:$O$140,P$147)+SUMIFS($AQ$15:$AQ$140,$B$15:$B$140,$B$149,$D$15:$D$140,$D163,$W$15:$W$140,P$147)</f>
        <v>0</v>
      </c>
      <c r="Q163">
        <f>SUMIFS($AP$15:$AP$140,$B$15:$B$140,$B$149,$D$15:$D$140,$D163,$O$15:$O$140,Q$147)+SUMIFS($AQ$15:$AQ$140,$B$15:$B$140,$B$149,$D$15:$D$140,$D163,$W$15:$W$140,Q$147)</f>
        <v>0</v>
      </c>
      <c r="R163">
        <f>SUMIFS($AP$15:$AP$140,$B$15:$B$140,$B$149,$D$15:$D$140,$D163,$O$15:$O$140,R$147)+SUMIFS($AQ$15:$AQ$140,$B$15:$B$140,$B$149,$D$15:$D$140,$D163,$W$15:$W$140,R$147)</f>
        <v>0</v>
      </c>
      <c r="S163">
        <f>SUMIFS($AP$15:$AP$140,$B$15:$B$140,$B$149,$D$15:$D$140,$D163,$O$15:$O$140,S$147)+SUMIFS($AQ$15:$AQ$140,$B$15:$B$140,$B$149,$D$15:$D$140,$D163,$W$15:$W$140,S$147)</f>
        <v>0</v>
      </c>
      <c r="T163">
        <f>SUM(H163:R163)</f>
        <v>895.1693436</v>
      </c>
      <c r="V163">
        <f>IF(F163&gt;0,G163/F163,0)</f>
        <v>15.098039215686272</v>
      </c>
      <c r="W163">
        <f>IF(F163&gt;0,T163/F163,0)</f>
        <v>298.5091848739496</v>
      </c>
    </row>
    <row r="165">
      <c r="B165" t="str">
        <v>Subtotal Lantai 1</v>
      </c>
      <c r="F165">
        <f>SUM(F149:F164)</f>
        <v>28.902460725157113</v>
      </c>
      <c r="G165">
        <f>SUM(G149:G164)</f>
        <v>388.6190429006285</v>
      </c>
      <c r="H165">
        <f>SUM(H149:H164)</f>
        <v>0</v>
      </c>
      <c r="I165">
        <f>SUM(I149:I164)</f>
        <v>2736.2721112113586</v>
      </c>
      <c r="J165">
        <f>SUM(J149:J164)</f>
        <v>0</v>
      </c>
      <c r="K165">
        <f>SUM(K149:K164)</f>
        <v>0</v>
      </c>
      <c r="L165">
        <f>SUM(L149:L164)</f>
        <v>0</v>
      </c>
      <c r="M165">
        <f>SUM(M149:M164)</f>
        <v>0</v>
      </c>
      <c r="N165">
        <f>SUM(N149:N164)</f>
        <v>4392.6838272</v>
      </c>
      <c r="O165">
        <f>SUM(O149:O164)</f>
        <v>0</v>
      </c>
      <c r="P165">
        <f>SUM(P149:P164)</f>
        <v>0</v>
      </c>
      <c r="Q165">
        <f>SUM(Q149:Q164)</f>
        <v>0</v>
      </c>
      <c r="R165">
        <f>SUM(R149:R164)</f>
        <v>0</v>
      </c>
      <c r="S165">
        <f>SUM(S149:S164)</f>
        <v>0</v>
      </c>
      <c r="T165">
        <f>SUM(T150:T164)</f>
        <v>7128.955938411358</v>
      </c>
    </row>
    <row r="167">
      <c r="B167" t="str">
        <v>Lantai 2</v>
      </c>
    </row>
    <row r="168">
      <c r="D168" t="str">
        <v>K1A4</v>
      </c>
      <c r="F168">
        <f>SUMIFS($AO$15:$AO$140,$B$15:$B$140,$B$167,$D$15:$D$140,$D168)</f>
        <v>0</v>
      </c>
      <c r="G168">
        <f>SUMIFS($AT$15:$AT$140,$B$15:$B$140,$B$167,$D$15:$D$140,$D168)</f>
        <v>0</v>
      </c>
      <c r="H168">
        <f>SUMIFS($AR$15:$AR$140,$B$15:$B$140,$B$167,$D$15:$D$140,$D168,$AD$15:$AD$140,H$147)+SUMIFS($AS$15:$AS$140,$B$15:$B$140,$B$167,$D$15:$D$140,$D168,$AI$15:$AI$140,H$147)</f>
        <v>0</v>
      </c>
      <c r="I168">
        <f>SUMIFS($AR$15:$AR$140,$B$15:$B$140,$B$167,$D$15:$D$140,$D168,$AD$15:$AD$140,I$147)+SUMIFS($AS$15:$AS$140,$B$15:$B$140,$B$167,$D$15:$D$140,$D168,$AI$15:$AI$140,I$147)</f>
        <v>0</v>
      </c>
      <c r="J168">
        <f>SUMIFS($AR$15:$AR$140,$B$15:$B$140,$B$167,$D$15:$D$140,$D168,$AD$15:$AD$140,J$147)+SUMIFS($AS$15:$AS$140,$B$15:$B$140,$B$167,$D$15:$D$140,$D168,$AI$15:$AI$140,J$147)</f>
        <v>0</v>
      </c>
      <c r="K168">
        <f>SUMIFS($AR$15:$AR$140,$B$15:$B$140,$B$167,$D$15:$D$140,$D168,$AD$15:$AD$140,K$147)+SUMIFS($AS$15:$AS$140,$B$15:$B$140,$B$167,$D$15:$D$140,$D168,$AI$15:$AI$140,K$147)</f>
        <v>0</v>
      </c>
      <c r="L168">
        <f>SUMIFS($AP$15:$AP$140,$B$15:$B$140,$B$167,$D$15:$D$140,$D168,$O$15:$O$140,L$147)+SUMIFS($AQ$15:$AQ$140,$B$15:$B$140,$B$167,$D$15:$D$140,$D168,$W$15:$W$140,L$147)</f>
        <v>0</v>
      </c>
      <c r="M168">
        <f>SUMIFS($AP$15:$AP$140,$B$15:$B$140,$B$167,$D$15:$D$140,$D168,$O$15:$O$140,M$147)+SUMIFS($AQ$15:$AQ$140,$B$15:$B$140,$B$167,$D$15:$D$140,$D168,$W$15:$W$140,M$147)</f>
        <v>0</v>
      </c>
      <c r="N168">
        <f>SUMIFS($AP$15:$AP$140,$B$15:$B$140,$B$167,$D$15:$D$140,$D168,$O$15:$O$140,N$147)+SUMIFS($AQ$15:$AQ$140,$B$15:$B$140,$B$167,$D$15:$D$140,$D168,$W$15:$W$140,N$147)</f>
        <v>0</v>
      </c>
      <c r="O168">
        <f>SUMIFS($AP$15:$AP$140,$B$15:$B$140,$B$167,$D$15:$D$140,$D168,$O$15:$O$140,O$147)+SUMIFS($AQ$15:$AQ$140,$B$15:$B$140,$B$167,$D$15:$D$140,$D168,$W$15:$W$140,O$147)</f>
        <v>0</v>
      </c>
      <c r="P168">
        <f>SUMIFS($AP$15:$AP$140,$B$15:$B$140,$B$167,$D$15:$D$140,$D168,$O$15:$O$140,P$147)+SUMIFS($AQ$15:$AQ$140,$B$15:$B$140,$B$167,$D$15:$D$140,$D168,$W$15:$W$140,P$147)</f>
        <v>0</v>
      </c>
      <c r="Q168">
        <f>SUMIFS($AP$15:$AP$140,$B$15:$B$140,$B$167,$D$15:$D$140,$D168,$O$15:$O$140,Q$147)+SUMIFS($AQ$15:$AQ$140,$B$15:$B$140,$B$167,$D$15:$D$140,$D168,$W$15:$W$140,Q$147)</f>
        <v>0</v>
      </c>
      <c r="R168">
        <f>SUMIFS($AP$15:$AP$140,$B$15:$B$140,$B$167,$D$15:$D$140,$D168,$O$15:$O$140,R$147)+SUMIFS($AQ$15:$AQ$140,$B$15:$B$140,$B$167,$D$15:$D$140,$D168,$W$15:$W$140,R$147)</f>
        <v>0</v>
      </c>
      <c r="S168">
        <f>SUMIFS($AP$15:$AP$140,$B$15:$B$140,$B$167,$D$15:$D$140,$D168,$O$15:$O$140,S$147)+SUMIFS($AQ$15:$AQ$140,$B$15:$B$140,$B$167,$D$15:$D$140,$D168,$W$15:$W$140,S$147)</f>
        <v>0</v>
      </c>
      <c r="T168">
        <f>SUM(H168:R168)</f>
        <v>0</v>
      </c>
      <c r="V168">
        <f>IF(F168&gt;0,G168/F168,0)</f>
        <v>0</v>
      </c>
      <c r="W168">
        <f>IF(F168&gt;0,T168/F168,0)</f>
        <v>0</v>
      </c>
    </row>
    <row r="169">
      <c r="D169" t="str">
        <v>K1A5</v>
      </c>
      <c r="F169">
        <f>SUMIFS($AO$15:$AO$140,$B$15:$B$140,$B$167,$D$15:$D$140,$D169)</f>
        <v>0</v>
      </c>
      <c r="G169">
        <f>SUMIFS($AT$15:$AT$140,$B$15:$B$140,$B$167,$D$15:$D$140,$D169)</f>
        <v>0</v>
      </c>
      <c r="H169">
        <f>SUMIFS($AR$15:$AR$140,$B$15:$B$140,$B$167,$D$15:$D$140,$D169,$AD$15:$AD$140,H$147)+SUMIFS($AS$15:$AS$140,$B$15:$B$140,$B$167,$D$15:$D$140,$D169,$AI$15:$AI$140,H$147)</f>
        <v>0</v>
      </c>
      <c r="I169">
        <f>SUMIFS($AR$15:$AR$140,$B$15:$B$140,$B$167,$D$15:$D$140,$D169,$AD$15:$AD$140,I$147)+SUMIFS($AS$15:$AS$140,$B$15:$B$140,$B$167,$D$15:$D$140,$D169,$AI$15:$AI$140,I$147)</f>
        <v>0</v>
      </c>
      <c r="J169">
        <f>SUMIFS($AR$15:$AR$140,$B$15:$B$140,$B$167,$D$15:$D$140,$D169,$AD$15:$AD$140,J$147)+SUMIFS($AS$15:$AS$140,$B$15:$B$140,$B$167,$D$15:$D$140,$D169,$AI$15:$AI$140,J$147)</f>
        <v>0</v>
      </c>
      <c r="K169">
        <f>SUMIFS($AR$15:$AR$140,$B$15:$B$140,$B$167,$D$15:$D$140,$D169,$AD$15:$AD$140,K$147)+SUMIFS($AS$15:$AS$140,$B$15:$B$140,$B$167,$D$15:$D$140,$D169,$AI$15:$AI$140,K$147)</f>
        <v>0</v>
      </c>
      <c r="L169">
        <f>SUMIFS($AP$15:$AP$140,$B$15:$B$140,$B$167,$D$15:$D$140,$D169,$O$15:$O$140,L$147)+SUMIFS($AQ$15:$AQ$140,$B$15:$B$140,$B$167,$D$15:$D$140,$D169,$W$15:$W$140,L$147)</f>
        <v>0</v>
      </c>
      <c r="M169">
        <f>SUMIFS($AP$15:$AP$140,$B$15:$B$140,$B$167,$D$15:$D$140,$D169,$O$15:$O$140,M$147)+SUMIFS($AQ$15:$AQ$140,$B$15:$B$140,$B$167,$D$15:$D$140,$D169,$W$15:$W$140,M$147)</f>
        <v>0</v>
      </c>
      <c r="N169">
        <f>SUMIFS($AP$15:$AP$140,$B$15:$B$140,$B$167,$D$15:$D$140,$D169,$O$15:$O$140,N$147)+SUMIFS($AQ$15:$AQ$140,$B$15:$B$140,$B$167,$D$15:$D$140,$D169,$W$15:$W$140,N$147)</f>
        <v>0</v>
      </c>
      <c r="O169">
        <f>SUMIFS($AP$15:$AP$140,$B$15:$B$140,$B$167,$D$15:$D$140,$D169,$O$15:$O$140,O$147)+SUMIFS($AQ$15:$AQ$140,$B$15:$B$140,$B$167,$D$15:$D$140,$D169,$W$15:$W$140,O$147)</f>
        <v>0</v>
      </c>
      <c r="P169">
        <f>SUMIFS($AP$15:$AP$140,$B$15:$B$140,$B$167,$D$15:$D$140,$D169,$O$15:$O$140,P$147)+SUMIFS($AQ$15:$AQ$140,$B$15:$B$140,$B$167,$D$15:$D$140,$D169,$W$15:$W$140,P$147)</f>
        <v>0</v>
      </c>
      <c r="Q169">
        <f>SUMIFS($AP$15:$AP$140,$B$15:$B$140,$B$167,$D$15:$D$140,$D169,$O$15:$O$140,Q$147)+SUMIFS($AQ$15:$AQ$140,$B$15:$B$140,$B$167,$D$15:$D$140,$D169,$W$15:$W$140,Q$147)</f>
        <v>0</v>
      </c>
      <c r="R169">
        <f>SUMIFS($AP$15:$AP$140,$B$15:$B$140,$B$167,$D$15:$D$140,$D169,$O$15:$O$140,R$147)+SUMIFS($AQ$15:$AQ$140,$B$15:$B$140,$B$167,$D$15:$D$140,$D169,$W$15:$W$140,R$147)</f>
        <v>0</v>
      </c>
      <c r="S169">
        <f>SUMIFS($AP$15:$AP$140,$B$15:$B$140,$B$167,$D$15:$D$140,$D169,$O$15:$O$140,S$147)+SUMIFS($AQ$15:$AQ$140,$B$15:$B$140,$B$167,$D$15:$D$140,$D169,$W$15:$W$140,S$147)</f>
        <v>0</v>
      </c>
      <c r="T169">
        <f>SUM(H169:R169)</f>
        <v>0</v>
      </c>
      <c r="V169">
        <f>IF(F169&gt;0,G169/F169,0)</f>
        <v>0</v>
      </c>
      <c r="W169">
        <f>IF(F169&gt;0,T169/F169,0)</f>
        <v>0</v>
      </c>
    </row>
    <row r="170">
      <c r="D170" t="str">
        <v>K24</v>
      </c>
      <c r="F170">
        <f>SUMIFS($AO$15:$AO$140,$B$15:$B$140,$B$167,$D$15:$D$140,$D170)</f>
        <v>0</v>
      </c>
      <c r="G170">
        <f>SUMIFS($AT$15:$AT$140,$B$15:$B$140,$B$167,$D$15:$D$140,$D170)</f>
        <v>0</v>
      </c>
      <c r="H170">
        <f>SUMIFS($AR$15:$AR$140,$B$15:$B$140,$B$167,$D$15:$D$140,$D170,$AD$15:$AD$140,H$147)+SUMIFS($AS$15:$AS$140,$B$15:$B$140,$B$167,$D$15:$D$140,$D170,$AI$15:$AI$140,H$147)</f>
        <v>0</v>
      </c>
      <c r="I170">
        <f>SUMIFS($AR$15:$AR$140,$B$15:$B$140,$B$167,$D$15:$D$140,$D170,$AD$15:$AD$140,I$147)+SUMIFS($AS$15:$AS$140,$B$15:$B$140,$B$167,$D$15:$D$140,$D170,$AI$15:$AI$140,I$147)</f>
        <v>0</v>
      </c>
      <c r="J170">
        <f>SUMIFS($AR$15:$AR$140,$B$15:$B$140,$B$167,$D$15:$D$140,$D170,$AD$15:$AD$140,J$147)+SUMIFS($AS$15:$AS$140,$B$15:$B$140,$B$167,$D$15:$D$140,$D170,$AI$15:$AI$140,J$147)</f>
        <v>0</v>
      </c>
      <c r="K170">
        <f>SUMIFS($AR$15:$AR$140,$B$15:$B$140,$B$167,$D$15:$D$140,$D170,$AD$15:$AD$140,K$147)+SUMIFS($AS$15:$AS$140,$B$15:$B$140,$B$167,$D$15:$D$140,$D170,$AI$15:$AI$140,K$147)</f>
        <v>0</v>
      </c>
      <c r="L170">
        <f>SUMIFS($AP$15:$AP$140,$B$15:$B$140,$B$167,$D$15:$D$140,$D170,$O$15:$O$140,L$147)+SUMIFS($AQ$15:$AQ$140,$B$15:$B$140,$B$167,$D$15:$D$140,$D170,$W$15:$W$140,L$147)</f>
        <v>0</v>
      </c>
      <c r="M170">
        <f>SUMIFS($AP$15:$AP$140,$B$15:$B$140,$B$167,$D$15:$D$140,$D170,$O$15:$O$140,M$147)+SUMIFS($AQ$15:$AQ$140,$B$15:$B$140,$B$167,$D$15:$D$140,$D170,$W$15:$W$140,M$147)</f>
        <v>0</v>
      </c>
      <c r="N170">
        <f>SUMIFS($AP$15:$AP$140,$B$15:$B$140,$B$167,$D$15:$D$140,$D170,$O$15:$O$140,N$147)+SUMIFS($AQ$15:$AQ$140,$B$15:$B$140,$B$167,$D$15:$D$140,$D170,$W$15:$W$140,N$147)</f>
        <v>0</v>
      </c>
      <c r="O170">
        <f>SUMIFS($AP$15:$AP$140,$B$15:$B$140,$B$167,$D$15:$D$140,$D170,$O$15:$O$140,O$147)+SUMIFS($AQ$15:$AQ$140,$B$15:$B$140,$B$167,$D$15:$D$140,$D170,$W$15:$W$140,O$147)</f>
        <v>0</v>
      </c>
      <c r="P170">
        <f>SUMIFS($AP$15:$AP$140,$B$15:$B$140,$B$167,$D$15:$D$140,$D170,$O$15:$O$140,P$147)+SUMIFS($AQ$15:$AQ$140,$B$15:$B$140,$B$167,$D$15:$D$140,$D170,$W$15:$W$140,P$147)</f>
        <v>0</v>
      </c>
      <c r="Q170">
        <f>SUMIFS($AP$15:$AP$140,$B$15:$B$140,$B$167,$D$15:$D$140,$D170,$O$15:$O$140,Q$147)+SUMIFS($AQ$15:$AQ$140,$B$15:$B$140,$B$167,$D$15:$D$140,$D170,$W$15:$W$140,Q$147)</f>
        <v>0</v>
      </c>
      <c r="R170">
        <f>SUMIFS($AP$15:$AP$140,$B$15:$B$140,$B$167,$D$15:$D$140,$D170,$O$15:$O$140,R$147)+SUMIFS($AQ$15:$AQ$140,$B$15:$B$140,$B$167,$D$15:$D$140,$D170,$W$15:$W$140,R$147)</f>
        <v>0</v>
      </c>
      <c r="S170">
        <f>SUMIFS($AP$15:$AP$140,$B$15:$B$140,$B$167,$D$15:$D$140,$D170,$O$15:$O$140,S$147)+SUMIFS($AQ$15:$AQ$140,$B$15:$B$140,$B$167,$D$15:$D$140,$D170,$W$15:$W$140,S$147)</f>
        <v>0</v>
      </c>
      <c r="T170">
        <f>SUM(H170:R170)</f>
        <v>0</v>
      </c>
      <c r="V170">
        <f>IF(F170&gt;0,G170/F170,0)</f>
        <v>0</v>
      </c>
      <c r="W170">
        <f>IF(F170&gt;0,T170/F170,0)</f>
        <v>0</v>
      </c>
    </row>
    <row r="171">
      <c r="D171" t="str">
        <v>K25</v>
      </c>
      <c r="F171">
        <f>SUMIFS($AO$15:$AO$140,$B$15:$B$140,$B$167,$D$15:$D$140,$D171)</f>
        <v>0</v>
      </c>
      <c r="G171">
        <f>SUMIFS($AT$15:$AT$140,$B$15:$B$140,$B$167,$D$15:$D$140,$D171)</f>
        <v>0</v>
      </c>
      <c r="H171">
        <f>SUMIFS($AR$15:$AR$140,$B$15:$B$140,$B$167,$D$15:$D$140,$D171,$AD$15:$AD$140,H$147)+SUMIFS($AS$15:$AS$140,$B$15:$B$140,$B$167,$D$15:$D$140,$D171,$AI$15:$AI$140,H$147)</f>
        <v>0</v>
      </c>
      <c r="I171">
        <f>SUMIFS($AR$15:$AR$140,$B$15:$B$140,$B$167,$D$15:$D$140,$D171,$AD$15:$AD$140,I$147)+SUMIFS($AS$15:$AS$140,$B$15:$B$140,$B$167,$D$15:$D$140,$D171,$AI$15:$AI$140,I$147)</f>
        <v>0</v>
      </c>
      <c r="J171">
        <f>SUMIFS($AR$15:$AR$140,$B$15:$B$140,$B$167,$D$15:$D$140,$D171,$AD$15:$AD$140,J$147)+SUMIFS($AS$15:$AS$140,$B$15:$B$140,$B$167,$D$15:$D$140,$D171,$AI$15:$AI$140,J$147)</f>
        <v>0</v>
      </c>
      <c r="K171">
        <f>SUMIFS($AR$15:$AR$140,$B$15:$B$140,$B$167,$D$15:$D$140,$D171,$AD$15:$AD$140,K$147)+SUMIFS($AS$15:$AS$140,$B$15:$B$140,$B$167,$D$15:$D$140,$D171,$AI$15:$AI$140,K$147)</f>
        <v>0</v>
      </c>
      <c r="L171">
        <f>SUMIFS($AP$15:$AP$140,$B$15:$B$140,$B$167,$D$15:$D$140,$D171,$O$15:$O$140,L$147)+SUMIFS($AQ$15:$AQ$140,$B$15:$B$140,$B$167,$D$15:$D$140,$D171,$W$15:$W$140,L$147)</f>
        <v>0</v>
      </c>
      <c r="M171">
        <f>SUMIFS($AP$15:$AP$140,$B$15:$B$140,$B$167,$D$15:$D$140,$D171,$O$15:$O$140,M$147)+SUMIFS($AQ$15:$AQ$140,$B$15:$B$140,$B$167,$D$15:$D$140,$D171,$W$15:$W$140,M$147)</f>
        <v>0</v>
      </c>
      <c r="N171">
        <f>SUMIFS($AP$15:$AP$140,$B$15:$B$140,$B$167,$D$15:$D$140,$D171,$O$15:$O$140,N$147)+SUMIFS($AQ$15:$AQ$140,$B$15:$B$140,$B$167,$D$15:$D$140,$D171,$W$15:$W$140,N$147)</f>
        <v>0</v>
      </c>
      <c r="O171">
        <f>SUMIFS($AP$15:$AP$140,$B$15:$B$140,$B$167,$D$15:$D$140,$D171,$O$15:$O$140,O$147)+SUMIFS($AQ$15:$AQ$140,$B$15:$B$140,$B$167,$D$15:$D$140,$D171,$W$15:$W$140,O$147)</f>
        <v>0</v>
      </c>
      <c r="P171">
        <f>SUMIFS($AP$15:$AP$140,$B$15:$B$140,$B$167,$D$15:$D$140,$D171,$O$15:$O$140,P$147)+SUMIFS($AQ$15:$AQ$140,$B$15:$B$140,$B$167,$D$15:$D$140,$D171,$W$15:$W$140,P$147)</f>
        <v>0</v>
      </c>
      <c r="Q171">
        <f>SUMIFS($AP$15:$AP$140,$B$15:$B$140,$B$167,$D$15:$D$140,$D171,$O$15:$O$140,Q$147)+SUMIFS($AQ$15:$AQ$140,$B$15:$B$140,$B$167,$D$15:$D$140,$D171,$W$15:$W$140,Q$147)</f>
        <v>0</v>
      </c>
      <c r="R171">
        <f>SUMIFS($AP$15:$AP$140,$B$15:$B$140,$B$167,$D$15:$D$140,$D171,$O$15:$O$140,R$147)+SUMIFS($AQ$15:$AQ$140,$B$15:$B$140,$B$167,$D$15:$D$140,$D171,$W$15:$W$140,R$147)</f>
        <v>0</v>
      </c>
      <c r="S171">
        <f>SUMIFS($AP$15:$AP$140,$B$15:$B$140,$B$167,$D$15:$D$140,$D171,$O$15:$O$140,S$147)+SUMIFS($AQ$15:$AQ$140,$B$15:$B$140,$B$167,$D$15:$D$140,$D171,$W$15:$W$140,S$147)</f>
        <v>0</v>
      </c>
      <c r="T171">
        <f>SUM(H171:R171)</f>
        <v>0</v>
      </c>
      <c r="V171">
        <f>IF(F171&gt;0,G171/F171,0)</f>
        <v>0</v>
      </c>
      <c r="W171">
        <f>IF(F171&gt;0,T171/F171,0)</f>
        <v>0</v>
      </c>
    </row>
    <row r="172">
      <c r="D172" t="str">
        <v>K26</v>
      </c>
      <c r="F172">
        <f>SUMIFS($AO$15:$AO$140,$B$15:$B$140,$B$167,$D$15:$D$140,$D172)</f>
        <v>0</v>
      </c>
      <c r="G172">
        <f>SUMIFS($AT$15:$AT$140,$B$15:$B$140,$B$167,$D$15:$D$140,$D172)</f>
        <v>0</v>
      </c>
      <c r="H172">
        <f>SUMIFS($AR$15:$AR$140,$B$15:$B$140,$B$167,$D$15:$D$140,$D172,$AD$15:$AD$140,H$147)+SUMIFS($AS$15:$AS$140,$B$15:$B$140,$B$167,$D$15:$D$140,$D172,$AI$15:$AI$140,H$147)</f>
        <v>0</v>
      </c>
      <c r="I172">
        <f>SUMIFS($AR$15:$AR$140,$B$15:$B$140,$B$167,$D$15:$D$140,$D172,$AD$15:$AD$140,I$147)+SUMIFS($AS$15:$AS$140,$B$15:$B$140,$B$167,$D$15:$D$140,$D172,$AI$15:$AI$140,I$147)</f>
        <v>0</v>
      </c>
      <c r="J172">
        <f>SUMIFS($AR$15:$AR$140,$B$15:$B$140,$B$167,$D$15:$D$140,$D172,$AD$15:$AD$140,J$147)+SUMIFS($AS$15:$AS$140,$B$15:$B$140,$B$167,$D$15:$D$140,$D172,$AI$15:$AI$140,J$147)</f>
        <v>0</v>
      </c>
      <c r="K172">
        <f>SUMIFS($AR$15:$AR$140,$B$15:$B$140,$B$167,$D$15:$D$140,$D172,$AD$15:$AD$140,K$147)+SUMIFS($AS$15:$AS$140,$B$15:$B$140,$B$167,$D$15:$D$140,$D172,$AI$15:$AI$140,K$147)</f>
        <v>0</v>
      </c>
      <c r="L172">
        <f>SUMIFS($AP$15:$AP$140,$B$15:$B$140,$B$167,$D$15:$D$140,$D172,$O$15:$O$140,L$147)+SUMIFS($AQ$15:$AQ$140,$B$15:$B$140,$B$167,$D$15:$D$140,$D172,$W$15:$W$140,L$147)</f>
        <v>0</v>
      </c>
      <c r="M172">
        <f>SUMIFS($AP$15:$AP$140,$B$15:$B$140,$B$167,$D$15:$D$140,$D172,$O$15:$O$140,M$147)+SUMIFS($AQ$15:$AQ$140,$B$15:$B$140,$B$167,$D$15:$D$140,$D172,$W$15:$W$140,M$147)</f>
        <v>0</v>
      </c>
      <c r="N172">
        <f>SUMIFS($AP$15:$AP$140,$B$15:$B$140,$B$167,$D$15:$D$140,$D172,$O$15:$O$140,N$147)+SUMIFS($AQ$15:$AQ$140,$B$15:$B$140,$B$167,$D$15:$D$140,$D172,$W$15:$W$140,N$147)</f>
        <v>0</v>
      </c>
      <c r="O172">
        <f>SUMIFS($AP$15:$AP$140,$B$15:$B$140,$B$167,$D$15:$D$140,$D172,$O$15:$O$140,O$147)+SUMIFS($AQ$15:$AQ$140,$B$15:$B$140,$B$167,$D$15:$D$140,$D172,$W$15:$W$140,O$147)</f>
        <v>0</v>
      </c>
      <c r="P172">
        <f>SUMIFS($AP$15:$AP$140,$B$15:$B$140,$B$167,$D$15:$D$140,$D172,$O$15:$O$140,P$147)+SUMIFS($AQ$15:$AQ$140,$B$15:$B$140,$B$167,$D$15:$D$140,$D172,$W$15:$W$140,P$147)</f>
        <v>0</v>
      </c>
      <c r="Q172">
        <f>SUMIFS($AP$15:$AP$140,$B$15:$B$140,$B$167,$D$15:$D$140,$D172,$O$15:$O$140,Q$147)+SUMIFS($AQ$15:$AQ$140,$B$15:$B$140,$B$167,$D$15:$D$140,$D172,$W$15:$W$140,Q$147)</f>
        <v>0</v>
      </c>
      <c r="R172">
        <f>SUMIFS($AP$15:$AP$140,$B$15:$B$140,$B$167,$D$15:$D$140,$D172,$O$15:$O$140,R$147)+SUMIFS($AQ$15:$AQ$140,$B$15:$B$140,$B$167,$D$15:$D$140,$D172,$W$15:$W$140,R$147)</f>
        <v>0</v>
      </c>
      <c r="S172">
        <f>SUMIFS($AP$15:$AP$140,$B$15:$B$140,$B$167,$D$15:$D$140,$D172,$O$15:$O$140,S$147)+SUMIFS($AQ$15:$AQ$140,$B$15:$B$140,$B$167,$D$15:$D$140,$D172,$W$15:$W$140,S$147)</f>
        <v>0</v>
      </c>
      <c r="T172">
        <f>SUM(H172:R172)</f>
        <v>0</v>
      </c>
      <c r="V172">
        <f>IF(F172&gt;0,G172/F172,0)</f>
        <v>0</v>
      </c>
      <c r="W172">
        <f>IF(F172&gt;0,T172/F172,0)</f>
        <v>0</v>
      </c>
    </row>
    <row r="173">
      <c r="D173" t="str">
        <v>K2A5</v>
      </c>
      <c r="F173">
        <f>SUMIFS($AO$15:$AO$140,$B$15:$B$140,$B$167,$D$15:$D$140,$D173)</f>
        <v>0</v>
      </c>
      <c r="G173">
        <f>SUMIFS($AT$15:$AT$140,$B$15:$B$140,$B$167,$D$15:$D$140,$D173)</f>
        <v>0</v>
      </c>
      <c r="H173">
        <f>SUMIFS($AR$15:$AR$140,$B$15:$B$140,$B$167,$D$15:$D$140,$D173,$AD$15:$AD$140,H$147)+SUMIFS($AS$15:$AS$140,$B$15:$B$140,$B$167,$D$15:$D$140,$D173,$AI$15:$AI$140,H$147)</f>
        <v>0</v>
      </c>
      <c r="I173">
        <f>SUMIFS($AR$15:$AR$140,$B$15:$B$140,$B$167,$D$15:$D$140,$D173,$AD$15:$AD$140,I$147)+SUMIFS($AS$15:$AS$140,$B$15:$B$140,$B$167,$D$15:$D$140,$D173,$AI$15:$AI$140,I$147)</f>
        <v>0</v>
      </c>
      <c r="J173">
        <f>SUMIFS($AR$15:$AR$140,$B$15:$B$140,$B$167,$D$15:$D$140,$D173,$AD$15:$AD$140,J$147)+SUMIFS($AS$15:$AS$140,$B$15:$B$140,$B$167,$D$15:$D$140,$D173,$AI$15:$AI$140,J$147)</f>
        <v>0</v>
      </c>
      <c r="K173">
        <f>SUMIFS($AR$15:$AR$140,$B$15:$B$140,$B$167,$D$15:$D$140,$D173,$AD$15:$AD$140,K$147)+SUMIFS($AS$15:$AS$140,$B$15:$B$140,$B$167,$D$15:$D$140,$D173,$AI$15:$AI$140,K$147)</f>
        <v>0</v>
      </c>
      <c r="L173">
        <f>SUMIFS($AP$15:$AP$140,$B$15:$B$140,$B$167,$D$15:$D$140,$D173,$O$15:$O$140,L$147)+SUMIFS($AQ$15:$AQ$140,$B$15:$B$140,$B$167,$D$15:$D$140,$D173,$W$15:$W$140,L$147)</f>
        <v>0</v>
      </c>
      <c r="M173">
        <f>SUMIFS($AP$15:$AP$140,$B$15:$B$140,$B$167,$D$15:$D$140,$D173,$O$15:$O$140,M$147)+SUMIFS($AQ$15:$AQ$140,$B$15:$B$140,$B$167,$D$15:$D$140,$D173,$W$15:$W$140,M$147)</f>
        <v>0</v>
      </c>
      <c r="N173">
        <f>SUMIFS($AP$15:$AP$140,$B$15:$B$140,$B$167,$D$15:$D$140,$D173,$O$15:$O$140,N$147)+SUMIFS($AQ$15:$AQ$140,$B$15:$B$140,$B$167,$D$15:$D$140,$D173,$W$15:$W$140,N$147)</f>
        <v>0</v>
      </c>
      <c r="O173">
        <f>SUMIFS($AP$15:$AP$140,$B$15:$B$140,$B$167,$D$15:$D$140,$D173,$O$15:$O$140,O$147)+SUMIFS($AQ$15:$AQ$140,$B$15:$B$140,$B$167,$D$15:$D$140,$D173,$W$15:$W$140,O$147)</f>
        <v>0</v>
      </c>
      <c r="P173">
        <f>SUMIFS($AP$15:$AP$140,$B$15:$B$140,$B$167,$D$15:$D$140,$D173,$O$15:$O$140,P$147)+SUMIFS($AQ$15:$AQ$140,$B$15:$B$140,$B$167,$D$15:$D$140,$D173,$W$15:$W$140,P$147)</f>
        <v>0</v>
      </c>
      <c r="Q173">
        <f>SUMIFS($AP$15:$AP$140,$B$15:$B$140,$B$167,$D$15:$D$140,$D173,$O$15:$O$140,Q$147)+SUMIFS($AQ$15:$AQ$140,$B$15:$B$140,$B$167,$D$15:$D$140,$D173,$W$15:$W$140,Q$147)</f>
        <v>0</v>
      </c>
      <c r="R173">
        <f>SUMIFS($AP$15:$AP$140,$B$15:$B$140,$B$167,$D$15:$D$140,$D173,$O$15:$O$140,R$147)+SUMIFS($AQ$15:$AQ$140,$B$15:$B$140,$B$167,$D$15:$D$140,$D173,$W$15:$W$140,R$147)</f>
        <v>0</v>
      </c>
      <c r="S173">
        <f>SUMIFS($AP$15:$AP$140,$B$15:$B$140,$B$167,$D$15:$D$140,$D173,$O$15:$O$140,S$147)+SUMIFS($AQ$15:$AQ$140,$B$15:$B$140,$B$167,$D$15:$D$140,$D173,$W$15:$W$140,S$147)</f>
        <v>0</v>
      </c>
      <c r="T173">
        <f>SUM(H173:R173)</f>
        <v>0</v>
      </c>
      <c r="V173">
        <f>IF(F173&gt;0,G173/F173,0)</f>
        <v>0</v>
      </c>
      <c r="W173">
        <f>IF(F173&gt;0,T173/F173,0)</f>
        <v>0</v>
      </c>
    </row>
    <row r="174">
      <c r="D174" t="str">
        <v>K2A6</v>
      </c>
      <c r="F174">
        <f>SUMIFS($AO$15:$AO$140,$B$15:$B$140,$B$167,$D$15:$D$140,$D174)</f>
        <v>0</v>
      </c>
      <c r="G174">
        <f>SUMIFS($AT$15:$AT$140,$B$15:$B$140,$B$167,$D$15:$D$140,$D174)</f>
        <v>0</v>
      </c>
      <c r="H174">
        <f>SUMIFS($AR$15:$AR$140,$B$15:$B$140,$B$167,$D$15:$D$140,$D174,$AD$15:$AD$140,H$147)+SUMIFS($AS$15:$AS$140,$B$15:$B$140,$B$167,$D$15:$D$140,$D174,$AI$15:$AI$140,H$147)</f>
        <v>0</v>
      </c>
      <c r="I174">
        <f>SUMIFS($AR$15:$AR$140,$B$15:$B$140,$B$167,$D$15:$D$140,$D174,$AD$15:$AD$140,I$147)+SUMIFS($AS$15:$AS$140,$B$15:$B$140,$B$167,$D$15:$D$140,$D174,$AI$15:$AI$140,I$147)</f>
        <v>0</v>
      </c>
      <c r="J174">
        <f>SUMIFS($AR$15:$AR$140,$B$15:$B$140,$B$167,$D$15:$D$140,$D174,$AD$15:$AD$140,J$147)+SUMIFS($AS$15:$AS$140,$B$15:$B$140,$B$167,$D$15:$D$140,$D174,$AI$15:$AI$140,J$147)</f>
        <v>0</v>
      </c>
      <c r="K174">
        <f>SUMIFS($AR$15:$AR$140,$B$15:$B$140,$B$167,$D$15:$D$140,$D174,$AD$15:$AD$140,K$147)+SUMIFS($AS$15:$AS$140,$B$15:$B$140,$B$167,$D$15:$D$140,$D174,$AI$15:$AI$140,K$147)</f>
        <v>0</v>
      </c>
      <c r="L174">
        <f>SUMIFS($AP$15:$AP$140,$B$15:$B$140,$B$167,$D$15:$D$140,$D174,$O$15:$O$140,L$147)+SUMIFS($AQ$15:$AQ$140,$B$15:$B$140,$B$167,$D$15:$D$140,$D174,$W$15:$W$140,L$147)</f>
        <v>0</v>
      </c>
      <c r="M174">
        <f>SUMIFS($AP$15:$AP$140,$B$15:$B$140,$B$167,$D$15:$D$140,$D174,$O$15:$O$140,M$147)+SUMIFS($AQ$15:$AQ$140,$B$15:$B$140,$B$167,$D$15:$D$140,$D174,$W$15:$W$140,M$147)</f>
        <v>0</v>
      </c>
      <c r="N174">
        <f>SUMIFS($AP$15:$AP$140,$B$15:$B$140,$B$167,$D$15:$D$140,$D174,$O$15:$O$140,N$147)+SUMIFS($AQ$15:$AQ$140,$B$15:$B$140,$B$167,$D$15:$D$140,$D174,$W$15:$W$140,N$147)</f>
        <v>0</v>
      </c>
      <c r="O174">
        <f>SUMIFS($AP$15:$AP$140,$B$15:$B$140,$B$167,$D$15:$D$140,$D174,$O$15:$O$140,O$147)+SUMIFS($AQ$15:$AQ$140,$B$15:$B$140,$B$167,$D$15:$D$140,$D174,$W$15:$W$140,O$147)</f>
        <v>0</v>
      </c>
      <c r="P174">
        <f>SUMIFS($AP$15:$AP$140,$B$15:$B$140,$B$167,$D$15:$D$140,$D174,$O$15:$O$140,P$147)+SUMIFS($AQ$15:$AQ$140,$B$15:$B$140,$B$167,$D$15:$D$140,$D174,$W$15:$W$140,P$147)</f>
        <v>0</v>
      </c>
      <c r="Q174">
        <f>SUMIFS($AP$15:$AP$140,$B$15:$B$140,$B$167,$D$15:$D$140,$D174,$O$15:$O$140,Q$147)+SUMIFS($AQ$15:$AQ$140,$B$15:$B$140,$B$167,$D$15:$D$140,$D174,$W$15:$W$140,Q$147)</f>
        <v>0</v>
      </c>
      <c r="R174">
        <f>SUMIFS($AP$15:$AP$140,$B$15:$B$140,$B$167,$D$15:$D$140,$D174,$O$15:$O$140,R$147)+SUMIFS($AQ$15:$AQ$140,$B$15:$B$140,$B$167,$D$15:$D$140,$D174,$W$15:$W$140,R$147)</f>
        <v>0</v>
      </c>
      <c r="S174">
        <f>SUMIFS($AP$15:$AP$140,$B$15:$B$140,$B$167,$D$15:$D$140,$D174,$O$15:$O$140,S$147)+SUMIFS($AQ$15:$AQ$140,$B$15:$B$140,$B$167,$D$15:$D$140,$D174,$W$15:$W$140,S$147)</f>
        <v>0</v>
      </c>
      <c r="T174">
        <f>SUM(H174:R174)</f>
        <v>0</v>
      </c>
      <c r="V174">
        <f>IF(F174&gt;0,G174/F174,0)</f>
        <v>0</v>
      </c>
      <c r="W174">
        <f>IF(F174&gt;0,T174/F174,0)</f>
        <v>0</v>
      </c>
    </row>
    <row r="175">
      <c r="D175" t="str">
        <v>K4</v>
      </c>
      <c r="F175">
        <f>SUMIFS($AO$15:$AO$140,$B$15:$B$140,$B$167,$D$15:$D$140,$D175)</f>
        <v>2.686</v>
      </c>
      <c r="G175">
        <f>SUMIFS($AT$15:$AT$140,$B$15:$B$140,$B$167,$D$15:$D$140,$D175)</f>
        <v>45.03</v>
      </c>
      <c r="H175">
        <f>SUMIFS($AR$15:$AR$140,$B$15:$B$140,$B$167,$D$15:$D$140,$D175,$AD$15:$AD$140,H$147)+SUMIFS($AS$15:$AS$140,$B$15:$B$140,$B$167,$D$15:$D$140,$D175,$AI$15:$AI$140,H$147)</f>
        <v>0</v>
      </c>
      <c r="I175">
        <f>SUMIFS($AR$15:$AR$140,$B$15:$B$140,$B$167,$D$15:$D$140,$D175,$AD$15:$AD$140,I$147)+SUMIFS($AS$15:$AS$140,$B$15:$B$140,$B$167,$D$15:$D$140,$D175,$AI$15:$AI$140,I$147)</f>
        <v>284.23116000000005</v>
      </c>
      <c r="J175">
        <f>SUMIFS($AR$15:$AR$140,$B$15:$B$140,$B$167,$D$15:$D$140,$D175,$AD$15:$AD$140,J$147)+SUMIFS($AS$15:$AS$140,$B$15:$B$140,$B$167,$D$15:$D$140,$D175,$AI$15:$AI$140,J$147)</f>
        <v>0</v>
      </c>
      <c r="K175">
        <f>SUMIFS($AR$15:$AR$140,$B$15:$B$140,$B$167,$D$15:$D$140,$D175,$AD$15:$AD$140,K$147)+SUMIFS($AS$15:$AS$140,$B$15:$B$140,$B$167,$D$15:$D$140,$D175,$AI$15:$AI$140,K$147)</f>
        <v>0</v>
      </c>
      <c r="L175">
        <f>SUMIFS($AP$15:$AP$140,$B$15:$B$140,$B$167,$D$15:$D$140,$D175,$O$15:$O$140,L$147)+SUMIFS($AQ$15:$AQ$140,$B$15:$B$140,$B$167,$D$15:$D$140,$D175,$W$15:$W$140,L$147)</f>
        <v>0</v>
      </c>
      <c r="M175">
        <f>SUMIFS($AP$15:$AP$140,$B$15:$B$140,$B$167,$D$15:$D$140,$D175,$O$15:$O$140,M$147)+SUMIFS($AQ$15:$AQ$140,$B$15:$B$140,$B$167,$D$15:$D$140,$D175,$W$15:$W$140,M$147)</f>
        <v>0</v>
      </c>
      <c r="N175">
        <f>SUMIFS($AP$15:$AP$140,$B$15:$B$140,$B$167,$D$15:$D$140,$D175,$O$15:$O$140,N$147)+SUMIFS($AQ$15:$AQ$140,$B$15:$B$140,$B$167,$D$15:$D$140,$D175,$W$15:$W$140,N$147)</f>
        <v>465.13889279999995</v>
      </c>
      <c r="O175">
        <f>SUMIFS($AP$15:$AP$140,$B$15:$B$140,$B$167,$D$15:$D$140,$D175,$O$15:$O$140,O$147)+SUMIFS($AQ$15:$AQ$140,$B$15:$B$140,$B$167,$D$15:$D$140,$D175,$W$15:$W$140,O$147)</f>
        <v>0</v>
      </c>
      <c r="P175">
        <f>SUMIFS($AP$15:$AP$140,$B$15:$B$140,$B$167,$D$15:$D$140,$D175,$O$15:$O$140,P$147)+SUMIFS($AQ$15:$AQ$140,$B$15:$B$140,$B$167,$D$15:$D$140,$D175,$W$15:$W$140,P$147)</f>
        <v>0</v>
      </c>
      <c r="Q175">
        <f>SUMIFS($AP$15:$AP$140,$B$15:$B$140,$B$167,$D$15:$D$140,$D175,$O$15:$O$140,Q$147)+SUMIFS($AQ$15:$AQ$140,$B$15:$B$140,$B$167,$D$15:$D$140,$D175,$W$15:$W$140,Q$147)</f>
        <v>0</v>
      </c>
      <c r="R175">
        <f>SUMIFS($AP$15:$AP$140,$B$15:$B$140,$B$167,$D$15:$D$140,$D175,$O$15:$O$140,R$147)+SUMIFS($AQ$15:$AQ$140,$B$15:$B$140,$B$167,$D$15:$D$140,$D175,$W$15:$W$140,R$147)</f>
        <v>0</v>
      </c>
      <c r="S175">
        <f>SUMIFS($AP$15:$AP$140,$B$15:$B$140,$B$167,$D$15:$D$140,$D175,$O$15:$O$140,S$147)+SUMIFS($AQ$15:$AQ$140,$B$15:$B$140,$B$167,$D$15:$D$140,$D175,$W$15:$W$140,S$147)</f>
        <v>0</v>
      </c>
      <c r="T175">
        <f>SUM(H175:R175)</f>
        <v>749.3700527999999</v>
      </c>
      <c r="V175">
        <f>IF(F175&gt;0,G175/F175,0)</f>
        <v>16.764705882352942</v>
      </c>
      <c r="W175">
        <f>IF(F175&gt;0,T175/F175,0)</f>
        <v>278.99108443782575</v>
      </c>
    </row>
    <row r="176">
      <c r="D176" t="str">
        <v>K5</v>
      </c>
      <c r="F176">
        <f>SUMIFS($AO$15:$AO$140,$B$15:$B$140,$B$167,$D$15:$D$140,$D176)</f>
        <v>4.2075</v>
      </c>
      <c r="G176">
        <f>SUMIFS($AT$15:$AT$140,$B$15:$B$140,$B$167,$D$15:$D$140,$D176)</f>
        <v>66.33</v>
      </c>
      <c r="H176">
        <f>SUMIFS($AR$15:$AR$140,$B$15:$B$140,$B$167,$D$15:$D$140,$D176,$AD$15:$AD$140,H$147)+SUMIFS($AS$15:$AS$140,$B$15:$B$140,$B$167,$D$15:$D$140,$D176,$AI$15:$AI$140,H$147)</f>
        <v>0</v>
      </c>
      <c r="I176">
        <f>SUMIFS($AR$15:$AR$140,$B$15:$B$140,$B$167,$D$15:$D$140,$D176,$AD$15:$AD$140,I$147)+SUMIFS($AS$15:$AS$140,$B$15:$B$140,$B$167,$D$15:$D$140,$D176,$AI$15:$AI$140,I$147)</f>
        <v>513.1561050000001</v>
      </c>
      <c r="J176">
        <f>SUMIFS($AR$15:$AR$140,$B$15:$B$140,$B$167,$D$15:$D$140,$D176,$AD$15:$AD$140,J$147)+SUMIFS($AS$15:$AS$140,$B$15:$B$140,$B$167,$D$15:$D$140,$D176,$AI$15:$AI$140,J$147)</f>
        <v>0</v>
      </c>
      <c r="K176">
        <f>SUMIFS($AR$15:$AR$140,$B$15:$B$140,$B$167,$D$15:$D$140,$D176,$AD$15:$AD$140,K$147)+SUMIFS($AS$15:$AS$140,$B$15:$B$140,$B$167,$D$15:$D$140,$D176,$AI$15:$AI$140,K$147)</f>
        <v>0</v>
      </c>
      <c r="L176">
        <f>SUMIFS($AP$15:$AP$140,$B$15:$B$140,$B$167,$D$15:$D$140,$D176,$O$15:$O$140,L$147)+SUMIFS($AQ$15:$AQ$140,$B$15:$B$140,$B$167,$D$15:$D$140,$D176,$W$15:$W$140,L$147)</f>
        <v>0</v>
      </c>
      <c r="M176">
        <f>SUMIFS($AP$15:$AP$140,$B$15:$B$140,$B$167,$D$15:$D$140,$D176,$O$15:$O$140,M$147)+SUMIFS($AQ$15:$AQ$140,$B$15:$B$140,$B$167,$D$15:$D$140,$D176,$W$15:$W$140,M$147)</f>
        <v>0</v>
      </c>
      <c r="N176">
        <f>SUMIFS($AP$15:$AP$140,$B$15:$B$140,$B$167,$D$15:$D$140,$D176,$O$15:$O$140,N$147)+SUMIFS($AQ$15:$AQ$140,$B$15:$B$140,$B$167,$D$15:$D$140,$D176,$W$15:$W$140,N$147)</f>
        <v>774.9789695999999</v>
      </c>
      <c r="O176">
        <f>SUMIFS($AP$15:$AP$140,$B$15:$B$140,$B$167,$D$15:$D$140,$D176,$O$15:$O$140,O$147)+SUMIFS($AQ$15:$AQ$140,$B$15:$B$140,$B$167,$D$15:$D$140,$D176,$W$15:$W$140,O$147)</f>
        <v>0</v>
      </c>
      <c r="P176">
        <f>SUMIFS($AP$15:$AP$140,$B$15:$B$140,$B$167,$D$15:$D$140,$D176,$O$15:$O$140,P$147)+SUMIFS($AQ$15:$AQ$140,$B$15:$B$140,$B$167,$D$15:$D$140,$D176,$W$15:$W$140,P$147)</f>
        <v>0</v>
      </c>
      <c r="Q176">
        <f>SUMIFS($AP$15:$AP$140,$B$15:$B$140,$B$167,$D$15:$D$140,$D176,$O$15:$O$140,Q$147)+SUMIFS($AQ$15:$AQ$140,$B$15:$B$140,$B$167,$D$15:$D$140,$D176,$W$15:$W$140,Q$147)</f>
        <v>0</v>
      </c>
      <c r="R176">
        <f>SUMIFS($AP$15:$AP$140,$B$15:$B$140,$B$167,$D$15:$D$140,$D176,$O$15:$O$140,R$147)+SUMIFS($AQ$15:$AQ$140,$B$15:$B$140,$B$167,$D$15:$D$140,$D176,$W$15:$W$140,R$147)</f>
        <v>0</v>
      </c>
      <c r="S176">
        <f>SUMIFS($AP$15:$AP$140,$B$15:$B$140,$B$167,$D$15:$D$140,$D176,$O$15:$O$140,S$147)+SUMIFS($AQ$15:$AQ$140,$B$15:$B$140,$B$167,$D$15:$D$140,$D176,$W$15:$W$140,S$147)</f>
        <v>0</v>
      </c>
      <c r="T176">
        <f>SUM(H176:R176)</f>
        <v>1288.1350746</v>
      </c>
      <c r="V176">
        <f>IF(F176&gt;0,G176/F176,0)</f>
        <v>15.764705882352942</v>
      </c>
      <c r="W176">
        <f>IF(F176&gt;0,T176/F176,0)</f>
        <v>306.15212705882357</v>
      </c>
    </row>
    <row r="177">
      <c r="D177" t="str">
        <v>K6</v>
      </c>
      <c r="F177">
        <f>SUMIFS($AO$15:$AO$140,$B$15:$B$140,$B$167,$D$15:$D$140,$D177)</f>
        <v>1.377</v>
      </c>
      <c r="G177">
        <f>SUMIFS($AT$15:$AT$140,$B$15:$B$140,$B$167,$D$15:$D$140,$D177)</f>
        <v>20.79</v>
      </c>
      <c r="H177">
        <f>SUMIFS($AR$15:$AR$140,$B$15:$B$140,$B$167,$D$15:$D$140,$D177,$AD$15:$AD$140,H$147)+SUMIFS($AS$15:$AS$140,$B$15:$B$140,$B$167,$D$15:$D$140,$D177,$AI$15:$AI$140,H$147)</f>
        <v>0</v>
      </c>
      <c r="I177">
        <f>SUMIFS($AR$15:$AR$140,$B$15:$B$140,$B$167,$D$15:$D$140,$D177,$AD$15:$AD$140,I$147)+SUMIFS($AS$15:$AS$140,$B$15:$B$140,$B$167,$D$15:$D$140,$D177,$AI$15:$AI$140,I$147)</f>
        <v>157.33696500000002</v>
      </c>
      <c r="J177">
        <f>SUMIFS($AR$15:$AR$140,$B$15:$B$140,$B$167,$D$15:$D$140,$D177,$AD$15:$AD$140,J$147)+SUMIFS($AS$15:$AS$140,$B$15:$B$140,$B$167,$D$15:$D$140,$D177,$AI$15:$AI$140,J$147)</f>
        <v>0</v>
      </c>
      <c r="K177">
        <f>SUMIFS($AR$15:$AR$140,$B$15:$B$140,$B$167,$D$15:$D$140,$D177,$AD$15:$AD$140,K$147)+SUMIFS($AS$15:$AS$140,$B$15:$B$140,$B$167,$D$15:$D$140,$D177,$AI$15:$AI$140,K$147)</f>
        <v>0</v>
      </c>
      <c r="L177">
        <f>SUMIFS($AP$15:$AP$140,$B$15:$B$140,$B$167,$D$15:$D$140,$D177,$O$15:$O$140,L$147)+SUMIFS($AQ$15:$AQ$140,$B$15:$B$140,$B$167,$D$15:$D$140,$D177,$W$15:$W$140,L$147)</f>
        <v>0</v>
      </c>
      <c r="M177">
        <f>SUMIFS($AP$15:$AP$140,$B$15:$B$140,$B$167,$D$15:$D$140,$D177,$O$15:$O$140,M$147)+SUMIFS($AQ$15:$AQ$140,$B$15:$B$140,$B$167,$D$15:$D$140,$D177,$W$15:$W$140,M$147)</f>
        <v>0</v>
      </c>
      <c r="N177">
        <f>SUMIFS($AP$15:$AP$140,$B$15:$B$140,$B$167,$D$15:$D$140,$D177,$O$15:$O$140,N$147)+SUMIFS($AQ$15:$AQ$140,$B$15:$B$140,$B$167,$D$15:$D$140,$D177,$W$15:$W$140,N$147)</f>
        <v>260.883072</v>
      </c>
      <c r="O177">
        <f>SUMIFS($AP$15:$AP$140,$B$15:$B$140,$B$167,$D$15:$D$140,$D177,$O$15:$O$140,O$147)+SUMIFS($AQ$15:$AQ$140,$B$15:$B$140,$B$167,$D$15:$D$140,$D177,$W$15:$W$140,O$147)</f>
        <v>0</v>
      </c>
      <c r="P177">
        <f>SUMIFS($AP$15:$AP$140,$B$15:$B$140,$B$167,$D$15:$D$140,$D177,$O$15:$O$140,P$147)+SUMIFS($AQ$15:$AQ$140,$B$15:$B$140,$B$167,$D$15:$D$140,$D177,$W$15:$W$140,P$147)</f>
        <v>0</v>
      </c>
      <c r="Q177">
        <f>SUMIFS($AP$15:$AP$140,$B$15:$B$140,$B$167,$D$15:$D$140,$D177,$O$15:$O$140,Q$147)+SUMIFS($AQ$15:$AQ$140,$B$15:$B$140,$B$167,$D$15:$D$140,$D177,$W$15:$W$140,Q$147)</f>
        <v>0</v>
      </c>
      <c r="R177">
        <f>SUMIFS($AP$15:$AP$140,$B$15:$B$140,$B$167,$D$15:$D$140,$D177,$O$15:$O$140,R$147)+SUMIFS($AQ$15:$AQ$140,$B$15:$B$140,$B$167,$D$15:$D$140,$D177,$W$15:$W$140,R$147)</f>
        <v>0</v>
      </c>
      <c r="S177">
        <f>SUMIFS($AP$15:$AP$140,$B$15:$B$140,$B$167,$D$15:$D$140,$D177,$O$15:$O$140,S$147)+SUMIFS($AQ$15:$AQ$140,$B$15:$B$140,$B$167,$D$15:$D$140,$D177,$W$15:$W$140,S$147)</f>
        <v>0</v>
      </c>
      <c r="T177">
        <f>SUM(H177:R177)</f>
        <v>418.22003700000005</v>
      </c>
      <c r="V177">
        <f>IF(F177&gt;0,G177/F177,0)</f>
        <v>15.098039215686274</v>
      </c>
      <c r="W177">
        <f>IF(F177&gt;0,T177/F177,0)</f>
        <v>303.7182549019608</v>
      </c>
    </row>
    <row r="178">
      <c r="D178" t="str">
        <v>K7</v>
      </c>
      <c r="F178">
        <f>SUMIFS($AO$15:$AO$140,$B$15:$B$140,$B$167,$D$15:$D$140,$D178)</f>
        <v>0.5355</v>
      </c>
      <c r="G178">
        <f>SUMIFS($AT$15:$AT$140,$B$15:$B$140,$B$167,$D$15:$D$140,$D178)</f>
        <v>7.83</v>
      </c>
      <c r="H178">
        <f>SUMIFS($AR$15:$AR$140,$B$15:$B$140,$B$167,$D$15:$D$140,$D178,$AD$15:$AD$140,H$147)+SUMIFS($AS$15:$AS$140,$B$15:$B$140,$B$167,$D$15:$D$140,$D178,$AI$15:$AI$140,H$147)</f>
        <v>0</v>
      </c>
      <c r="I178">
        <f>SUMIFS($AR$15:$AR$140,$B$15:$B$140,$B$167,$D$15:$D$140,$D178,$AD$15:$AD$140,I$147)+SUMIFS($AS$15:$AS$140,$B$15:$B$140,$B$167,$D$15:$D$140,$D178,$AI$15:$AI$140,I$147)</f>
        <v>58.24075500000001</v>
      </c>
      <c r="J178">
        <f>SUMIFS($AR$15:$AR$140,$B$15:$B$140,$B$167,$D$15:$D$140,$D178,$AD$15:$AD$140,J$147)+SUMIFS($AS$15:$AS$140,$B$15:$B$140,$B$167,$D$15:$D$140,$D178,$AI$15:$AI$140,J$147)</f>
        <v>0</v>
      </c>
      <c r="K178">
        <f>SUMIFS($AR$15:$AR$140,$B$15:$B$140,$B$167,$D$15:$D$140,$D178,$AD$15:$AD$140,K$147)+SUMIFS($AS$15:$AS$140,$B$15:$B$140,$B$167,$D$15:$D$140,$D178,$AI$15:$AI$140,K$147)</f>
        <v>0</v>
      </c>
      <c r="L178">
        <f>SUMIFS($AP$15:$AP$140,$B$15:$B$140,$B$167,$D$15:$D$140,$D178,$O$15:$O$140,L$147)+SUMIFS($AQ$15:$AQ$140,$B$15:$B$140,$B$167,$D$15:$D$140,$D178,$W$15:$W$140,L$147)</f>
        <v>0</v>
      </c>
      <c r="M178">
        <f>SUMIFS($AP$15:$AP$140,$B$15:$B$140,$B$167,$D$15:$D$140,$D178,$O$15:$O$140,M$147)+SUMIFS($AQ$15:$AQ$140,$B$15:$B$140,$B$167,$D$15:$D$140,$D178,$W$15:$W$140,M$147)</f>
        <v>0</v>
      </c>
      <c r="N178">
        <f>SUMIFS($AP$15:$AP$140,$B$15:$B$140,$B$167,$D$15:$D$140,$D178,$O$15:$O$140,N$147)+SUMIFS($AQ$15:$AQ$140,$B$15:$B$140,$B$167,$D$15:$D$140,$D178,$W$15:$W$140,N$147)</f>
        <v>86.96102400000001</v>
      </c>
      <c r="O178">
        <f>SUMIFS($AP$15:$AP$140,$B$15:$B$140,$B$167,$D$15:$D$140,$D178,$O$15:$O$140,O$147)+SUMIFS($AQ$15:$AQ$140,$B$15:$B$140,$B$167,$D$15:$D$140,$D178,$W$15:$W$140,O$147)</f>
        <v>0</v>
      </c>
      <c r="P178">
        <f>SUMIFS($AP$15:$AP$140,$B$15:$B$140,$B$167,$D$15:$D$140,$D178,$O$15:$O$140,P$147)+SUMIFS($AQ$15:$AQ$140,$B$15:$B$140,$B$167,$D$15:$D$140,$D178,$W$15:$W$140,P$147)</f>
        <v>0</v>
      </c>
      <c r="Q178">
        <f>SUMIFS($AP$15:$AP$140,$B$15:$B$140,$B$167,$D$15:$D$140,$D178,$O$15:$O$140,Q$147)+SUMIFS($AQ$15:$AQ$140,$B$15:$B$140,$B$167,$D$15:$D$140,$D178,$W$15:$W$140,Q$147)</f>
        <v>0</v>
      </c>
      <c r="R178">
        <f>SUMIFS($AP$15:$AP$140,$B$15:$B$140,$B$167,$D$15:$D$140,$D178,$O$15:$O$140,R$147)+SUMIFS($AQ$15:$AQ$140,$B$15:$B$140,$B$167,$D$15:$D$140,$D178,$W$15:$W$140,R$147)</f>
        <v>0</v>
      </c>
      <c r="S178">
        <f>SUMIFS($AP$15:$AP$140,$B$15:$B$140,$B$167,$D$15:$D$140,$D178,$O$15:$O$140,S$147)+SUMIFS($AQ$15:$AQ$140,$B$15:$B$140,$B$167,$D$15:$D$140,$D178,$W$15:$W$140,S$147)</f>
        <v>0</v>
      </c>
      <c r="T178">
        <f>SUM(H178:R178)</f>
        <v>145.20177900000002</v>
      </c>
      <c r="V178">
        <f>IF(F178&gt;0,G178/F178,0)</f>
        <v>14.6218487394958</v>
      </c>
      <c r="W178">
        <f>IF(F178&gt;0,T178/F178,0)</f>
        <v>271.1517815126051</v>
      </c>
    </row>
    <row r="179">
      <c r="D179" t="str">
        <v>KB2A</v>
      </c>
      <c r="F179">
        <f>SUMIFS($AO$15:$AO$140,$B$15:$B$140,$B$167,$D$15:$D$140,$D179)</f>
        <v>0</v>
      </c>
      <c r="G179">
        <f>SUMIFS($AT$15:$AT$140,$B$15:$B$140,$B$167,$D$15:$D$140,$D179)</f>
        <v>0</v>
      </c>
      <c r="H179">
        <f>SUMIFS($AR$15:$AR$140,$B$15:$B$140,$B$167,$D$15:$D$140,$D179,$AD$15:$AD$140,H$147)+SUMIFS($AS$15:$AS$140,$B$15:$B$140,$B$167,$D$15:$D$140,$D179,$AI$15:$AI$140,H$147)</f>
        <v>0</v>
      </c>
      <c r="I179">
        <f>SUMIFS($AR$15:$AR$140,$B$15:$B$140,$B$167,$D$15:$D$140,$D179,$AD$15:$AD$140,I$147)+SUMIFS($AS$15:$AS$140,$B$15:$B$140,$B$167,$D$15:$D$140,$D179,$AI$15:$AI$140,I$147)</f>
        <v>0</v>
      </c>
      <c r="J179">
        <f>SUMIFS($AR$15:$AR$140,$B$15:$B$140,$B$167,$D$15:$D$140,$D179,$AD$15:$AD$140,J$147)+SUMIFS($AS$15:$AS$140,$B$15:$B$140,$B$167,$D$15:$D$140,$D179,$AI$15:$AI$140,J$147)</f>
        <v>0</v>
      </c>
      <c r="K179">
        <f>SUMIFS($AR$15:$AR$140,$B$15:$B$140,$B$167,$D$15:$D$140,$D179,$AD$15:$AD$140,K$147)+SUMIFS($AS$15:$AS$140,$B$15:$B$140,$B$167,$D$15:$D$140,$D179,$AI$15:$AI$140,K$147)</f>
        <v>0</v>
      </c>
      <c r="L179">
        <f>SUMIFS($AP$15:$AP$140,$B$15:$B$140,$B$167,$D$15:$D$140,$D179,$O$15:$O$140,L$147)+SUMIFS($AQ$15:$AQ$140,$B$15:$B$140,$B$167,$D$15:$D$140,$D179,$W$15:$W$140,L$147)</f>
        <v>0</v>
      </c>
      <c r="M179">
        <f>SUMIFS($AP$15:$AP$140,$B$15:$B$140,$B$167,$D$15:$D$140,$D179,$O$15:$O$140,M$147)+SUMIFS($AQ$15:$AQ$140,$B$15:$B$140,$B$167,$D$15:$D$140,$D179,$W$15:$W$140,M$147)</f>
        <v>0</v>
      </c>
      <c r="N179">
        <f>SUMIFS($AP$15:$AP$140,$B$15:$B$140,$B$167,$D$15:$D$140,$D179,$O$15:$O$140,N$147)+SUMIFS($AQ$15:$AQ$140,$B$15:$B$140,$B$167,$D$15:$D$140,$D179,$W$15:$W$140,N$147)</f>
        <v>0</v>
      </c>
      <c r="O179">
        <f>SUMIFS($AP$15:$AP$140,$B$15:$B$140,$B$167,$D$15:$D$140,$D179,$O$15:$O$140,O$147)+SUMIFS($AQ$15:$AQ$140,$B$15:$B$140,$B$167,$D$15:$D$140,$D179,$W$15:$W$140,O$147)</f>
        <v>0</v>
      </c>
      <c r="P179">
        <f>SUMIFS($AP$15:$AP$140,$B$15:$B$140,$B$167,$D$15:$D$140,$D179,$O$15:$O$140,P$147)+SUMIFS($AQ$15:$AQ$140,$B$15:$B$140,$B$167,$D$15:$D$140,$D179,$W$15:$W$140,P$147)</f>
        <v>0</v>
      </c>
      <c r="Q179">
        <f>SUMIFS($AP$15:$AP$140,$B$15:$B$140,$B$167,$D$15:$D$140,$D179,$O$15:$O$140,Q$147)+SUMIFS($AQ$15:$AQ$140,$B$15:$B$140,$B$167,$D$15:$D$140,$D179,$W$15:$W$140,Q$147)</f>
        <v>0</v>
      </c>
      <c r="R179">
        <f>SUMIFS($AP$15:$AP$140,$B$15:$B$140,$B$167,$D$15:$D$140,$D179,$O$15:$O$140,R$147)+SUMIFS($AQ$15:$AQ$140,$B$15:$B$140,$B$167,$D$15:$D$140,$D179,$W$15:$W$140,R$147)</f>
        <v>0</v>
      </c>
      <c r="S179">
        <f>SUMIFS($AP$15:$AP$140,$B$15:$B$140,$B$167,$D$15:$D$140,$D179,$O$15:$O$140,S$147)+SUMIFS($AQ$15:$AQ$140,$B$15:$B$140,$B$167,$D$15:$D$140,$D179,$W$15:$W$140,S$147)</f>
        <v>0</v>
      </c>
      <c r="T179">
        <f>SUM(H179:R179)</f>
        <v>0</v>
      </c>
      <c r="V179">
        <f>IF(F179&gt;0,G179/F179,0)</f>
        <v>0</v>
      </c>
      <c r="W179">
        <f>IF(F179&gt;0,T179/F179,0)</f>
        <v>0</v>
      </c>
    </row>
    <row r="180">
      <c r="D180" t="str">
        <v>KL55</v>
      </c>
      <c r="F180">
        <f>SUMIFS($AO$15:$AO$140,$B$15:$B$140,$B$167,$D$15:$D$140,$D180)</f>
        <v>6.119999999999999</v>
      </c>
      <c r="G180">
        <f>SUMIFS($AT$15:$AT$140,$B$15:$B$140,$B$167,$D$15:$D$140,$D180)</f>
        <v>96.48</v>
      </c>
      <c r="H180">
        <f>SUMIFS($AR$15:$AR$140,$B$15:$B$140,$B$167,$D$15:$D$140,$D180,$AD$15:$AD$140,H$147)+SUMIFS($AS$15:$AS$140,$B$15:$B$140,$B$167,$D$15:$D$140,$D180,$AI$15:$AI$140,H$147)</f>
        <v>0</v>
      </c>
      <c r="I180">
        <f>SUMIFS($AR$15:$AR$140,$B$15:$B$140,$B$167,$D$15:$D$140,$D180,$AD$15:$AD$140,I$147)+SUMIFS($AS$15:$AS$140,$B$15:$B$140,$B$167,$D$15:$D$140,$D180,$AI$15:$AI$140,I$147)</f>
        <v>616.5986400000002</v>
      </c>
      <c r="J180">
        <f>SUMIFS($AR$15:$AR$140,$B$15:$B$140,$B$167,$D$15:$D$140,$D180,$AD$15:$AD$140,J$147)+SUMIFS($AS$15:$AS$140,$B$15:$B$140,$B$167,$D$15:$D$140,$D180,$AI$15:$AI$140,J$147)</f>
        <v>0</v>
      </c>
      <c r="K180">
        <f>SUMIFS($AR$15:$AR$140,$B$15:$B$140,$B$167,$D$15:$D$140,$D180,$AD$15:$AD$140,K$147)+SUMIFS($AS$15:$AS$140,$B$15:$B$140,$B$167,$D$15:$D$140,$D180,$AI$15:$AI$140,K$147)</f>
        <v>0</v>
      </c>
      <c r="L180">
        <f>SUMIFS($AP$15:$AP$140,$B$15:$B$140,$B$167,$D$15:$D$140,$D180,$O$15:$O$140,L$147)+SUMIFS($AQ$15:$AQ$140,$B$15:$B$140,$B$167,$D$15:$D$140,$D180,$W$15:$W$140,L$147)</f>
        <v>0</v>
      </c>
      <c r="M180">
        <f>SUMIFS($AP$15:$AP$140,$B$15:$B$140,$B$167,$D$15:$D$140,$D180,$O$15:$O$140,M$147)+SUMIFS($AQ$15:$AQ$140,$B$15:$B$140,$B$167,$D$15:$D$140,$D180,$W$15:$W$140,M$147)</f>
        <v>0</v>
      </c>
      <c r="N180">
        <f>SUMIFS($AP$15:$AP$140,$B$15:$B$140,$B$167,$D$15:$D$140,$D180,$O$15:$O$140,N$147)+SUMIFS($AQ$15:$AQ$140,$B$15:$B$140,$B$167,$D$15:$D$140,$D180,$W$15:$W$140,N$147)</f>
        <v>834.8258304</v>
      </c>
      <c r="O180">
        <f>SUMIFS($AP$15:$AP$140,$B$15:$B$140,$B$167,$D$15:$D$140,$D180,$O$15:$O$140,O$147)+SUMIFS($AQ$15:$AQ$140,$B$15:$B$140,$B$167,$D$15:$D$140,$D180,$W$15:$W$140,O$147)</f>
        <v>0</v>
      </c>
      <c r="P180">
        <f>SUMIFS($AP$15:$AP$140,$B$15:$B$140,$B$167,$D$15:$D$140,$D180,$O$15:$O$140,P$147)+SUMIFS($AQ$15:$AQ$140,$B$15:$B$140,$B$167,$D$15:$D$140,$D180,$W$15:$W$140,P$147)</f>
        <v>0</v>
      </c>
      <c r="Q180">
        <f>SUMIFS($AP$15:$AP$140,$B$15:$B$140,$B$167,$D$15:$D$140,$D180,$O$15:$O$140,Q$147)+SUMIFS($AQ$15:$AQ$140,$B$15:$B$140,$B$167,$D$15:$D$140,$D180,$W$15:$W$140,Q$147)</f>
        <v>0</v>
      </c>
      <c r="R180">
        <f>SUMIFS($AP$15:$AP$140,$B$15:$B$140,$B$167,$D$15:$D$140,$D180,$O$15:$O$140,R$147)+SUMIFS($AQ$15:$AQ$140,$B$15:$B$140,$B$167,$D$15:$D$140,$D180,$W$15:$W$140,R$147)</f>
        <v>0</v>
      </c>
      <c r="S180">
        <f>SUMIFS($AP$15:$AP$140,$B$15:$B$140,$B$167,$D$15:$D$140,$D180,$O$15:$O$140,S$147)+SUMIFS($AQ$15:$AQ$140,$B$15:$B$140,$B$167,$D$15:$D$140,$D180,$W$15:$W$140,S$147)</f>
        <v>0</v>
      </c>
      <c r="T180">
        <f>SUM(H180:R180)</f>
        <v>1451.4244704000002</v>
      </c>
      <c r="V180">
        <f>IF(F180&gt;0,G180/F180,0)</f>
        <v>15.764705882352944</v>
      </c>
      <c r="W180">
        <f>IF(F180&gt;0,T180/F180,0)</f>
        <v>237.16086117647066</v>
      </c>
    </row>
    <row r="181">
      <c r="D181" t="str">
        <v>KL66</v>
      </c>
      <c r="F181">
        <f>SUMIFS($AO$15:$AO$140,$B$15:$B$140,$B$167,$D$15:$D$140,$D181)</f>
        <v>0</v>
      </c>
      <c r="G181">
        <f>SUMIFS($AT$15:$AT$140,$B$15:$B$140,$B$167,$D$15:$D$140,$D181)</f>
        <v>0</v>
      </c>
      <c r="H181">
        <f>SUMIFS($AR$15:$AR$140,$B$15:$B$140,$B$167,$D$15:$D$140,$D181,$AD$15:$AD$140,H$147)+SUMIFS($AS$15:$AS$140,$B$15:$B$140,$B$167,$D$15:$D$140,$D181,$AI$15:$AI$140,H$147)</f>
        <v>0</v>
      </c>
      <c r="I181">
        <f>SUMIFS($AR$15:$AR$140,$B$15:$B$140,$B$167,$D$15:$D$140,$D181,$AD$15:$AD$140,I$147)+SUMIFS($AS$15:$AS$140,$B$15:$B$140,$B$167,$D$15:$D$140,$D181,$AI$15:$AI$140,I$147)</f>
        <v>0</v>
      </c>
      <c r="J181">
        <f>SUMIFS($AR$15:$AR$140,$B$15:$B$140,$B$167,$D$15:$D$140,$D181,$AD$15:$AD$140,J$147)+SUMIFS($AS$15:$AS$140,$B$15:$B$140,$B$167,$D$15:$D$140,$D181,$AI$15:$AI$140,J$147)</f>
        <v>0</v>
      </c>
      <c r="K181">
        <f>SUMIFS($AR$15:$AR$140,$B$15:$B$140,$B$167,$D$15:$D$140,$D181,$AD$15:$AD$140,K$147)+SUMIFS($AS$15:$AS$140,$B$15:$B$140,$B$167,$D$15:$D$140,$D181,$AI$15:$AI$140,K$147)</f>
        <v>0</v>
      </c>
      <c r="L181">
        <f>SUMIFS($AP$15:$AP$140,$B$15:$B$140,$B$167,$D$15:$D$140,$D181,$O$15:$O$140,L$147)+SUMIFS($AQ$15:$AQ$140,$B$15:$B$140,$B$167,$D$15:$D$140,$D181,$W$15:$W$140,L$147)</f>
        <v>0</v>
      </c>
      <c r="M181">
        <f>SUMIFS($AP$15:$AP$140,$B$15:$B$140,$B$167,$D$15:$D$140,$D181,$O$15:$O$140,M$147)+SUMIFS($AQ$15:$AQ$140,$B$15:$B$140,$B$167,$D$15:$D$140,$D181,$W$15:$W$140,M$147)</f>
        <v>0</v>
      </c>
      <c r="N181">
        <f>SUMIFS($AP$15:$AP$140,$B$15:$B$140,$B$167,$D$15:$D$140,$D181,$O$15:$O$140,N$147)+SUMIFS($AQ$15:$AQ$140,$B$15:$B$140,$B$167,$D$15:$D$140,$D181,$W$15:$W$140,N$147)</f>
        <v>0</v>
      </c>
      <c r="O181">
        <f>SUMIFS($AP$15:$AP$140,$B$15:$B$140,$B$167,$D$15:$D$140,$D181,$O$15:$O$140,O$147)+SUMIFS($AQ$15:$AQ$140,$B$15:$B$140,$B$167,$D$15:$D$140,$D181,$W$15:$W$140,O$147)</f>
        <v>0</v>
      </c>
      <c r="P181">
        <f>SUMIFS($AP$15:$AP$140,$B$15:$B$140,$B$167,$D$15:$D$140,$D181,$O$15:$O$140,P$147)+SUMIFS($AQ$15:$AQ$140,$B$15:$B$140,$B$167,$D$15:$D$140,$D181,$W$15:$W$140,P$147)</f>
        <v>0</v>
      </c>
      <c r="Q181">
        <f>SUMIFS($AP$15:$AP$140,$B$15:$B$140,$B$167,$D$15:$D$140,$D181,$O$15:$O$140,Q$147)+SUMIFS($AQ$15:$AQ$140,$B$15:$B$140,$B$167,$D$15:$D$140,$D181,$W$15:$W$140,Q$147)</f>
        <v>0</v>
      </c>
      <c r="R181">
        <f>SUMIFS($AP$15:$AP$140,$B$15:$B$140,$B$167,$D$15:$D$140,$D181,$O$15:$O$140,R$147)+SUMIFS($AQ$15:$AQ$140,$B$15:$B$140,$B$167,$D$15:$D$140,$D181,$W$15:$W$140,R$147)</f>
        <v>0</v>
      </c>
      <c r="S181">
        <f>SUMIFS($AP$15:$AP$140,$B$15:$B$140,$B$167,$D$15:$D$140,$D181,$O$15:$O$140,S$147)+SUMIFS($AQ$15:$AQ$140,$B$15:$B$140,$B$167,$D$15:$D$140,$D181,$W$15:$W$140,S$147)</f>
        <v>0</v>
      </c>
      <c r="T181">
        <f>SUM(H181:R181)</f>
        <v>0</v>
      </c>
      <c r="V181">
        <f>IF(F181&gt;0,G181/F181,0)</f>
        <v>0</v>
      </c>
      <c r="W181">
        <f>IF(F181&gt;0,T181/F181,0)</f>
        <v>0</v>
      </c>
    </row>
    <row r="183">
      <c r="B183" t="str">
        <v>Subtotal Lantai 2</v>
      </c>
      <c r="F183">
        <f>SUM(F167:F182)</f>
        <v>14.926</v>
      </c>
      <c r="G183">
        <f>SUM(G167:G182)</f>
        <v>236.46000000000004</v>
      </c>
      <c r="H183">
        <f>SUM(H167:H182)</f>
        <v>0</v>
      </c>
      <c r="I183">
        <f>SUM(I167:I182)</f>
        <v>1629.5636250000005</v>
      </c>
      <c r="J183">
        <f>SUM(J167:J182)</f>
        <v>0</v>
      </c>
      <c r="K183">
        <f>SUM(K167:K182)</f>
        <v>0</v>
      </c>
      <c r="L183">
        <f>SUM(L167:L182)</f>
        <v>0</v>
      </c>
      <c r="M183">
        <f>SUM(M167:M182)</f>
        <v>0</v>
      </c>
      <c r="N183">
        <f>SUM(N167:N182)</f>
        <v>2422.7877888</v>
      </c>
      <c r="O183">
        <f>SUM(O167:O182)</f>
        <v>0</v>
      </c>
      <c r="P183">
        <f>SUM(P167:P182)</f>
        <v>0</v>
      </c>
      <c r="Q183">
        <f>SUM(Q167:Q182)</f>
        <v>0</v>
      </c>
      <c r="R183">
        <f>SUM(R167:R182)</f>
        <v>0</v>
      </c>
      <c r="S183">
        <f>SUM(S167:S182)</f>
        <v>0</v>
      </c>
      <c r="T183">
        <f>SUM(T168:T182)</f>
        <v>4052.3514138</v>
      </c>
    </row>
    <row r="185">
      <c r="B185" t="str">
        <v>Lantai 3</v>
      </c>
    </row>
    <row r="186">
      <c r="D186" t="str">
        <v>K1A4</v>
      </c>
      <c r="F186">
        <f>SUMIFS($AO$15:$AO$140,$B$15:$B$140,$B$185,$D$15:$D$140,$D186)</f>
        <v>1.8199999999999996</v>
      </c>
      <c r="G186">
        <f>SUMIFS($AT$15:$AT$140,$B$15:$B$140,$B$185,$D$15:$D$140,$D186)</f>
        <v>37.1</v>
      </c>
      <c r="H186">
        <f>SUMIFS($AR$15:$AR$140,$B$15:$B$140,$B$185,$D$15:$D$140,$D186,$AD$15:$AD$140,H$147)+SUMIFS($AS$15:$AS$140,$B$15:$B$140,$B$185,$D$15:$D$140,$D186,$AI$15:$AI$140,H$147)</f>
        <v>0</v>
      </c>
      <c r="I186">
        <f>SUMIFS($AR$15:$AR$140,$B$15:$B$140,$B$185,$D$15:$D$140,$D186,$AD$15:$AD$140,I$147)+SUMIFS($AS$15:$AS$140,$B$15:$B$140,$B$185,$D$15:$D$140,$D186,$AI$15:$AI$140,I$147)</f>
        <v>239.51025000000004</v>
      </c>
      <c r="J186">
        <f>SUMIFS($AR$15:$AR$140,$B$15:$B$140,$B$185,$D$15:$D$140,$D186,$AD$15:$AD$140,J$147)+SUMIFS($AS$15:$AS$140,$B$15:$B$140,$B$185,$D$15:$D$140,$D186,$AI$15:$AI$140,J$147)</f>
        <v>0</v>
      </c>
      <c r="K186">
        <f>SUMIFS($AR$15:$AR$140,$B$15:$B$140,$B$185,$D$15:$D$140,$D186,$AD$15:$AD$140,K$147)+SUMIFS($AS$15:$AS$140,$B$15:$B$140,$B$185,$D$15:$D$140,$D186,$AI$15:$AI$140,K$147)</f>
        <v>0</v>
      </c>
      <c r="L186">
        <f>SUMIFS($AP$15:$AP$140,$B$15:$B$140,$B$185,$D$15:$D$140,$D186,$O$15:$O$140,L$147)+SUMIFS($AQ$15:$AQ$140,$B$15:$B$140,$B$185,$D$15:$D$140,$D186,$W$15:$W$140,L$147)</f>
        <v>0</v>
      </c>
      <c r="M186">
        <f>SUMIFS($AP$15:$AP$140,$B$15:$B$140,$B$185,$D$15:$D$140,$D186,$O$15:$O$140,M$147)+SUMIFS($AQ$15:$AQ$140,$B$15:$B$140,$B$185,$D$15:$D$140,$D186,$W$15:$W$140,M$147)</f>
        <v>0</v>
      </c>
      <c r="N186">
        <f>SUMIFS($AP$15:$AP$140,$B$15:$B$140,$B$185,$D$15:$D$140,$D186,$O$15:$O$140,N$147)+SUMIFS($AQ$15:$AQ$140,$B$15:$B$140,$B$185,$D$15:$D$140,$D186,$W$15:$W$140,N$147)</f>
        <v>376.88371200000006</v>
      </c>
      <c r="O186">
        <f>SUMIFS($AP$15:$AP$140,$B$15:$B$140,$B$185,$D$15:$D$140,$D186,$O$15:$O$140,O$147)+SUMIFS($AQ$15:$AQ$140,$B$15:$B$140,$B$185,$D$15:$D$140,$D186,$W$15:$W$140,O$147)</f>
        <v>0</v>
      </c>
      <c r="P186">
        <f>SUMIFS($AP$15:$AP$140,$B$15:$B$140,$B$185,$D$15:$D$140,$D186,$O$15:$O$140,P$147)+SUMIFS($AQ$15:$AQ$140,$B$15:$B$140,$B$185,$D$15:$D$140,$D186,$W$15:$W$140,P$147)</f>
        <v>0</v>
      </c>
      <c r="Q186">
        <f>SUMIFS($AP$15:$AP$140,$B$15:$B$140,$B$185,$D$15:$D$140,$D186,$O$15:$O$140,Q$147)+SUMIFS($AQ$15:$AQ$140,$B$15:$B$140,$B$185,$D$15:$D$140,$D186,$W$15:$W$140,Q$147)</f>
        <v>0</v>
      </c>
      <c r="R186">
        <f>SUMIFS($AP$15:$AP$140,$B$15:$B$140,$B$185,$D$15:$D$140,$D186,$O$15:$O$140,R$147)+SUMIFS($AQ$15:$AQ$140,$B$15:$B$140,$B$185,$D$15:$D$140,$D186,$W$15:$W$140,R$147)</f>
        <v>0</v>
      </c>
      <c r="S186">
        <f>SUMIFS($AP$15:$AP$140,$B$15:$B$140,$B$185,$D$15:$D$140,$D186,$O$15:$O$140,S$147)+SUMIFS($AQ$15:$AQ$140,$B$15:$B$140,$B$185,$D$15:$D$140,$D186,$W$15:$W$140,S$147)</f>
        <v>0</v>
      </c>
      <c r="T186">
        <f>SUM(H186:R186)</f>
        <v>616.3939620000001</v>
      </c>
      <c r="V186">
        <f>IF(F186&gt;0,G186/F186,0)</f>
        <v>20.38461538461539</v>
      </c>
      <c r="W186">
        <f>IF(F186&gt;0,T186/F186,0)</f>
        <v>338.67800109890123</v>
      </c>
    </row>
    <row r="187">
      <c r="D187" t="str">
        <v>K1A5</v>
      </c>
      <c r="F187">
        <f>SUMIFS($AO$15:$AO$140,$B$15:$B$140,$B$185,$D$15:$D$140,$D187)</f>
        <v>2.275</v>
      </c>
      <c r="G187">
        <f>SUMIFS($AT$15:$AT$140,$B$15:$B$140,$B$185,$D$15:$D$140,$D187)</f>
        <v>44.099999999999994</v>
      </c>
      <c r="H187">
        <f>SUMIFS($AR$15:$AR$140,$B$15:$B$140,$B$185,$D$15:$D$140,$D187,$AD$15:$AD$140,H$147)+SUMIFS($AS$15:$AS$140,$B$15:$B$140,$B$185,$D$15:$D$140,$D187,$AI$15:$AI$140,H$147)</f>
        <v>0</v>
      </c>
      <c r="I187">
        <f>SUMIFS($AR$15:$AR$140,$B$15:$B$140,$B$185,$D$15:$D$140,$D187,$AD$15:$AD$140,I$147)+SUMIFS($AS$15:$AS$140,$B$15:$B$140,$B$185,$D$15:$D$140,$D187,$AI$15:$AI$140,I$147)</f>
        <v>285.13124999999997</v>
      </c>
      <c r="J187">
        <f>SUMIFS($AR$15:$AR$140,$B$15:$B$140,$B$185,$D$15:$D$140,$D187,$AD$15:$AD$140,J$147)+SUMIFS($AS$15:$AS$140,$B$15:$B$140,$B$185,$D$15:$D$140,$D187,$AI$15:$AI$140,J$147)</f>
        <v>0</v>
      </c>
      <c r="K187">
        <f>SUMIFS($AR$15:$AR$140,$B$15:$B$140,$B$185,$D$15:$D$140,$D187,$AD$15:$AD$140,K$147)+SUMIFS($AS$15:$AS$140,$B$15:$B$140,$B$185,$D$15:$D$140,$D187,$AI$15:$AI$140,K$147)</f>
        <v>0</v>
      </c>
      <c r="L187">
        <f>SUMIFS($AP$15:$AP$140,$B$15:$B$140,$B$185,$D$15:$D$140,$D187,$O$15:$O$140,L$147)+SUMIFS($AQ$15:$AQ$140,$B$15:$B$140,$B$185,$D$15:$D$140,$D187,$W$15:$W$140,L$147)</f>
        <v>0</v>
      </c>
      <c r="M187">
        <f>SUMIFS($AP$15:$AP$140,$B$15:$B$140,$B$185,$D$15:$D$140,$D187,$O$15:$O$140,M$147)+SUMIFS($AQ$15:$AQ$140,$B$15:$B$140,$B$185,$D$15:$D$140,$D187,$W$15:$W$140,M$147)</f>
        <v>0</v>
      </c>
      <c r="N187">
        <f>SUMIFS($AP$15:$AP$140,$B$15:$B$140,$B$185,$D$15:$D$140,$D187,$O$15:$O$140,N$147)+SUMIFS($AQ$15:$AQ$140,$B$15:$B$140,$B$185,$D$15:$D$140,$D187,$W$15:$W$140,N$147)</f>
        <v>370.23616512000007</v>
      </c>
      <c r="O187">
        <f>SUMIFS($AP$15:$AP$140,$B$15:$B$140,$B$185,$D$15:$D$140,$D187,$O$15:$O$140,O$147)+SUMIFS($AQ$15:$AQ$140,$B$15:$B$140,$B$185,$D$15:$D$140,$D187,$W$15:$W$140,O$147)</f>
        <v>0</v>
      </c>
      <c r="P187">
        <f>SUMIFS($AP$15:$AP$140,$B$15:$B$140,$B$185,$D$15:$D$140,$D187,$O$15:$O$140,P$147)+SUMIFS($AQ$15:$AQ$140,$B$15:$B$140,$B$185,$D$15:$D$140,$D187,$W$15:$W$140,P$147)</f>
        <v>0</v>
      </c>
      <c r="Q187">
        <f>SUMIFS($AP$15:$AP$140,$B$15:$B$140,$B$185,$D$15:$D$140,$D187,$O$15:$O$140,Q$147)+SUMIFS($AQ$15:$AQ$140,$B$15:$B$140,$B$185,$D$15:$D$140,$D187,$W$15:$W$140,Q$147)</f>
        <v>0</v>
      </c>
      <c r="R187">
        <f>SUMIFS($AP$15:$AP$140,$B$15:$B$140,$B$185,$D$15:$D$140,$D187,$O$15:$O$140,R$147)+SUMIFS($AQ$15:$AQ$140,$B$15:$B$140,$B$185,$D$15:$D$140,$D187,$W$15:$W$140,R$147)</f>
        <v>0</v>
      </c>
      <c r="S187">
        <f>SUMIFS($AP$15:$AP$140,$B$15:$B$140,$B$185,$D$15:$D$140,$D187,$O$15:$O$140,S$147)+SUMIFS($AQ$15:$AQ$140,$B$15:$B$140,$B$185,$D$15:$D$140,$D187,$W$15:$W$140,S$147)</f>
        <v>0</v>
      </c>
      <c r="T187">
        <f>SUM(H187:R187)</f>
        <v>655.36741512</v>
      </c>
      <c r="V187">
        <f>IF(F187&gt;0,G187/F187,0)</f>
        <v>19.384615384615383</v>
      </c>
      <c r="W187">
        <f>IF(F187&gt;0,T187/F187,0)</f>
        <v>288.0735890637363</v>
      </c>
    </row>
    <row r="188">
      <c r="D188" t="str">
        <v>K24</v>
      </c>
      <c r="F188">
        <f>SUMIFS($AO$15:$AO$140,$B$15:$B$140,$B$185,$D$15:$D$140,$D188)</f>
        <v>0</v>
      </c>
      <c r="G188">
        <f>SUMIFS($AT$15:$AT$140,$B$15:$B$140,$B$185,$D$15:$D$140,$D188)</f>
        <v>0</v>
      </c>
      <c r="H188">
        <f>SUMIFS($AR$15:$AR$140,$B$15:$B$140,$B$185,$D$15:$D$140,$D188,$AD$15:$AD$140,H$147)+SUMIFS($AS$15:$AS$140,$B$15:$B$140,$B$185,$D$15:$D$140,$D188,$AI$15:$AI$140,H$147)</f>
        <v>0</v>
      </c>
      <c r="I188">
        <f>SUMIFS($AR$15:$AR$140,$B$15:$B$140,$B$185,$D$15:$D$140,$D188,$AD$15:$AD$140,I$147)+SUMIFS($AS$15:$AS$140,$B$15:$B$140,$B$185,$D$15:$D$140,$D188,$AI$15:$AI$140,I$147)</f>
        <v>0</v>
      </c>
      <c r="J188">
        <f>SUMIFS($AR$15:$AR$140,$B$15:$B$140,$B$185,$D$15:$D$140,$D188,$AD$15:$AD$140,J$147)+SUMIFS($AS$15:$AS$140,$B$15:$B$140,$B$185,$D$15:$D$140,$D188,$AI$15:$AI$140,J$147)</f>
        <v>0</v>
      </c>
      <c r="K188">
        <f>SUMIFS($AR$15:$AR$140,$B$15:$B$140,$B$185,$D$15:$D$140,$D188,$AD$15:$AD$140,K$147)+SUMIFS($AS$15:$AS$140,$B$15:$B$140,$B$185,$D$15:$D$140,$D188,$AI$15:$AI$140,K$147)</f>
        <v>0</v>
      </c>
      <c r="L188">
        <f>SUMIFS($AP$15:$AP$140,$B$15:$B$140,$B$185,$D$15:$D$140,$D188,$O$15:$O$140,L$147)+SUMIFS($AQ$15:$AQ$140,$B$15:$B$140,$B$185,$D$15:$D$140,$D188,$W$15:$W$140,L$147)</f>
        <v>0</v>
      </c>
      <c r="M188">
        <f>SUMIFS($AP$15:$AP$140,$B$15:$B$140,$B$185,$D$15:$D$140,$D188,$O$15:$O$140,M$147)+SUMIFS($AQ$15:$AQ$140,$B$15:$B$140,$B$185,$D$15:$D$140,$D188,$W$15:$W$140,M$147)</f>
        <v>0</v>
      </c>
      <c r="N188">
        <f>SUMIFS($AP$15:$AP$140,$B$15:$B$140,$B$185,$D$15:$D$140,$D188,$O$15:$O$140,N$147)+SUMIFS($AQ$15:$AQ$140,$B$15:$B$140,$B$185,$D$15:$D$140,$D188,$W$15:$W$140,N$147)</f>
        <v>0</v>
      </c>
      <c r="O188">
        <f>SUMIFS($AP$15:$AP$140,$B$15:$B$140,$B$185,$D$15:$D$140,$D188,$O$15:$O$140,O$147)+SUMIFS($AQ$15:$AQ$140,$B$15:$B$140,$B$185,$D$15:$D$140,$D188,$W$15:$W$140,O$147)</f>
        <v>0</v>
      </c>
      <c r="P188">
        <f>SUMIFS($AP$15:$AP$140,$B$15:$B$140,$B$185,$D$15:$D$140,$D188,$O$15:$O$140,P$147)+SUMIFS($AQ$15:$AQ$140,$B$15:$B$140,$B$185,$D$15:$D$140,$D188,$W$15:$W$140,P$147)</f>
        <v>0</v>
      </c>
      <c r="Q188">
        <f>SUMIFS($AP$15:$AP$140,$B$15:$B$140,$B$185,$D$15:$D$140,$D188,$O$15:$O$140,Q$147)+SUMIFS($AQ$15:$AQ$140,$B$15:$B$140,$B$185,$D$15:$D$140,$D188,$W$15:$W$140,Q$147)</f>
        <v>0</v>
      </c>
      <c r="R188">
        <f>SUMIFS($AP$15:$AP$140,$B$15:$B$140,$B$185,$D$15:$D$140,$D188,$O$15:$O$140,R$147)+SUMIFS($AQ$15:$AQ$140,$B$15:$B$140,$B$185,$D$15:$D$140,$D188,$W$15:$W$140,R$147)</f>
        <v>0</v>
      </c>
      <c r="S188">
        <f>SUMIFS($AP$15:$AP$140,$B$15:$B$140,$B$185,$D$15:$D$140,$D188,$O$15:$O$140,S$147)+SUMIFS($AQ$15:$AQ$140,$B$15:$B$140,$B$185,$D$15:$D$140,$D188,$W$15:$W$140,S$147)</f>
        <v>0</v>
      </c>
      <c r="T188">
        <f>SUM(H188:R188)</f>
        <v>0</v>
      </c>
      <c r="V188">
        <f>IF(F188&gt;0,G188/F188,0)</f>
        <v>0</v>
      </c>
      <c r="W188">
        <f>IF(F188&gt;0,T188/F188,0)</f>
        <v>0</v>
      </c>
    </row>
    <row r="189">
      <c r="D189" t="str">
        <v>K25</v>
      </c>
      <c r="F189">
        <f>SUMIFS($AO$15:$AO$140,$B$15:$B$140,$B$185,$D$15:$D$140,$D189)</f>
        <v>0</v>
      </c>
      <c r="G189">
        <f>SUMIFS($AT$15:$AT$140,$B$15:$B$140,$B$185,$D$15:$D$140,$D189)</f>
        <v>0</v>
      </c>
      <c r="H189">
        <f>SUMIFS($AR$15:$AR$140,$B$15:$B$140,$B$185,$D$15:$D$140,$D189,$AD$15:$AD$140,H$147)+SUMIFS($AS$15:$AS$140,$B$15:$B$140,$B$185,$D$15:$D$140,$D189,$AI$15:$AI$140,H$147)</f>
        <v>0</v>
      </c>
      <c r="I189">
        <f>SUMIFS($AR$15:$AR$140,$B$15:$B$140,$B$185,$D$15:$D$140,$D189,$AD$15:$AD$140,I$147)+SUMIFS($AS$15:$AS$140,$B$15:$B$140,$B$185,$D$15:$D$140,$D189,$AI$15:$AI$140,I$147)</f>
        <v>0</v>
      </c>
      <c r="J189">
        <f>SUMIFS($AR$15:$AR$140,$B$15:$B$140,$B$185,$D$15:$D$140,$D189,$AD$15:$AD$140,J$147)+SUMIFS($AS$15:$AS$140,$B$15:$B$140,$B$185,$D$15:$D$140,$D189,$AI$15:$AI$140,J$147)</f>
        <v>0</v>
      </c>
      <c r="K189">
        <f>SUMIFS($AR$15:$AR$140,$B$15:$B$140,$B$185,$D$15:$D$140,$D189,$AD$15:$AD$140,K$147)+SUMIFS($AS$15:$AS$140,$B$15:$B$140,$B$185,$D$15:$D$140,$D189,$AI$15:$AI$140,K$147)</f>
        <v>0</v>
      </c>
      <c r="L189">
        <f>SUMIFS($AP$15:$AP$140,$B$15:$B$140,$B$185,$D$15:$D$140,$D189,$O$15:$O$140,L$147)+SUMIFS($AQ$15:$AQ$140,$B$15:$B$140,$B$185,$D$15:$D$140,$D189,$W$15:$W$140,L$147)</f>
        <v>0</v>
      </c>
      <c r="M189">
        <f>SUMIFS($AP$15:$AP$140,$B$15:$B$140,$B$185,$D$15:$D$140,$D189,$O$15:$O$140,M$147)+SUMIFS($AQ$15:$AQ$140,$B$15:$B$140,$B$185,$D$15:$D$140,$D189,$W$15:$W$140,M$147)</f>
        <v>0</v>
      </c>
      <c r="N189">
        <f>SUMIFS($AP$15:$AP$140,$B$15:$B$140,$B$185,$D$15:$D$140,$D189,$O$15:$O$140,N$147)+SUMIFS($AQ$15:$AQ$140,$B$15:$B$140,$B$185,$D$15:$D$140,$D189,$W$15:$W$140,N$147)</f>
        <v>0</v>
      </c>
      <c r="O189">
        <f>SUMIFS($AP$15:$AP$140,$B$15:$B$140,$B$185,$D$15:$D$140,$D189,$O$15:$O$140,O$147)+SUMIFS($AQ$15:$AQ$140,$B$15:$B$140,$B$185,$D$15:$D$140,$D189,$W$15:$W$140,O$147)</f>
        <v>0</v>
      </c>
      <c r="P189">
        <f>SUMIFS($AP$15:$AP$140,$B$15:$B$140,$B$185,$D$15:$D$140,$D189,$O$15:$O$140,P$147)+SUMIFS($AQ$15:$AQ$140,$B$15:$B$140,$B$185,$D$15:$D$140,$D189,$W$15:$W$140,P$147)</f>
        <v>0</v>
      </c>
      <c r="Q189">
        <f>SUMIFS($AP$15:$AP$140,$B$15:$B$140,$B$185,$D$15:$D$140,$D189,$O$15:$O$140,Q$147)+SUMIFS($AQ$15:$AQ$140,$B$15:$B$140,$B$185,$D$15:$D$140,$D189,$W$15:$W$140,Q$147)</f>
        <v>0</v>
      </c>
      <c r="R189">
        <f>SUMIFS($AP$15:$AP$140,$B$15:$B$140,$B$185,$D$15:$D$140,$D189,$O$15:$O$140,R$147)+SUMIFS($AQ$15:$AQ$140,$B$15:$B$140,$B$185,$D$15:$D$140,$D189,$W$15:$W$140,R$147)</f>
        <v>0</v>
      </c>
      <c r="S189">
        <f>SUMIFS($AP$15:$AP$140,$B$15:$B$140,$B$185,$D$15:$D$140,$D189,$O$15:$O$140,S$147)+SUMIFS($AQ$15:$AQ$140,$B$15:$B$140,$B$185,$D$15:$D$140,$D189,$W$15:$W$140,S$147)</f>
        <v>0</v>
      </c>
      <c r="T189">
        <f>SUM(H189:R189)</f>
        <v>0</v>
      </c>
      <c r="V189">
        <f>IF(F189&gt;0,G189/F189,0)</f>
        <v>0</v>
      </c>
      <c r="W189">
        <f>IF(F189&gt;0,T189/F189,0)</f>
        <v>0</v>
      </c>
    </row>
    <row r="190">
      <c r="D190" t="str">
        <v>K26</v>
      </c>
      <c r="F190">
        <f>SUMIFS($AO$15:$AO$140,$B$15:$B$140,$B$185,$D$15:$D$140,$D190)</f>
        <v>0</v>
      </c>
      <c r="G190">
        <f>SUMIFS($AT$15:$AT$140,$B$15:$B$140,$B$185,$D$15:$D$140,$D190)</f>
        <v>0</v>
      </c>
      <c r="H190">
        <f>SUMIFS($AR$15:$AR$140,$B$15:$B$140,$B$185,$D$15:$D$140,$D190,$AD$15:$AD$140,H$147)+SUMIFS($AS$15:$AS$140,$B$15:$B$140,$B$185,$D$15:$D$140,$D190,$AI$15:$AI$140,H$147)</f>
        <v>0</v>
      </c>
      <c r="I190">
        <f>SUMIFS($AR$15:$AR$140,$B$15:$B$140,$B$185,$D$15:$D$140,$D190,$AD$15:$AD$140,I$147)+SUMIFS($AS$15:$AS$140,$B$15:$B$140,$B$185,$D$15:$D$140,$D190,$AI$15:$AI$140,I$147)</f>
        <v>0</v>
      </c>
      <c r="J190">
        <f>SUMIFS($AR$15:$AR$140,$B$15:$B$140,$B$185,$D$15:$D$140,$D190,$AD$15:$AD$140,J$147)+SUMIFS($AS$15:$AS$140,$B$15:$B$140,$B$185,$D$15:$D$140,$D190,$AI$15:$AI$140,J$147)</f>
        <v>0</v>
      </c>
      <c r="K190">
        <f>SUMIFS($AR$15:$AR$140,$B$15:$B$140,$B$185,$D$15:$D$140,$D190,$AD$15:$AD$140,K$147)+SUMIFS($AS$15:$AS$140,$B$15:$B$140,$B$185,$D$15:$D$140,$D190,$AI$15:$AI$140,K$147)</f>
        <v>0</v>
      </c>
      <c r="L190">
        <f>SUMIFS($AP$15:$AP$140,$B$15:$B$140,$B$185,$D$15:$D$140,$D190,$O$15:$O$140,L$147)+SUMIFS($AQ$15:$AQ$140,$B$15:$B$140,$B$185,$D$15:$D$140,$D190,$W$15:$W$140,L$147)</f>
        <v>0</v>
      </c>
      <c r="M190">
        <f>SUMIFS($AP$15:$AP$140,$B$15:$B$140,$B$185,$D$15:$D$140,$D190,$O$15:$O$140,M$147)+SUMIFS($AQ$15:$AQ$140,$B$15:$B$140,$B$185,$D$15:$D$140,$D190,$W$15:$W$140,M$147)</f>
        <v>0</v>
      </c>
      <c r="N190">
        <f>SUMIFS($AP$15:$AP$140,$B$15:$B$140,$B$185,$D$15:$D$140,$D190,$O$15:$O$140,N$147)+SUMIFS($AQ$15:$AQ$140,$B$15:$B$140,$B$185,$D$15:$D$140,$D190,$W$15:$W$140,N$147)</f>
        <v>0</v>
      </c>
      <c r="O190">
        <f>SUMIFS($AP$15:$AP$140,$B$15:$B$140,$B$185,$D$15:$D$140,$D190,$O$15:$O$140,O$147)+SUMIFS($AQ$15:$AQ$140,$B$15:$B$140,$B$185,$D$15:$D$140,$D190,$W$15:$W$140,O$147)</f>
        <v>0</v>
      </c>
      <c r="P190">
        <f>SUMIFS($AP$15:$AP$140,$B$15:$B$140,$B$185,$D$15:$D$140,$D190,$O$15:$O$140,P$147)+SUMIFS($AQ$15:$AQ$140,$B$15:$B$140,$B$185,$D$15:$D$140,$D190,$W$15:$W$140,P$147)</f>
        <v>0</v>
      </c>
      <c r="Q190">
        <f>SUMIFS($AP$15:$AP$140,$B$15:$B$140,$B$185,$D$15:$D$140,$D190,$O$15:$O$140,Q$147)+SUMIFS($AQ$15:$AQ$140,$B$15:$B$140,$B$185,$D$15:$D$140,$D190,$W$15:$W$140,Q$147)</f>
        <v>0</v>
      </c>
      <c r="R190">
        <f>SUMIFS($AP$15:$AP$140,$B$15:$B$140,$B$185,$D$15:$D$140,$D190,$O$15:$O$140,R$147)+SUMIFS($AQ$15:$AQ$140,$B$15:$B$140,$B$185,$D$15:$D$140,$D190,$W$15:$W$140,R$147)</f>
        <v>0</v>
      </c>
      <c r="S190">
        <f>SUMIFS($AP$15:$AP$140,$B$15:$B$140,$B$185,$D$15:$D$140,$D190,$O$15:$O$140,S$147)+SUMIFS($AQ$15:$AQ$140,$B$15:$B$140,$B$185,$D$15:$D$140,$D190,$W$15:$W$140,S$147)</f>
        <v>0</v>
      </c>
      <c r="T190">
        <f>SUM(H190:R190)</f>
        <v>0</v>
      </c>
      <c r="V190">
        <f>IF(F190&gt;0,G190/F190,0)</f>
        <v>0</v>
      </c>
      <c r="W190">
        <f>IF(F190&gt;0,T190/F190,0)</f>
        <v>0</v>
      </c>
    </row>
    <row r="191">
      <c r="D191" t="str">
        <v>K2A5</v>
      </c>
      <c r="F191">
        <f>SUMIFS($AO$15:$AO$140,$B$15:$B$140,$B$185,$D$15:$D$140,$D191)</f>
        <v>0</v>
      </c>
      <c r="G191">
        <f>SUMIFS($AT$15:$AT$140,$B$15:$B$140,$B$185,$D$15:$D$140,$D191)</f>
        <v>0</v>
      </c>
      <c r="H191">
        <f>SUMIFS($AR$15:$AR$140,$B$15:$B$140,$B$185,$D$15:$D$140,$D191,$AD$15:$AD$140,H$147)+SUMIFS($AS$15:$AS$140,$B$15:$B$140,$B$185,$D$15:$D$140,$D191,$AI$15:$AI$140,H$147)</f>
        <v>0</v>
      </c>
      <c r="I191">
        <f>SUMIFS($AR$15:$AR$140,$B$15:$B$140,$B$185,$D$15:$D$140,$D191,$AD$15:$AD$140,I$147)+SUMIFS($AS$15:$AS$140,$B$15:$B$140,$B$185,$D$15:$D$140,$D191,$AI$15:$AI$140,I$147)</f>
        <v>0</v>
      </c>
      <c r="J191">
        <f>SUMIFS($AR$15:$AR$140,$B$15:$B$140,$B$185,$D$15:$D$140,$D191,$AD$15:$AD$140,J$147)+SUMIFS($AS$15:$AS$140,$B$15:$B$140,$B$185,$D$15:$D$140,$D191,$AI$15:$AI$140,J$147)</f>
        <v>0</v>
      </c>
      <c r="K191">
        <f>SUMIFS($AR$15:$AR$140,$B$15:$B$140,$B$185,$D$15:$D$140,$D191,$AD$15:$AD$140,K$147)+SUMIFS($AS$15:$AS$140,$B$15:$B$140,$B$185,$D$15:$D$140,$D191,$AI$15:$AI$140,K$147)</f>
        <v>0</v>
      </c>
      <c r="L191">
        <f>SUMIFS($AP$15:$AP$140,$B$15:$B$140,$B$185,$D$15:$D$140,$D191,$O$15:$O$140,L$147)+SUMIFS($AQ$15:$AQ$140,$B$15:$B$140,$B$185,$D$15:$D$140,$D191,$W$15:$W$140,L$147)</f>
        <v>0</v>
      </c>
      <c r="M191">
        <f>SUMIFS($AP$15:$AP$140,$B$15:$B$140,$B$185,$D$15:$D$140,$D191,$O$15:$O$140,M$147)+SUMIFS($AQ$15:$AQ$140,$B$15:$B$140,$B$185,$D$15:$D$140,$D191,$W$15:$W$140,M$147)</f>
        <v>0</v>
      </c>
      <c r="N191">
        <f>SUMIFS($AP$15:$AP$140,$B$15:$B$140,$B$185,$D$15:$D$140,$D191,$O$15:$O$140,N$147)+SUMIFS($AQ$15:$AQ$140,$B$15:$B$140,$B$185,$D$15:$D$140,$D191,$W$15:$W$140,N$147)</f>
        <v>0</v>
      </c>
      <c r="O191">
        <f>SUMIFS($AP$15:$AP$140,$B$15:$B$140,$B$185,$D$15:$D$140,$D191,$O$15:$O$140,O$147)+SUMIFS($AQ$15:$AQ$140,$B$15:$B$140,$B$185,$D$15:$D$140,$D191,$W$15:$W$140,O$147)</f>
        <v>0</v>
      </c>
      <c r="P191">
        <f>SUMIFS($AP$15:$AP$140,$B$15:$B$140,$B$185,$D$15:$D$140,$D191,$O$15:$O$140,P$147)+SUMIFS($AQ$15:$AQ$140,$B$15:$B$140,$B$185,$D$15:$D$140,$D191,$W$15:$W$140,P$147)</f>
        <v>0</v>
      </c>
      <c r="Q191">
        <f>SUMIFS($AP$15:$AP$140,$B$15:$B$140,$B$185,$D$15:$D$140,$D191,$O$15:$O$140,Q$147)+SUMIFS($AQ$15:$AQ$140,$B$15:$B$140,$B$185,$D$15:$D$140,$D191,$W$15:$W$140,Q$147)</f>
        <v>0</v>
      </c>
      <c r="R191">
        <f>SUMIFS($AP$15:$AP$140,$B$15:$B$140,$B$185,$D$15:$D$140,$D191,$O$15:$O$140,R$147)+SUMIFS($AQ$15:$AQ$140,$B$15:$B$140,$B$185,$D$15:$D$140,$D191,$W$15:$W$140,R$147)</f>
        <v>0</v>
      </c>
      <c r="S191">
        <f>SUMIFS($AP$15:$AP$140,$B$15:$B$140,$B$185,$D$15:$D$140,$D191,$O$15:$O$140,S$147)+SUMIFS($AQ$15:$AQ$140,$B$15:$B$140,$B$185,$D$15:$D$140,$D191,$W$15:$W$140,S$147)</f>
        <v>0</v>
      </c>
      <c r="T191">
        <f>SUM(H191:R191)</f>
        <v>0</v>
      </c>
      <c r="V191">
        <f>IF(F191&gt;0,G191/F191,0)</f>
        <v>0</v>
      </c>
      <c r="W191">
        <f>IF(F191&gt;0,T191/F191,0)</f>
        <v>0</v>
      </c>
    </row>
    <row r="192">
      <c r="D192" t="str">
        <v>K2A6</v>
      </c>
      <c r="F192">
        <f>SUMIFS($AO$15:$AO$140,$B$15:$B$140,$B$185,$D$15:$D$140,$D192)</f>
        <v>0</v>
      </c>
      <c r="G192">
        <f>SUMIFS($AT$15:$AT$140,$B$15:$B$140,$B$185,$D$15:$D$140,$D192)</f>
        <v>0</v>
      </c>
      <c r="H192">
        <f>SUMIFS($AR$15:$AR$140,$B$15:$B$140,$B$185,$D$15:$D$140,$D192,$AD$15:$AD$140,H$147)+SUMIFS($AS$15:$AS$140,$B$15:$B$140,$B$185,$D$15:$D$140,$D192,$AI$15:$AI$140,H$147)</f>
        <v>0</v>
      </c>
      <c r="I192">
        <f>SUMIFS($AR$15:$AR$140,$B$15:$B$140,$B$185,$D$15:$D$140,$D192,$AD$15:$AD$140,I$147)+SUMIFS($AS$15:$AS$140,$B$15:$B$140,$B$185,$D$15:$D$140,$D192,$AI$15:$AI$140,I$147)</f>
        <v>0</v>
      </c>
      <c r="J192">
        <f>SUMIFS($AR$15:$AR$140,$B$15:$B$140,$B$185,$D$15:$D$140,$D192,$AD$15:$AD$140,J$147)+SUMIFS($AS$15:$AS$140,$B$15:$B$140,$B$185,$D$15:$D$140,$D192,$AI$15:$AI$140,J$147)</f>
        <v>0</v>
      </c>
      <c r="K192">
        <f>SUMIFS($AR$15:$AR$140,$B$15:$B$140,$B$185,$D$15:$D$140,$D192,$AD$15:$AD$140,K$147)+SUMIFS($AS$15:$AS$140,$B$15:$B$140,$B$185,$D$15:$D$140,$D192,$AI$15:$AI$140,K$147)</f>
        <v>0</v>
      </c>
      <c r="L192">
        <f>SUMIFS($AP$15:$AP$140,$B$15:$B$140,$B$185,$D$15:$D$140,$D192,$O$15:$O$140,L$147)+SUMIFS($AQ$15:$AQ$140,$B$15:$B$140,$B$185,$D$15:$D$140,$D192,$W$15:$W$140,L$147)</f>
        <v>0</v>
      </c>
      <c r="M192">
        <f>SUMIFS($AP$15:$AP$140,$B$15:$B$140,$B$185,$D$15:$D$140,$D192,$O$15:$O$140,M$147)+SUMIFS($AQ$15:$AQ$140,$B$15:$B$140,$B$185,$D$15:$D$140,$D192,$W$15:$W$140,M$147)</f>
        <v>0</v>
      </c>
      <c r="N192">
        <f>SUMIFS($AP$15:$AP$140,$B$15:$B$140,$B$185,$D$15:$D$140,$D192,$O$15:$O$140,N$147)+SUMIFS($AQ$15:$AQ$140,$B$15:$B$140,$B$185,$D$15:$D$140,$D192,$W$15:$W$140,N$147)</f>
        <v>0</v>
      </c>
      <c r="O192">
        <f>SUMIFS($AP$15:$AP$140,$B$15:$B$140,$B$185,$D$15:$D$140,$D192,$O$15:$O$140,O$147)+SUMIFS($AQ$15:$AQ$140,$B$15:$B$140,$B$185,$D$15:$D$140,$D192,$W$15:$W$140,O$147)</f>
        <v>0</v>
      </c>
      <c r="P192">
        <f>SUMIFS($AP$15:$AP$140,$B$15:$B$140,$B$185,$D$15:$D$140,$D192,$O$15:$O$140,P$147)+SUMIFS($AQ$15:$AQ$140,$B$15:$B$140,$B$185,$D$15:$D$140,$D192,$W$15:$W$140,P$147)</f>
        <v>0</v>
      </c>
      <c r="Q192">
        <f>SUMIFS($AP$15:$AP$140,$B$15:$B$140,$B$185,$D$15:$D$140,$D192,$O$15:$O$140,Q$147)+SUMIFS($AQ$15:$AQ$140,$B$15:$B$140,$B$185,$D$15:$D$140,$D192,$W$15:$W$140,Q$147)</f>
        <v>0</v>
      </c>
      <c r="R192">
        <f>SUMIFS($AP$15:$AP$140,$B$15:$B$140,$B$185,$D$15:$D$140,$D192,$O$15:$O$140,R$147)+SUMIFS($AQ$15:$AQ$140,$B$15:$B$140,$B$185,$D$15:$D$140,$D192,$W$15:$W$140,R$147)</f>
        <v>0</v>
      </c>
      <c r="S192">
        <f>SUMIFS($AP$15:$AP$140,$B$15:$B$140,$B$185,$D$15:$D$140,$D192,$O$15:$O$140,S$147)+SUMIFS($AQ$15:$AQ$140,$B$15:$B$140,$B$185,$D$15:$D$140,$D192,$W$15:$W$140,S$147)</f>
        <v>0</v>
      </c>
      <c r="T192">
        <f>SUM(H192:R192)</f>
        <v>0</v>
      </c>
      <c r="V192">
        <f>IF(F192&gt;0,G192/F192,0)</f>
        <v>0</v>
      </c>
      <c r="W192">
        <f>IF(F192&gt;0,T192/F192,0)</f>
        <v>0</v>
      </c>
    </row>
    <row r="193">
      <c r="D193" t="str">
        <v>K4</v>
      </c>
      <c r="F193">
        <f>SUMIFS($AO$15:$AO$140,$B$15:$B$140,$B$185,$D$15:$D$140,$D193)</f>
        <v>1.19</v>
      </c>
      <c r="G193">
        <f>SUMIFS($AT$15:$AT$140,$B$15:$B$140,$B$185,$D$15:$D$140,$D193)</f>
        <v>19.950000000000003</v>
      </c>
      <c r="H193">
        <f>SUMIFS($AR$15:$AR$140,$B$15:$B$140,$B$185,$D$15:$D$140,$D193,$AD$15:$AD$140,H$147)+SUMIFS($AS$15:$AS$140,$B$15:$B$140,$B$185,$D$15:$D$140,$D193,$AI$15:$AI$140,H$147)</f>
        <v>0</v>
      </c>
      <c r="I193">
        <f>SUMIFS($AR$15:$AR$140,$B$15:$B$140,$B$185,$D$15:$D$140,$D193,$AD$15:$AD$140,I$147)+SUMIFS($AS$15:$AS$140,$B$15:$B$140,$B$185,$D$15:$D$140,$D193,$AI$15:$AI$140,I$147)</f>
        <v>128.87932500000002</v>
      </c>
      <c r="J193">
        <f>SUMIFS($AR$15:$AR$140,$B$15:$B$140,$B$185,$D$15:$D$140,$D193,$AD$15:$AD$140,J$147)+SUMIFS($AS$15:$AS$140,$B$15:$B$140,$B$185,$D$15:$D$140,$D193,$AI$15:$AI$140,J$147)</f>
        <v>0</v>
      </c>
      <c r="K193">
        <f>SUMIFS($AR$15:$AR$140,$B$15:$B$140,$B$185,$D$15:$D$140,$D193,$AD$15:$AD$140,K$147)+SUMIFS($AS$15:$AS$140,$B$15:$B$140,$B$185,$D$15:$D$140,$D193,$AI$15:$AI$140,K$147)</f>
        <v>0</v>
      </c>
      <c r="L193">
        <f>SUMIFS($AP$15:$AP$140,$B$15:$B$140,$B$185,$D$15:$D$140,$D193,$O$15:$O$140,L$147)+SUMIFS($AQ$15:$AQ$140,$B$15:$B$140,$B$185,$D$15:$D$140,$D193,$W$15:$W$140,L$147)</f>
        <v>0</v>
      </c>
      <c r="M193">
        <f>SUMIFS($AP$15:$AP$140,$B$15:$B$140,$B$185,$D$15:$D$140,$D193,$O$15:$O$140,M$147)+SUMIFS($AQ$15:$AQ$140,$B$15:$B$140,$B$185,$D$15:$D$140,$D193,$W$15:$W$140,M$147)</f>
        <v>0</v>
      </c>
      <c r="N193">
        <f>SUMIFS($AP$15:$AP$140,$B$15:$B$140,$B$185,$D$15:$D$140,$D193,$O$15:$O$140,N$147)+SUMIFS($AQ$15:$AQ$140,$B$15:$B$140,$B$185,$D$15:$D$140,$D193,$W$15:$W$140,N$147)</f>
        <v>173.85891840000002</v>
      </c>
      <c r="O193">
        <f>SUMIFS($AP$15:$AP$140,$B$15:$B$140,$B$185,$D$15:$D$140,$D193,$O$15:$O$140,O$147)+SUMIFS($AQ$15:$AQ$140,$B$15:$B$140,$B$185,$D$15:$D$140,$D193,$W$15:$W$140,O$147)</f>
        <v>0</v>
      </c>
      <c r="P193">
        <f>SUMIFS($AP$15:$AP$140,$B$15:$B$140,$B$185,$D$15:$D$140,$D193,$O$15:$O$140,P$147)+SUMIFS($AQ$15:$AQ$140,$B$15:$B$140,$B$185,$D$15:$D$140,$D193,$W$15:$W$140,P$147)</f>
        <v>0</v>
      </c>
      <c r="Q193">
        <f>SUMIFS($AP$15:$AP$140,$B$15:$B$140,$B$185,$D$15:$D$140,$D193,$O$15:$O$140,Q$147)+SUMIFS($AQ$15:$AQ$140,$B$15:$B$140,$B$185,$D$15:$D$140,$D193,$W$15:$W$140,Q$147)</f>
        <v>0</v>
      </c>
      <c r="R193">
        <f>SUMIFS($AP$15:$AP$140,$B$15:$B$140,$B$185,$D$15:$D$140,$D193,$O$15:$O$140,R$147)+SUMIFS($AQ$15:$AQ$140,$B$15:$B$140,$B$185,$D$15:$D$140,$D193,$W$15:$W$140,R$147)</f>
        <v>0</v>
      </c>
      <c r="S193">
        <f>SUMIFS($AP$15:$AP$140,$B$15:$B$140,$B$185,$D$15:$D$140,$D193,$O$15:$O$140,S$147)+SUMIFS($AQ$15:$AQ$140,$B$15:$B$140,$B$185,$D$15:$D$140,$D193,$W$15:$W$140,S$147)</f>
        <v>0</v>
      </c>
      <c r="T193">
        <f>SUM(H193:R193)</f>
        <v>302.73824340000004</v>
      </c>
      <c r="V193">
        <f>IF(F193&gt;0,G193/F193,0)</f>
        <v>16.764705882352946</v>
      </c>
      <c r="W193">
        <f>IF(F193&gt;0,T193/F193,0)</f>
        <v>254.4018852100841</v>
      </c>
    </row>
    <row r="194">
      <c r="D194" t="str">
        <v>K5</v>
      </c>
      <c r="F194">
        <f>SUMIFS($AO$15:$AO$140,$B$15:$B$140,$B$185,$D$15:$D$140,$D194)</f>
        <v>0</v>
      </c>
      <c r="G194">
        <f>SUMIFS($AT$15:$AT$140,$B$15:$B$140,$B$185,$D$15:$D$140,$D194)</f>
        <v>0</v>
      </c>
      <c r="H194">
        <f>SUMIFS($AR$15:$AR$140,$B$15:$B$140,$B$185,$D$15:$D$140,$D194,$AD$15:$AD$140,H$147)+SUMIFS($AS$15:$AS$140,$B$15:$B$140,$B$185,$D$15:$D$140,$D194,$AI$15:$AI$140,H$147)</f>
        <v>0</v>
      </c>
      <c r="I194">
        <f>SUMIFS($AR$15:$AR$140,$B$15:$B$140,$B$185,$D$15:$D$140,$D194,$AD$15:$AD$140,I$147)+SUMIFS($AS$15:$AS$140,$B$15:$B$140,$B$185,$D$15:$D$140,$D194,$AI$15:$AI$140,I$147)</f>
        <v>0</v>
      </c>
      <c r="J194">
        <f>SUMIFS($AR$15:$AR$140,$B$15:$B$140,$B$185,$D$15:$D$140,$D194,$AD$15:$AD$140,J$147)+SUMIFS($AS$15:$AS$140,$B$15:$B$140,$B$185,$D$15:$D$140,$D194,$AI$15:$AI$140,J$147)</f>
        <v>0</v>
      </c>
      <c r="K194">
        <f>SUMIFS($AR$15:$AR$140,$B$15:$B$140,$B$185,$D$15:$D$140,$D194,$AD$15:$AD$140,K$147)+SUMIFS($AS$15:$AS$140,$B$15:$B$140,$B$185,$D$15:$D$140,$D194,$AI$15:$AI$140,K$147)</f>
        <v>0</v>
      </c>
      <c r="L194">
        <f>SUMIFS($AP$15:$AP$140,$B$15:$B$140,$B$185,$D$15:$D$140,$D194,$O$15:$O$140,L$147)+SUMIFS($AQ$15:$AQ$140,$B$15:$B$140,$B$185,$D$15:$D$140,$D194,$W$15:$W$140,L$147)</f>
        <v>0</v>
      </c>
      <c r="M194">
        <f>SUMIFS($AP$15:$AP$140,$B$15:$B$140,$B$185,$D$15:$D$140,$D194,$O$15:$O$140,M$147)+SUMIFS($AQ$15:$AQ$140,$B$15:$B$140,$B$185,$D$15:$D$140,$D194,$W$15:$W$140,M$147)</f>
        <v>0</v>
      </c>
      <c r="N194">
        <f>SUMIFS($AP$15:$AP$140,$B$15:$B$140,$B$185,$D$15:$D$140,$D194,$O$15:$O$140,N$147)+SUMIFS($AQ$15:$AQ$140,$B$15:$B$140,$B$185,$D$15:$D$140,$D194,$W$15:$W$140,N$147)</f>
        <v>0</v>
      </c>
      <c r="O194">
        <f>SUMIFS($AP$15:$AP$140,$B$15:$B$140,$B$185,$D$15:$D$140,$D194,$O$15:$O$140,O$147)+SUMIFS($AQ$15:$AQ$140,$B$15:$B$140,$B$185,$D$15:$D$140,$D194,$W$15:$W$140,O$147)</f>
        <v>0</v>
      </c>
      <c r="P194">
        <f>SUMIFS($AP$15:$AP$140,$B$15:$B$140,$B$185,$D$15:$D$140,$D194,$O$15:$O$140,P$147)+SUMIFS($AQ$15:$AQ$140,$B$15:$B$140,$B$185,$D$15:$D$140,$D194,$W$15:$W$140,P$147)</f>
        <v>0</v>
      </c>
      <c r="Q194">
        <f>SUMIFS($AP$15:$AP$140,$B$15:$B$140,$B$185,$D$15:$D$140,$D194,$O$15:$O$140,Q$147)+SUMIFS($AQ$15:$AQ$140,$B$15:$B$140,$B$185,$D$15:$D$140,$D194,$W$15:$W$140,Q$147)</f>
        <v>0</v>
      </c>
      <c r="R194">
        <f>SUMIFS($AP$15:$AP$140,$B$15:$B$140,$B$185,$D$15:$D$140,$D194,$O$15:$O$140,R$147)+SUMIFS($AQ$15:$AQ$140,$B$15:$B$140,$B$185,$D$15:$D$140,$D194,$W$15:$W$140,R$147)</f>
        <v>0</v>
      </c>
      <c r="S194">
        <f>SUMIFS($AP$15:$AP$140,$B$15:$B$140,$B$185,$D$15:$D$140,$D194,$O$15:$O$140,S$147)+SUMIFS($AQ$15:$AQ$140,$B$15:$B$140,$B$185,$D$15:$D$140,$D194,$W$15:$W$140,S$147)</f>
        <v>0</v>
      </c>
      <c r="T194">
        <f>SUM(H194:R194)</f>
        <v>0</v>
      </c>
      <c r="V194">
        <f>IF(F194&gt;0,G194/F194,0)</f>
        <v>0</v>
      </c>
      <c r="W194">
        <f>IF(F194&gt;0,T194/F194,0)</f>
        <v>0</v>
      </c>
    </row>
    <row r="195">
      <c r="D195" t="str">
        <v>K6</v>
      </c>
      <c r="F195">
        <f>SUMIFS($AO$15:$AO$140,$B$15:$B$140,$B$185,$D$15:$D$140,$D195)</f>
        <v>0</v>
      </c>
      <c r="G195">
        <f>SUMIFS($AT$15:$AT$140,$B$15:$B$140,$B$185,$D$15:$D$140,$D195)</f>
        <v>0</v>
      </c>
      <c r="H195">
        <f>SUMIFS($AR$15:$AR$140,$B$15:$B$140,$B$185,$D$15:$D$140,$D195,$AD$15:$AD$140,H$147)+SUMIFS($AS$15:$AS$140,$B$15:$B$140,$B$185,$D$15:$D$140,$D195,$AI$15:$AI$140,H$147)</f>
        <v>0</v>
      </c>
      <c r="I195">
        <f>SUMIFS($AR$15:$AR$140,$B$15:$B$140,$B$185,$D$15:$D$140,$D195,$AD$15:$AD$140,I$147)+SUMIFS($AS$15:$AS$140,$B$15:$B$140,$B$185,$D$15:$D$140,$D195,$AI$15:$AI$140,I$147)</f>
        <v>0</v>
      </c>
      <c r="J195">
        <f>SUMIFS($AR$15:$AR$140,$B$15:$B$140,$B$185,$D$15:$D$140,$D195,$AD$15:$AD$140,J$147)+SUMIFS($AS$15:$AS$140,$B$15:$B$140,$B$185,$D$15:$D$140,$D195,$AI$15:$AI$140,J$147)</f>
        <v>0</v>
      </c>
      <c r="K195">
        <f>SUMIFS($AR$15:$AR$140,$B$15:$B$140,$B$185,$D$15:$D$140,$D195,$AD$15:$AD$140,K$147)+SUMIFS($AS$15:$AS$140,$B$15:$B$140,$B$185,$D$15:$D$140,$D195,$AI$15:$AI$140,K$147)</f>
        <v>0</v>
      </c>
      <c r="L195">
        <f>SUMIFS($AP$15:$AP$140,$B$15:$B$140,$B$185,$D$15:$D$140,$D195,$O$15:$O$140,L$147)+SUMIFS($AQ$15:$AQ$140,$B$15:$B$140,$B$185,$D$15:$D$140,$D195,$W$15:$W$140,L$147)</f>
        <v>0</v>
      </c>
      <c r="M195">
        <f>SUMIFS($AP$15:$AP$140,$B$15:$B$140,$B$185,$D$15:$D$140,$D195,$O$15:$O$140,M$147)+SUMIFS($AQ$15:$AQ$140,$B$15:$B$140,$B$185,$D$15:$D$140,$D195,$W$15:$W$140,M$147)</f>
        <v>0</v>
      </c>
      <c r="N195">
        <f>SUMIFS($AP$15:$AP$140,$B$15:$B$140,$B$185,$D$15:$D$140,$D195,$O$15:$O$140,N$147)+SUMIFS($AQ$15:$AQ$140,$B$15:$B$140,$B$185,$D$15:$D$140,$D195,$W$15:$W$140,N$147)</f>
        <v>0</v>
      </c>
      <c r="O195">
        <f>SUMIFS($AP$15:$AP$140,$B$15:$B$140,$B$185,$D$15:$D$140,$D195,$O$15:$O$140,O$147)+SUMIFS($AQ$15:$AQ$140,$B$15:$B$140,$B$185,$D$15:$D$140,$D195,$W$15:$W$140,O$147)</f>
        <v>0</v>
      </c>
      <c r="P195">
        <f>SUMIFS($AP$15:$AP$140,$B$15:$B$140,$B$185,$D$15:$D$140,$D195,$O$15:$O$140,P$147)+SUMIFS($AQ$15:$AQ$140,$B$15:$B$140,$B$185,$D$15:$D$140,$D195,$W$15:$W$140,P$147)</f>
        <v>0</v>
      </c>
      <c r="Q195">
        <f>SUMIFS($AP$15:$AP$140,$B$15:$B$140,$B$185,$D$15:$D$140,$D195,$O$15:$O$140,Q$147)+SUMIFS($AQ$15:$AQ$140,$B$15:$B$140,$B$185,$D$15:$D$140,$D195,$W$15:$W$140,Q$147)</f>
        <v>0</v>
      </c>
      <c r="R195">
        <f>SUMIFS($AP$15:$AP$140,$B$15:$B$140,$B$185,$D$15:$D$140,$D195,$O$15:$O$140,R$147)+SUMIFS($AQ$15:$AQ$140,$B$15:$B$140,$B$185,$D$15:$D$140,$D195,$W$15:$W$140,R$147)</f>
        <v>0</v>
      </c>
      <c r="S195">
        <f>SUMIFS($AP$15:$AP$140,$B$15:$B$140,$B$185,$D$15:$D$140,$D195,$O$15:$O$140,S$147)+SUMIFS($AQ$15:$AQ$140,$B$15:$B$140,$B$185,$D$15:$D$140,$D195,$W$15:$W$140,S$147)</f>
        <v>0</v>
      </c>
      <c r="T195">
        <f>SUM(H195:R195)</f>
        <v>0</v>
      </c>
      <c r="V195">
        <f>IF(F195&gt;0,G195/F195,0)</f>
        <v>0</v>
      </c>
      <c r="W195">
        <f>IF(F195&gt;0,T195/F195,0)</f>
        <v>0</v>
      </c>
    </row>
    <row r="196">
      <c r="D196" t="str">
        <v>K7</v>
      </c>
      <c r="F196">
        <f>SUMIFS($AO$15:$AO$140,$B$15:$B$140,$B$185,$D$15:$D$140,$D196)</f>
        <v>0</v>
      </c>
      <c r="G196">
        <f>SUMIFS($AT$15:$AT$140,$B$15:$B$140,$B$185,$D$15:$D$140,$D196)</f>
        <v>0</v>
      </c>
      <c r="H196">
        <f>SUMIFS($AR$15:$AR$140,$B$15:$B$140,$B$185,$D$15:$D$140,$D196,$AD$15:$AD$140,H$147)+SUMIFS($AS$15:$AS$140,$B$15:$B$140,$B$185,$D$15:$D$140,$D196,$AI$15:$AI$140,H$147)</f>
        <v>0</v>
      </c>
      <c r="I196">
        <f>SUMIFS($AR$15:$AR$140,$B$15:$B$140,$B$185,$D$15:$D$140,$D196,$AD$15:$AD$140,I$147)+SUMIFS($AS$15:$AS$140,$B$15:$B$140,$B$185,$D$15:$D$140,$D196,$AI$15:$AI$140,I$147)</f>
        <v>0</v>
      </c>
      <c r="J196">
        <f>SUMIFS($AR$15:$AR$140,$B$15:$B$140,$B$185,$D$15:$D$140,$D196,$AD$15:$AD$140,J$147)+SUMIFS($AS$15:$AS$140,$B$15:$B$140,$B$185,$D$15:$D$140,$D196,$AI$15:$AI$140,J$147)</f>
        <v>0</v>
      </c>
      <c r="K196">
        <f>SUMIFS($AR$15:$AR$140,$B$15:$B$140,$B$185,$D$15:$D$140,$D196,$AD$15:$AD$140,K$147)+SUMIFS($AS$15:$AS$140,$B$15:$B$140,$B$185,$D$15:$D$140,$D196,$AI$15:$AI$140,K$147)</f>
        <v>0</v>
      </c>
      <c r="L196">
        <f>SUMIFS($AP$15:$AP$140,$B$15:$B$140,$B$185,$D$15:$D$140,$D196,$O$15:$O$140,L$147)+SUMIFS($AQ$15:$AQ$140,$B$15:$B$140,$B$185,$D$15:$D$140,$D196,$W$15:$W$140,L$147)</f>
        <v>0</v>
      </c>
      <c r="M196">
        <f>SUMIFS($AP$15:$AP$140,$B$15:$B$140,$B$185,$D$15:$D$140,$D196,$O$15:$O$140,M$147)+SUMIFS($AQ$15:$AQ$140,$B$15:$B$140,$B$185,$D$15:$D$140,$D196,$W$15:$W$140,M$147)</f>
        <v>0</v>
      </c>
      <c r="N196">
        <f>SUMIFS($AP$15:$AP$140,$B$15:$B$140,$B$185,$D$15:$D$140,$D196,$O$15:$O$140,N$147)+SUMIFS($AQ$15:$AQ$140,$B$15:$B$140,$B$185,$D$15:$D$140,$D196,$W$15:$W$140,N$147)</f>
        <v>0</v>
      </c>
      <c r="O196">
        <f>SUMIFS($AP$15:$AP$140,$B$15:$B$140,$B$185,$D$15:$D$140,$D196,$O$15:$O$140,O$147)+SUMIFS($AQ$15:$AQ$140,$B$15:$B$140,$B$185,$D$15:$D$140,$D196,$W$15:$W$140,O$147)</f>
        <v>0</v>
      </c>
      <c r="P196">
        <f>SUMIFS($AP$15:$AP$140,$B$15:$B$140,$B$185,$D$15:$D$140,$D196,$O$15:$O$140,P$147)+SUMIFS($AQ$15:$AQ$140,$B$15:$B$140,$B$185,$D$15:$D$140,$D196,$W$15:$W$140,P$147)</f>
        <v>0</v>
      </c>
      <c r="Q196">
        <f>SUMIFS($AP$15:$AP$140,$B$15:$B$140,$B$185,$D$15:$D$140,$D196,$O$15:$O$140,Q$147)+SUMIFS($AQ$15:$AQ$140,$B$15:$B$140,$B$185,$D$15:$D$140,$D196,$W$15:$W$140,Q$147)</f>
        <v>0</v>
      </c>
      <c r="R196">
        <f>SUMIFS($AP$15:$AP$140,$B$15:$B$140,$B$185,$D$15:$D$140,$D196,$O$15:$O$140,R$147)+SUMIFS($AQ$15:$AQ$140,$B$15:$B$140,$B$185,$D$15:$D$140,$D196,$W$15:$W$140,R$147)</f>
        <v>0</v>
      </c>
      <c r="S196">
        <f>SUMIFS($AP$15:$AP$140,$B$15:$B$140,$B$185,$D$15:$D$140,$D196,$O$15:$O$140,S$147)+SUMIFS($AQ$15:$AQ$140,$B$15:$B$140,$B$185,$D$15:$D$140,$D196,$W$15:$W$140,S$147)</f>
        <v>0</v>
      </c>
      <c r="T196">
        <f>SUM(H196:R196)</f>
        <v>0</v>
      </c>
      <c r="V196">
        <f>IF(F196&gt;0,G196/F196,0)</f>
        <v>0</v>
      </c>
      <c r="W196">
        <f>IF(F196&gt;0,T196/F196,0)</f>
        <v>0</v>
      </c>
    </row>
    <row r="197">
      <c r="D197" t="str">
        <v>KB2A</v>
      </c>
      <c r="F197">
        <f>SUMIFS($AO$15:$AO$140,$B$15:$B$140,$B$185,$D$15:$D$140,$D197)</f>
        <v>0</v>
      </c>
      <c r="G197">
        <f>SUMIFS($AT$15:$AT$140,$B$15:$B$140,$B$185,$D$15:$D$140,$D197)</f>
        <v>0</v>
      </c>
      <c r="H197">
        <f>SUMIFS($AR$15:$AR$140,$B$15:$B$140,$B$185,$D$15:$D$140,$D197,$AD$15:$AD$140,H$147)+SUMIFS($AS$15:$AS$140,$B$15:$B$140,$B$185,$D$15:$D$140,$D197,$AI$15:$AI$140,H$147)</f>
        <v>0</v>
      </c>
      <c r="I197">
        <f>SUMIFS($AR$15:$AR$140,$B$15:$B$140,$B$185,$D$15:$D$140,$D197,$AD$15:$AD$140,I$147)+SUMIFS($AS$15:$AS$140,$B$15:$B$140,$B$185,$D$15:$D$140,$D197,$AI$15:$AI$140,I$147)</f>
        <v>0</v>
      </c>
      <c r="J197">
        <f>SUMIFS($AR$15:$AR$140,$B$15:$B$140,$B$185,$D$15:$D$140,$D197,$AD$15:$AD$140,J$147)+SUMIFS($AS$15:$AS$140,$B$15:$B$140,$B$185,$D$15:$D$140,$D197,$AI$15:$AI$140,J$147)</f>
        <v>0</v>
      </c>
      <c r="K197">
        <f>SUMIFS($AR$15:$AR$140,$B$15:$B$140,$B$185,$D$15:$D$140,$D197,$AD$15:$AD$140,K$147)+SUMIFS($AS$15:$AS$140,$B$15:$B$140,$B$185,$D$15:$D$140,$D197,$AI$15:$AI$140,K$147)</f>
        <v>0</v>
      </c>
      <c r="L197">
        <f>SUMIFS($AP$15:$AP$140,$B$15:$B$140,$B$185,$D$15:$D$140,$D197,$O$15:$O$140,L$147)+SUMIFS($AQ$15:$AQ$140,$B$15:$B$140,$B$185,$D$15:$D$140,$D197,$W$15:$W$140,L$147)</f>
        <v>0</v>
      </c>
      <c r="M197">
        <f>SUMIFS($AP$15:$AP$140,$B$15:$B$140,$B$185,$D$15:$D$140,$D197,$O$15:$O$140,M$147)+SUMIFS($AQ$15:$AQ$140,$B$15:$B$140,$B$185,$D$15:$D$140,$D197,$W$15:$W$140,M$147)</f>
        <v>0</v>
      </c>
      <c r="N197">
        <f>SUMIFS($AP$15:$AP$140,$B$15:$B$140,$B$185,$D$15:$D$140,$D197,$O$15:$O$140,N$147)+SUMIFS($AQ$15:$AQ$140,$B$15:$B$140,$B$185,$D$15:$D$140,$D197,$W$15:$W$140,N$147)</f>
        <v>0</v>
      </c>
      <c r="O197">
        <f>SUMIFS($AP$15:$AP$140,$B$15:$B$140,$B$185,$D$15:$D$140,$D197,$O$15:$O$140,O$147)+SUMIFS($AQ$15:$AQ$140,$B$15:$B$140,$B$185,$D$15:$D$140,$D197,$W$15:$W$140,O$147)</f>
        <v>0</v>
      </c>
      <c r="P197">
        <f>SUMIFS($AP$15:$AP$140,$B$15:$B$140,$B$185,$D$15:$D$140,$D197,$O$15:$O$140,P$147)+SUMIFS($AQ$15:$AQ$140,$B$15:$B$140,$B$185,$D$15:$D$140,$D197,$W$15:$W$140,P$147)</f>
        <v>0</v>
      </c>
      <c r="Q197">
        <f>SUMIFS($AP$15:$AP$140,$B$15:$B$140,$B$185,$D$15:$D$140,$D197,$O$15:$O$140,Q$147)+SUMIFS($AQ$15:$AQ$140,$B$15:$B$140,$B$185,$D$15:$D$140,$D197,$W$15:$W$140,Q$147)</f>
        <v>0</v>
      </c>
      <c r="R197">
        <f>SUMIFS($AP$15:$AP$140,$B$15:$B$140,$B$185,$D$15:$D$140,$D197,$O$15:$O$140,R$147)+SUMIFS($AQ$15:$AQ$140,$B$15:$B$140,$B$185,$D$15:$D$140,$D197,$W$15:$W$140,R$147)</f>
        <v>0</v>
      </c>
      <c r="S197">
        <f>SUMIFS($AP$15:$AP$140,$B$15:$B$140,$B$185,$D$15:$D$140,$D197,$O$15:$O$140,S$147)+SUMIFS($AQ$15:$AQ$140,$B$15:$B$140,$B$185,$D$15:$D$140,$D197,$W$15:$W$140,S$147)</f>
        <v>0</v>
      </c>
      <c r="T197">
        <f>SUM(H197:R197)</f>
        <v>0</v>
      </c>
      <c r="V197">
        <f>IF(F197&gt;0,G197/F197,0)</f>
        <v>0</v>
      </c>
      <c r="W197">
        <f>IF(F197&gt;0,T197/F197,0)</f>
        <v>0</v>
      </c>
    </row>
    <row r="198">
      <c r="D198" t="str">
        <v>KL55</v>
      </c>
      <c r="F198">
        <f>SUMIFS($AO$15:$AO$140,$B$15:$B$140,$B$185,$D$15:$D$140,$D198)</f>
        <v>2.38</v>
      </c>
      <c r="G198">
        <f>SUMIFS($AT$15:$AT$140,$B$15:$B$140,$B$185,$D$15:$D$140,$D198)</f>
        <v>37.52</v>
      </c>
      <c r="H198">
        <f>SUMIFS($AR$15:$AR$140,$B$15:$B$140,$B$185,$D$15:$D$140,$D198,$AD$15:$AD$140,H$147)+SUMIFS($AS$15:$AS$140,$B$15:$B$140,$B$185,$D$15:$D$140,$D198,$AI$15:$AI$140,H$147)</f>
        <v>0</v>
      </c>
      <c r="I198">
        <f>SUMIFS($AR$15:$AR$140,$B$15:$B$140,$B$185,$D$15:$D$140,$D198,$AD$15:$AD$140,I$147)+SUMIFS($AS$15:$AS$140,$B$15:$B$140,$B$185,$D$15:$D$140,$D198,$AI$15:$AI$140,I$147)</f>
        <v>242.70372</v>
      </c>
      <c r="J198">
        <f>SUMIFS($AR$15:$AR$140,$B$15:$B$140,$B$185,$D$15:$D$140,$D198,$AD$15:$AD$140,J$147)+SUMIFS($AS$15:$AS$140,$B$15:$B$140,$B$185,$D$15:$D$140,$D198,$AI$15:$AI$140,J$147)</f>
        <v>0</v>
      </c>
      <c r="K198">
        <f>SUMIFS($AR$15:$AR$140,$B$15:$B$140,$B$185,$D$15:$D$140,$D198,$AD$15:$AD$140,K$147)+SUMIFS($AS$15:$AS$140,$B$15:$B$140,$B$185,$D$15:$D$140,$D198,$AI$15:$AI$140,K$147)</f>
        <v>0</v>
      </c>
      <c r="L198">
        <f>SUMIFS($AP$15:$AP$140,$B$15:$B$140,$B$185,$D$15:$D$140,$D198,$O$15:$O$140,L$147)+SUMIFS($AQ$15:$AQ$140,$B$15:$B$140,$B$185,$D$15:$D$140,$D198,$W$15:$W$140,L$147)</f>
        <v>0</v>
      </c>
      <c r="M198">
        <f>SUMIFS($AP$15:$AP$140,$B$15:$B$140,$B$185,$D$15:$D$140,$D198,$O$15:$O$140,M$147)+SUMIFS($AQ$15:$AQ$140,$B$15:$B$140,$B$185,$D$15:$D$140,$D198,$W$15:$W$140,M$147)</f>
        <v>0</v>
      </c>
      <c r="N198">
        <f>SUMIFS($AP$15:$AP$140,$B$15:$B$140,$B$185,$D$15:$D$140,$D198,$O$15:$O$140,N$147)+SUMIFS($AQ$15:$AQ$140,$B$15:$B$140,$B$185,$D$15:$D$140,$D198,$W$15:$W$140,N$147)</f>
        <v>278.17426944000005</v>
      </c>
      <c r="O198">
        <f>SUMIFS($AP$15:$AP$140,$B$15:$B$140,$B$185,$D$15:$D$140,$D198,$O$15:$O$140,O$147)+SUMIFS($AQ$15:$AQ$140,$B$15:$B$140,$B$185,$D$15:$D$140,$D198,$W$15:$W$140,O$147)</f>
        <v>0</v>
      </c>
      <c r="P198">
        <f>SUMIFS($AP$15:$AP$140,$B$15:$B$140,$B$185,$D$15:$D$140,$D198,$O$15:$O$140,P$147)+SUMIFS($AQ$15:$AQ$140,$B$15:$B$140,$B$185,$D$15:$D$140,$D198,$W$15:$W$140,P$147)</f>
        <v>0</v>
      </c>
      <c r="Q198">
        <f>SUMIFS($AP$15:$AP$140,$B$15:$B$140,$B$185,$D$15:$D$140,$D198,$O$15:$O$140,Q$147)+SUMIFS($AQ$15:$AQ$140,$B$15:$B$140,$B$185,$D$15:$D$140,$D198,$W$15:$W$140,Q$147)</f>
        <v>0</v>
      </c>
      <c r="R198">
        <f>SUMIFS($AP$15:$AP$140,$B$15:$B$140,$B$185,$D$15:$D$140,$D198,$O$15:$O$140,R$147)+SUMIFS($AQ$15:$AQ$140,$B$15:$B$140,$B$185,$D$15:$D$140,$D198,$W$15:$W$140,R$147)</f>
        <v>0</v>
      </c>
      <c r="S198">
        <f>SUMIFS($AP$15:$AP$140,$B$15:$B$140,$B$185,$D$15:$D$140,$D198,$O$15:$O$140,S$147)+SUMIFS($AQ$15:$AQ$140,$B$15:$B$140,$B$185,$D$15:$D$140,$D198,$W$15:$W$140,S$147)</f>
        <v>0</v>
      </c>
      <c r="T198">
        <f>SUM(H198:R198)</f>
        <v>520.8779894400001</v>
      </c>
      <c r="V198">
        <f>IF(F198&gt;0,G198/F198,0)</f>
        <v>15.764705882352944</v>
      </c>
      <c r="W198">
        <f>IF(F198&gt;0,T198/F198,0)</f>
        <v>218.85629808403365</v>
      </c>
    </row>
    <row r="199">
      <c r="D199" t="str">
        <v>KL66</v>
      </c>
      <c r="F199">
        <f>SUMIFS($AO$15:$AO$140,$B$15:$B$140,$B$185,$D$15:$D$140,$D199)</f>
        <v>0</v>
      </c>
      <c r="G199">
        <f>SUMIFS($AT$15:$AT$140,$B$15:$B$140,$B$185,$D$15:$D$140,$D199)</f>
        <v>0</v>
      </c>
      <c r="H199">
        <f>SUMIFS($AR$15:$AR$140,$B$15:$B$140,$B$185,$D$15:$D$140,$D199,$AD$15:$AD$140,H$147)+SUMIFS($AS$15:$AS$140,$B$15:$B$140,$B$185,$D$15:$D$140,$D199,$AI$15:$AI$140,H$147)</f>
        <v>0</v>
      </c>
      <c r="I199">
        <f>SUMIFS($AR$15:$AR$140,$B$15:$B$140,$B$185,$D$15:$D$140,$D199,$AD$15:$AD$140,I$147)+SUMIFS($AS$15:$AS$140,$B$15:$B$140,$B$185,$D$15:$D$140,$D199,$AI$15:$AI$140,I$147)</f>
        <v>0</v>
      </c>
      <c r="J199">
        <f>SUMIFS($AR$15:$AR$140,$B$15:$B$140,$B$185,$D$15:$D$140,$D199,$AD$15:$AD$140,J$147)+SUMIFS($AS$15:$AS$140,$B$15:$B$140,$B$185,$D$15:$D$140,$D199,$AI$15:$AI$140,J$147)</f>
        <v>0</v>
      </c>
      <c r="K199">
        <f>SUMIFS($AR$15:$AR$140,$B$15:$B$140,$B$185,$D$15:$D$140,$D199,$AD$15:$AD$140,K$147)+SUMIFS($AS$15:$AS$140,$B$15:$B$140,$B$185,$D$15:$D$140,$D199,$AI$15:$AI$140,K$147)</f>
        <v>0</v>
      </c>
      <c r="L199">
        <f>SUMIFS($AP$15:$AP$140,$B$15:$B$140,$B$185,$D$15:$D$140,$D199,$O$15:$O$140,L$147)+SUMIFS($AQ$15:$AQ$140,$B$15:$B$140,$B$185,$D$15:$D$140,$D199,$W$15:$W$140,L$147)</f>
        <v>0</v>
      </c>
      <c r="M199">
        <f>SUMIFS($AP$15:$AP$140,$B$15:$B$140,$B$185,$D$15:$D$140,$D199,$O$15:$O$140,M$147)+SUMIFS($AQ$15:$AQ$140,$B$15:$B$140,$B$185,$D$15:$D$140,$D199,$W$15:$W$140,M$147)</f>
        <v>0</v>
      </c>
      <c r="N199">
        <f>SUMIFS($AP$15:$AP$140,$B$15:$B$140,$B$185,$D$15:$D$140,$D199,$O$15:$O$140,N$147)+SUMIFS($AQ$15:$AQ$140,$B$15:$B$140,$B$185,$D$15:$D$140,$D199,$W$15:$W$140,N$147)</f>
        <v>0</v>
      </c>
      <c r="O199">
        <f>SUMIFS($AP$15:$AP$140,$B$15:$B$140,$B$185,$D$15:$D$140,$D199,$O$15:$O$140,O$147)+SUMIFS($AQ$15:$AQ$140,$B$15:$B$140,$B$185,$D$15:$D$140,$D199,$W$15:$W$140,O$147)</f>
        <v>0</v>
      </c>
      <c r="P199">
        <f>SUMIFS($AP$15:$AP$140,$B$15:$B$140,$B$185,$D$15:$D$140,$D199,$O$15:$O$140,P$147)+SUMIFS($AQ$15:$AQ$140,$B$15:$B$140,$B$185,$D$15:$D$140,$D199,$W$15:$W$140,P$147)</f>
        <v>0</v>
      </c>
      <c r="Q199">
        <f>SUMIFS($AP$15:$AP$140,$B$15:$B$140,$B$185,$D$15:$D$140,$D199,$O$15:$O$140,Q$147)+SUMIFS($AQ$15:$AQ$140,$B$15:$B$140,$B$185,$D$15:$D$140,$D199,$W$15:$W$140,Q$147)</f>
        <v>0</v>
      </c>
      <c r="R199">
        <f>SUMIFS($AP$15:$AP$140,$B$15:$B$140,$B$185,$D$15:$D$140,$D199,$O$15:$O$140,R$147)+SUMIFS($AQ$15:$AQ$140,$B$15:$B$140,$B$185,$D$15:$D$140,$D199,$W$15:$W$140,R$147)</f>
        <v>0</v>
      </c>
      <c r="S199">
        <f>SUMIFS($AP$15:$AP$140,$B$15:$B$140,$B$185,$D$15:$D$140,$D199,$O$15:$O$140,S$147)+SUMIFS($AQ$15:$AQ$140,$B$15:$B$140,$B$185,$D$15:$D$140,$D199,$W$15:$W$140,S$147)</f>
        <v>0</v>
      </c>
      <c r="T199">
        <f>SUM(H199:R199)</f>
        <v>0</v>
      </c>
      <c r="V199">
        <f>IF(F199&gt;0,G199/F199,0)</f>
        <v>0</v>
      </c>
      <c r="W199">
        <f>IF(F199&gt;0,T199/F199,0)</f>
        <v>0</v>
      </c>
    </row>
    <row r="201">
      <c r="B201" t="str">
        <v>Subtotal Lantai 3</v>
      </c>
      <c r="F201">
        <f>SUM(F185:F200)</f>
        <v>7.665</v>
      </c>
      <c r="G201">
        <f>SUM(G185:G200)</f>
        <v>138.67</v>
      </c>
      <c r="H201">
        <f>SUM(H185:H200)</f>
        <v>0</v>
      </c>
      <c r="I201">
        <f>SUM(I185:I200)</f>
        <v>896.2245449999999</v>
      </c>
      <c r="J201">
        <f>SUM(J185:J200)</f>
        <v>0</v>
      </c>
      <c r="K201">
        <f>SUM(K185:K200)</f>
        <v>0</v>
      </c>
      <c r="L201">
        <f>SUM(L185:L200)</f>
        <v>0</v>
      </c>
      <c r="M201">
        <f>SUM(M185:M200)</f>
        <v>0</v>
      </c>
      <c r="N201">
        <f>SUM(N185:N200)</f>
        <v>1199.1530649600002</v>
      </c>
      <c r="O201">
        <f>SUM(O185:O200)</f>
        <v>0</v>
      </c>
      <c r="P201">
        <f>SUM(P185:P200)</f>
        <v>0</v>
      </c>
      <c r="Q201">
        <f>SUM(Q185:Q200)</f>
        <v>0</v>
      </c>
      <c r="R201">
        <f>SUM(R185:R200)</f>
        <v>0</v>
      </c>
      <c r="S201">
        <f>SUM(S185:S200)</f>
        <v>0</v>
      </c>
      <c r="T201">
        <f>SUM(T186:T200)</f>
        <v>2095.3776099600004</v>
      </c>
    </row>
    <row r="203">
      <c r="B203" t="str">
        <v>Lantai Atap</v>
      </c>
    </row>
    <row r="204">
      <c r="D204" t="str">
        <v>K1A4</v>
      </c>
      <c r="F204">
        <f>SUMIFS($AO$15:$AO$140,$B$15:$B$140,$B$203,$D$15:$D$140,$D204)</f>
        <v>0.312</v>
      </c>
      <c r="G204">
        <f>SUMIFS($AT$15:$AT$140,$B$15:$B$140,$B$203,$D$15:$D$140,$D204)</f>
        <v>6.360000000000001</v>
      </c>
      <c r="H204">
        <f>SUMIFS($AR$15:$AR$140,$B$15:$B$140,$B$203,$D$15:$D$140,$D204,$AD$15:$AD$140,H$147)+SUMIFS($AS$15:$AS$140,$B$15:$B$140,$B$203,$D$15:$D$140,$D204,$AI$15:$AI$140,H$147)</f>
        <v>0</v>
      </c>
      <c r="I204">
        <f>SUMIFS($AR$15:$AR$140,$B$15:$B$140,$B$203,$D$15:$D$140,$D204,$AD$15:$AD$140,I$147)+SUMIFS($AS$15:$AS$140,$B$15:$B$140,$B$203,$D$15:$D$140,$D204,$AI$15:$AI$140,I$147)</f>
        <v>42.72345000000001</v>
      </c>
      <c r="J204">
        <f>SUMIFS($AR$15:$AR$140,$B$15:$B$140,$B$203,$D$15:$D$140,$D204,$AD$15:$AD$140,J$147)+SUMIFS($AS$15:$AS$140,$B$15:$B$140,$B$203,$D$15:$D$140,$D204,$AI$15:$AI$140,J$147)</f>
        <v>0</v>
      </c>
      <c r="K204">
        <f>SUMIFS($AR$15:$AR$140,$B$15:$B$140,$B$203,$D$15:$D$140,$D204,$AD$15:$AD$140,K$147)+SUMIFS($AS$15:$AS$140,$B$15:$B$140,$B$203,$D$15:$D$140,$D204,$AI$15:$AI$140,K$147)</f>
        <v>0</v>
      </c>
      <c r="L204">
        <f>SUMIFS($AP$15:$AP$140,$B$15:$B$140,$B$203,$D$15:$D$140,$D204,$O$15:$O$140,L$147)+SUMIFS($AQ$15:$AQ$140,$B$15:$B$140,$B$203,$D$15:$D$140,$D204,$W$15:$W$140,L$147)</f>
        <v>0</v>
      </c>
      <c r="M204">
        <f>SUMIFS($AP$15:$AP$140,$B$15:$B$140,$B$203,$D$15:$D$140,$D204,$O$15:$O$140,M$147)+SUMIFS($AQ$15:$AQ$140,$B$15:$B$140,$B$203,$D$15:$D$140,$D204,$W$15:$W$140,M$147)</f>
        <v>0</v>
      </c>
      <c r="N204">
        <f>SUMIFS($AP$15:$AP$140,$B$15:$B$140,$B$203,$D$15:$D$140,$D204,$O$15:$O$140,N$147)+SUMIFS($AQ$15:$AQ$140,$B$15:$B$140,$B$203,$D$15:$D$140,$D204,$W$15:$W$140,N$147)</f>
        <v>103.04644608000001</v>
      </c>
      <c r="O204">
        <f>SUMIFS($AP$15:$AP$140,$B$15:$B$140,$B$203,$D$15:$D$140,$D204,$O$15:$O$140,O$147)+SUMIFS($AQ$15:$AQ$140,$B$15:$B$140,$B$203,$D$15:$D$140,$D204,$W$15:$W$140,O$147)</f>
        <v>0</v>
      </c>
      <c r="P204">
        <f>SUMIFS($AP$15:$AP$140,$B$15:$B$140,$B$203,$D$15:$D$140,$D204,$O$15:$O$140,P$147)+SUMIFS($AQ$15:$AQ$140,$B$15:$B$140,$B$203,$D$15:$D$140,$D204,$W$15:$W$140,P$147)</f>
        <v>0</v>
      </c>
      <c r="Q204">
        <f>SUMIFS($AP$15:$AP$140,$B$15:$B$140,$B$203,$D$15:$D$140,$D204,$O$15:$O$140,Q$147)+SUMIFS($AQ$15:$AQ$140,$B$15:$B$140,$B$203,$D$15:$D$140,$D204,$W$15:$W$140,Q$147)</f>
        <v>0</v>
      </c>
      <c r="R204">
        <f>SUMIFS($AP$15:$AP$140,$B$15:$B$140,$B$203,$D$15:$D$140,$D204,$O$15:$O$140,R$147)+SUMIFS($AQ$15:$AQ$140,$B$15:$B$140,$B$203,$D$15:$D$140,$D204,$W$15:$W$140,R$147)</f>
        <v>0</v>
      </c>
      <c r="S204">
        <f>SUMIFS($AP$15:$AP$140,$B$15:$B$140,$B$203,$D$15:$D$140,$D204,$O$15:$O$140,S$147)+SUMIFS($AQ$15:$AQ$140,$B$15:$B$140,$B$203,$D$15:$D$140,$D204,$W$15:$W$140,S$147)</f>
        <v>0</v>
      </c>
      <c r="T204">
        <f>SUM(H204:R204)</f>
        <v>145.76989608000002</v>
      </c>
      <c r="V204">
        <f>IF(F204&gt;0,G204/F204,0)</f>
        <v>20.384615384615387</v>
      </c>
      <c r="W204">
        <f>IF(F204&gt;0,T204/F204,0)</f>
        <v>467.2112053846155</v>
      </c>
    </row>
    <row r="205">
      <c r="D205" t="str">
        <v>K1A5</v>
      </c>
      <c r="F205">
        <f>SUMIFS($AO$15:$AO$140,$B$15:$B$140,$B$203,$D$15:$D$140,$D205)</f>
        <v>0</v>
      </c>
      <c r="G205">
        <f>SUMIFS($AT$15:$AT$140,$B$15:$B$140,$B$203,$D$15:$D$140,$D205)</f>
        <v>0</v>
      </c>
      <c r="H205">
        <f>SUMIFS($AR$15:$AR$140,$B$15:$B$140,$B$203,$D$15:$D$140,$D205,$AD$15:$AD$140,H$147)+SUMIFS($AS$15:$AS$140,$B$15:$B$140,$B$203,$D$15:$D$140,$D205,$AI$15:$AI$140,H$147)</f>
        <v>0</v>
      </c>
      <c r="I205">
        <f>SUMIFS($AR$15:$AR$140,$B$15:$B$140,$B$203,$D$15:$D$140,$D205,$AD$15:$AD$140,I$147)+SUMIFS($AS$15:$AS$140,$B$15:$B$140,$B$203,$D$15:$D$140,$D205,$AI$15:$AI$140,I$147)</f>
        <v>0</v>
      </c>
      <c r="J205">
        <f>SUMIFS($AR$15:$AR$140,$B$15:$B$140,$B$203,$D$15:$D$140,$D205,$AD$15:$AD$140,J$147)+SUMIFS($AS$15:$AS$140,$B$15:$B$140,$B$203,$D$15:$D$140,$D205,$AI$15:$AI$140,J$147)</f>
        <v>0</v>
      </c>
      <c r="K205">
        <f>SUMIFS($AR$15:$AR$140,$B$15:$B$140,$B$203,$D$15:$D$140,$D205,$AD$15:$AD$140,K$147)+SUMIFS($AS$15:$AS$140,$B$15:$B$140,$B$203,$D$15:$D$140,$D205,$AI$15:$AI$140,K$147)</f>
        <v>0</v>
      </c>
      <c r="L205">
        <f>SUMIFS($AP$15:$AP$140,$B$15:$B$140,$B$203,$D$15:$D$140,$D205,$O$15:$O$140,L$147)+SUMIFS($AQ$15:$AQ$140,$B$15:$B$140,$B$203,$D$15:$D$140,$D205,$W$15:$W$140,L$147)</f>
        <v>0</v>
      </c>
      <c r="M205">
        <f>SUMIFS($AP$15:$AP$140,$B$15:$B$140,$B$203,$D$15:$D$140,$D205,$O$15:$O$140,M$147)+SUMIFS($AQ$15:$AQ$140,$B$15:$B$140,$B$203,$D$15:$D$140,$D205,$W$15:$W$140,M$147)</f>
        <v>0</v>
      </c>
      <c r="N205">
        <f>SUMIFS($AP$15:$AP$140,$B$15:$B$140,$B$203,$D$15:$D$140,$D205,$O$15:$O$140,N$147)+SUMIFS($AQ$15:$AQ$140,$B$15:$B$140,$B$203,$D$15:$D$140,$D205,$W$15:$W$140,N$147)</f>
        <v>0</v>
      </c>
      <c r="O205">
        <f>SUMIFS($AP$15:$AP$140,$B$15:$B$140,$B$203,$D$15:$D$140,$D205,$O$15:$O$140,O$147)+SUMIFS($AQ$15:$AQ$140,$B$15:$B$140,$B$203,$D$15:$D$140,$D205,$W$15:$W$140,O$147)</f>
        <v>0</v>
      </c>
      <c r="P205">
        <f>SUMIFS($AP$15:$AP$140,$B$15:$B$140,$B$203,$D$15:$D$140,$D205,$O$15:$O$140,P$147)+SUMIFS($AQ$15:$AQ$140,$B$15:$B$140,$B$203,$D$15:$D$140,$D205,$W$15:$W$140,P$147)</f>
        <v>0</v>
      </c>
      <c r="Q205">
        <f>SUMIFS($AP$15:$AP$140,$B$15:$B$140,$B$203,$D$15:$D$140,$D205,$O$15:$O$140,Q$147)+SUMIFS($AQ$15:$AQ$140,$B$15:$B$140,$B$203,$D$15:$D$140,$D205,$W$15:$W$140,Q$147)</f>
        <v>0</v>
      </c>
      <c r="R205">
        <f>SUMIFS($AP$15:$AP$140,$B$15:$B$140,$B$203,$D$15:$D$140,$D205,$O$15:$O$140,R$147)+SUMIFS($AQ$15:$AQ$140,$B$15:$B$140,$B$203,$D$15:$D$140,$D205,$W$15:$W$140,R$147)</f>
        <v>0</v>
      </c>
      <c r="S205">
        <f>SUMIFS($AP$15:$AP$140,$B$15:$B$140,$B$203,$D$15:$D$140,$D205,$O$15:$O$140,S$147)+SUMIFS($AQ$15:$AQ$140,$B$15:$B$140,$B$203,$D$15:$D$140,$D205,$W$15:$W$140,S$147)</f>
        <v>0</v>
      </c>
      <c r="T205">
        <f>SUM(H205:R205)</f>
        <v>0</v>
      </c>
      <c r="V205">
        <f>IF(F205&gt;0,G205/F205,0)</f>
        <v>0</v>
      </c>
      <c r="W205">
        <f>IF(F205&gt;0,T205/F205,0)</f>
        <v>0</v>
      </c>
    </row>
    <row r="206">
      <c r="D206" t="str">
        <v>K24</v>
      </c>
      <c r="F206">
        <f>SUMIFS($AO$15:$AO$140,$B$15:$B$140,$B$203,$D$15:$D$140,$D206)</f>
        <v>0</v>
      </c>
      <c r="G206">
        <f>SUMIFS($AT$15:$AT$140,$B$15:$B$140,$B$203,$D$15:$D$140,$D206)</f>
        <v>0</v>
      </c>
      <c r="H206">
        <f>SUMIFS($AR$15:$AR$140,$B$15:$B$140,$B$203,$D$15:$D$140,$D206,$AD$15:$AD$140,H$147)+SUMIFS($AS$15:$AS$140,$B$15:$B$140,$B$203,$D$15:$D$140,$D206,$AI$15:$AI$140,H$147)</f>
        <v>0</v>
      </c>
      <c r="I206">
        <f>SUMIFS($AR$15:$AR$140,$B$15:$B$140,$B$203,$D$15:$D$140,$D206,$AD$15:$AD$140,I$147)+SUMIFS($AS$15:$AS$140,$B$15:$B$140,$B$203,$D$15:$D$140,$D206,$AI$15:$AI$140,I$147)</f>
        <v>0</v>
      </c>
      <c r="J206">
        <f>SUMIFS($AR$15:$AR$140,$B$15:$B$140,$B$203,$D$15:$D$140,$D206,$AD$15:$AD$140,J$147)+SUMIFS($AS$15:$AS$140,$B$15:$B$140,$B$203,$D$15:$D$140,$D206,$AI$15:$AI$140,J$147)</f>
        <v>0</v>
      </c>
      <c r="K206">
        <f>SUMIFS($AR$15:$AR$140,$B$15:$B$140,$B$203,$D$15:$D$140,$D206,$AD$15:$AD$140,K$147)+SUMIFS($AS$15:$AS$140,$B$15:$B$140,$B$203,$D$15:$D$140,$D206,$AI$15:$AI$140,K$147)</f>
        <v>0</v>
      </c>
      <c r="L206">
        <f>SUMIFS($AP$15:$AP$140,$B$15:$B$140,$B$203,$D$15:$D$140,$D206,$O$15:$O$140,L$147)+SUMIFS($AQ$15:$AQ$140,$B$15:$B$140,$B$203,$D$15:$D$140,$D206,$W$15:$W$140,L$147)</f>
        <v>0</v>
      </c>
      <c r="M206">
        <f>SUMIFS($AP$15:$AP$140,$B$15:$B$140,$B$203,$D$15:$D$140,$D206,$O$15:$O$140,M$147)+SUMIFS($AQ$15:$AQ$140,$B$15:$B$140,$B$203,$D$15:$D$140,$D206,$W$15:$W$140,M$147)</f>
        <v>0</v>
      </c>
      <c r="N206">
        <f>SUMIFS($AP$15:$AP$140,$B$15:$B$140,$B$203,$D$15:$D$140,$D206,$O$15:$O$140,N$147)+SUMIFS($AQ$15:$AQ$140,$B$15:$B$140,$B$203,$D$15:$D$140,$D206,$W$15:$W$140,N$147)</f>
        <v>0</v>
      </c>
      <c r="O206">
        <f>SUMIFS($AP$15:$AP$140,$B$15:$B$140,$B$203,$D$15:$D$140,$D206,$O$15:$O$140,O$147)+SUMIFS($AQ$15:$AQ$140,$B$15:$B$140,$B$203,$D$15:$D$140,$D206,$W$15:$W$140,O$147)</f>
        <v>0</v>
      </c>
      <c r="P206">
        <f>SUMIFS($AP$15:$AP$140,$B$15:$B$140,$B$203,$D$15:$D$140,$D206,$O$15:$O$140,P$147)+SUMIFS($AQ$15:$AQ$140,$B$15:$B$140,$B$203,$D$15:$D$140,$D206,$W$15:$W$140,P$147)</f>
        <v>0</v>
      </c>
      <c r="Q206">
        <f>SUMIFS($AP$15:$AP$140,$B$15:$B$140,$B$203,$D$15:$D$140,$D206,$O$15:$O$140,Q$147)+SUMIFS($AQ$15:$AQ$140,$B$15:$B$140,$B$203,$D$15:$D$140,$D206,$W$15:$W$140,Q$147)</f>
        <v>0</v>
      </c>
      <c r="R206">
        <f>SUMIFS($AP$15:$AP$140,$B$15:$B$140,$B$203,$D$15:$D$140,$D206,$O$15:$O$140,R$147)+SUMIFS($AQ$15:$AQ$140,$B$15:$B$140,$B$203,$D$15:$D$140,$D206,$W$15:$W$140,R$147)</f>
        <v>0</v>
      </c>
      <c r="S206">
        <f>SUMIFS($AP$15:$AP$140,$B$15:$B$140,$B$203,$D$15:$D$140,$D206,$O$15:$O$140,S$147)+SUMIFS($AQ$15:$AQ$140,$B$15:$B$140,$B$203,$D$15:$D$140,$D206,$W$15:$W$140,S$147)</f>
        <v>0</v>
      </c>
      <c r="T206">
        <f>SUM(H206:R206)</f>
        <v>0</v>
      </c>
      <c r="V206">
        <f>IF(F206&gt;0,G206/F206,0)</f>
        <v>0</v>
      </c>
      <c r="W206">
        <f>IF(F206&gt;0,T206/F206,0)</f>
        <v>0</v>
      </c>
    </row>
    <row r="207">
      <c r="D207" t="str">
        <v>K25</v>
      </c>
      <c r="F207">
        <f>SUMIFS($AO$15:$AO$140,$B$15:$B$140,$B$203,$D$15:$D$140,$D207)</f>
        <v>0</v>
      </c>
      <c r="G207">
        <f>SUMIFS($AT$15:$AT$140,$B$15:$B$140,$B$203,$D$15:$D$140,$D207)</f>
        <v>0</v>
      </c>
      <c r="H207">
        <f>SUMIFS($AR$15:$AR$140,$B$15:$B$140,$B$203,$D$15:$D$140,$D207,$AD$15:$AD$140,H$147)+SUMIFS($AS$15:$AS$140,$B$15:$B$140,$B$203,$D$15:$D$140,$D207,$AI$15:$AI$140,H$147)</f>
        <v>0</v>
      </c>
      <c r="I207">
        <f>SUMIFS($AR$15:$AR$140,$B$15:$B$140,$B$203,$D$15:$D$140,$D207,$AD$15:$AD$140,I$147)+SUMIFS($AS$15:$AS$140,$B$15:$B$140,$B$203,$D$15:$D$140,$D207,$AI$15:$AI$140,I$147)</f>
        <v>0</v>
      </c>
      <c r="J207">
        <f>SUMIFS($AR$15:$AR$140,$B$15:$B$140,$B$203,$D$15:$D$140,$D207,$AD$15:$AD$140,J$147)+SUMIFS($AS$15:$AS$140,$B$15:$B$140,$B$203,$D$15:$D$140,$D207,$AI$15:$AI$140,J$147)</f>
        <v>0</v>
      </c>
      <c r="K207">
        <f>SUMIFS($AR$15:$AR$140,$B$15:$B$140,$B$203,$D$15:$D$140,$D207,$AD$15:$AD$140,K$147)+SUMIFS($AS$15:$AS$140,$B$15:$B$140,$B$203,$D$15:$D$140,$D207,$AI$15:$AI$140,K$147)</f>
        <v>0</v>
      </c>
      <c r="L207">
        <f>SUMIFS($AP$15:$AP$140,$B$15:$B$140,$B$203,$D$15:$D$140,$D207,$O$15:$O$140,L$147)+SUMIFS($AQ$15:$AQ$140,$B$15:$B$140,$B$203,$D$15:$D$140,$D207,$W$15:$W$140,L$147)</f>
        <v>0</v>
      </c>
      <c r="M207">
        <f>SUMIFS($AP$15:$AP$140,$B$15:$B$140,$B$203,$D$15:$D$140,$D207,$O$15:$O$140,M$147)+SUMIFS($AQ$15:$AQ$140,$B$15:$B$140,$B$203,$D$15:$D$140,$D207,$W$15:$W$140,M$147)</f>
        <v>0</v>
      </c>
      <c r="N207">
        <f>SUMIFS($AP$15:$AP$140,$B$15:$B$140,$B$203,$D$15:$D$140,$D207,$O$15:$O$140,N$147)+SUMIFS($AQ$15:$AQ$140,$B$15:$B$140,$B$203,$D$15:$D$140,$D207,$W$15:$W$140,N$147)</f>
        <v>0</v>
      </c>
      <c r="O207">
        <f>SUMIFS($AP$15:$AP$140,$B$15:$B$140,$B$203,$D$15:$D$140,$D207,$O$15:$O$140,O$147)+SUMIFS($AQ$15:$AQ$140,$B$15:$B$140,$B$203,$D$15:$D$140,$D207,$W$15:$W$140,O$147)</f>
        <v>0</v>
      </c>
      <c r="P207">
        <f>SUMIFS($AP$15:$AP$140,$B$15:$B$140,$B$203,$D$15:$D$140,$D207,$O$15:$O$140,P$147)+SUMIFS($AQ$15:$AQ$140,$B$15:$B$140,$B$203,$D$15:$D$140,$D207,$W$15:$W$140,P$147)</f>
        <v>0</v>
      </c>
      <c r="Q207">
        <f>SUMIFS($AP$15:$AP$140,$B$15:$B$140,$B$203,$D$15:$D$140,$D207,$O$15:$O$140,Q$147)+SUMIFS($AQ$15:$AQ$140,$B$15:$B$140,$B$203,$D$15:$D$140,$D207,$W$15:$W$140,Q$147)</f>
        <v>0</v>
      </c>
      <c r="R207">
        <f>SUMIFS($AP$15:$AP$140,$B$15:$B$140,$B$203,$D$15:$D$140,$D207,$O$15:$O$140,R$147)+SUMIFS($AQ$15:$AQ$140,$B$15:$B$140,$B$203,$D$15:$D$140,$D207,$W$15:$W$140,R$147)</f>
        <v>0</v>
      </c>
      <c r="S207">
        <f>SUMIFS($AP$15:$AP$140,$B$15:$B$140,$B$203,$D$15:$D$140,$D207,$O$15:$O$140,S$147)+SUMIFS($AQ$15:$AQ$140,$B$15:$B$140,$B$203,$D$15:$D$140,$D207,$W$15:$W$140,S$147)</f>
        <v>0</v>
      </c>
      <c r="T207">
        <f>SUM(H207:R207)</f>
        <v>0</v>
      </c>
      <c r="V207">
        <f>IF(F207&gt;0,G207/F207,0)</f>
        <v>0</v>
      </c>
      <c r="W207">
        <f>IF(F207&gt;0,T207/F207,0)</f>
        <v>0</v>
      </c>
    </row>
    <row r="208">
      <c r="D208" t="str">
        <v>K26</v>
      </c>
      <c r="F208">
        <f>SUMIFS($AO$15:$AO$140,$B$15:$B$140,$B$203,$D$15:$D$140,$D208)</f>
        <v>0</v>
      </c>
      <c r="G208">
        <f>SUMIFS($AT$15:$AT$140,$B$15:$B$140,$B$203,$D$15:$D$140,$D208)</f>
        <v>0</v>
      </c>
      <c r="H208">
        <f>SUMIFS($AR$15:$AR$140,$B$15:$B$140,$B$203,$D$15:$D$140,$D208,$AD$15:$AD$140,H$147)+SUMIFS($AS$15:$AS$140,$B$15:$B$140,$B$203,$D$15:$D$140,$D208,$AI$15:$AI$140,H$147)</f>
        <v>0</v>
      </c>
      <c r="I208">
        <f>SUMIFS($AR$15:$AR$140,$B$15:$B$140,$B$203,$D$15:$D$140,$D208,$AD$15:$AD$140,I$147)+SUMIFS($AS$15:$AS$140,$B$15:$B$140,$B$203,$D$15:$D$140,$D208,$AI$15:$AI$140,I$147)</f>
        <v>0</v>
      </c>
      <c r="J208">
        <f>SUMIFS($AR$15:$AR$140,$B$15:$B$140,$B$203,$D$15:$D$140,$D208,$AD$15:$AD$140,J$147)+SUMIFS($AS$15:$AS$140,$B$15:$B$140,$B$203,$D$15:$D$140,$D208,$AI$15:$AI$140,J$147)</f>
        <v>0</v>
      </c>
      <c r="K208">
        <f>SUMIFS($AR$15:$AR$140,$B$15:$B$140,$B$203,$D$15:$D$140,$D208,$AD$15:$AD$140,K$147)+SUMIFS($AS$15:$AS$140,$B$15:$B$140,$B$203,$D$15:$D$140,$D208,$AI$15:$AI$140,K$147)</f>
        <v>0</v>
      </c>
      <c r="L208">
        <f>SUMIFS($AP$15:$AP$140,$B$15:$B$140,$B$203,$D$15:$D$140,$D208,$O$15:$O$140,L$147)+SUMIFS($AQ$15:$AQ$140,$B$15:$B$140,$B$203,$D$15:$D$140,$D208,$W$15:$W$140,L$147)</f>
        <v>0</v>
      </c>
      <c r="M208">
        <f>SUMIFS($AP$15:$AP$140,$B$15:$B$140,$B$203,$D$15:$D$140,$D208,$O$15:$O$140,M$147)+SUMIFS($AQ$15:$AQ$140,$B$15:$B$140,$B$203,$D$15:$D$140,$D208,$W$15:$W$140,M$147)</f>
        <v>0</v>
      </c>
      <c r="N208">
        <f>SUMIFS($AP$15:$AP$140,$B$15:$B$140,$B$203,$D$15:$D$140,$D208,$O$15:$O$140,N$147)+SUMIFS($AQ$15:$AQ$140,$B$15:$B$140,$B$203,$D$15:$D$140,$D208,$W$15:$W$140,N$147)</f>
        <v>0</v>
      </c>
      <c r="O208">
        <f>SUMIFS($AP$15:$AP$140,$B$15:$B$140,$B$203,$D$15:$D$140,$D208,$O$15:$O$140,O$147)+SUMIFS($AQ$15:$AQ$140,$B$15:$B$140,$B$203,$D$15:$D$140,$D208,$W$15:$W$140,O$147)</f>
        <v>0</v>
      </c>
      <c r="P208">
        <f>SUMIFS($AP$15:$AP$140,$B$15:$B$140,$B$203,$D$15:$D$140,$D208,$O$15:$O$140,P$147)+SUMIFS($AQ$15:$AQ$140,$B$15:$B$140,$B$203,$D$15:$D$140,$D208,$W$15:$W$140,P$147)</f>
        <v>0</v>
      </c>
      <c r="Q208">
        <f>SUMIFS($AP$15:$AP$140,$B$15:$B$140,$B$203,$D$15:$D$140,$D208,$O$15:$O$140,Q$147)+SUMIFS($AQ$15:$AQ$140,$B$15:$B$140,$B$203,$D$15:$D$140,$D208,$W$15:$W$140,Q$147)</f>
        <v>0</v>
      </c>
      <c r="R208">
        <f>SUMIFS($AP$15:$AP$140,$B$15:$B$140,$B$203,$D$15:$D$140,$D208,$O$15:$O$140,R$147)+SUMIFS($AQ$15:$AQ$140,$B$15:$B$140,$B$203,$D$15:$D$140,$D208,$W$15:$W$140,R$147)</f>
        <v>0</v>
      </c>
      <c r="S208">
        <f>SUMIFS($AP$15:$AP$140,$B$15:$B$140,$B$203,$D$15:$D$140,$D208,$O$15:$O$140,S$147)+SUMIFS($AQ$15:$AQ$140,$B$15:$B$140,$B$203,$D$15:$D$140,$D208,$W$15:$W$140,S$147)</f>
        <v>0</v>
      </c>
      <c r="T208">
        <f>SUM(H208:R208)</f>
        <v>0</v>
      </c>
      <c r="V208">
        <f>IF(F208&gt;0,G208/F208,0)</f>
        <v>0</v>
      </c>
      <c r="W208">
        <f>IF(F208&gt;0,T208/F208,0)</f>
        <v>0</v>
      </c>
    </row>
    <row r="209">
      <c r="D209" t="str">
        <v>K2A5</v>
      </c>
      <c r="F209">
        <f>SUMIFS($AO$15:$AO$140,$B$15:$B$140,$B$203,$D$15:$D$140,$D209)</f>
        <v>0</v>
      </c>
      <c r="G209">
        <f>SUMIFS($AT$15:$AT$140,$B$15:$B$140,$B$203,$D$15:$D$140,$D209)</f>
        <v>0</v>
      </c>
      <c r="H209">
        <f>SUMIFS($AR$15:$AR$140,$B$15:$B$140,$B$203,$D$15:$D$140,$D209,$AD$15:$AD$140,H$147)+SUMIFS($AS$15:$AS$140,$B$15:$B$140,$B$203,$D$15:$D$140,$D209,$AI$15:$AI$140,H$147)</f>
        <v>0</v>
      </c>
      <c r="I209">
        <f>SUMIFS($AR$15:$AR$140,$B$15:$B$140,$B$203,$D$15:$D$140,$D209,$AD$15:$AD$140,I$147)+SUMIFS($AS$15:$AS$140,$B$15:$B$140,$B$203,$D$15:$D$140,$D209,$AI$15:$AI$140,I$147)</f>
        <v>0</v>
      </c>
      <c r="J209">
        <f>SUMIFS($AR$15:$AR$140,$B$15:$B$140,$B$203,$D$15:$D$140,$D209,$AD$15:$AD$140,J$147)+SUMIFS($AS$15:$AS$140,$B$15:$B$140,$B$203,$D$15:$D$140,$D209,$AI$15:$AI$140,J$147)</f>
        <v>0</v>
      </c>
      <c r="K209">
        <f>SUMIFS($AR$15:$AR$140,$B$15:$B$140,$B$203,$D$15:$D$140,$D209,$AD$15:$AD$140,K$147)+SUMIFS($AS$15:$AS$140,$B$15:$B$140,$B$203,$D$15:$D$140,$D209,$AI$15:$AI$140,K$147)</f>
        <v>0</v>
      </c>
      <c r="L209">
        <f>SUMIFS($AP$15:$AP$140,$B$15:$B$140,$B$203,$D$15:$D$140,$D209,$O$15:$O$140,L$147)+SUMIFS($AQ$15:$AQ$140,$B$15:$B$140,$B$203,$D$15:$D$140,$D209,$W$15:$W$140,L$147)</f>
        <v>0</v>
      </c>
      <c r="M209">
        <f>SUMIFS($AP$15:$AP$140,$B$15:$B$140,$B$203,$D$15:$D$140,$D209,$O$15:$O$140,M$147)+SUMIFS($AQ$15:$AQ$140,$B$15:$B$140,$B$203,$D$15:$D$140,$D209,$W$15:$W$140,M$147)</f>
        <v>0</v>
      </c>
      <c r="N209">
        <f>SUMIFS($AP$15:$AP$140,$B$15:$B$140,$B$203,$D$15:$D$140,$D209,$O$15:$O$140,N$147)+SUMIFS($AQ$15:$AQ$140,$B$15:$B$140,$B$203,$D$15:$D$140,$D209,$W$15:$W$140,N$147)</f>
        <v>0</v>
      </c>
      <c r="O209">
        <f>SUMIFS($AP$15:$AP$140,$B$15:$B$140,$B$203,$D$15:$D$140,$D209,$O$15:$O$140,O$147)+SUMIFS($AQ$15:$AQ$140,$B$15:$B$140,$B$203,$D$15:$D$140,$D209,$W$15:$W$140,O$147)</f>
        <v>0</v>
      </c>
      <c r="P209">
        <f>SUMIFS($AP$15:$AP$140,$B$15:$B$140,$B$203,$D$15:$D$140,$D209,$O$15:$O$140,P$147)+SUMIFS($AQ$15:$AQ$140,$B$15:$B$140,$B$203,$D$15:$D$140,$D209,$W$15:$W$140,P$147)</f>
        <v>0</v>
      </c>
      <c r="Q209">
        <f>SUMIFS($AP$15:$AP$140,$B$15:$B$140,$B$203,$D$15:$D$140,$D209,$O$15:$O$140,Q$147)+SUMIFS($AQ$15:$AQ$140,$B$15:$B$140,$B$203,$D$15:$D$140,$D209,$W$15:$W$140,Q$147)</f>
        <v>0</v>
      </c>
      <c r="R209">
        <f>SUMIFS($AP$15:$AP$140,$B$15:$B$140,$B$203,$D$15:$D$140,$D209,$O$15:$O$140,R$147)+SUMIFS($AQ$15:$AQ$140,$B$15:$B$140,$B$203,$D$15:$D$140,$D209,$W$15:$W$140,R$147)</f>
        <v>0</v>
      </c>
      <c r="S209">
        <f>SUMIFS($AP$15:$AP$140,$B$15:$B$140,$B$203,$D$15:$D$140,$D209,$O$15:$O$140,S$147)+SUMIFS($AQ$15:$AQ$140,$B$15:$B$140,$B$203,$D$15:$D$140,$D209,$W$15:$W$140,S$147)</f>
        <v>0</v>
      </c>
      <c r="T209">
        <f>SUM(H209:R209)</f>
        <v>0</v>
      </c>
      <c r="V209">
        <f>IF(F209&gt;0,G209/F209,0)</f>
        <v>0</v>
      </c>
      <c r="W209">
        <f>IF(F209&gt;0,T209/F209,0)</f>
        <v>0</v>
      </c>
    </row>
    <row r="210">
      <c r="D210" t="str">
        <v>K2A6</v>
      </c>
      <c r="F210">
        <f>SUMIFS($AO$15:$AO$140,$B$15:$B$140,$B$203,$D$15:$D$140,$D210)</f>
        <v>0</v>
      </c>
      <c r="G210">
        <f>SUMIFS($AT$15:$AT$140,$B$15:$B$140,$B$203,$D$15:$D$140,$D210)</f>
        <v>0</v>
      </c>
      <c r="H210">
        <f>SUMIFS($AR$15:$AR$140,$B$15:$B$140,$B$203,$D$15:$D$140,$D210,$AD$15:$AD$140,H$147)+SUMIFS($AS$15:$AS$140,$B$15:$B$140,$B$203,$D$15:$D$140,$D210,$AI$15:$AI$140,H$147)</f>
        <v>0</v>
      </c>
      <c r="I210">
        <f>SUMIFS($AR$15:$AR$140,$B$15:$B$140,$B$203,$D$15:$D$140,$D210,$AD$15:$AD$140,I$147)+SUMIFS($AS$15:$AS$140,$B$15:$B$140,$B$203,$D$15:$D$140,$D210,$AI$15:$AI$140,I$147)</f>
        <v>0</v>
      </c>
      <c r="J210">
        <f>SUMIFS($AR$15:$AR$140,$B$15:$B$140,$B$203,$D$15:$D$140,$D210,$AD$15:$AD$140,J$147)+SUMIFS($AS$15:$AS$140,$B$15:$B$140,$B$203,$D$15:$D$140,$D210,$AI$15:$AI$140,J$147)</f>
        <v>0</v>
      </c>
      <c r="K210">
        <f>SUMIFS($AR$15:$AR$140,$B$15:$B$140,$B$203,$D$15:$D$140,$D210,$AD$15:$AD$140,K$147)+SUMIFS($AS$15:$AS$140,$B$15:$B$140,$B$203,$D$15:$D$140,$D210,$AI$15:$AI$140,K$147)</f>
        <v>0</v>
      </c>
      <c r="L210">
        <f>SUMIFS($AP$15:$AP$140,$B$15:$B$140,$B$203,$D$15:$D$140,$D210,$O$15:$O$140,L$147)+SUMIFS($AQ$15:$AQ$140,$B$15:$B$140,$B$203,$D$15:$D$140,$D210,$W$15:$W$140,L$147)</f>
        <v>0</v>
      </c>
      <c r="M210">
        <f>SUMIFS($AP$15:$AP$140,$B$15:$B$140,$B$203,$D$15:$D$140,$D210,$O$15:$O$140,M$147)+SUMIFS($AQ$15:$AQ$140,$B$15:$B$140,$B$203,$D$15:$D$140,$D210,$W$15:$W$140,M$147)</f>
        <v>0</v>
      </c>
      <c r="N210">
        <f>SUMIFS($AP$15:$AP$140,$B$15:$B$140,$B$203,$D$15:$D$140,$D210,$O$15:$O$140,N$147)+SUMIFS($AQ$15:$AQ$140,$B$15:$B$140,$B$203,$D$15:$D$140,$D210,$W$15:$W$140,N$147)</f>
        <v>0</v>
      </c>
      <c r="O210">
        <f>SUMIFS($AP$15:$AP$140,$B$15:$B$140,$B$203,$D$15:$D$140,$D210,$O$15:$O$140,O$147)+SUMIFS($AQ$15:$AQ$140,$B$15:$B$140,$B$203,$D$15:$D$140,$D210,$W$15:$W$140,O$147)</f>
        <v>0</v>
      </c>
      <c r="P210">
        <f>SUMIFS($AP$15:$AP$140,$B$15:$B$140,$B$203,$D$15:$D$140,$D210,$O$15:$O$140,P$147)+SUMIFS($AQ$15:$AQ$140,$B$15:$B$140,$B$203,$D$15:$D$140,$D210,$W$15:$W$140,P$147)</f>
        <v>0</v>
      </c>
      <c r="Q210">
        <f>SUMIFS($AP$15:$AP$140,$B$15:$B$140,$B$203,$D$15:$D$140,$D210,$O$15:$O$140,Q$147)+SUMIFS($AQ$15:$AQ$140,$B$15:$B$140,$B$203,$D$15:$D$140,$D210,$W$15:$W$140,Q$147)</f>
        <v>0</v>
      </c>
      <c r="R210">
        <f>SUMIFS($AP$15:$AP$140,$B$15:$B$140,$B$203,$D$15:$D$140,$D210,$O$15:$O$140,R$147)+SUMIFS($AQ$15:$AQ$140,$B$15:$B$140,$B$203,$D$15:$D$140,$D210,$W$15:$W$140,R$147)</f>
        <v>0</v>
      </c>
      <c r="S210">
        <f>SUMIFS($AP$15:$AP$140,$B$15:$B$140,$B$203,$D$15:$D$140,$D210,$O$15:$O$140,S$147)+SUMIFS($AQ$15:$AQ$140,$B$15:$B$140,$B$203,$D$15:$D$140,$D210,$W$15:$W$140,S$147)</f>
        <v>0</v>
      </c>
      <c r="T210">
        <f>SUM(H210:R210)</f>
        <v>0</v>
      </c>
      <c r="V210">
        <f>IF(F210&gt;0,G210/F210,0)</f>
        <v>0</v>
      </c>
      <c r="W210">
        <f>IF(F210&gt;0,T210/F210,0)</f>
        <v>0</v>
      </c>
    </row>
    <row r="211">
      <c r="D211" t="str">
        <v>K4</v>
      </c>
      <c r="F211">
        <f>SUMIFS($AO$15:$AO$140,$B$15:$B$140,$B$203,$D$15:$D$140,$D211)</f>
        <v>0</v>
      </c>
      <c r="G211">
        <f>SUMIFS($AT$15:$AT$140,$B$15:$B$140,$B$203,$D$15:$D$140,$D211)</f>
        <v>0</v>
      </c>
      <c r="H211">
        <f>SUMIFS($AR$15:$AR$140,$B$15:$B$140,$B$203,$D$15:$D$140,$D211,$AD$15:$AD$140,H$147)+SUMIFS($AS$15:$AS$140,$B$15:$B$140,$B$203,$D$15:$D$140,$D211,$AI$15:$AI$140,H$147)</f>
        <v>0</v>
      </c>
      <c r="I211">
        <f>SUMIFS($AR$15:$AR$140,$B$15:$B$140,$B$203,$D$15:$D$140,$D211,$AD$15:$AD$140,I$147)+SUMIFS($AS$15:$AS$140,$B$15:$B$140,$B$203,$D$15:$D$140,$D211,$AI$15:$AI$140,I$147)</f>
        <v>0</v>
      </c>
      <c r="J211">
        <f>SUMIFS($AR$15:$AR$140,$B$15:$B$140,$B$203,$D$15:$D$140,$D211,$AD$15:$AD$140,J$147)+SUMIFS($AS$15:$AS$140,$B$15:$B$140,$B$203,$D$15:$D$140,$D211,$AI$15:$AI$140,J$147)</f>
        <v>0</v>
      </c>
      <c r="K211">
        <f>SUMIFS($AR$15:$AR$140,$B$15:$B$140,$B$203,$D$15:$D$140,$D211,$AD$15:$AD$140,K$147)+SUMIFS($AS$15:$AS$140,$B$15:$B$140,$B$203,$D$15:$D$140,$D211,$AI$15:$AI$140,K$147)</f>
        <v>0</v>
      </c>
      <c r="L211">
        <f>SUMIFS($AP$15:$AP$140,$B$15:$B$140,$B$203,$D$15:$D$140,$D211,$O$15:$O$140,L$147)+SUMIFS($AQ$15:$AQ$140,$B$15:$B$140,$B$203,$D$15:$D$140,$D211,$W$15:$W$140,L$147)</f>
        <v>0</v>
      </c>
      <c r="M211">
        <f>SUMIFS($AP$15:$AP$140,$B$15:$B$140,$B$203,$D$15:$D$140,$D211,$O$15:$O$140,M$147)+SUMIFS($AQ$15:$AQ$140,$B$15:$B$140,$B$203,$D$15:$D$140,$D211,$W$15:$W$140,M$147)</f>
        <v>0</v>
      </c>
      <c r="N211">
        <f>SUMIFS($AP$15:$AP$140,$B$15:$B$140,$B$203,$D$15:$D$140,$D211,$O$15:$O$140,N$147)+SUMIFS($AQ$15:$AQ$140,$B$15:$B$140,$B$203,$D$15:$D$140,$D211,$W$15:$W$140,N$147)</f>
        <v>0</v>
      </c>
      <c r="O211">
        <f>SUMIFS($AP$15:$AP$140,$B$15:$B$140,$B$203,$D$15:$D$140,$D211,$O$15:$O$140,O$147)+SUMIFS($AQ$15:$AQ$140,$B$15:$B$140,$B$203,$D$15:$D$140,$D211,$W$15:$W$140,O$147)</f>
        <v>0</v>
      </c>
      <c r="P211">
        <f>SUMIFS($AP$15:$AP$140,$B$15:$B$140,$B$203,$D$15:$D$140,$D211,$O$15:$O$140,P$147)+SUMIFS($AQ$15:$AQ$140,$B$15:$B$140,$B$203,$D$15:$D$140,$D211,$W$15:$W$140,P$147)</f>
        <v>0</v>
      </c>
      <c r="Q211">
        <f>SUMIFS($AP$15:$AP$140,$B$15:$B$140,$B$203,$D$15:$D$140,$D211,$O$15:$O$140,Q$147)+SUMIFS($AQ$15:$AQ$140,$B$15:$B$140,$B$203,$D$15:$D$140,$D211,$W$15:$W$140,Q$147)</f>
        <v>0</v>
      </c>
      <c r="R211">
        <f>SUMIFS($AP$15:$AP$140,$B$15:$B$140,$B$203,$D$15:$D$140,$D211,$O$15:$O$140,R$147)+SUMIFS($AQ$15:$AQ$140,$B$15:$B$140,$B$203,$D$15:$D$140,$D211,$W$15:$W$140,R$147)</f>
        <v>0</v>
      </c>
      <c r="S211">
        <f>SUMIFS($AP$15:$AP$140,$B$15:$B$140,$B$203,$D$15:$D$140,$D211,$O$15:$O$140,S$147)+SUMIFS($AQ$15:$AQ$140,$B$15:$B$140,$B$203,$D$15:$D$140,$D211,$W$15:$W$140,S$147)</f>
        <v>0</v>
      </c>
      <c r="T211">
        <f>SUM(H211:R211)</f>
        <v>0</v>
      </c>
      <c r="V211">
        <f>IF(F211&gt;0,G211/F211,0)</f>
        <v>0</v>
      </c>
      <c r="W211">
        <f>IF(F211&gt;0,T211/F211,0)</f>
        <v>0</v>
      </c>
    </row>
    <row r="212">
      <c r="D212" t="str">
        <v>K5</v>
      </c>
      <c r="F212">
        <f>SUMIFS($AO$15:$AO$140,$B$15:$B$140,$B$203,$D$15:$D$140,$D212)</f>
        <v>0</v>
      </c>
      <c r="G212">
        <f>SUMIFS($AT$15:$AT$140,$B$15:$B$140,$B$203,$D$15:$D$140,$D212)</f>
        <v>0</v>
      </c>
      <c r="H212">
        <f>SUMIFS($AR$15:$AR$140,$B$15:$B$140,$B$203,$D$15:$D$140,$D212,$AD$15:$AD$140,H$147)+SUMIFS($AS$15:$AS$140,$B$15:$B$140,$B$203,$D$15:$D$140,$D212,$AI$15:$AI$140,H$147)</f>
        <v>0</v>
      </c>
      <c r="I212">
        <f>SUMIFS($AR$15:$AR$140,$B$15:$B$140,$B$203,$D$15:$D$140,$D212,$AD$15:$AD$140,I$147)+SUMIFS($AS$15:$AS$140,$B$15:$B$140,$B$203,$D$15:$D$140,$D212,$AI$15:$AI$140,I$147)</f>
        <v>0</v>
      </c>
      <c r="J212">
        <f>SUMIFS($AR$15:$AR$140,$B$15:$B$140,$B$203,$D$15:$D$140,$D212,$AD$15:$AD$140,J$147)+SUMIFS($AS$15:$AS$140,$B$15:$B$140,$B$203,$D$15:$D$140,$D212,$AI$15:$AI$140,J$147)</f>
        <v>0</v>
      </c>
      <c r="K212">
        <f>SUMIFS($AR$15:$AR$140,$B$15:$B$140,$B$203,$D$15:$D$140,$D212,$AD$15:$AD$140,K$147)+SUMIFS($AS$15:$AS$140,$B$15:$B$140,$B$203,$D$15:$D$140,$D212,$AI$15:$AI$140,K$147)</f>
        <v>0</v>
      </c>
      <c r="L212">
        <f>SUMIFS($AP$15:$AP$140,$B$15:$B$140,$B$203,$D$15:$D$140,$D212,$O$15:$O$140,L$147)+SUMIFS($AQ$15:$AQ$140,$B$15:$B$140,$B$203,$D$15:$D$140,$D212,$W$15:$W$140,L$147)</f>
        <v>0</v>
      </c>
      <c r="M212">
        <f>SUMIFS($AP$15:$AP$140,$B$15:$B$140,$B$203,$D$15:$D$140,$D212,$O$15:$O$140,M$147)+SUMIFS($AQ$15:$AQ$140,$B$15:$B$140,$B$203,$D$15:$D$140,$D212,$W$15:$W$140,M$147)</f>
        <v>0</v>
      </c>
      <c r="N212">
        <f>SUMIFS($AP$15:$AP$140,$B$15:$B$140,$B$203,$D$15:$D$140,$D212,$O$15:$O$140,N$147)+SUMIFS($AQ$15:$AQ$140,$B$15:$B$140,$B$203,$D$15:$D$140,$D212,$W$15:$W$140,N$147)</f>
        <v>0</v>
      </c>
      <c r="O212">
        <f>SUMIFS($AP$15:$AP$140,$B$15:$B$140,$B$203,$D$15:$D$140,$D212,$O$15:$O$140,O$147)+SUMIFS($AQ$15:$AQ$140,$B$15:$B$140,$B$203,$D$15:$D$140,$D212,$W$15:$W$140,O$147)</f>
        <v>0</v>
      </c>
      <c r="P212">
        <f>SUMIFS($AP$15:$AP$140,$B$15:$B$140,$B$203,$D$15:$D$140,$D212,$O$15:$O$140,P$147)+SUMIFS($AQ$15:$AQ$140,$B$15:$B$140,$B$203,$D$15:$D$140,$D212,$W$15:$W$140,P$147)</f>
        <v>0</v>
      </c>
      <c r="Q212">
        <f>SUMIFS($AP$15:$AP$140,$B$15:$B$140,$B$203,$D$15:$D$140,$D212,$O$15:$O$140,Q$147)+SUMIFS($AQ$15:$AQ$140,$B$15:$B$140,$B$203,$D$15:$D$140,$D212,$W$15:$W$140,Q$147)</f>
        <v>0</v>
      </c>
      <c r="R212">
        <f>SUMIFS($AP$15:$AP$140,$B$15:$B$140,$B$203,$D$15:$D$140,$D212,$O$15:$O$140,R$147)+SUMIFS($AQ$15:$AQ$140,$B$15:$B$140,$B$203,$D$15:$D$140,$D212,$W$15:$W$140,R$147)</f>
        <v>0</v>
      </c>
      <c r="S212">
        <f>SUMIFS($AP$15:$AP$140,$B$15:$B$140,$B$203,$D$15:$D$140,$D212,$O$15:$O$140,S$147)+SUMIFS($AQ$15:$AQ$140,$B$15:$B$140,$B$203,$D$15:$D$140,$D212,$W$15:$W$140,S$147)</f>
        <v>0</v>
      </c>
      <c r="T212">
        <f>SUM(H212:R212)</f>
        <v>0</v>
      </c>
      <c r="V212">
        <f>IF(F212&gt;0,G212/F212,0)</f>
        <v>0</v>
      </c>
      <c r="W212">
        <f>IF(F212&gt;0,T212/F212,0)</f>
        <v>0</v>
      </c>
    </row>
    <row r="213">
      <c r="D213" t="str">
        <v>K6</v>
      </c>
      <c r="F213">
        <f>SUMIFS($AO$15:$AO$140,$B$15:$B$140,$B$203,$D$15:$D$140,$D213)</f>
        <v>0</v>
      </c>
      <c r="G213">
        <f>SUMIFS($AT$15:$AT$140,$B$15:$B$140,$B$203,$D$15:$D$140,$D213)</f>
        <v>0</v>
      </c>
      <c r="H213">
        <f>SUMIFS($AR$15:$AR$140,$B$15:$B$140,$B$203,$D$15:$D$140,$D213,$AD$15:$AD$140,H$147)+SUMIFS($AS$15:$AS$140,$B$15:$B$140,$B$203,$D$15:$D$140,$D213,$AI$15:$AI$140,H$147)</f>
        <v>0</v>
      </c>
      <c r="I213">
        <f>SUMIFS($AR$15:$AR$140,$B$15:$B$140,$B$203,$D$15:$D$140,$D213,$AD$15:$AD$140,I$147)+SUMIFS($AS$15:$AS$140,$B$15:$B$140,$B$203,$D$15:$D$140,$D213,$AI$15:$AI$140,I$147)</f>
        <v>0</v>
      </c>
      <c r="J213">
        <f>SUMIFS($AR$15:$AR$140,$B$15:$B$140,$B$203,$D$15:$D$140,$D213,$AD$15:$AD$140,J$147)+SUMIFS($AS$15:$AS$140,$B$15:$B$140,$B$203,$D$15:$D$140,$D213,$AI$15:$AI$140,J$147)</f>
        <v>0</v>
      </c>
      <c r="K213">
        <f>SUMIFS($AR$15:$AR$140,$B$15:$B$140,$B$203,$D$15:$D$140,$D213,$AD$15:$AD$140,K$147)+SUMIFS($AS$15:$AS$140,$B$15:$B$140,$B$203,$D$15:$D$140,$D213,$AI$15:$AI$140,K$147)</f>
        <v>0</v>
      </c>
      <c r="L213">
        <f>SUMIFS($AP$15:$AP$140,$B$15:$B$140,$B$203,$D$15:$D$140,$D213,$O$15:$O$140,L$147)+SUMIFS($AQ$15:$AQ$140,$B$15:$B$140,$B$203,$D$15:$D$140,$D213,$W$15:$W$140,L$147)</f>
        <v>0</v>
      </c>
      <c r="M213">
        <f>SUMIFS($AP$15:$AP$140,$B$15:$B$140,$B$203,$D$15:$D$140,$D213,$O$15:$O$140,M$147)+SUMIFS($AQ$15:$AQ$140,$B$15:$B$140,$B$203,$D$15:$D$140,$D213,$W$15:$W$140,M$147)</f>
        <v>0</v>
      </c>
      <c r="N213">
        <f>SUMIFS($AP$15:$AP$140,$B$15:$B$140,$B$203,$D$15:$D$140,$D213,$O$15:$O$140,N$147)+SUMIFS($AQ$15:$AQ$140,$B$15:$B$140,$B$203,$D$15:$D$140,$D213,$W$15:$W$140,N$147)</f>
        <v>0</v>
      </c>
      <c r="O213">
        <f>SUMIFS($AP$15:$AP$140,$B$15:$B$140,$B$203,$D$15:$D$140,$D213,$O$15:$O$140,O$147)+SUMIFS($AQ$15:$AQ$140,$B$15:$B$140,$B$203,$D$15:$D$140,$D213,$W$15:$W$140,O$147)</f>
        <v>0</v>
      </c>
      <c r="P213">
        <f>SUMIFS($AP$15:$AP$140,$B$15:$B$140,$B$203,$D$15:$D$140,$D213,$O$15:$O$140,P$147)+SUMIFS($AQ$15:$AQ$140,$B$15:$B$140,$B$203,$D$15:$D$140,$D213,$W$15:$W$140,P$147)</f>
        <v>0</v>
      </c>
      <c r="Q213">
        <f>SUMIFS($AP$15:$AP$140,$B$15:$B$140,$B$203,$D$15:$D$140,$D213,$O$15:$O$140,Q$147)+SUMIFS($AQ$15:$AQ$140,$B$15:$B$140,$B$203,$D$15:$D$140,$D213,$W$15:$W$140,Q$147)</f>
        <v>0</v>
      </c>
      <c r="R213">
        <f>SUMIFS($AP$15:$AP$140,$B$15:$B$140,$B$203,$D$15:$D$140,$D213,$O$15:$O$140,R$147)+SUMIFS($AQ$15:$AQ$140,$B$15:$B$140,$B$203,$D$15:$D$140,$D213,$W$15:$W$140,R$147)</f>
        <v>0</v>
      </c>
      <c r="S213">
        <f>SUMIFS($AP$15:$AP$140,$B$15:$B$140,$B$203,$D$15:$D$140,$D213,$O$15:$O$140,S$147)+SUMIFS($AQ$15:$AQ$140,$B$15:$B$140,$B$203,$D$15:$D$140,$D213,$W$15:$W$140,S$147)</f>
        <v>0</v>
      </c>
      <c r="T213">
        <f>SUM(H213:R213)</f>
        <v>0</v>
      </c>
      <c r="V213">
        <f>IF(F213&gt;0,G213/F213,0)</f>
        <v>0</v>
      </c>
      <c r="W213">
        <f>IF(F213&gt;0,T213/F213,0)</f>
        <v>0</v>
      </c>
    </row>
    <row r="214">
      <c r="D214" t="str">
        <v>K7</v>
      </c>
      <c r="F214">
        <f>SUMIFS($AO$15:$AO$140,$B$15:$B$140,$B$203,$D$15:$D$140,$D214)</f>
        <v>0</v>
      </c>
      <c r="G214">
        <f>SUMIFS($AT$15:$AT$140,$B$15:$B$140,$B$203,$D$15:$D$140,$D214)</f>
        <v>0</v>
      </c>
      <c r="H214">
        <f>SUMIFS($AR$15:$AR$140,$B$15:$B$140,$B$203,$D$15:$D$140,$D214,$AD$15:$AD$140,H$147)+SUMIFS($AS$15:$AS$140,$B$15:$B$140,$B$203,$D$15:$D$140,$D214,$AI$15:$AI$140,H$147)</f>
        <v>0</v>
      </c>
      <c r="I214">
        <f>SUMIFS($AR$15:$AR$140,$B$15:$B$140,$B$203,$D$15:$D$140,$D214,$AD$15:$AD$140,I$147)+SUMIFS($AS$15:$AS$140,$B$15:$B$140,$B$203,$D$15:$D$140,$D214,$AI$15:$AI$140,I$147)</f>
        <v>0</v>
      </c>
      <c r="J214">
        <f>SUMIFS($AR$15:$AR$140,$B$15:$B$140,$B$203,$D$15:$D$140,$D214,$AD$15:$AD$140,J$147)+SUMIFS($AS$15:$AS$140,$B$15:$B$140,$B$203,$D$15:$D$140,$D214,$AI$15:$AI$140,J$147)</f>
        <v>0</v>
      </c>
      <c r="K214">
        <f>SUMIFS($AR$15:$AR$140,$B$15:$B$140,$B$203,$D$15:$D$140,$D214,$AD$15:$AD$140,K$147)+SUMIFS($AS$15:$AS$140,$B$15:$B$140,$B$203,$D$15:$D$140,$D214,$AI$15:$AI$140,K$147)</f>
        <v>0</v>
      </c>
      <c r="L214">
        <f>SUMIFS($AP$15:$AP$140,$B$15:$B$140,$B$203,$D$15:$D$140,$D214,$O$15:$O$140,L$147)+SUMIFS($AQ$15:$AQ$140,$B$15:$B$140,$B$203,$D$15:$D$140,$D214,$W$15:$W$140,L$147)</f>
        <v>0</v>
      </c>
      <c r="M214">
        <f>SUMIFS($AP$15:$AP$140,$B$15:$B$140,$B$203,$D$15:$D$140,$D214,$O$15:$O$140,M$147)+SUMIFS($AQ$15:$AQ$140,$B$15:$B$140,$B$203,$D$15:$D$140,$D214,$W$15:$W$140,M$147)</f>
        <v>0</v>
      </c>
      <c r="N214">
        <f>SUMIFS($AP$15:$AP$140,$B$15:$B$140,$B$203,$D$15:$D$140,$D214,$O$15:$O$140,N$147)+SUMIFS($AQ$15:$AQ$140,$B$15:$B$140,$B$203,$D$15:$D$140,$D214,$W$15:$W$140,N$147)</f>
        <v>0</v>
      </c>
      <c r="O214">
        <f>SUMIFS($AP$15:$AP$140,$B$15:$B$140,$B$203,$D$15:$D$140,$D214,$O$15:$O$140,O$147)+SUMIFS($AQ$15:$AQ$140,$B$15:$B$140,$B$203,$D$15:$D$140,$D214,$W$15:$W$140,O$147)</f>
        <v>0</v>
      </c>
      <c r="P214">
        <f>SUMIFS($AP$15:$AP$140,$B$15:$B$140,$B$203,$D$15:$D$140,$D214,$O$15:$O$140,P$147)+SUMIFS($AQ$15:$AQ$140,$B$15:$B$140,$B$203,$D$15:$D$140,$D214,$W$15:$W$140,P$147)</f>
        <v>0</v>
      </c>
      <c r="Q214">
        <f>SUMIFS($AP$15:$AP$140,$B$15:$B$140,$B$203,$D$15:$D$140,$D214,$O$15:$O$140,Q$147)+SUMIFS($AQ$15:$AQ$140,$B$15:$B$140,$B$203,$D$15:$D$140,$D214,$W$15:$W$140,Q$147)</f>
        <v>0</v>
      </c>
      <c r="R214">
        <f>SUMIFS($AP$15:$AP$140,$B$15:$B$140,$B$203,$D$15:$D$140,$D214,$O$15:$O$140,R$147)+SUMIFS($AQ$15:$AQ$140,$B$15:$B$140,$B$203,$D$15:$D$140,$D214,$W$15:$W$140,R$147)</f>
        <v>0</v>
      </c>
      <c r="S214">
        <f>SUMIFS($AP$15:$AP$140,$B$15:$B$140,$B$203,$D$15:$D$140,$D214,$O$15:$O$140,S$147)+SUMIFS($AQ$15:$AQ$140,$B$15:$B$140,$B$203,$D$15:$D$140,$D214,$W$15:$W$140,S$147)</f>
        <v>0</v>
      </c>
      <c r="T214">
        <f>SUM(H214:R214)</f>
        <v>0</v>
      </c>
      <c r="V214">
        <f>IF(F214&gt;0,G214/F214,0)</f>
        <v>0</v>
      </c>
      <c r="W214">
        <f>IF(F214&gt;0,T214/F214,0)</f>
        <v>0</v>
      </c>
    </row>
    <row r="215">
      <c r="D215" t="str">
        <v>KB2A</v>
      </c>
      <c r="F215">
        <f>SUMIFS($AO$15:$AO$140,$B$15:$B$140,$B$203,$D$15:$D$140,$D215)</f>
        <v>0</v>
      </c>
      <c r="G215">
        <f>SUMIFS($AT$15:$AT$140,$B$15:$B$140,$B$203,$D$15:$D$140,$D215)</f>
        <v>0</v>
      </c>
      <c r="H215">
        <f>SUMIFS($AR$15:$AR$140,$B$15:$B$140,$B$203,$D$15:$D$140,$D215,$AD$15:$AD$140,H$147)+SUMIFS($AS$15:$AS$140,$B$15:$B$140,$B$203,$D$15:$D$140,$D215,$AI$15:$AI$140,H$147)</f>
        <v>0</v>
      </c>
      <c r="I215">
        <f>SUMIFS($AR$15:$AR$140,$B$15:$B$140,$B$203,$D$15:$D$140,$D215,$AD$15:$AD$140,I$147)+SUMIFS($AS$15:$AS$140,$B$15:$B$140,$B$203,$D$15:$D$140,$D215,$AI$15:$AI$140,I$147)</f>
        <v>0</v>
      </c>
      <c r="J215">
        <f>SUMIFS($AR$15:$AR$140,$B$15:$B$140,$B$203,$D$15:$D$140,$D215,$AD$15:$AD$140,J$147)+SUMIFS($AS$15:$AS$140,$B$15:$B$140,$B$203,$D$15:$D$140,$D215,$AI$15:$AI$140,J$147)</f>
        <v>0</v>
      </c>
      <c r="K215">
        <f>SUMIFS($AR$15:$AR$140,$B$15:$B$140,$B$203,$D$15:$D$140,$D215,$AD$15:$AD$140,K$147)+SUMIFS($AS$15:$AS$140,$B$15:$B$140,$B$203,$D$15:$D$140,$D215,$AI$15:$AI$140,K$147)</f>
        <v>0</v>
      </c>
      <c r="L215">
        <f>SUMIFS($AP$15:$AP$140,$B$15:$B$140,$B$203,$D$15:$D$140,$D215,$O$15:$O$140,L$147)+SUMIFS($AQ$15:$AQ$140,$B$15:$B$140,$B$203,$D$15:$D$140,$D215,$W$15:$W$140,L$147)</f>
        <v>0</v>
      </c>
      <c r="M215">
        <f>SUMIFS($AP$15:$AP$140,$B$15:$B$140,$B$203,$D$15:$D$140,$D215,$O$15:$O$140,M$147)+SUMIFS($AQ$15:$AQ$140,$B$15:$B$140,$B$203,$D$15:$D$140,$D215,$W$15:$W$140,M$147)</f>
        <v>0</v>
      </c>
      <c r="N215">
        <f>SUMIFS($AP$15:$AP$140,$B$15:$B$140,$B$203,$D$15:$D$140,$D215,$O$15:$O$140,N$147)+SUMIFS($AQ$15:$AQ$140,$B$15:$B$140,$B$203,$D$15:$D$140,$D215,$W$15:$W$140,N$147)</f>
        <v>0</v>
      </c>
      <c r="O215">
        <f>SUMIFS($AP$15:$AP$140,$B$15:$B$140,$B$203,$D$15:$D$140,$D215,$O$15:$O$140,O$147)+SUMIFS($AQ$15:$AQ$140,$B$15:$B$140,$B$203,$D$15:$D$140,$D215,$W$15:$W$140,O$147)</f>
        <v>0</v>
      </c>
      <c r="P215">
        <f>SUMIFS($AP$15:$AP$140,$B$15:$B$140,$B$203,$D$15:$D$140,$D215,$O$15:$O$140,P$147)+SUMIFS($AQ$15:$AQ$140,$B$15:$B$140,$B$203,$D$15:$D$140,$D215,$W$15:$W$140,P$147)</f>
        <v>0</v>
      </c>
      <c r="Q215">
        <f>SUMIFS($AP$15:$AP$140,$B$15:$B$140,$B$203,$D$15:$D$140,$D215,$O$15:$O$140,Q$147)+SUMIFS($AQ$15:$AQ$140,$B$15:$B$140,$B$203,$D$15:$D$140,$D215,$W$15:$W$140,Q$147)</f>
        <v>0</v>
      </c>
      <c r="R215">
        <f>SUMIFS($AP$15:$AP$140,$B$15:$B$140,$B$203,$D$15:$D$140,$D215,$O$15:$O$140,R$147)+SUMIFS($AQ$15:$AQ$140,$B$15:$B$140,$B$203,$D$15:$D$140,$D215,$W$15:$W$140,R$147)</f>
        <v>0</v>
      </c>
      <c r="S215">
        <f>SUMIFS($AP$15:$AP$140,$B$15:$B$140,$B$203,$D$15:$D$140,$D215,$O$15:$O$140,S$147)+SUMIFS($AQ$15:$AQ$140,$B$15:$B$140,$B$203,$D$15:$D$140,$D215,$W$15:$W$140,S$147)</f>
        <v>0</v>
      </c>
      <c r="T215">
        <f>SUM(H215:R215)</f>
        <v>0</v>
      </c>
      <c r="V215">
        <f>IF(F215&gt;0,G215/F215,0)</f>
        <v>0</v>
      </c>
      <c r="W215">
        <f>IF(F215&gt;0,T215/F215,0)</f>
        <v>0</v>
      </c>
    </row>
    <row r="216">
      <c r="D216" t="str">
        <v>KL55</v>
      </c>
      <c r="F216">
        <f>SUMIFS($AO$15:$AO$140,$B$15:$B$140,$B$203,$D$15:$D$140,$D216)</f>
        <v>0</v>
      </c>
      <c r="G216">
        <f>SUMIFS($AT$15:$AT$140,$B$15:$B$140,$B$203,$D$15:$D$140,$D216)</f>
        <v>0</v>
      </c>
      <c r="H216">
        <f>SUMIFS($AR$15:$AR$140,$B$15:$B$140,$B$203,$D$15:$D$140,$D216,$AD$15:$AD$140,H$147)+SUMIFS($AS$15:$AS$140,$B$15:$B$140,$B$203,$D$15:$D$140,$D216,$AI$15:$AI$140,H$147)</f>
        <v>0</v>
      </c>
      <c r="I216">
        <f>SUMIFS($AR$15:$AR$140,$B$15:$B$140,$B$203,$D$15:$D$140,$D216,$AD$15:$AD$140,I$147)+SUMIFS($AS$15:$AS$140,$B$15:$B$140,$B$203,$D$15:$D$140,$D216,$AI$15:$AI$140,I$147)</f>
        <v>0</v>
      </c>
      <c r="J216">
        <f>SUMIFS($AR$15:$AR$140,$B$15:$B$140,$B$203,$D$15:$D$140,$D216,$AD$15:$AD$140,J$147)+SUMIFS($AS$15:$AS$140,$B$15:$B$140,$B$203,$D$15:$D$140,$D216,$AI$15:$AI$140,J$147)</f>
        <v>0</v>
      </c>
      <c r="K216">
        <f>SUMIFS($AR$15:$AR$140,$B$15:$B$140,$B$203,$D$15:$D$140,$D216,$AD$15:$AD$140,K$147)+SUMIFS($AS$15:$AS$140,$B$15:$B$140,$B$203,$D$15:$D$140,$D216,$AI$15:$AI$140,K$147)</f>
        <v>0</v>
      </c>
      <c r="L216">
        <f>SUMIFS($AP$15:$AP$140,$B$15:$B$140,$B$203,$D$15:$D$140,$D216,$O$15:$O$140,L$147)+SUMIFS($AQ$15:$AQ$140,$B$15:$B$140,$B$203,$D$15:$D$140,$D216,$W$15:$W$140,L$147)</f>
        <v>0</v>
      </c>
      <c r="M216">
        <f>SUMIFS($AP$15:$AP$140,$B$15:$B$140,$B$203,$D$15:$D$140,$D216,$O$15:$O$140,M$147)+SUMIFS($AQ$15:$AQ$140,$B$15:$B$140,$B$203,$D$15:$D$140,$D216,$W$15:$W$140,M$147)</f>
        <v>0</v>
      </c>
      <c r="N216">
        <f>SUMIFS($AP$15:$AP$140,$B$15:$B$140,$B$203,$D$15:$D$140,$D216,$O$15:$O$140,N$147)+SUMIFS($AQ$15:$AQ$140,$B$15:$B$140,$B$203,$D$15:$D$140,$D216,$W$15:$W$140,N$147)</f>
        <v>0</v>
      </c>
      <c r="O216">
        <f>SUMIFS($AP$15:$AP$140,$B$15:$B$140,$B$203,$D$15:$D$140,$D216,$O$15:$O$140,O$147)+SUMIFS($AQ$15:$AQ$140,$B$15:$B$140,$B$203,$D$15:$D$140,$D216,$W$15:$W$140,O$147)</f>
        <v>0</v>
      </c>
      <c r="P216">
        <f>SUMIFS($AP$15:$AP$140,$B$15:$B$140,$B$203,$D$15:$D$140,$D216,$O$15:$O$140,P$147)+SUMIFS($AQ$15:$AQ$140,$B$15:$B$140,$B$203,$D$15:$D$140,$D216,$W$15:$W$140,P$147)</f>
        <v>0</v>
      </c>
      <c r="Q216">
        <f>SUMIFS($AP$15:$AP$140,$B$15:$B$140,$B$203,$D$15:$D$140,$D216,$O$15:$O$140,Q$147)+SUMIFS($AQ$15:$AQ$140,$B$15:$B$140,$B$203,$D$15:$D$140,$D216,$W$15:$W$140,Q$147)</f>
        <v>0</v>
      </c>
      <c r="R216">
        <f>SUMIFS($AP$15:$AP$140,$B$15:$B$140,$B$203,$D$15:$D$140,$D216,$O$15:$O$140,R$147)+SUMIFS($AQ$15:$AQ$140,$B$15:$B$140,$B$203,$D$15:$D$140,$D216,$W$15:$W$140,R$147)</f>
        <v>0</v>
      </c>
      <c r="S216">
        <f>SUMIFS($AP$15:$AP$140,$B$15:$B$140,$B$203,$D$15:$D$140,$D216,$O$15:$O$140,S$147)+SUMIFS($AQ$15:$AQ$140,$B$15:$B$140,$B$203,$D$15:$D$140,$D216,$W$15:$W$140,S$147)</f>
        <v>0</v>
      </c>
      <c r="T216">
        <f>SUM(H216:R216)</f>
        <v>0</v>
      </c>
      <c r="V216">
        <f>IF(F216&gt;0,G216/F216,0)</f>
        <v>0</v>
      </c>
      <c r="W216">
        <f>IF(F216&gt;0,T216/F216,0)</f>
        <v>0</v>
      </c>
    </row>
    <row r="217">
      <c r="D217" t="str">
        <v>KL66</v>
      </c>
      <c r="F217">
        <f>SUMIFS($AO$15:$AO$140,$B$15:$B$140,$B$203,$D$15:$D$140,$D217)</f>
        <v>0</v>
      </c>
      <c r="G217">
        <f>SUMIFS($AT$15:$AT$140,$B$15:$B$140,$B$203,$D$15:$D$140,$D217)</f>
        <v>0</v>
      </c>
      <c r="H217">
        <f>SUMIFS($AR$15:$AR$140,$B$15:$B$140,$B$203,$D$15:$D$140,$D217,$AD$15:$AD$140,H$147)+SUMIFS($AS$15:$AS$140,$B$15:$B$140,$B$203,$D$15:$D$140,$D217,$AI$15:$AI$140,H$147)</f>
        <v>0</v>
      </c>
      <c r="I217">
        <f>SUMIFS($AR$15:$AR$140,$B$15:$B$140,$B$203,$D$15:$D$140,$D217,$AD$15:$AD$140,I$147)+SUMIFS($AS$15:$AS$140,$B$15:$B$140,$B$203,$D$15:$D$140,$D217,$AI$15:$AI$140,I$147)</f>
        <v>0</v>
      </c>
      <c r="J217">
        <f>SUMIFS($AR$15:$AR$140,$B$15:$B$140,$B$203,$D$15:$D$140,$D217,$AD$15:$AD$140,J$147)+SUMIFS($AS$15:$AS$140,$B$15:$B$140,$B$203,$D$15:$D$140,$D217,$AI$15:$AI$140,J$147)</f>
        <v>0</v>
      </c>
      <c r="K217">
        <f>SUMIFS($AR$15:$AR$140,$B$15:$B$140,$B$203,$D$15:$D$140,$D217,$AD$15:$AD$140,K$147)+SUMIFS($AS$15:$AS$140,$B$15:$B$140,$B$203,$D$15:$D$140,$D217,$AI$15:$AI$140,K$147)</f>
        <v>0</v>
      </c>
      <c r="L217">
        <f>SUMIFS($AP$15:$AP$140,$B$15:$B$140,$B$203,$D$15:$D$140,$D217,$O$15:$O$140,L$147)+SUMIFS($AQ$15:$AQ$140,$B$15:$B$140,$B$203,$D$15:$D$140,$D217,$W$15:$W$140,L$147)</f>
        <v>0</v>
      </c>
      <c r="M217">
        <f>SUMIFS($AP$15:$AP$140,$B$15:$B$140,$B$203,$D$15:$D$140,$D217,$O$15:$O$140,M$147)+SUMIFS($AQ$15:$AQ$140,$B$15:$B$140,$B$203,$D$15:$D$140,$D217,$W$15:$W$140,M$147)</f>
        <v>0</v>
      </c>
      <c r="N217">
        <f>SUMIFS($AP$15:$AP$140,$B$15:$B$140,$B$203,$D$15:$D$140,$D217,$O$15:$O$140,N$147)+SUMIFS($AQ$15:$AQ$140,$B$15:$B$140,$B$203,$D$15:$D$140,$D217,$W$15:$W$140,N$147)</f>
        <v>0</v>
      </c>
      <c r="O217">
        <f>SUMIFS($AP$15:$AP$140,$B$15:$B$140,$B$203,$D$15:$D$140,$D217,$O$15:$O$140,O$147)+SUMIFS($AQ$15:$AQ$140,$B$15:$B$140,$B$203,$D$15:$D$140,$D217,$W$15:$W$140,O$147)</f>
        <v>0</v>
      </c>
      <c r="P217">
        <f>SUMIFS($AP$15:$AP$140,$B$15:$B$140,$B$203,$D$15:$D$140,$D217,$O$15:$O$140,P$147)+SUMIFS($AQ$15:$AQ$140,$B$15:$B$140,$B$203,$D$15:$D$140,$D217,$W$15:$W$140,P$147)</f>
        <v>0</v>
      </c>
      <c r="Q217">
        <f>SUMIFS($AP$15:$AP$140,$B$15:$B$140,$B$203,$D$15:$D$140,$D217,$O$15:$O$140,Q$147)+SUMIFS($AQ$15:$AQ$140,$B$15:$B$140,$B$203,$D$15:$D$140,$D217,$W$15:$W$140,Q$147)</f>
        <v>0</v>
      </c>
      <c r="R217">
        <f>SUMIFS($AP$15:$AP$140,$B$15:$B$140,$B$203,$D$15:$D$140,$D217,$O$15:$O$140,R$147)+SUMIFS($AQ$15:$AQ$140,$B$15:$B$140,$B$203,$D$15:$D$140,$D217,$W$15:$W$140,R$147)</f>
        <v>0</v>
      </c>
      <c r="S217">
        <f>SUMIFS($AP$15:$AP$140,$B$15:$B$140,$B$203,$D$15:$D$140,$D217,$O$15:$O$140,S$147)+SUMIFS($AQ$15:$AQ$140,$B$15:$B$140,$B$203,$D$15:$D$140,$D217,$W$15:$W$140,S$147)</f>
        <v>0</v>
      </c>
      <c r="T217">
        <f>SUM(H217:R217)</f>
        <v>0</v>
      </c>
      <c r="V217">
        <f>IF(F217&gt;0,G217/F217,0)</f>
        <v>0</v>
      </c>
      <c r="W217">
        <f>IF(F217&gt;0,T217/F217,0)</f>
        <v>0</v>
      </c>
    </row>
    <row r="219">
      <c r="B219" t="str">
        <v>Subtotal Lantai Atap</v>
      </c>
      <c r="F219">
        <f>SUM(F203:F218)</f>
        <v>0.312</v>
      </c>
      <c r="G219">
        <f>SUM(G203:G218)</f>
        <v>6.360000000000001</v>
      </c>
      <c r="H219">
        <f>SUM(H203:H218)</f>
        <v>0</v>
      </c>
      <c r="I219">
        <f>SUM(I203:I218)</f>
        <v>42.72345000000001</v>
      </c>
      <c r="J219">
        <f>SUM(J203:J218)</f>
        <v>0</v>
      </c>
      <c r="K219">
        <f>SUM(K203:K218)</f>
        <v>0</v>
      </c>
      <c r="L219">
        <f>SUM(L203:L218)</f>
        <v>0</v>
      </c>
      <c r="M219">
        <f>SUM(M203:M218)</f>
        <v>0</v>
      </c>
      <c r="N219">
        <f>SUM(N203:N218)</f>
        <v>103.04644608000001</v>
      </c>
      <c r="O219">
        <f>SUM(O203:O218)</f>
        <v>0</v>
      </c>
      <c r="P219">
        <f>SUM(P203:P218)</f>
        <v>0</v>
      </c>
      <c r="Q219">
        <f>SUM(Q203:Q218)</f>
        <v>0</v>
      </c>
      <c r="R219">
        <f>SUM(R203:R218)</f>
        <v>0</v>
      </c>
      <c r="S219">
        <f>SUM(S203:S218)</f>
        <v>0</v>
      </c>
      <c r="T219">
        <f>SUM(T204:T218)</f>
        <v>145.76989608000002</v>
      </c>
    </row>
    <row r="221">
      <c r="B221" t="str">
        <v>TOTAL</v>
      </c>
      <c r="F221">
        <f>SUM(F148:F220)/2</f>
        <v>51.80546072515711</v>
      </c>
      <c r="G221">
        <f>SUM(G148:G220)/2</f>
        <v>770.1090429006284</v>
      </c>
      <c r="H221">
        <f>SUM(H148:H220)/2</f>
        <v>0</v>
      </c>
      <c r="I221">
        <f>SUM(I148:I220)/2</f>
        <v>5304.783731211358</v>
      </c>
      <c r="J221">
        <f>SUM(J148:J220)/2</f>
        <v>0</v>
      </c>
      <c r="K221">
        <f>SUM(K148:K220)/2</f>
        <v>0</v>
      </c>
      <c r="L221">
        <f>SUM(L148:L220)/2</f>
        <v>0</v>
      </c>
      <c r="M221">
        <f>SUM(M148:M220)/2</f>
        <v>0</v>
      </c>
      <c r="N221">
        <f>SUM(N148:N220)/2</f>
        <v>8117.671127040001</v>
      </c>
      <c r="O221">
        <f>SUM(O148:O220)/2</f>
        <v>0</v>
      </c>
      <c r="P221">
        <f>SUM(P148:P220)/2</f>
        <v>0</v>
      </c>
      <c r="Q221">
        <f>SUM(Q148:Q220)/2</f>
        <v>0</v>
      </c>
      <c r="R221">
        <f>SUM(R148:R220)/2</f>
        <v>0</v>
      </c>
      <c r="S221">
        <f>SUM(S148:S220)/2</f>
        <v>0</v>
      </c>
      <c r="T221">
        <f>SUM(T148:T220)/2</f>
        <v>13422.45485825136</v>
      </c>
    </row>
    <row r="222">
      <c r="D222" t="str">
        <v>Cek</v>
      </c>
      <c r="F222">
        <f>F221-AO141</f>
        <v>0</v>
      </c>
      <c r="G222">
        <f>G221-AT141</f>
        <v>0</v>
      </c>
      <c r="H222">
        <f>SUM(H221:S221)-SUM(AP141:AS141)</f>
        <v>0</v>
      </c>
    </row>
    <row r="223">
      <c r="G223" t="str">
        <v>rasio</v>
      </c>
      <c r="H223">
        <f>SUM(H221:R221)/F221</f>
        <v>259.0934366834676</v>
      </c>
    </row>
  </sheetData>
  <autoFilter ref="A14:BA138"/>
  <mergeCells count="38">
    <mergeCell ref="AP141:AQ141"/>
    <mergeCell ref="AL142:AO142"/>
    <mergeCell ref="AP142:AS142"/>
    <mergeCell ref="B146:C147"/>
    <mergeCell ref="F146:F147"/>
    <mergeCell ref="G146:G147"/>
    <mergeCell ref="H146:K146"/>
    <mergeCell ref="V146:W146"/>
    <mergeCell ref="L146:S146"/>
    <mergeCell ref="N11:U11"/>
    <mergeCell ref="V11:AC11"/>
    <mergeCell ref="AT11:AT12"/>
    <mergeCell ref="AU11:AV11"/>
    <mergeCell ref="N12:N13"/>
    <mergeCell ref="O12:O13"/>
    <mergeCell ref="V12:V13"/>
    <mergeCell ref="W12:W13"/>
    <mergeCell ref="AH11:AI12"/>
    <mergeCell ref="AJ11:AK12"/>
    <mergeCell ref="AL11:AL12"/>
    <mergeCell ref="AM11:AM12"/>
    <mergeCell ref="AP11:AS12"/>
    <mergeCell ref="AN11:AN12"/>
    <mergeCell ref="AO11:AO12"/>
    <mergeCell ref="AD11:AG12"/>
    <mergeCell ref="F3:M3"/>
    <mergeCell ref="F4:M4"/>
    <mergeCell ref="A11:A13"/>
    <mergeCell ref="B11:B13"/>
    <mergeCell ref="C11:C13"/>
    <mergeCell ref="D11:E13"/>
    <mergeCell ref="F11:F13"/>
    <mergeCell ref="G11:G13"/>
    <mergeCell ref="H11:H12"/>
    <mergeCell ref="I11:I12"/>
    <mergeCell ref="J11:J12"/>
    <mergeCell ref="K11:K12"/>
    <mergeCell ref="L11:M12"/>
  </mergeCells>
  <pageMargins left="0" right="0" top="0.590551181102362" bottom="0.511811023622047" header="0.236220472440945" footer="0.236220472440945"/>
  <ignoredErrors>
    <ignoredError numberStoredAsText="1" sqref="A1:BA22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E348"/>
  <sheetViews>
    <sheetView workbookViewId="0" rightToLeft="0"/>
  </sheetViews>
  <sheetData>
    <row r="1">
      <c r="A1" t="str">
        <v>D A T A    T Y P E    K O L O M</v>
      </c>
      <c r="W1" t="str">
        <v>Note</v>
      </c>
      <c r="X1" t="str">
        <v>200x400</v>
      </c>
      <c r="Y1" t="str">
        <v>6D16</v>
      </c>
      <c r="Z1" t="str">
        <v>jadi</v>
      </c>
      <c r="AA1" t="str">
        <v>6D16</v>
      </c>
    </row>
    <row r="2">
      <c r="Y2" t="str">
        <v>8D16</v>
      </c>
    </row>
    <row r="3">
      <c r="A3" t="str">
        <v>Project</v>
      </c>
      <c r="E3" t="str">
        <v>:</v>
      </c>
      <c r="F3" t="str">
        <v>SEMARANG TUMPANG 2-4</v>
      </c>
    </row>
    <row r="4">
      <c r="A4" t="str">
        <v>Tower</v>
      </c>
      <c r="E4" t="str">
        <v>:</v>
      </c>
    </row>
    <row r="5">
      <c r="A5" t="str">
        <v xml:space="preserve">Panjang kait sengkang                         </v>
      </c>
      <c r="E5" t="str">
        <v>:</v>
      </c>
      <c r="F5">
        <v>6</v>
      </c>
      <c r="G5" t="str">
        <v>Ø</v>
      </c>
      <c r="K5" t="str">
        <v>Tebal selimut beton</v>
      </c>
      <c r="M5" t="str">
        <v>:</v>
      </c>
      <c r="N5">
        <v>20</v>
      </c>
      <c r="O5" t="str">
        <v>mm</v>
      </c>
      <c r="P5" t="str">
        <v>Waste</v>
      </c>
      <c r="Q5" t="str">
        <v xml:space="preserve">Beton </v>
      </c>
      <c r="R5" t="str">
        <v>:</v>
      </c>
      <c r="S5">
        <v>0</v>
      </c>
    </row>
    <row r="6">
      <c r="A6" t="str">
        <v>Panjang sambungan lewatan</v>
      </c>
      <c r="E6" t="str">
        <v>:</v>
      </c>
      <c r="F6" t="str">
        <v>IKUTI STANDAR DETAIL</v>
      </c>
      <c r="K6" t="str">
        <v>Last Update</v>
      </c>
      <c r="M6" t="str">
        <v>:</v>
      </c>
      <c r="N6">
        <v>43331</v>
      </c>
      <c r="Q6" t="str">
        <v>Besi</v>
      </c>
      <c r="R6" t="str">
        <v>:</v>
      </c>
      <c r="S6">
        <v>0</v>
      </c>
    </row>
    <row r="7">
      <c r="A7" t="str">
        <v>Panjang penjangkaran</v>
      </c>
      <c r="E7" t="str">
        <v>:</v>
      </c>
      <c r="F7" t="str">
        <v>IKUTI STANDAR DETAIL</v>
      </c>
      <c r="Q7" t="str">
        <v>Bekisting</v>
      </c>
      <c r="R7" t="str">
        <v>:</v>
      </c>
      <c r="S7">
        <v>0</v>
      </c>
    </row>
    <row r="8">
      <c r="A8" t="str">
        <v>Mutu Beton</v>
      </c>
      <c r="E8" t="str">
        <v>:</v>
      </c>
      <c r="F8" t="str">
        <v>VARIABLE</v>
      </c>
    </row>
    <row r="11">
      <c r="A11" t="str">
        <v>No.</v>
      </c>
      <c r="B11" t="str">
        <v>Lt.</v>
      </c>
      <c r="C11" t="str">
        <v>As</v>
      </c>
      <c r="D11" t="str">
        <v>TYPE</v>
      </c>
      <c r="E11" t="str">
        <v>DIMENSI (mm)</v>
      </c>
      <c r="H11" t="str">
        <v>Tulangan Utama</v>
      </c>
      <c r="J11" t="str">
        <v>Tul. Extra</v>
      </c>
      <c r="L11" t="str">
        <v>Sengkang</v>
      </c>
      <c r="M11" t="str">
        <v>Jarak Sengkang (mm)</v>
      </c>
      <c r="P11" t="str">
        <v>Skg Ext // b</v>
      </c>
      <c r="R11" t="str">
        <v>Skg Ext // h</v>
      </c>
      <c r="T11" t="str">
        <v>Mutu Beton K</v>
      </c>
      <c r="U11" t="str">
        <v>Mutu Beton fc'</v>
      </c>
    </row>
    <row r="13">
      <c r="E13" t="str">
        <v>b (lebar)</v>
      </c>
      <c r="F13" t="str">
        <v>h (tinggi)</v>
      </c>
      <c r="G13" t="str">
        <v>H (panjang)</v>
      </c>
      <c r="H13" t="str">
        <v>Σ Tul.</v>
      </c>
      <c r="I13" t="str">
        <v>D (mm)</v>
      </c>
      <c r="J13" t="str">
        <v>Σ Tul.</v>
      </c>
      <c r="K13" t="str">
        <v>Ø (mm)</v>
      </c>
      <c r="L13" t="str">
        <v>D (mm)</v>
      </c>
      <c r="M13" t="str">
        <v>Bawah</v>
      </c>
      <c r="N13" t="str">
        <v>Tengah</v>
      </c>
      <c r="O13" t="str">
        <v>Atas</v>
      </c>
      <c r="P13" t="str">
        <v>Σ</v>
      </c>
      <c r="Q13" t="str">
        <v>D (mm)</v>
      </c>
      <c r="R13" t="str">
        <v>Σ</v>
      </c>
      <c r="S13" t="str">
        <v>D (mm)</v>
      </c>
    </row>
    <row r="16">
      <c r="A16">
        <v>1</v>
      </c>
      <c r="B16" t="str">
        <v>Lantai 1</v>
      </c>
      <c r="D16" t="str">
        <v>KL66</v>
      </c>
      <c r="E16">
        <v>170</v>
      </c>
      <c r="F16">
        <v>600</v>
      </c>
      <c r="G16">
        <f>4500-(-100)</f>
        <v>4600</v>
      </c>
      <c r="H16">
        <v>8</v>
      </c>
      <c r="I16">
        <v>16</v>
      </c>
      <c r="L16">
        <v>10</v>
      </c>
      <c r="M16">
        <v>100</v>
      </c>
      <c r="N16">
        <v>100</v>
      </c>
      <c r="O16">
        <v>100</v>
      </c>
      <c r="P16">
        <v>2</v>
      </c>
      <c r="Q16">
        <v>10</v>
      </c>
    </row>
    <row r="17">
      <c r="A17">
        <v>2</v>
      </c>
      <c r="B17" t="str">
        <v>Lantai 1</v>
      </c>
      <c r="D17" t="str">
        <v>KL66</v>
      </c>
      <c r="E17">
        <v>170</v>
      </c>
      <c r="F17">
        <v>600</v>
      </c>
      <c r="G17">
        <f>4500-(-100)</f>
        <v>4600</v>
      </c>
      <c r="H17">
        <v>8</v>
      </c>
      <c r="I17">
        <v>16</v>
      </c>
      <c r="L17">
        <v>10</v>
      </c>
      <c r="M17">
        <v>100</v>
      </c>
      <c r="N17">
        <v>100</v>
      </c>
      <c r="O17">
        <v>100</v>
      </c>
      <c r="P17">
        <v>2</v>
      </c>
      <c r="Q17">
        <v>10</v>
      </c>
    </row>
    <row r="18">
      <c r="A18">
        <v>3</v>
      </c>
      <c r="B18" t="str">
        <v>Lantai 1</v>
      </c>
      <c r="D18" t="str">
        <v>KL55</v>
      </c>
      <c r="E18">
        <v>170</v>
      </c>
      <c r="F18">
        <v>500</v>
      </c>
      <c r="G18">
        <f>4500-(-100)</f>
        <v>4600</v>
      </c>
      <c r="H18">
        <v>6</v>
      </c>
      <c r="I18">
        <v>16</v>
      </c>
      <c r="L18">
        <v>10</v>
      </c>
      <c r="M18">
        <v>100</v>
      </c>
      <c r="N18">
        <v>100</v>
      </c>
      <c r="O18">
        <v>100</v>
      </c>
    </row>
    <row r="19">
      <c r="A19">
        <v>4</v>
      </c>
      <c r="B19" t="str">
        <v>Lantai 1</v>
      </c>
      <c r="D19" t="str">
        <v>K4</v>
      </c>
      <c r="E19">
        <v>170</v>
      </c>
      <c r="F19">
        <v>400</v>
      </c>
      <c r="G19">
        <f>4500-(-1700)</f>
        <v>6200</v>
      </c>
      <c r="H19">
        <v>6</v>
      </c>
      <c r="I19">
        <v>16</v>
      </c>
      <c r="L19">
        <v>10</v>
      </c>
      <c r="M19">
        <v>100</v>
      </c>
      <c r="N19">
        <v>100</v>
      </c>
      <c r="O19">
        <v>100</v>
      </c>
    </row>
    <row r="20">
      <c r="A20">
        <v>5</v>
      </c>
      <c r="B20" t="str">
        <v>Lantai 1</v>
      </c>
      <c r="D20" t="str">
        <v>K4</v>
      </c>
      <c r="E20">
        <v>170</v>
      </c>
      <c r="F20">
        <v>400</v>
      </c>
      <c r="G20">
        <f>4500-(-1700)</f>
        <v>6200</v>
      </c>
      <c r="H20">
        <v>6</v>
      </c>
      <c r="I20">
        <v>16</v>
      </c>
      <c r="L20">
        <v>10</v>
      </c>
      <c r="M20">
        <v>100</v>
      </c>
      <c r="N20">
        <v>100</v>
      </c>
      <c r="O20">
        <v>100</v>
      </c>
    </row>
    <row r="21">
      <c r="A21">
        <v>6</v>
      </c>
      <c r="B21" t="str">
        <v>Lantai 1</v>
      </c>
      <c r="D21" t="str">
        <v>K4</v>
      </c>
      <c r="E21">
        <v>170</v>
      </c>
      <c r="F21">
        <v>400</v>
      </c>
      <c r="G21">
        <f>4500-(-1700)</f>
        <v>6200</v>
      </c>
      <c r="H21">
        <v>6</v>
      </c>
      <c r="I21">
        <v>16</v>
      </c>
      <c r="L21">
        <v>10</v>
      </c>
      <c r="M21">
        <v>100</v>
      </c>
      <c r="N21">
        <v>100</v>
      </c>
      <c r="O21">
        <v>100</v>
      </c>
    </row>
    <row r="22">
      <c r="A22">
        <v>7</v>
      </c>
      <c r="B22" t="str">
        <v>Lantai 1</v>
      </c>
      <c r="D22" t="str">
        <v>K4</v>
      </c>
      <c r="E22">
        <v>170</v>
      </c>
      <c r="F22">
        <v>400</v>
      </c>
      <c r="G22">
        <f>4500-(-1700)</f>
        <v>6200</v>
      </c>
      <c r="H22">
        <v>6</v>
      </c>
      <c r="I22">
        <v>16</v>
      </c>
      <c r="L22">
        <v>10</v>
      </c>
      <c r="M22">
        <v>100</v>
      </c>
      <c r="N22">
        <v>100</v>
      </c>
      <c r="O22">
        <v>100</v>
      </c>
    </row>
    <row r="23">
      <c r="A23">
        <v>8</v>
      </c>
      <c r="B23" t="str">
        <v>Lantai 1</v>
      </c>
      <c r="D23" t="str">
        <v>K26</v>
      </c>
      <c r="E23">
        <v>200</v>
      </c>
      <c r="F23">
        <v>600</v>
      </c>
      <c r="G23">
        <f>4500-(-100)</f>
        <v>4600</v>
      </c>
      <c r="H23">
        <v>10</v>
      </c>
      <c r="I23">
        <v>16</v>
      </c>
      <c r="L23">
        <v>10</v>
      </c>
      <c r="M23">
        <v>100</v>
      </c>
      <c r="N23">
        <v>100</v>
      </c>
      <c r="O23">
        <v>100</v>
      </c>
    </row>
    <row r="24">
      <c r="A24">
        <v>9</v>
      </c>
      <c r="B24" t="str">
        <v>Lantai 1</v>
      </c>
      <c r="D24" t="str">
        <v>K26</v>
      </c>
      <c r="E24">
        <v>200</v>
      </c>
      <c r="F24">
        <v>600</v>
      </c>
      <c r="G24">
        <f>4500-(-100)</f>
        <v>4600</v>
      </c>
      <c r="H24">
        <v>10</v>
      </c>
      <c r="I24">
        <v>16</v>
      </c>
      <c r="L24">
        <v>10</v>
      </c>
      <c r="M24">
        <v>100</v>
      </c>
      <c r="N24">
        <v>100</v>
      </c>
      <c r="O24">
        <v>100</v>
      </c>
    </row>
    <row r="25">
      <c r="A25">
        <v>10</v>
      </c>
      <c r="B25" t="str">
        <v>Lantai 1</v>
      </c>
      <c r="D25" t="str">
        <v>K26</v>
      </c>
      <c r="E25">
        <v>200</v>
      </c>
      <c r="F25">
        <v>600</v>
      </c>
      <c r="G25">
        <f>4500-(-100)</f>
        <v>4600</v>
      </c>
      <c r="H25">
        <v>10</v>
      </c>
      <c r="I25">
        <v>16</v>
      </c>
      <c r="L25">
        <v>10</v>
      </c>
      <c r="M25">
        <v>100</v>
      </c>
      <c r="N25">
        <v>100</v>
      </c>
      <c r="O25">
        <v>100</v>
      </c>
    </row>
    <row r="26">
      <c r="A26">
        <v>11</v>
      </c>
      <c r="B26" t="str">
        <v>Lantai 1</v>
      </c>
      <c r="D26" t="str">
        <v>KL55</v>
      </c>
      <c r="E26">
        <v>170</v>
      </c>
      <c r="F26">
        <v>500</v>
      </c>
      <c r="G26">
        <f>4500-(-100)</f>
        <v>4600</v>
      </c>
      <c r="H26">
        <v>6</v>
      </c>
      <c r="I26">
        <v>16</v>
      </c>
      <c r="L26">
        <v>10</v>
      </c>
      <c r="M26">
        <v>100</v>
      </c>
      <c r="N26">
        <v>100</v>
      </c>
      <c r="O26">
        <v>100</v>
      </c>
    </row>
    <row r="27">
      <c r="A27">
        <v>12</v>
      </c>
      <c r="B27" t="str">
        <v>Lantai 1</v>
      </c>
      <c r="D27" t="str">
        <v>K2A5</v>
      </c>
      <c r="E27">
        <v>250</v>
      </c>
      <c r="F27">
        <v>500</v>
      </c>
      <c r="G27">
        <f>4500-(-100)</f>
        <v>4600</v>
      </c>
      <c r="H27">
        <v>8</v>
      </c>
      <c r="I27">
        <v>16</v>
      </c>
      <c r="L27">
        <v>10</v>
      </c>
      <c r="M27">
        <v>100</v>
      </c>
      <c r="N27">
        <v>100</v>
      </c>
      <c r="O27">
        <v>100</v>
      </c>
      <c r="P27">
        <v>1</v>
      </c>
      <c r="Q27">
        <v>10</v>
      </c>
    </row>
    <row r="28">
      <c r="A28">
        <v>13</v>
      </c>
      <c r="B28" t="str">
        <v>Lantai 1</v>
      </c>
      <c r="D28" t="str">
        <v>KB2A</v>
      </c>
      <c r="E28">
        <v>250</v>
      </c>
      <c r="F28">
        <v>250</v>
      </c>
      <c r="G28">
        <f>4500-(-100)</f>
        <v>4600</v>
      </c>
      <c r="H28">
        <v>6</v>
      </c>
      <c r="I28">
        <v>16</v>
      </c>
      <c r="L28">
        <v>10</v>
      </c>
      <c r="M28">
        <v>100</v>
      </c>
      <c r="N28">
        <v>100</v>
      </c>
      <c r="O28">
        <v>100</v>
      </c>
    </row>
    <row r="29">
      <c r="A29">
        <v>14</v>
      </c>
      <c r="B29" t="str">
        <v>Lantai 1</v>
      </c>
      <c r="D29" t="str">
        <v>K26</v>
      </c>
      <c r="E29">
        <v>200</v>
      </c>
      <c r="F29">
        <v>600</v>
      </c>
      <c r="G29">
        <f>4500-(-750)</f>
        <v>5250</v>
      </c>
      <c r="H29">
        <v>10</v>
      </c>
      <c r="I29">
        <v>16</v>
      </c>
      <c r="L29">
        <v>10</v>
      </c>
      <c r="M29">
        <v>100</v>
      </c>
      <c r="N29">
        <v>100</v>
      </c>
      <c r="O29">
        <v>100</v>
      </c>
    </row>
    <row r="30">
      <c r="A30">
        <v>15</v>
      </c>
      <c r="B30" t="str">
        <v>Lantai 1</v>
      </c>
      <c r="D30" t="str">
        <v>K26</v>
      </c>
      <c r="E30">
        <v>200</v>
      </c>
      <c r="F30">
        <v>600</v>
      </c>
      <c r="G30">
        <f>4500-(-750)</f>
        <v>5250</v>
      </c>
      <c r="H30">
        <v>10</v>
      </c>
      <c r="I30">
        <v>16</v>
      </c>
      <c r="L30">
        <v>10</v>
      </c>
      <c r="M30">
        <v>100</v>
      </c>
      <c r="N30">
        <v>100</v>
      </c>
      <c r="O30">
        <v>100</v>
      </c>
    </row>
    <row r="31">
      <c r="A31">
        <v>16</v>
      </c>
      <c r="B31" t="str">
        <v>Lantai 1</v>
      </c>
      <c r="D31" t="str">
        <v>K26</v>
      </c>
      <c r="E31">
        <v>200</v>
      </c>
      <c r="F31">
        <v>600</v>
      </c>
      <c r="G31">
        <f>4500-(-750)</f>
        <v>5250</v>
      </c>
      <c r="H31">
        <v>10</v>
      </c>
      <c r="I31">
        <v>16</v>
      </c>
      <c r="L31">
        <v>10</v>
      </c>
      <c r="M31">
        <v>100</v>
      </c>
      <c r="N31">
        <v>100</v>
      </c>
      <c r="O31">
        <v>100</v>
      </c>
    </row>
    <row r="32">
      <c r="A32">
        <v>17</v>
      </c>
      <c r="B32" t="str">
        <v>Lantai 1</v>
      </c>
      <c r="D32" t="str">
        <v>K26</v>
      </c>
      <c r="E32">
        <v>200</v>
      </c>
      <c r="F32">
        <v>600</v>
      </c>
      <c r="G32">
        <f>4500-(-750)</f>
        <v>5250</v>
      </c>
      <c r="H32">
        <v>10</v>
      </c>
      <c r="I32">
        <v>16</v>
      </c>
      <c r="L32">
        <v>10</v>
      </c>
      <c r="M32">
        <v>100</v>
      </c>
      <c r="N32">
        <v>100</v>
      </c>
      <c r="O32">
        <v>100</v>
      </c>
    </row>
    <row r="33">
      <c r="A33">
        <v>18</v>
      </c>
      <c r="B33" t="str">
        <v>Lantai 1</v>
      </c>
      <c r="D33" t="str">
        <v>KL55</v>
      </c>
      <c r="E33">
        <v>170</v>
      </c>
      <c r="F33">
        <v>500</v>
      </c>
      <c r="G33">
        <f>4500-(-1500)</f>
        <v>6000</v>
      </c>
      <c r="H33">
        <v>6</v>
      </c>
      <c r="I33">
        <v>16</v>
      </c>
      <c r="L33">
        <v>10</v>
      </c>
      <c r="M33">
        <v>100</v>
      </c>
      <c r="N33">
        <v>100</v>
      </c>
      <c r="O33">
        <v>100</v>
      </c>
    </row>
    <row r="34">
      <c r="A34">
        <v>19</v>
      </c>
      <c r="B34" t="str">
        <v>Lantai 1</v>
      </c>
      <c r="D34" t="str">
        <v>KL55</v>
      </c>
      <c r="E34">
        <v>170</v>
      </c>
      <c r="F34">
        <v>500</v>
      </c>
      <c r="G34">
        <f>4500-(-1500)</f>
        <v>6000</v>
      </c>
      <c r="H34">
        <v>6</v>
      </c>
      <c r="I34">
        <v>16</v>
      </c>
      <c r="L34">
        <v>10</v>
      </c>
      <c r="M34">
        <v>100</v>
      </c>
      <c r="N34">
        <v>100</v>
      </c>
      <c r="O34">
        <v>100</v>
      </c>
    </row>
    <row r="35">
      <c r="A35">
        <v>20</v>
      </c>
      <c r="B35" t="str">
        <v>Lantai 1</v>
      </c>
      <c r="D35" t="str">
        <v>K2A6</v>
      </c>
      <c r="E35">
        <v>250</v>
      </c>
      <c r="F35">
        <v>600</v>
      </c>
      <c r="G35">
        <f>4500-(-100)</f>
        <v>4600</v>
      </c>
      <c r="H35">
        <v>10</v>
      </c>
      <c r="I35">
        <v>16</v>
      </c>
      <c r="L35">
        <v>10</v>
      </c>
      <c r="M35">
        <v>100</v>
      </c>
      <c r="N35">
        <v>100</v>
      </c>
      <c r="O35">
        <v>100</v>
      </c>
      <c r="P35">
        <v>1</v>
      </c>
      <c r="Q35">
        <v>10</v>
      </c>
    </row>
    <row r="36">
      <c r="A36">
        <v>21</v>
      </c>
      <c r="B36" t="str">
        <v>Lantai 1</v>
      </c>
      <c r="D36" t="str">
        <v>KL55</v>
      </c>
      <c r="E36">
        <v>170</v>
      </c>
      <c r="F36">
        <v>500</v>
      </c>
      <c r="G36">
        <f>4500-(-1500)</f>
        <v>6000</v>
      </c>
      <c r="H36">
        <v>6</v>
      </c>
      <c r="I36">
        <v>16</v>
      </c>
      <c r="L36">
        <v>10</v>
      </c>
      <c r="M36">
        <v>100</v>
      </c>
      <c r="N36">
        <v>100</v>
      </c>
      <c r="O36">
        <v>100</v>
      </c>
    </row>
    <row r="37">
      <c r="A37">
        <v>22</v>
      </c>
      <c r="B37" t="str">
        <v>Lantai 1</v>
      </c>
      <c r="D37" t="str">
        <v>KL55</v>
      </c>
      <c r="E37">
        <v>170</v>
      </c>
      <c r="F37">
        <v>500</v>
      </c>
      <c r="G37">
        <f>4500-(-1500)</f>
        <v>6000</v>
      </c>
      <c r="H37">
        <v>6</v>
      </c>
      <c r="I37">
        <v>16</v>
      </c>
      <c r="L37">
        <v>10</v>
      </c>
      <c r="M37">
        <v>100</v>
      </c>
      <c r="N37">
        <v>100</v>
      </c>
      <c r="O37">
        <v>100</v>
      </c>
    </row>
    <row r="38">
      <c r="A38">
        <v>23</v>
      </c>
      <c r="B38" t="str">
        <v>Lantai 1</v>
      </c>
      <c r="D38" t="str">
        <v>K2A5</v>
      </c>
      <c r="E38">
        <v>250</v>
      </c>
      <c r="F38">
        <v>500</v>
      </c>
      <c r="G38">
        <f>4500-(-100)</f>
        <v>4600</v>
      </c>
      <c r="H38">
        <v>8</v>
      </c>
      <c r="I38">
        <v>16</v>
      </c>
      <c r="L38">
        <v>10</v>
      </c>
      <c r="M38">
        <v>100</v>
      </c>
      <c r="N38">
        <v>100</v>
      </c>
      <c r="O38">
        <v>100</v>
      </c>
      <c r="P38">
        <v>1</v>
      </c>
      <c r="Q38">
        <v>10</v>
      </c>
    </row>
    <row r="39">
      <c r="A39">
        <v>24</v>
      </c>
      <c r="B39" t="str">
        <v>Lantai 1</v>
      </c>
      <c r="D39" t="str">
        <v>KB2A</v>
      </c>
      <c r="E39">
        <v>250</v>
      </c>
      <c r="F39">
        <v>250</v>
      </c>
      <c r="G39">
        <f>4500-(-100)</f>
        <v>4600</v>
      </c>
      <c r="H39">
        <v>6</v>
      </c>
      <c r="I39">
        <v>16</v>
      </c>
      <c r="L39">
        <v>10</v>
      </c>
      <c r="M39">
        <v>100</v>
      </c>
      <c r="N39">
        <v>100</v>
      </c>
      <c r="O39">
        <v>100</v>
      </c>
    </row>
    <row r="40">
      <c r="A40">
        <v>25</v>
      </c>
      <c r="B40" t="str">
        <v>Lantai 1</v>
      </c>
      <c r="D40" t="str">
        <v>K26</v>
      </c>
      <c r="E40">
        <v>200</v>
      </c>
      <c r="F40">
        <v>600</v>
      </c>
      <c r="G40">
        <f>4500-(-100)</f>
        <v>4600</v>
      </c>
      <c r="H40">
        <v>10</v>
      </c>
      <c r="I40">
        <v>16</v>
      </c>
      <c r="L40">
        <v>10</v>
      </c>
      <c r="M40">
        <v>100</v>
      </c>
      <c r="N40">
        <v>100</v>
      </c>
      <c r="O40">
        <v>100</v>
      </c>
    </row>
    <row r="41">
      <c r="A41">
        <v>26</v>
      </c>
      <c r="B41" t="str">
        <v>Lantai 1</v>
      </c>
      <c r="D41" t="str">
        <v>K26</v>
      </c>
      <c r="E41">
        <v>200</v>
      </c>
      <c r="F41">
        <v>600</v>
      </c>
      <c r="G41">
        <f>4500-(-1000)</f>
        <v>5500</v>
      </c>
      <c r="H41">
        <v>10</v>
      </c>
      <c r="I41">
        <v>16</v>
      </c>
      <c r="L41">
        <v>10</v>
      </c>
      <c r="M41">
        <v>100</v>
      </c>
      <c r="N41">
        <v>100</v>
      </c>
      <c r="O41">
        <v>100</v>
      </c>
    </row>
    <row r="42">
      <c r="A42">
        <v>27</v>
      </c>
      <c r="B42" t="str">
        <v>Lantai 1</v>
      </c>
      <c r="D42" t="str">
        <v>KL66</v>
      </c>
      <c r="E42">
        <v>170</v>
      </c>
      <c r="F42">
        <v>600</v>
      </c>
      <c r="G42">
        <f>4500-(-1000)</f>
        <v>5500</v>
      </c>
      <c r="H42">
        <v>8</v>
      </c>
      <c r="I42">
        <v>16</v>
      </c>
      <c r="L42">
        <v>10</v>
      </c>
      <c r="M42">
        <v>100</v>
      </c>
      <c r="N42">
        <v>100</v>
      </c>
      <c r="O42">
        <v>100</v>
      </c>
      <c r="P42">
        <v>2</v>
      </c>
      <c r="Q42">
        <v>10</v>
      </c>
    </row>
    <row r="43">
      <c r="A43">
        <v>28</v>
      </c>
      <c r="B43" t="str">
        <v>Lantai 1</v>
      </c>
      <c r="D43" t="str">
        <v>KL55</v>
      </c>
      <c r="E43">
        <v>170</v>
      </c>
      <c r="F43">
        <v>500</v>
      </c>
      <c r="G43">
        <f>4500-(-1000)</f>
        <v>5500</v>
      </c>
      <c r="H43">
        <v>6</v>
      </c>
      <c r="I43">
        <v>16</v>
      </c>
      <c r="L43">
        <v>10</v>
      </c>
      <c r="M43">
        <v>100</v>
      </c>
      <c r="N43">
        <v>100</v>
      </c>
      <c r="O43">
        <v>100</v>
      </c>
    </row>
    <row r="44">
      <c r="A44">
        <v>29</v>
      </c>
      <c r="B44" t="str">
        <v>Lantai 1</v>
      </c>
      <c r="D44" t="str">
        <v>K25</v>
      </c>
      <c r="E44">
        <v>200</v>
      </c>
      <c r="F44">
        <v>500</v>
      </c>
      <c r="G44">
        <f>4500-(-1000)</f>
        <v>5500</v>
      </c>
      <c r="H44">
        <v>8</v>
      </c>
      <c r="I44">
        <v>16</v>
      </c>
      <c r="L44">
        <v>10</v>
      </c>
      <c r="M44">
        <v>100</v>
      </c>
      <c r="N44">
        <v>100</v>
      </c>
      <c r="O44">
        <v>100</v>
      </c>
      <c r="P44">
        <v>1</v>
      </c>
      <c r="Q44">
        <v>10</v>
      </c>
    </row>
    <row r="45">
      <c r="A45">
        <v>30</v>
      </c>
      <c r="B45" t="str">
        <v>Lantai 1</v>
      </c>
      <c r="D45" t="str">
        <v>K25</v>
      </c>
      <c r="E45">
        <v>200</v>
      </c>
      <c r="F45">
        <v>500</v>
      </c>
      <c r="G45">
        <f>4500-(-1000)</f>
        <v>5500</v>
      </c>
      <c r="H45">
        <v>8</v>
      </c>
      <c r="I45">
        <v>16</v>
      </c>
      <c r="L45">
        <v>10</v>
      </c>
      <c r="M45">
        <v>100</v>
      </c>
      <c r="N45">
        <v>100</v>
      </c>
      <c r="O45">
        <v>100</v>
      </c>
      <c r="P45">
        <v>1</v>
      </c>
      <c r="Q45">
        <v>10</v>
      </c>
    </row>
    <row r="46">
      <c r="A46">
        <v>31</v>
      </c>
      <c r="B46" t="str">
        <v>Lantai 1</v>
      </c>
      <c r="D46" t="str">
        <v>KB2A</v>
      </c>
      <c r="E46">
        <v>250</v>
      </c>
      <c r="F46">
        <v>250</v>
      </c>
      <c r="G46">
        <f>4500-(-1000)</f>
        <v>5500</v>
      </c>
      <c r="H46">
        <v>6</v>
      </c>
      <c r="I46">
        <v>16</v>
      </c>
      <c r="L46">
        <v>10</v>
      </c>
      <c r="M46">
        <v>100</v>
      </c>
      <c r="N46">
        <v>100</v>
      </c>
      <c r="O46">
        <v>100</v>
      </c>
    </row>
    <row r="47">
      <c r="A47">
        <v>32</v>
      </c>
      <c r="B47" t="str">
        <v>Lantai 1</v>
      </c>
      <c r="D47" t="str">
        <v>KB2A</v>
      </c>
      <c r="E47">
        <v>250</v>
      </c>
      <c r="F47">
        <v>250</v>
      </c>
      <c r="G47">
        <f>4500-(-1000)</f>
        <v>5500</v>
      </c>
      <c r="H47">
        <v>6</v>
      </c>
      <c r="I47">
        <v>16</v>
      </c>
      <c r="L47">
        <v>10</v>
      </c>
      <c r="M47">
        <v>100</v>
      </c>
      <c r="N47">
        <v>100</v>
      </c>
      <c r="O47">
        <v>100</v>
      </c>
    </row>
    <row r="48">
      <c r="A48">
        <v>33</v>
      </c>
      <c r="B48" t="str">
        <v>Lantai 1</v>
      </c>
      <c r="D48" t="str">
        <v>K4</v>
      </c>
      <c r="E48">
        <v>170</v>
      </c>
      <c r="F48">
        <v>400</v>
      </c>
      <c r="G48">
        <f>4500-(-1700)</f>
        <v>6200</v>
      </c>
      <c r="H48">
        <v>6</v>
      </c>
      <c r="I48">
        <v>16</v>
      </c>
      <c r="L48">
        <v>10</v>
      </c>
      <c r="M48">
        <v>100</v>
      </c>
      <c r="N48">
        <v>100</v>
      </c>
      <c r="O48">
        <v>100</v>
      </c>
    </row>
    <row r="49">
      <c r="A49">
        <v>34</v>
      </c>
      <c r="B49" t="str">
        <v>Lantai 1</v>
      </c>
      <c r="D49" t="str">
        <v>K4</v>
      </c>
      <c r="E49">
        <v>170</v>
      </c>
      <c r="F49">
        <v>400</v>
      </c>
      <c r="G49">
        <f>4500-(-100)</f>
        <v>4600</v>
      </c>
      <c r="H49">
        <v>6</v>
      </c>
      <c r="I49">
        <v>16</v>
      </c>
      <c r="L49">
        <v>10</v>
      </c>
      <c r="M49">
        <v>100</v>
      </c>
      <c r="N49">
        <v>100</v>
      </c>
      <c r="O49">
        <v>100</v>
      </c>
    </row>
    <row r="50">
      <c r="A50">
        <v>35</v>
      </c>
      <c r="B50" t="str">
        <v>Lantai 1</v>
      </c>
      <c r="D50" t="str">
        <v>K4</v>
      </c>
      <c r="E50">
        <v>170</v>
      </c>
      <c r="F50">
        <v>400</v>
      </c>
      <c r="G50">
        <f>4500-(-100)</f>
        <v>4600</v>
      </c>
      <c r="H50">
        <v>6</v>
      </c>
      <c r="I50">
        <v>16</v>
      </c>
      <c r="L50">
        <v>10</v>
      </c>
      <c r="M50">
        <v>100</v>
      </c>
      <c r="N50">
        <v>100</v>
      </c>
      <c r="O50">
        <v>100</v>
      </c>
    </row>
    <row r="51">
      <c r="A51">
        <v>36</v>
      </c>
      <c r="B51" t="str">
        <v>Lantai 1</v>
      </c>
      <c r="D51" t="str">
        <v>K4</v>
      </c>
      <c r="E51">
        <v>170</v>
      </c>
      <c r="F51">
        <v>400</v>
      </c>
      <c r="G51">
        <f>4500-(-100)</f>
        <v>4600</v>
      </c>
      <c r="H51">
        <v>6</v>
      </c>
      <c r="I51">
        <v>16</v>
      </c>
      <c r="L51">
        <v>10</v>
      </c>
      <c r="M51">
        <v>100</v>
      </c>
      <c r="N51">
        <v>100</v>
      </c>
      <c r="O51">
        <v>100</v>
      </c>
    </row>
    <row r="52">
      <c r="A52">
        <v>37</v>
      </c>
      <c r="B52" t="str">
        <v>Lantai 1</v>
      </c>
      <c r="D52" t="str">
        <v>K4</v>
      </c>
      <c r="E52">
        <v>170</v>
      </c>
      <c r="F52">
        <v>400</v>
      </c>
      <c r="G52">
        <f>4500-(-1000)</f>
        <v>5500</v>
      </c>
      <c r="H52">
        <v>6</v>
      </c>
      <c r="I52">
        <v>16</v>
      </c>
      <c r="L52">
        <v>10</v>
      </c>
      <c r="M52">
        <v>100</v>
      </c>
      <c r="N52">
        <v>100</v>
      </c>
      <c r="O52">
        <v>100</v>
      </c>
    </row>
    <row r="53">
      <c r="A53">
        <v>38</v>
      </c>
      <c r="B53" t="str">
        <v>Lantai 1</v>
      </c>
      <c r="D53" t="str">
        <v>K4</v>
      </c>
      <c r="E53">
        <v>170</v>
      </c>
      <c r="F53">
        <v>400</v>
      </c>
      <c r="G53">
        <f>4500-(-1000)</f>
        <v>5500</v>
      </c>
      <c r="H53">
        <v>6</v>
      </c>
      <c r="I53">
        <v>16</v>
      </c>
      <c r="L53">
        <v>10</v>
      </c>
      <c r="M53">
        <v>100</v>
      </c>
      <c r="N53">
        <v>100</v>
      </c>
      <c r="O53">
        <v>100</v>
      </c>
    </row>
    <row r="54">
      <c r="A54">
        <v>39</v>
      </c>
      <c r="B54" t="str">
        <v>Lantai 1</v>
      </c>
      <c r="D54" t="str">
        <v>K4</v>
      </c>
      <c r="E54">
        <v>170</v>
      </c>
      <c r="F54">
        <v>400</v>
      </c>
      <c r="G54">
        <f>4500-(-1000)</f>
        <v>5500</v>
      </c>
      <c r="H54">
        <v>6</v>
      </c>
      <c r="I54">
        <v>16</v>
      </c>
      <c r="L54">
        <v>10</v>
      </c>
      <c r="M54">
        <v>100</v>
      </c>
      <c r="N54">
        <v>100</v>
      </c>
      <c r="O54">
        <v>100</v>
      </c>
    </row>
    <row r="55">
      <c r="A55">
        <v>40</v>
      </c>
      <c r="B55" t="str">
        <v>Lantai 1</v>
      </c>
      <c r="D55" t="str">
        <v>K4</v>
      </c>
      <c r="E55">
        <v>170</v>
      </c>
      <c r="F55">
        <v>400</v>
      </c>
      <c r="G55">
        <f>4500-(-1000)</f>
        <v>5500</v>
      </c>
      <c r="H55">
        <v>6</v>
      </c>
      <c r="I55">
        <v>16</v>
      </c>
      <c r="L55">
        <v>10</v>
      </c>
      <c r="M55">
        <v>100</v>
      </c>
      <c r="N55">
        <v>100</v>
      </c>
      <c r="O55">
        <v>100</v>
      </c>
    </row>
    <row r="56">
      <c r="A56">
        <v>41</v>
      </c>
      <c r="B56" t="str">
        <v>Lantai 1</v>
      </c>
      <c r="D56" t="str">
        <v>K4</v>
      </c>
      <c r="E56">
        <v>170</v>
      </c>
      <c r="F56">
        <v>400</v>
      </c>
      <c r="G56">
        <f>4500-(-1000)</f>
        <v>5500</v>
      </c>
      <c r="H56">
        <v>6</v>
      </c>
      <c r="I56">
        <v>16</v>
      </c>
      <c r="L56">
        <v>10</v>
      </c>
      <c r="M56">
        <v>100</v>
      </c>
      <c r="N56">
        <v>100</v>
      </c>
      <c r="O56">
        <v>100</v>
      </c>
    </row>
    <row r="57">
      <c r="A57">
        <v>42</v>
      </c>
      <c r="B57" t="str">
        <v>Lantai 1</v>
      </c>
      <c r="D57" t="str">
        <v>K4</v>
      </c>
      <c r="E57">
        <v>170</v>
      </c>
      <c r="F57">
        <v>400</v>
      </c>
      <c r="G57">
        <f>4500-(-1000)</f>
        <v>5500</v>
      </c>
      <c r="H57">
        <v>6</v>
      </c>
      <c r="I57">
        <v>16</v>
      </c>
      <c r="L57">
        <v>10</v>
      </c>
      <c r="M57">
        <v>100</v>
      </c>
      <c r="N57">
        <v>100</v>
      </c>
      <c r="O57">
        <v>100</v>
      </c>
    </row>
    <row r="58">
      <c r="A58">
        <v>43</v>
      </c>
      <c r="B58" t="str">
        <v>Lantai 1</v>
      </c>
      <c r="D58" t="str">
        <v>K4</v>
      </c>
      <c r="E58">
        <v>170</v>
      </c>
      <c r="F58">
        <v>400</v>
      </c>
      <c r="G58">
        <f>4500-(-1000)</f>
        <v>5500</v>
      </c>
      <c r="H58">
        <v>6</v>
      </c>
      <c r="I58">
        <v>16</v>
      </c>
      <c r="L58">
        <v>10</v>
      </c>
      <c r="M58">
        <v>100</v>
      </c>
      <c r="N58">
        <v>100</v>
      </c>
      <c r="O58">
        <v>100</v>
      </c>
    </row>
    <row r="59">
      <c r="A59">
        <v>44</v>
      </c>
      <c r="B59" t="str">
        <v>Lantai 1</v>
      </c>
      <c r="D59" t="str">
        <v>K25</v>
      </c>
      <c r="E59">
        <v>200</v>
      </c>
      <c r="F59">
        <v>500</v>
      </c>
      <c r="G59">
        <f>4500-(-1000)</f>
        <v>5500</v>
      </c>
      <c r="H59">
        <v>8</v>
      </c>
      <c r="I59">
        <v>16</v>
      </c>
      <c r="L59">
        <v>10</v>
      </c>
      <c r="M59">
        <v>100</v>
      </c>
      <c r="N59">
        <v>100</v>
      </c>
      <c r="O59">
        <v>100</v>
      </c>
      <c r="P59">
        <v>1</v>
      </c>
      <c r="Q59">
        <v>10</v>
      </c>
    </row>
    <row r="60">
      <c r="A60">
        <v>45</v>
      </c>
      <c r="B60" t="str">
        <v>Lantai 1</v>
      </c>
      <c r="D60" t="str">
        <v>K24</v>
      </c>
      <c r="E60">
        <v>200</v>
      </c>
      <c r="F60">
        <v>400</v>
      </c>
      <c r="G60">
        <v>1700</v>
      </c>
      <c r="H60">
        <v>6</v>
      </c>
      <c r="I60">
        <v>16</v>
      </c>
      <c r="L60">
        <v>10</v>
      </c>
      <c r="M60">
        <v>100</v>
      </c>
      <c r="N60">
        <v>100</v>
      </c>
      <c r="O60">
        <v>100</v>
      </c>
      <c r="P60">
        <v>1</v>
      </c>
      <c r="Q60">
        <v>10</v>
      </c>
    </row>
    <row r="61">
      <c r="A61">
        <v>46</v>
      </c>
      <c r="B61" t="str">
        <v>Lantai 1</v>
      </c>
      <c r="D61" t="str">
        <v>K24</v>
      </c>
      <c r="E61">
        <v>200</v>
      </c>
      <c r="F61">
        <v>400</v>
      </c>
      <c r="G61">
        <v>1700</v>
      </c>
      <c r="H61">
        <v>6</v>
      </c>
      <c r="I61">
        <v>16</v>
      </c>
      <c r="L61">
        <v>10</v>
      </c>
      <c r="M61">
        <v>100</v>
      </c>
      <c r="N61">
        <v>100</v>
      </c>
      <c r="O61">
        <v>100</v>
      </c>
      <c r="P61">
        <v>1</v>
      </c>
      <c r="Q61">
        <v>10</v>
      </c>
    </row>
    <row r="62">
      <c r="A62">
        <v>47</v>
      </c>
      <c r="B62" t="str">
        <v>Lantai 1</v>
      </c>
      <c r="D62" t="str">
        <v>K24</v>
      </c>
      <c r="E62">
        <v>200</v>
      </c>
      <c r="F62">
        <v>400</v>
      </c>
      <c r="G62">
        <v>1700</v>
      </c>
      <c r="H62">
        <v>6</v>
      </c>
      <c r="I62">
        <v>16</v>
      </c>
      <c r="L62">
        <v>10</v>
      </c>
      <c r="M62">
        <v>100</v>
      </c>
      <c r="N62">
        <v>100</v>
      </c>
      <c r="O62">
        <v>100</v>
      </c>
      <c r="P62">
        <v>1</v>
      </c>
      <c r="Q62">
        <v>10</v>
      </c>
    </row>
    <row r="63">
      <c r="A63">
        <v>48</v>
      </c>
      <c r="B63" t="str">
        <v>Lantai 1</v>
      </c>
      <c r="D63" t="str">
        <v>K24</v>
      </c>
      <c r="E63">
        <v>200</v>
      </c>
      <c r="F63">
        <v>400</v>
      </c>
      <c r="G63">
        <v>1700</v>
      </c>
      <c r="H63">
        <v>6</v>
      </c>
      <c r="I63">
        <v>16</v>
      </c>
      <c r="L63">
        <v>10</v>
      </c>
      <c r="M63">
        <v>100</v>
      </c>
      <c r="N63">
        <v>100</v>
      </c>
      <c r="O63">
        <v>100</v>
      </c>
      <c r="P63">
        <v>1</v>
      </c>
      <c r="Q63">
        <v>10</v>
      </c>
    </row>
    <row r="64">
      <c r="A64">
        <v>49</v>
      </c>
      <c r="B64" t="str">
        <v>Lantai 1</v>
      </c>
      <c r="D64" t="str">
        <v>K24</v>
      </c>
      <c r="E64">
        <v>200</v>
      </c>
      <c r="F64">
        <v>400</v>
      </c>
      <c r="G64">
        <v>1700</v>
      </c>
      <c r="H64">
        <v>6</v>
      </c>
      <c r="I64">
        <v>16</v>
      </c>
      <c r="L64">
        <v>10</v>
      </c>
      <c r="M64">
        <v>100</v>
      </c>
      <c r="N64">
        <v>100</v>
      </c>
      <c r="O64">
        <v>100</v>
      </c>
      <c r="P64">
        <v>1</v>
      </c>
      <c r="Q64">
        <v>10</v>
      </c>
    </row>
    <row r="65">
      <c r="A65">
        <v>50</v>
      </c>
      <c r="B65" t="str">
        <v>Lantai 1</v>
      </c>
      <c r="D65" t="str">
        <v>K24</v>
      </c>
      <c r="E65">
        <v>200</v>
      </c>
      <c r="F65">
        <v>400</v>
      </c>
      <c r="G65">
        <v>1700</v>
      </c>
      <c r="H65">
        <v>6</v>
      </c>
      <c r="I65">
        <v>16</v>
      </c>
      <c r="L65">
        <v>10</v>
      </c>
      <c r="M65">
        <v>100</v>
      </c>
      <c r="N65">
        <v>100</v>
      </c>
      <c r="O65">
        <v>100</v>
      </c>
      <c r="P65">
        <v>1</v>
      </c>
      <c r="Q65">
        <v>10</v>
      </c>
    </row>
    <row r="67">
      <c r="A67">
        <v>1</v>
      </c>
      <c r="B67" t="str">
        <v>Lantai 2</v>
      </c>
      <c r="D67" t="str">
        <v>K5</v>
      </c>
      <c r="E67">
        <v>170</v>
      </c>
      <c r="F67">
        <v>500</v>
      </c>
      <c r="G67">
        <f>9000-4500</f>
        <v>4500</v>
      </c>
      <c r="H67">
        <v>8</v>
      </c>
      <c r="I67">
        <v>16</v>
      </c>
      <c r="L67">
        <v>10</v>
      </c>
      <c r="M67">
        <v>100</v>
      </c>
      <c r="N67">
        <v>100</v>
      </c>
      <c r="O67">
        <v>100</v>
      </c>
      <c r="P67">
        <v>1</v>
      </c>
      <c r="Q67">
        <v>10</v>
      </c>
    </row>
    <row r="68">
      <c r="A68">
        <v>2</v>
      </c>
      <c r="B68" t="str">
        <v>Lantai 2</v>
      </c>
      <c r="D68" t="str">
        <v>K5</v>
      </c>
      <c r="E68">
        <v>170</v>
      </c>
      <c r="F68">
        <v>500</v>
      </c>
      <c r="G68">
        <f>9000-4500</f>
        <v>4500</v>
      </c>
      <c r="H68">
        <v>8</v>
      </c>
      <c r="I68">
        <v>16</v>
      </c>
      <c r="L68">
        <v>10</v>
      </c>
      <c r="M68">
        <v>100</v>
      </c>
      <c r="N68">
        <v>100</v>
      </c>
      <c r="O68">
        <v>100</v>
      </c>
      <c r="P68">
        <v>1</v>
      </c>
      <c r="Q68">
        <v>10</v>
      </c>
    </row>
    <row r="69">
      <c r="A69">
        <v>3</v>
      </c>
      <c r="B69" t="str">
        <v>Lantai 2</v>
      </c>
      <c r="D69" t="str">
        <v>KL55</v>
      </c>
      <c r="E69">
        <v>170</v>
      </c>
      <c r="F69">
        <v>500</v>
      </c>
      <c r="G69">
        <f>9000-4500</f>
        <v>4500</v>
      </c>
      <c r="H69">
        <v>6</v>
      </c>
      <c r="I69">
        <v>16</v>
      </c>
      <c r="L69">
        <v>10</v>
      </c>
      <c r="M69">
        <v>100</v>
      </c>
      <c r="N69">
        <v>100</v>
      </c>
      <c r="O69">
        <v>100</v>
      </c>
    </row>
    <row r="70">
      <c r="A70">
        <v>4</v>
      </c>
      <c r="B70" t="str">
        <v>Lantai 2</v>
      </c>
      <c r="D70" t="str">
        <v>K4</v>
      </c>
      <c r="E70">
        <v>170</v>
      </c>
      <c r="F70">
        <v>400</v>
      </c>
      <c r="G70">
        <f>9000-4500</f>
        <v>4500</v>
      </c>
      <c r="H70">
        <v>6</v>
      </c>
      <c r="I70">
        <v>16</v>
      </c>
      <c r="L70">
        <v>10</v>
      </c>
      <c r="M70">
        <v>100</v>
      </c>
      <c r="N70">
        <v>100</v>
      </c>
      <c r="O70">
        <v>100</v>
      </c>
    </row>
    <row r="71">
      <c r="A71">
        <v>5</v>
      </c>
      <c r="B71" t="str">
        <v>Lantai 2</v>
      </c>
      <c r="D71" t="str">
        <v>K4</v>
      </c>
      <c r="E71">
        <v>170</v>
      </c>
      <c r="F71">
        <v>400</v>
      </c>
      <c r="G71">
        <f>9000-4500</f>
        <v>4500</v>
      </c>
      <c r="H71">
        <v>6</v>
      </c>
      <c r="I71">
        <v>16</v>
      </c>
      <c r="L71">
        <v>10</v>
      </c>
      <c r="M71">
        <v>100</v>
      </c>
      <c r="N71">
        <v>100</v>
      </c>
      <c r="O71">
        <v>100</v>
      </c>
    </row>
    <row r="72">
      <c r="A72">
        <v>6</v>
      </c>
      <c r="B72" t="str">
        <v>Lantai 2</v>
      </c>
      <c r="D72" t="str">
        <v>K4</v>
      </c>
      <c r="E72">
        <v>170</v>
      </c>
      <c r="F72">
        <v>400</v>
      </c>
      <c r="G72">
        <f>9000-4500</f>
        <v>4500</v>
      </c>
      <c r="H72">
        <v>6</v>
      </c>
      <c r="I72">
        <v>16</v>
      </c>
      <c r="L72">
        <v>10</v>
      </c>
      <c r="M72">
        <v>100</v>
      </c>
      <c r="N72">
        <v>100</v>
      </c>
      <c r="O72">
        <v>100</v>
      </c>
    </row>
    <row r="73">
      <c r="A73">
        <v>7</v>
      </c>
      <c r="B73" t="str">
        <v>Lantai 2</v>
      </c>
      <c r="D73" t="str">
        <v>K4</v>
      </c>
      <c r="E73">
        <v>170</v>
      </c>
      <c r="F73">
        <v>400</v>
      </c>
      <c r="G73">
        <f>9000-4500</f>
        <v>4500</v>
      </c>
      <c r="H73">
        <v>6</v>
      </c>
      <c r="I73">
        <v>16</v>
      </c>
      <c r="L73">
        <v>10</v>
      </c>
      <c r="M73">
        <v>100</v>
      </c>
      <c r="N73">
        <v>100</v>
      </c>
      <c r="O73">
        <v>100</v>
      </c>
    </row>
    <row r="74">
      <c r="A74">
        <v>8</v>
      </c>
      <c r="B74" t="str">
        <v>Lantai 2</v>
      </c>
      <c r="D74" t="str">
        <v>K5</v>
      </c>
      <c r="E74">
        <v>170</v>
      </c>
      <c r="F74">
        <v>500</v>
      </c>
      <c r="G74">
        <f>9000-4500</f>
        <v>4500</v>
      </c>
      <c r="H74">
        <v>8</v>
      </c>
      <c r="I74">
        <v>16</v>
      </c>
      <c r="L74">
        <v>10</v>
      </c>
      <c r="M74">
        <v>100</v>
      </c>
      <c r="N74">
        <v>100</v>
      </c>
      <c r="O74">
        <v>100</v>
      </c>
      <c r="P74">
        <v>1</v>
      </c>
      <c r="Q74">
        <v>10</v>
      </c>
    </row>
    <row r="75">
      <c r="A75">
        <v>10</v>
      </c>
      <c r="B75" t="str">
        <v>Lantai 2</v>
      </c>
      <c r="D75" t="str">
        <v>K6</v>
      </c>
      <c r="E75">
        <v>170</v>
      </c>
      <c r="F75">
        <v>600</v>
      </c>
      <c r="G75">
        <f>9000-4500</f>
        <v>4500</v>
      </c>
      <c r="H75">
        <v>10</v>
      </c>
      <c r="I75">
        <v>16</v>
      </c>
      <c r="L75">
        <v>10</v>
      </c>
      <c r="M75">
        <v>100</v>
      </c>
      <c r="N75">
        <v>100</v>
      </c>
      <c r="O75">
        <v>100</v>
      </c>
      <c r="P75">
        <v>1</v>
      </c>
      <c r="Q75">
        <v>10</v>
      </c>
    </row>
    <row r="76">
      <c r="A76">
        <v>11</v>
      </c>
      <c r="B76" t="str">
        <v>Lantai 2</v>
      </c>
      <c r="D76" t="str">
        <v>KL55</v>
      </c>
      <c r="E76">
        <v>170</v>
      </c>
      <c r="F76">
        <v>500</v>
      </c>
      <c r="G76">
        <f>9000-4500</f>
        <v>4500</v>
      </c>
      <c r="H76">
        <v>6</v>
      </c>
      <c r="I76">
        <v>16</v>
      </c>
      <c r="L76">
        <v>10</v>
      </c>
      <c r="M76">
        <v>100</v>
      </c>
      <c r="N76">
        <v>100</v>
      </c>
      <c r="O76">
        <v>100</v>
      </c>
    </row>
    <row r="77">
      <c r="A77">
        <v>12</v>
      </c>
      <c r="B77" t="str">
        <v>Lantai 2</v>
      </c>
      <c r="D77" t="str">
        <v>KL55</v>
      </c>
      <c r="E77">
        <v>170</v>
      </c>
      <c r="F77">
        <v>500</v>
      </c>
      <c r="G77">
        <f>9000-4500</f>
        <v>4500</v>
      </c>
      <c r="H77">
        <v>6</v>
      </c>
      <c r="I77">
        <v>16</v>
      </c>
      <c r="L77">
        <v>10</v>
      </c>
      <c r="M77">
        <v>100</v>
      </c>
      <c r="N77">
        <v>100</v>
      </c>
      <c r="O77">
        <v>100</v>
      </c>
    </row>
    <row r="78">
      <c r="A78">
        <v>14</v>
      </c>
      <c r="B78" t="str">
        <v>Lantai 2</v>
      </c>
      <c r="D78" t="str">
        <v>K5</v>
      </c>
      <c r="E78">
        <v>170</v>
      </c>
      <c r="F78">
        <v>500</v>
      </c>
      <c r="G78">
        <f>9000-4500</f>
        <v>4500</v>
      </c>
      <c r="H78">
        <v>8</v>
      </c>
      <c r="I78">
        <v>16</v>
      </c>
      <c r="L78">
        <v>10</v>
      </c>
      <c r="M78">
        <v>100</v>
      </c>
      <c r="N78">
        <v>100</v>
      </c>
      <c r="O78">
        <v>100</v>
      </c>
      <c r="P78">
        <v>1</v>
      </c>
      <c r="Q78">
        <v>10</v>
      </c>
    </row>
    <row r="79">
      <c r="A79">
        <v>15</v>
      </c>
      <c r="B79" t="str">
        <v>Lantai 2</v>
      </c>
      <c r="D79" t="str">
        <v>K5</v>
      </c>
      <c r="E79">
        <v>170</v>
      </c>
      <c r="F79">
        <v>500</v>
      </c>
      <c r="G79">
        <f>9000-4500</f>
        <v>4500</v>
      </c>
      <c r="H79">
        <v>8</v>
      </c>
      <c r="I79">
        <v>16</v>
      </c>
      <c r="L79">
        <v>10</v>
      </c>
      <c r="M79">
        <v>100</v>
      </c>
      <c r="N79">
        <v>100</v>
      </c>
      <c r="O79">
        <v>100</v>
      </c>
      <c r="P79">
        <v>1</v>
      </c>
      <c r="Q79">
        <v>10</v>
      </c>
    </row>
    <row r="80">
      <c r="A80">
        <v>16</v>
      </c>
      <c r="B80" t="str">
        <v>Lantai 2</v>
      </c>
      <c r="D80" t="str">
        <v>K5</v>
      </c>
      <c r="E80">
        <v>170</v>
      </c>
      <c r="F80">
        <v>500</v>
      </c>
      <c r="G80">
        <f>9000-4500</f>
        <v>4500</v>
      </c>
      <c r="H80">
        <v>8</v>
      </c>
      <c r="I80">
        <v>16</v>
      </c>
      <c r="L80">
        <v>10</v>
      </c>
      <c r="M80">
        <v>100</v>
      </c>
      <c r="N80">
        <v>100</v>
      </c>
      <c r="O80">
        <v>100</v>
      </c>
      <c r="P80">
        <v>1</v>
      </c>
      <c r="Q80">
        <v>10</v>
      </c>
    </row>
    <row r="81">
      <c r="A81">
        <v>17</v>
      </c>
      <c r="B81" t="str">
        <v>Lantai 2</v>
      </c>
      <c r="D81" t="str">
        <v>K5</v>
      </c>
      <c r="E81">
        <v>170</v>
      </c>
      <c r="F81">
        <v>500</v>
      </c>
      <c r="G81">
        <f>9000-4500</f>
        <v>4500</v>
      </c>
      <c r="H81">
        <v>8</v>
      </c>
      <c r="I81">
        <v>16</v>
      </c>
      <c r="L81">
        <v>10</v>
      </c>
      <c r="M81">
        <v>100</v>
      </c>
      <c r="N81">
        <v>100</v>
      </c>
      <c r="O81">
        <v>100</v>
      </c>
      <c r="P81">
        <v>1</v>
      </c>
      <c r="Q81">
        <v>10</v>
      </c>
    </row>
    <row r="82">
      <c r="A82">
        <v>18</v>
      </c>
      <c r="B82" t="str">
        <v>Lantai 2</v>
      </c>
      <c r="D82" t="str">
        <v>KL55</v>
      </c>
      <c r="E82">
        <v>170</v>
      </c>
      <c r="F82">
        <v>500</v>
      </c>
      <c r="G82">
        <f>9000-4500</f>
        <v>4500</v>
      </c>
      <c r="H82">
        <v>6</v>
      </c>
      <c r="I82">
        <v>16</v>
      </c>
      <c r="L82">
        <v>10</v>
      </c>
      <c r="M82">
        <v>100</v>
      </c>
      <c r="N82">
        <v>100</v>
      </c>
      <c r="O82">
        <v>100</v>
      </c>
    </row>
    <row r="83">
      <c r="A83">
        <v>19</v>
      </c>
      <c r="B83" t="str">
        <v>Lantai 2</v>
      </c>
      <c r="D83" t="str">
        <v>KL55</v>
      </c>
      <c r="E83">
        <v>170</v>
      </c>
      <c r="F83">
        <v>500</v>
      </c>
      <c r="G83">
        <f>9000-4500</f>
        <v>4500</v>
      </c>
      <c r="H83">
        <v>6</v>
      </c>
      <c r="I83">
        <v>16</v>
      </c>
      <c r="L83">
        <v>10</v>
      </c>
      <c r="M83">
        <v>100</v>
      </c>
      <c r="N83">
        <v>100</v>
      </c>
      <c r="O83">
        <v>100</v>
      </c>
    </row>
    <row r="84">
      <c r="A84">
        <v>20</v>
      </c>
      <c r="B84" t="str">
        <v>Lantai 2</v>
      </c>
      <c r="D84" t="str">
        <v>K5</v>
      </c>
      <c r="E84">
        <v>170</v>
      </c>
      <c r="F84">
        <v>500</v>
      </c>
      <c r="G84">
        <f>9000-4500</f>
        <v>4500</v>
      </c>
      <c r="H84">
        <v>8</v>
      </c>
      <c r="I84">
        <v>16</v>
      </c>
      <c r="L84">
        <v>10</v>
      </c>
      <c r="M84">
        <v>100</v>
      </c>
      <c r="N84">
        <v>100</v>
      </c>
      <c r="O84">
        <v>100</v>
      </c>
      <c r="P84">
        <v>1</v>
      </c>
      <c r="Q84">
        <v>10</v>
      </c>
    </row>
    <row r="85">
      <c r="A85">
        <v>21</v>
      </c>
      <c r="B85" t="str">
        <v>Lantai 2</v>
      </c>
      <c r="D85" t="str">
        <v>KL55</v>
      </c>
      <c r="E85">
        <v>170</v>
      </c>
      <c r="F85">
        <v>500</v>
      </c>
      <c r="G85">
        <f>9000-4500</f>
        <v>4500</v>
      </c>
      <c r="H85">
        <v>6</v>
      </c>
      <c r="I85">
        <v>16</v>
      </c>
      <c r="L85">
        <v>10</v>
      </c>
      <c r="M85">
        <v>100</v>
      </c>
      <c r="N85">
        <v>100</v>
      </c>
      <c r="O85">
        <v>100</v>
      </c>
    </row>
    <row r="86">
      <c r="A86">
        <v>22</v>
      </c>
      <c r="B86" t="str">
        <v>Lantai 2</v>
      </c>
      <c r="D86" t="str">
        <v>KL55</v>
      </c>
      <c r="E86">
        <v>170</v>
      </c>
      <c r="F86">
        <v>500</v>
      </c>
      <c r="G86">
        <f>9000-4500</f>
        <v>4500</v>
      </c>
      <c r="H86">
        <v>6</v>
      </c>
      <c r="I86">
        <v>16</v>
      </c>
      <c r="L86">
        <v>10</v>
      </c>
      <c r="M86">
        <v>100</v>
      </c>
      <c r="N86">
        <v>100</v>
      </c>
      <c r="O86">
        <v>100</v>
      </c>
    </row>
    <row r="87">
      <c r="A87">
        <v>23</v>
      </c>
      <c r="B87" t="str">
        <v>Lantai 2</v>
      </c>
      <c r="D87" t="str">
        <v>KL55</v>
      </c>
      <c r="E87">
        <v>170</v>
      </c>
      <c r="F87">
        <v>500</v>
      </c>
      <c r="G87">
        <f>9000-4500</f>
        <v>4500</v>
      </c>
      <c r="H87">
        <v>6</v>
      </c>
      <c r="I87">
        <v>16</v>
      </c>
      <c r="L87">
        <v>10</v>
      </c>
      <c r="M87">
        <v>100</v>
      </c>
      <c r="N87">
        <v>100</v>
      </c>
      <c r="O87">
        <v>100</v>
      </c>
    </row>
    <row r="88">
      <c r="A88">
        <v>25</v>
      </c>
      <c r="B88" t="str">
        <v>Lantai 2</v>
      </c>
      <c r="D88" t="str">
        <v>K5</v>
      </c>
      <c r="E88">
        <v>170</v>
      </c>
      <c r="F88">
        <v>500</v>
      </c>
      <c r="G88">
        <f>9000-4500</f>
        <v>4500</v>
      </c>
      <c r="H88">
        <v>8</v>
      </c>
      <c r="I88">
        <v>16</v>
      </c>
      <c r="L88">
        <v>10</v>
      </c>
      <c r="M88">
        <v>100</v>
      </c>
      <c r="N88">
        <v>100</v>
      </c>
      <c r="O88">
        <v>100</v>
      </c>
      <c r="P88">
        <v>1</v>
      </c>
      <c r="Q88">
        <v>10</v>
      </c>
    </row>
    <row r="89">
      <c r="A89">
        <v>26</v>
      </c>
      <c r="B89" t="str">
        <v>Lantai 2</v>
      </c>
      <c r="D89" t="str">
        <v>K6</v>
      </c>
      <c r="E89">
        <v>170</v>
      </c>
      <c r="F89">
        <v>600</v>
      </c>
      <c r="G89">
        <f>9000-4500</f>
        <v>4500</v>
      </c>
      <c r="H89">
        <v>10</v>
      </c>
      <c r="I89">
        <v>16</v>
      </c>
      <c r="L89">
        <v>10</v>
      </c>
      <c r="M89">
        <v>100</v>
      </c>
      <c r="N89">
        <v>100</v>
      </c>
      <c r="O89">
        <v>100</v>
      </c>
      <c r="P89">
        <v>1</v>
      </c>
      <c r="Q89">
        <v>10</v>
      </c>
    </row>
    <row r="90">
      <c r="A90">
        <v>27</v>
      </c>
      <c r="B90" t="str">
        <v>Lantai 2</v>
      </c>
      <c r="D90" t="str">
        <v>K6</v>
      </c>
      <c r="E90">
        <v>170</v>
      </c>
      <c r="F90">
        <v>600</v>
      </c>
      <c r="G90">
        <f>9000-4500</f>
        <v>4500</v>
      </c>
      <c r="H90">
        <v>10</v>
      </c>
      <c r="I90">
        <v>16</v>
      </c>
      <c r="L90">
        <v>10</v>
      </c>
      <c r="M90">
        <v>100</v>
      </c>
      <c r="N90">
        <v>100</v>
      </c>
      <c r="O90">
        <v>100</v>
      </c>
      <c r="P90">
        <v>1</v>
      </c>
      <c r="Q90">
        <v>10</v>
      </c>
    </row>
    <row r="91">
      <c r="A91">
        <v>28</v>
      </c>
      <c r="B91" t="str">
        <v>Lantai 2</v>
      </c>
      <c r="D91" t="str">
        <v>K7</v>
      </c>
      <c r="E91">
        <v>170</v>
      </c>
      <c r="F91">
        <v>700</v>
      </c>
      <c r="G91">
        <f>9000-4500</f>
        <v>4500</v>
      </c>
      <c r="H91">
        <v>10</v>
      </c>
      <c r="I91">
        <v>16</v>
      </c>
      <c r="L91">
        <v>10</v>
      </c>
      <c r="M91">
        <v>100</v>
      </c>
      <c r="N91">
        <v>100</v>
      </c>
      <c r="O91">
        <v>100</v>
      </c>
      <c r="P91">
        <v>1</v>
      </c>
      <c r="Q91">
        <v>10</v>
      </c>
    </row>
    <row r="92">
      <c r="A92">
        <v>29</v>
      </c>
      <c r="B92" t="str">
        <v>Lantai 2</v>
      </c>
      <c r="D92" t="str">
        <v>K5</v>
      </c>
      <c r="E92">
        <v>170</v>
      </c>
      <c r="F92">
        <v>500</v>
      </c>
      <c r="G92">
        <f>9000-4500</f>
        <v>4500</v>
      </c>
      <c r="H92">
        <v>8</v>
      </c>
      <c r="I92">
        <v>16</v>
      </c>
      <c r="L92">
        <v>10</v>
      </c>
      <c r="M92">
        <v>100</v>
      </c>
      <c r="N92">
        <v>100</v>
      </c>
      <c r="O92">
        <v>100</v>
      </c>
      <c r="P92">
        <v>1</v>
      </c>
      <c r="Q92">
        <v>10</v>
      </c>
    </row>
    <row r="93">
      <c r="A93">
        <v>30</v>
      </c>
      <c r="B93" t="str">
        <v>Lantai 2</v>
      </c>
      <c r="D93" t="str">
        <v>K4</v>
      </c>
      <c r="E93">
        <v>170</v>
      </c>
      <c r="F93">
        <v>400</v>
      </c>
      <c r="G93">
        <f>9000-4500</f>
        <v>4500</v>
      </c>
      <c r="H93">
        <v>6</v>
      </c>
      <c r="I93">
        <v>16</v>
      </c>
      <c r="L93">
        <v>10</v>
      </c>
      <c r="M93">
        <v>100</v>
      </c>
      <c r="N93">
        <v>100</v>
      </c>
      <c r="O93">
        <v>100</v>
      </c>
    </row>
    <row r="94">
      <c r="A94">
        <v>44</v>
      </c>
      <c r="B94" t="str">
        <v>Lantai 2</v>
      </c>
      <c r="D94" t="str">
        <v>K4</v>
      </c>
      <c r="E94">
        <v>170</v>
      </c>
      <c r="F94">
        <v>400</v>
      </c>
      <c r="G94">
        <f>9000-4500</f>
        <v>4500</v>
      </c>
      <c r="H94">
        <v>6</v>
      </c>
      <c r="I94">
        <v>16</v>
      </c>
      <c r="L94">
        <v>10</v>
      </c>
      <c r="M94">
        <v>100</v>
      </c>
      <c r="N94">
        <v>100</v>
      </c>
      <c r="O94">
        <v>100</v>
      </c>
    </row>
    <row r="96">
      <c r="A96">
        <v>101</v>
      </c>
      <c r="B96" t="str">
        <v>Lantai 2</v>
      </c>
      <c r="D96" t="str">
        <v>K5</v>
      </c>
      <c r="E96">
        <v>170</v>
      </c>
      <c r="F96">
        <v>500</v>
      </c>
      <c r="G96">
        <f>9000-4500</f>
        <v>4500</v>
      </c>
      <c r="H96">
        <v>8</v>
      </c>
      <c r="I96">
        <v>16</v>
      </c>
      <c r="L96">
        <v>10</v>
      </c>
      <c r="M96">
        <v>100</v>
      </c>
      <c r="N96">
        <v>100</v>
      </c>
      <c r="O96">
        <v>100</v>
      </c>
      <c r="P96">
        <v>1</v>
      </c>
      <c r="Q96">
        <v>10</v>
      </c>
    </row>
    <row r="97">
      <c r="A97">
        <v>102</v>
      </c>
      <c r="B97" t="str">
        <v>Lantai 2</v>
      </c>
      <c r="D97" t="str">
        <v>K4</v>
      </c>
      <c r="E97">
        <v>170</v>
      </c>
      <c r="F97">
        <v>400</v>
      </c>
      <c r="G97">
        <f>9000-2750</f>
        <v>6250</v>
      </c>
      <c r="H97">
        <v>6</v>
      </c>
      <c r="I97">
        <v>16</v>
      </c>
      <c r="L97">
        <v>10</v>
      </c>
      <c r="M97">
        <v>100</v>
      </c>
      <c r="N97">
        <v>100</v>
      </c>
      <c r="O97">
        <v>100</v>
      </c>
    </row>
    <row r="98">
      <c r="A98">
        <v>103</v>
      </c>
      <c r="B98" t="str">
        <v>Lantai 2</v>
      </c>
      <c r="D98" t="str">
        <v>K4</v>
      </c>
      <c r="E98">
        <v>170</v>
      </c>
      <c r="F98">
        <v>400</v>
      </c>
      <c r="G98">
        <f>9000-2750</f>
        <v>6250</v>
      </c>
      <c r="H98">
        <v>6</v>
      </c>
      <c r="I98">
        <v>16</v>
      </c>
      <c r="L98">
        <v>10</v>
      </c>
      <c r="M98">
        <v>100</v>
      </c>
      <c r="N98">
        <v>100</v>
      </c>
      <c r="O98">
        <v>100</v>
      </c>
    </row>
    <row r="100">
      <c r="A100">
        <v>1</v>
      </c>
      <c r="B100" t="str">
        <v>Lantai 3</v>
      </c>
      <c r="D100" t="str">
        <v>K1A4</v>
      </c>
      <c r="E100">
        <v>130</v>
      </c>
      <c r="F100">
        <v>400</v>
      </c>
      <c r="G100">
        <f>12500-9000</f>
        <v>3500</v>
      </c>
      <c r="H100">
        <v>6</v>
      </c>
      <c r="I100">
        <v>16</v>
      </c>
      <c r="L100">
        <v>10</v>
      </c>
      <c r="M100">
        <v>100</v>
      </c>
      <c r="N100">
        <v>100</v>
      </c>
      <c r="O100">
        <v>100</v>
      </c>
    </row>
    <row r="101">
      <c r="A101">
        <v>2</v>
      </c>
      <c r="B101" t="str">
        <v>Lantai 3</v>
      </c>
      <c r="D101" t="str">
        <v>K4</v>
      </c>
      <c r="E101">
        <v>170</v>
      </c>
      <c r="F101">
        <v>400</v>
      </c>
      <c r="G101">
        <f>12500-9000</f>
        <v>3500</v>
      </c>
      <c r="H101">
        <v>6</v>
      </c>
      <c r="I101">
        <v>16</v>
      </c>
      <c r="L101">
        <v>10</v>
      </c>
      <c r="M101">
        <v>100</v>
      </c>
      <c r="N101">
        <v>100</v>
      </c>
      <c r="O101">
        <v>100</v>
      </c>
    </row>
    <row r="102">
      <c r="A102">
        <v>3</v>
      </c>
      <c r="B102" t="str">
        <v>Lantai 3</v>
      </c>
      <c r="D102" t="str">
        <v>K4</v>
      </c>
      <c r="E102">
        <v>170</v>
      </c>
      <c r="F102">
        <v>400</v>
      </c>
      <c r="G102">
        <f>12500-9000</f>
        <v>3500</v>
      </c>
      <c r="H102">
        <v>6</v>
      </c>
      <c r="I102">
        <v>16</v>
      </c>
      <c r="L102">
        <v>10</v>
      </c>
      <c r="M102">
        <v>100</v>
      </c>
      <c r="N102">
        <v>100</v>
      </c>
      <c r="O102">
        <v>100</v>
      </c>
    </row>
    <row r="103">
      <c r="A103">
        <v>8</v>
      </c>
      <c r="B103" t="str">
        <v>Lantai 3</v>
      </c>
      <c r="D103" t="str">
        <v>K1A4</v>
      </c>
      <c r="E103">
        <v>130</v>
      </c>
      <c r="F103">
        <v>400</v>
      </c>
      <c r="G103">
        <f>12500-9000</f>
        <v>3500</v>
      </c>
      <c r="H103">
        <v>6</v>
      </c>
      <c r="I103">
        <v>16</v>
      </c>
      <c r="L103">
        <v>10</v>
      </c>
      <c r="M103">
        <v>100</v>
      </c>
      <c r="N103">
        <v>100</v>
      </c>
      <c r="O103">
        <v>100</v>
      </c>
    </row>
    <row r="104">
      <c r="A104">
        <v>10</v>
      </c>
      <c r="B104" t="str">
        <v>Lantai 3</v>
      </c>
      <c r="D104" t="str">
        <v>K1A4</v>
      </c>
      <c r="E104">
        <v>130</v>
      </c>
      <c r="F104">
        <v>400</v>
      </c>
      <c r="G104">
        <f>12500-9000</f>
        <v>3500</v>
      </c>
      <c r="H104">
        <v>6</v>
      </c>
      <c r="I104">
        <v>16</v>
      </c>
      <c r="L104">
        <v>10</v>
      </c>
      <c r="M104">
        <v>100</v>
      </c>
      <c r="N104">
        <v>100</v>
      </c>
      <c r="O104">
        <v>100</v>
      </c>
    </row>
    <row r="105">
      <c r="A105">
        <v>11</v>
      </c>
      <c r="B105" t="str">
        <v>Lantai 3</v>
      </c>
      <c r="D105" t="str">
        <v>K1A5</v>
      </c>
      <c r="E105">
        <v>130</v>
      </c>
      <c r="F105">
        <v>500</v>
      </c>
      <c r="G105">
        <f>12500-9000</f>
        <v>3500</v>
      </c>
      <c r="H105">
        <v>6</v>
      </c>
      <c r="I105">
        <v>16</v>
      </c>
      <c r="L105">
        <v>10</v>
      </c>
      <c r="M105">
        <v>100</v>
      </c>
      <c r="N105">
        <v>100</v>
      </c>
      <c r="O105">
        <v>100</v>
      </c>
    </row>
    <row r="106">
      <c r="A106">
        <v>12</v>
      </c>
      <c r="B106" t="str">
        <v>Lantai 3</v>
      </c>
      <c r="D106" t="str">
        <v>K1A5</v>
      </c>
      <c r="E106">
        <v>130</v>
      </c>
      <c r="F106">
        <v>500</v>
      </c>
      <c r="G106">
        <f>12500-9000</f>
        <v>3500</v>
      </c>
      <c r="H106">
        <v>6</v>
      </c>
      <c r="I106">
        <v>16</v>
      </c>
      <c r="L106">
        <v>10</v>
      </c>
      <c r="M106">
        <v>100</v>
      </c>
      <c r="N106">
        <v>100</v>
      </c>
      <c r="O106">
        <v>100</v>
      </c>
    </row>
    <row r="107">
      <c r="A107">
        <v>14</v>
      </c>
      <c r="B107" t="str">
        <v>Lantai 3</v>
      </c>
      <c r="D107" t="str">
        <v>K1A4</v>
      </c>
      <c r="E107">
        <v>130</v>
      </c>
      <c r="F107">
        <v>400</v>
      </c>
      <c r="G107">
        <f>12500-9000</f>
        <v>3500</v>
      </c>
      <c r="H107">
        <v>6</v>
      </c>
      <c r="I107">
        <v>16</v>
      </c>
      <c r="L107">
        <v>10</v>
      </c>
      <c r="M107">
        <v>100</v>
      </c>
      <c r="N107">
        <v>100</v>
      </c>
      <c r="O107">
        <v>100</v>
      </c>
    </row>
    <row r="108">
      <c r="A108">
        <v>15</v>
      </c>
      <c r="B108" t="str">
        <v>Lantai 3</v>
      </c>
      <c r="D108" t="str">
        <v>K1A4</v>
      </c>
      <c r="E108">
        <v>130</v>
      </c>
      <c r="F108">
        <v>400</v>
      </c>
      <c r="G108">
        <f>12500-9000</f>
        <v>3500</v>
      </c>
      <c r="H108">
        <v>6</v>
      </c>
      <c r="I108">
        <v>16</v>
      </c>
      <c r="L108">
        <v>10</v>
      </c>
      <c r="M108">
        <v>100</v>
      </c>
      <c r="N108">
        <v>100</v>
      </c>
      <c r="O108">
        <v>100</v>
      </c>
    </row>
    <row r="109">
      <c r="A109">
        <v>17</v>
      </c>
      <c r="B109" t="str">
        <v>Lantai 3</v>
      </c>
      <c r="D109" t="str">
        <v>K1A4</v>
      </c>
      <c r="E109">
        <v>130</v>
      </c>
      <c r="F109">
        <v>400</v>
      </c>
      <c r="G109">
        <f>12500-9000</f>
        <v>3500</v>
      </c>
      <c r="H109">
        <v>6</v>
      </c>
      <c r="I109">
        <v>16</v>
      </c>
      <c r="L109">
        <v>10</v>
      </c>
      <c r="M109">
        <v>100</v>
      </c>
      <c r="N109">
        <v>100</v>
      </c>
      <c r="O109">
        <v>100</v>
      </c>
    </row>
    <row r="110">
      <c r="A110">
        <v>18</v>
      </c>
      <c r="B110" t="str">
        <v>Lantai 3</v>
      </c>
      <c r="D110" t="str">
        <v>KL55</v>
      </c>
      <c r="E110">
        <v>170</v>
      </c>
      <c r="F110">
        <v>500</v>
      </c>
      <c r="G110">
        <f>12500-9000</f>
        <v>3500</v>
      </c>
      <c r="H110">
        <v>6</v>
      </c>
      <c r="I110">
        <v>16</v>
      </c>
      <c r="L110">
        <v>10</v>
      </c>
      <c r="M110">
        <v>100</v>
      </c>
      <c r="N110">
        <v>100</v>
      </c>
      <c r="O110">
        <v>100</v>
      </c>
    </row>
    <row r="111">
      <c r="A111">
        <v>19</v>
      </c>
      <c r="B111" t="str">
        <v>Lantai 3</v>
      </c>
      <c r="D111" t="str">
        <v>KL55</v>
      </c>
      <c r="E111">
        <v>170</v>
      </c>
      <c r="F111">
        <v>500</v>
      </c>
      <c r="G111">
        <f>12500-9000</f>
        <v>3500</v>
      </c>
      <c r="H111">
        <v>6</v>
      </c>
      <c r="I111">
        <v>16</v>
      </c>
      <c r="L111">
        <v>10</v>
      </c>
      <c r="M111">
        <v>100</v>
      </c>
      <c r="N111">
        <v>100</v>
      </c>
      <c r="O111">
        <v>100</v>
      </c>
    </row>
    <row r="112">
      <c r="A112">
        <v>20</v>
      </c>
      <c r="B112" t="str">
        <v>Lantai 3</v>
      </c>
      <c r="D112" t="str">
        <v>K1A5</v>
      </c>
      <c r="E112">
        <v>130</v>
      </c>
      <c r="F112">
        <v>500</v>
      </c>
      <c r="G112">
        <f>12500-9000</f>
        <v>3500</v>
      </c>
      <c r="H112">
        <v>6</v>
      </c>
      <c r="I112">
        <v>16</v>
      </c>
      <c r="L112">
        <v>10</v>
      </c>
      <c r="M112">
        <v>100</v>
      </c>
      <c r="N112">
        <v>100</v>
      </c>
      <c r="O112">
        <v>100</v>
      </c>
    </row>
    <row r="113">
      <c r="A113">
        <v>21</v>
      </c>
      <c r="B113" t="str">
        <v>Lantai 3</v>
      </c>
      <c r="D113" t="str">
        <v>KL55</v>
      </c>
      <c r="E113">
        <v>170</v>
      </c>
      <c r="F113">
        <v>500</v>
      </c>
      <c r="G113">
        <f>12500-9000</f>
        <v>3500</v>
      </c>
      <c r="H113">
        <v>6</v>
      </c>
      <c r="I113">
        <v>16</v>
      </c>
      <c r="L113">
        <v>10</v>
      </c>
      <c r="M113">
        <v>100</v>
      </c>
      <c r="N113">
        <v>100</v>
      </c>
      <c r="O113">
        <v>100</v>
      </c>
    </row>
    <row r="114">
      <c r="A114">
        <v>22</v>
      </c>
      <c r="B114" t="str">
        <v>Lantai 3</v>
      </c>
      <c r="D114" t="str">
        <v>KL55</v>
      </c>
      <c r="E114">
        <v>170</v>
      </c>
      <c r="F114">
        <v>500</v>
      </c>
      <c r="G114">
        <f>12500-9000</f>
        <v>3500</v>
      </c>
      <c r="H114">
        <v>6</v>
      </c>
      <c r="I114">
        <v>16</v>
      </c>
      <c r="L114">
        <v>10</v>
      </c>
      <c r="M114">
        <v>100</v>
      </c>
      <c r="N114">
        <v>100</v>
      </c>
      <c r="O114">
        <v>100</v>
      </c>
    </row>
    <row r="115">
      <c r="A115">
        <v>23</v>
      </c>
      <c r="B115" t="str">
        <v>Lantai 3</v>
      </c>
      <c r="D115" t="str">
        <v>K1A5</v>
      </c>
      <c r="E115">
        <v>130</v>
      </c>
      <c r="F115">
        <v>500</v>
      </c>
      <c r="G115">
        <f>12500-9000</f>
        <v>3500</v>
      </c>
      <c r="H115">
        <v>6</v>
      </c>
      <c r="I115">
        <v>16</v>
      </c>
      <c r="L115">
        <v>10</v>
      </c>
      <c r="M115">
        <v>100</v>
      </c>
      <c r="N115">
        <v>100</v>
      </c>
      <c r="O115">
        <v>100</v>
      </c>
    </row>
    <row r="116">
      <c r="A116">
        <v>25</v>
      </c>
      <c r="B116" t="str">
        <v>Lantai 3</v>
      </c>
      <c r="D116" t="str">
        <v>K1A5</v>
      </c>
      <c r="E116">
        <v>130</v>
      </c>
      <c r="F116">
        <v>500</v>
      </c>
      <c r="G116">
        <f>12500-9000</f>
        <v>3500</v>
      </c>
      <c r="H116">
        <v>6</v>
      </c>
      <c r="I116">
        <v>16</v>
      </c>
      <c r="L116">
        <v>10</v>
      </c>
      <c r="M116">
        <v>100</v>
      </c>
      <c r="N116">
        <v>100</v>
      </c>
      <c r="O116">
        <v>100</v>
      </c>
    </row>
    <row r="117">
      <c r="A117">
        <v>27</v>
      </c>
      <c r="B117" t="str">
        <v>Lantai 3</v>
      </c>
      <c r="D117" t="str">
        <v>K4</v>
      </c>
      <c r="E117">
        <v>170</v>
      </c>
      <c r="F117">
        <v>400</v>
      </c>
      <c r="G117">
        <f>12500-9000</f>
        <v>3500</v>
      </c>
      <c r="H117">
        <v>6</v>
      </c>
      <c r="I117">
        <v>16</v>
      </c>
      <c r="L117">
        <v>10</v>
      </c>
      <c r="M117">
        <v>100</v>
      </c>
      <c r="N117">
        <v>100</v>
      </c>
      <c r="O117">
        <v>100</v>
      </c>
    </row>
    <row r="118">
      <c r="A118">
        <v>28</v>
      </c>
      <c r="B118" t="str">
        <v>Lantai 3</v>
      </c>
      <c r="D118" t="str">
        <v>K1A5</v>
      </c>
      <c r="E118">
        <v>130</v>
      </c>
      <c r="F118">
        <v>500</v>
      </c>
      <c r="G118">
        <f>12500-9000</f>
        <v>3500</v>
      </c>
      <c r="H118">
        <v>6</v>
      </c>
      <c r="I118">
        <v>16</v>
      </c>
      <c r="L118">
        <v>10</v>
      </c>
      <c r="M118">
        <v>100</v>
      </c>
      <c r="N118">
        <v>100</v>
      </c>
      <c r="O118">
        <v>100</v>
      </c>
    </row>
    <row r="119">
      <c r="A119">
        <v>29</v>
      </c>
      <c r="B119" t="str">
        <v>Lantai 3</v>
      </c>
      <c r="D119" t="str">
        <v>K1A5</v>
      </c>
      <c r="E119">
        <v>130</v>
      </c>
      <c r="F119">
        <v>500</v>
      </c>
      <c r="G119">
        <f>12500-9000</f>
        <v>3500</v>
      </c>
      <c r="H119">
        <v>6</v>
      </c>
      <c r="I119">
        <v>16</v>
      </c>
      <c r="L119">
        <v>10</v>
      </c>
      <c r="M119">
        <v>100</v>
      </c>
      <c r="N119">
        <v>100</v>
      </c>
      <c r="O119">
        <v>100</v>
      </c>
    </row>
    <row r="121">
      <c r="A121">
        <v>101</v>
      </c>
      <c r="B121" t="str">
        <v>Lantai 3</v>
      </c>
      <c r="D121" t="str">
        <v>K1A5</v>
      </c>
      <c r="E121">
        <v>130</v>
      </c>
      <c r="F121">
        <v>500</v>
      </c>
      <c r="G121">
        <f>12500-9000</f>
        <v>3500</v>
      </c>
      <c r="H121">
        <v>6</v>
      </c>
      <c r="I121">
        <v>16</v>
      </c>
      <c r="L121">
        <v>10</v>
      </c>
      <c r="M121">
        <v>100</v>
      </c>
      <c r="N121">
        <v>100</v>
      </c>
      <c r="O121">
        <v>100</v>
      </c>
    </row>
    <row r="122">
      <c r="A122">
        <v>102</v>
      </c>
      <c r="B122" t="str">
        <v>Lantai 3</v>
      </c>
      <c r="D122" t="str">
        <v>K4</v>
      </c>
      <c r="E122">
        <v>170</v>
      </c>
      <c r="F122">
        <v>400</v>
      </c>
      <c r="G122">
        <f>12500-9000</f>
        <v>3500</v>
      </c>
      <c r="H122">
        <v>6</v>
      </c>
      <c r="I122">
        <v>16</v>
      </c>
      <c r="L122">
        <v>10</v>
      </c>
      <c r="M122">
        <v>100</v>
      </c>
      <c r="N122">
        <v>100</v>
      </c>
      <c r="O122">
        <v>100</v>
      </c>
    </row>
    <row r="123">
      <c r="A123">
        <v>103</v>
      </c>
      <c r="B123" t="str">
        <v>Lantai 3</v>
      </c>
      <c r="D123" t="str">
        <v>K4</v>
      </c>
      <c r="E123">
        <v>170</v>
      </c>
      <c r="F123">
        <v>400</v>
      </c>
      <c r="G123">
        <f>12500-9000</f>
        <v>3500</v>
      </c>
      <c r="H123">
        <v>6</v>
      </c>
      <c r="I123">
        <v>16</v>
      </c>
      <c r="L123">
        <v>10</v>
      </c>
      <c r="M123">
        <v>100</v>
      </c>
      <c r="N123">
        <v>100</v>
      </c>
      <c r="O123">
        <v>100</v>
      </c>
    </row>
    <row r="125">
      <c r="A125">
        <v>201</v>
      </c>
      <c r="B125" t="str">
        <v>Lantai 3</v>
      </c>
      <c r="D125" t="str">
        <v>K1A4</v>
      </c>
      <c r="E125">
        <v>130</v>
      </c>
      <c r="F125">
        <v>400</v>
      </c>
      <c r="G125">
        <f>12500-9000</f>
        <v>3500</v>
      </c>
      <c r="H125">
        <v>6</v>
      </c>
      <c r="I125">
        <v>16</v>
      </c>
      <c r="L125">
        <v>10</v>
      </c>
      <c r="M125">
        <v>100</v>
      </c>
      <c r="N125">
        <v>100</v>
      </c>
      <c r="O125">
        <v>100</v>
      </c>
    </row>
    <row r="126">
      <c r="A126">
        <v>202</v>
      </c>
      <c r="B126" t="str">
        <v>Lantai 3</v>
      </c>
      <c r="D126" t="str">
        <v>K1A4</v>
      </c>
      <c r="E126">
        <v>130</v>
      </c>
      <c r="F126">
        <v>400</v>
      </c>
      <c r="G126">
        <f>12500-9000</f>
        <v>3500</v>
      </c>
      <c r="H126">
        <v>6</v>
      </c>
      <c r="I126">
        <v>16</v>
      </c>
      <c r="L126">
        <v>10</v>
      </c>
      <c r="M126">
        <v>100</v>
      </c>
      <c r="N126">
        <v>100</v>
      </c>
      <c r="O126">
        <v>100</v>
      </c>
    </row>
    <row r="127">
      <c r="A127">
        <v>203</v>
      </c>
      <c r="B127" t="str">
        <v>Lantai 3</v>
      </c>
      <c r="D127" t="str">
        <v>K1A4</v>
      </c>
      <c r="E127">
        <v>130</v>
      </c>
      <c r="F127">
        <v>400</v>
      </c>
      <c r="G127">
        <f>12500-9000</f>
        <v>3500</v>
      </c>
      <c r="H127">
        <v>6</v>
      </c>
      <c r="I127">
        <v>16</v>
      </c>
      <c r="L127">
        <v>10</v>
      </c>
      <c r="M127">
        <v>100</v>
      </c>
      <c r="N127">
        <v>100</v>
      </c>
      <c r="O127">
        <v>100</v>
      </c>
    </row>
    <row r="128">
      <c r="A128">
        <v>204</v>
      </c>
      <c r="B128" t="str">
        <v>Lantai 3</v>
      </c>
      <c r="D128" t="str">
        <v>K1A4</v>
      </c>
      <c r="E128">
        <v>130</v>
      </c>
      <c r="F128">
        <v>400</v>
      </c>
      <c r="G128">
        <f>12500-9000</f>
        <v>3500</v>
      </c>
      <c r="H128">
        <v>6</v>
      </c>
      <c r="I128">
        <v>16</v>
      </c>
      <c r="L128">
        <v>10</v>
      </c>
      <c r="M128">
        <v>100</v>
      </c>
      <c r="N128">
        <v>100</v>
      </c>
      <c r="O128">
        <v>100</v>
      </c>
    </row>
    <row r="129">
      <c r="A129">
        <v>205</v>
      </c>
      <c r="B129" t="str">
        <v>Lantai 3</v>
      </c>
      <c r="D129" t="str">
        <v>K1A5</v>
      </c>
      <c r="E129">
        <v>130</v>
      </c>
      <c r="F129">
        <v>500</v>
      </c>
      <c r="G129">
        <f>12500-9000</f>
        <v>3500</v>
      </c>
      <c r="H129">
        <v>6</v>
      </c>
      <c r="I129">
        <v>16</v>
      </c>
      <c r="L129">
        <v>10</v>
      </c>
      <c r="M129">
        <v>100</v>
      </c>
      <c r="N129">
        <v>100</v>
      </c>
      <c r="O129">
        <v>100</v>
      </c>
    </row>
    <row r="130">
      <c r="A130">
        <v>206</v>
      </c>
      <c r="B130" t="str">
        <v>Lantai 3</v>
      </c>
      <c r="D130" t="str">
        <v>K1A5</v>
      </c>
      <c r="E130">
        <v>130</v>
      </c>
      <c r="F130">
        <v>500</v>
      </c>
      <c r="G130">
        <f>12500-9000</f>
        <v>3500</v>
      </c>
      <c r="H130">
        <v>6</v>
      </c>
      <c r="I130">
        <v>16</v>
      </c>
      <c r="L130">
        <v>10</v>
      </c>
      <c r="M130">
        <v>100</v>
      </c>
      <c r="N130">
        <v>100</v>
      </c>
      <c r="O130">
        <v>100</v>
      </c>
    </row>
    <row r="132">
      <c r="A132">
        <v>205</v>
      </c>
      <c r="B132" t="str">
        <v>Lantai Atap</v>
      </c>
      <c r="D132" t="str">
        <v>K1A4</v>
      </c>
      <c r="E132">
        <v>130</v>
      </c>
      <c r="F132">
        <v>400</v>
      </c>
      <c r="G132">
        <f>13500-12500</f>
        <v>1000</v>
      </c>
      <c r="H132">
        <v>6</v>
      </c>
      <c r="I132">
        <v>16</v>
      </c>
      <c r="L132">
        <v>10</v>
      </c>
      <c r="M132">
        <v>100</v>
      </c>
      <c r="N132">
        <v>100</v>
      </c>
      <c r="O132">
        <v>100</v>
      </c>
    </row>
    <row r="134">
      <c r="A134">
        <v>301</v>
      </c>
      <c r="B134" t="str">
        <v>Lantai Atap</v>
      </c>
      <c r="D134" t="str">
        <v>K1A4</v>
      </c>
      <c r="E134">
        <v>130</v>
      </c>
      <c r="F134">
        <v>400</v>
      </c>
      <c r="G134">
        <f>13500-12500</f>
        <v>1000</v>
      </c>
      <c r="H134">
        <v>6</v>
      </c>
      <c r="I134">
        <v>16</v>
      </c>
      <c r="L134">
        <v>10</v>
      </c>
      <c r="M134">
        <v>100</v>
      </c>
      <c r="N134">
        <v>100</v>
      </c>
      <c r="O134">
        <v>100</v>
      </c>
    </row>
    <row r="135">
      <c r="A135">
        <v>302</v>
      </c>
      <c r="B135" t="str">
        <v>Lantai Atap</v>
      </c>
      <c r="D135" t="str">
        <v>K1A4</v>
      </c>
      <c r="E135">
        <v>130</v>
      </c>
      <c r="F135">
        <v>400</v>
      </c>
      <c r="G135">
        <f>13500-12500</f>
        <v>1000</v>
      </c>
      <c r="H135">
        <v>6</v>
      </c>
      <c r="I135">
        <v>16</v>
      </c>
      <c r="L135">
        <v>10</v>
      </c>
      <c r="M135">
        <v>100</v>
      </c>
      <c r="N135">
        <v>100</v>
      </c>
      <c r="O135">
        <v>100</v>
      </c>
    </row>
    <row r="136">
      <c r="A136">
        <v>303</v>
      </c>
      <c r="B136" t="str">
        <v>Lantai Atap</v>
      </c>
      <c r="D136" t="str">
        <v>K1A4</v>
      </c>
      <c r="E136">
        <v>130</v>
      </c>
      <c r="F136">
        <v>400</v>
      </c>
      <c r="G136">
        <f>13500-12500</f>
        <v>1000</v>
      </c>
      <c r="H136">
        <v>6</v>
      </c>
      <c r="I136">
        <v>16</v>
      </c>
      <c r="L136">
        <v>10</v>
      </c>
      <c r="M136">
        <v>100</v>
      </c>
      <c r="N136">
        <v>100</v>
      </c>
      <c r="O136">
        <v>100</v>
      </c>
    </row>
    <row r="137">
      <c r="A137">
        <v>304</v>
      </c>
      <c r="B137" t="str">
        <v>Lantai Atap</v>
      </c>
      <c r="D137" t="str">
        <v>K1A4</v>
      </c>
      <c r="E137">
        <v>130</v>
      </c>
      <c r="F137">
        <v>400</v>
      </c>
      <c r="G137">
        <f>13500-12500</f>
        <v>1000</v>
      </c>
      <c r="H137">
        <v>6</v>
      </c>
      <c r="I137">
        <v>16</v>
      </c>
      <c r="L137">
        <v>10</v>
      </c>
      <c r="M137">
        <v>100</v>
      </c>
      <c r="N137">
        <v>100</v>
      </c>
      <c r="O137">
        <v>100</v>
      </c>
    </row>
    <row r="138">
      <c r="A138">
        <v>305</v>
      </c>
      <c r="B138" t="str">
        <v>Lantai Atap</v>
      </c>
      <c r="D138" t="str">
        <v>K1A4</v>
      </c>
      <c r="E138">
        <v>130</v>
      </c>
      <c r="F138">
        <v>400</v>
      </c>
      <c r="G138">
        <f>13500-12500</f>
        <v>1000</v>
      </c>
      <c r="H138">
        <v>6</v>
      </c>
      <c r="I138">
        <v>16</v>
      </c>
      <c r="L138">
        <v>10</v>
      </c>
      <c r="M138">
        <v>100</v>
      </c>
      <c r="N138">
        <v>100</v>
      </c>
      <c r="O138">
        <v>100</v>
      </c>
    </row>
  </sheetData>
  <autoFilter ref="A14:U248"/>
  <mergeCells count="17">
    <mergeCell ref="U11:U13"/>
    <mergeCell ref="J11:K12"/>
    <mergeCell ref="L11:L12"/>
    <mergeCell ref="M11:O12"/>
    <mergeCell ref="P11:Q12"/>
    <mergeCell ref="R11:S12"/>
    <mergeCell ref="T11:T13"/>
    <mergeCell ref="A1:Q1"/>
    <mergeCell ref="F3:L3"/>
    <mergeCell ref="A4:C4"/>
    <mergeCell ref="F4:L4"/>
    <mergeCell ref="A11:A13"/>
    <mergeCell ref="B11:B13"/>
    <mergeCell ref="C11:C13"/>
    <mergeCell ref="D11:D13"/>
    <mergeCell ref="E11:G12"/>
    <mergeCell ref="H11:I12"/>
  </mergeCells>
  <pageMargins left="0.25" right="0.25" top="1.5" bottom="0.75" header="0.25" footer="0.25"/>
  <ignoredErrors>
    <ignoredError numberStoredAsText="1" sqref="A1:AE34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C337"/>
  <sheetViews>
    <sheetView workbookViewId="0" rightToLeft="0"/>
  </sheetViews>
  <sheetData>
    <row r="1">
      <c r="B1" t="str">
        <v>PERHITUNGAN PEKERJAAN BALOK</v>
      </c>
    </row>
    <row r="3">
      <c r="B3" t="str">
        <v>Proyek</v>
      </c>
      <c r="E3" t="str">
        <v>:</v>
      </c>
      <c r="F3" t="str">
        <v>PAKUWON INDAH AH1</v>
      </c>
    </row>
    <row r="4">
      <c r="B4" t="str">
        <v>Elevasi Existing</v>
      </c>
      <c r="E4" t="str">
        <v>:</v>
      </c>
      <c r="F4">
        <v>-3.5</v>
      </c>
    </row>
    <row r="5">
      <c r="B5" t="str">
        <v>Space Galian (per sisi)</v>
      </c>
      <c r="E5" t="str">
        <v>:</v>
      </c>
      <c r="F5">
        <v>100</v>
      </c>
      <c r="G5" t="str">
        <v>mm</v>
      </c>
    </row>
    <row r="6">
      <c r="B6" t="str">
        <v>Tebal Lantai Kerja</v>
      </c>
      <c r="E6" t="str">
        <v>:</v>
      </c>
      <c r="F6">
        <v>50</v>
      </c>
      <c r="G6" t="str">
        <v>mm</v>
      </c>
    </row>
    <row r="7">
      <c r="B7" t="str">
        <v>Tebal Pasir Urug</v>
      </c>
      <c r="E7" t="str">
        <v>:</v>
      </c>
      <c r="G7" t="str">
        <v>mm</v>
      </c>
    </row>
    <row r="9">
      <c r="A9" t="str">
        <v>Lantai / Elevasi</v>
      </c>
      <c r="B9" t="str">
        <v>Nomor Balok</v>
      </c>
      <c r="C9" t="str">
        <v>Type</v>
      </c>
      <c r="D9" t="str">
        <v>Dimensi</v>
      </c>
      <c r="G9" t="str">
        <v>RAP</v>
      </c>
    </row>
    <row r="10">
      <c r="G10" t="str">
        <v>L net</v>
      </c>
      <c r="H10" t="str">
        <v>Tebal Plat</v>
      </c>
      <c r="I10" t="str">
        <v>Elv. Top</v>
      </c>
      <c r="J10" t="str">
        <v>Elv. Bottom</v>
      </c>
      <c r="K10" t="str">
        <v>Jumlah</v>
      </c>
      <c r="L10" t="str">
        <v>Besi</v>
      </c>
      <c r="U10" t="str">
        <v>TOTAL BESI</v>
      </c>
      <c r="V10" t="str">
        <v>Beton</v>
      </c>
      <c r="W10" t="str">
        <v>Bekisting</v>
      </c>
      <c r="X10" t="str">
        <v>Pasir Urug</v>
      </c>
      <c r="Y10" t="str">
        <v>Lantai Kerja</v>
      </c>
      <c r="Z10" t="str">
        <v>Galian</v>
      </c>
    </row>
    <row r="11">
      <c r="L11">
        <v>6</v>
      </c>
      <c r="M11">
        <v>8</v>
      </c>
      <c r="N11">
        <v>10</v>
      </c>
      <c r="O11">
        <v>13</v>
      </c>
      <c r="P11">
        <v>16</v>
      </c>
      <c r="Q11">
        <v>19</v>
      </c>
      <c r="R11">
        <v>22</v>
      </c>
      <c r="S11">
        <v>25</v>
      </c>
      <c r="T11">
        <v>29</v>
      </c>
    </row>
    <row r="14">
      <c r="A14" t="str">
        <f>'Data Panjang Balok'!A10</f>
        <v>Lantai 1</v>
      </c>
      <c r="B14">
        <f>'Data Panjang Balok'!B10</f>
        <v>1</v>
      </c>
      <c r="C14" t="str">
        <f>'Data Panjang Balok'!D10</f>
        <v>S36-1</v>
      </c>
      <c r="D14">
        <f>IF(C14&gt;0,VLOOKUP(C14,'Detail Balok'!$C$11:$AU$140,2,FALSE),0)</f>
        <v>300</v>
      </c>
      <c r="E14" t="str">
        <v>x</v>
      </c>
      <c r="F14">
        <f>IF(C14&gt;0,VLOOKUP(C14,'Detail Balok'!$C$11:$AU$140,3,FALSE),0)</f>
        <v>600</v>
      </c>
      <c r="G14">
        <f>'Data Panjang Balok'!I10</f>
        <v>4825</v>
      </c>
      <c r="H14">
        <f>'Data Panjang Balok'!J10</f>
        <v>150</v>
      </c>
      <c r="I14">
        <v>-3.5</v>
      </c>
      <c r="J14">
        <f>I14-F14/1000</f>
        <v>-4.1</v>
      </c>
      <c r="K14">
        <f>'Data Panjang Balok'!E10</f>
        <v>1</v>
      </c>
      <c r="L14">
        <f>SUMIFS('Besi Balok'!$AA$23:$AA$7253,'Besi Balok'!$A$23:$A$7253,$A14,'Besi Balok'!$B$23:$B$7253,$B14,'Besi Balok'!$F$23:$F$7253,'REKAP Balok'!L$11)</f>
        <v>0</v>
      </c>
      <c r="M14">
        <f>SUMIFS('Besi Balok'!$AA$23:$AA$7253,'Besi Balok'!$A$23:$A$7253,$A14,'Besi Balok'!$B$23:$B$7253,$B14,'Besi Balok'!$F$23:$F$7253,'REKAP Balok'!M$11)</f>
        <v>19.293984</v>
      </c>
      <c r="N14">
        <f>SUMIFS('Besi Balok'!$AA$23:$AA$7253,'Besi Balok'!$A$23:$A$7253,$A14,'Besi Balok'!$B$23:$B$7253,$B14,'Besi Balok'!$F$23:$F$7253,'REKAP Balok'!N$11)</f>
        <v>6.245145000000001</v>
      </c>
      <c r="O14">
        <f>SUMIFS('Besi Balok'!$AA$23:$AA$7253,'Besi Balok'!$A$23:$A$7253,$A14,'Besi Balok'!$B$23:$B$7253,$B14,'Besi Balok'!$F$23:$F$7253,'REKAP Balok'!O$11)</f>
        <v>0</v>
      </c>
      <c r="P14">
        <f>SUMIFS('Besi Balok'!$AA$23:$AA$7253,'Besi Balok'!$A$23:$A$7253,$A14,'Besi Balok'!$B$23:$B$7253,$B14,'Besi Balok'!$F$23:$F$7253,'REKAP Balok'!P$11)</f>
        <v>65.76841728</v>
      </c>
      <c r="Q14">
        <f>SUMIFS('Besi Balok'!$AA$23:$AA$7253,'Besi Balok'!$A$23:$A$7253,$A14,'Besi Balok'!$B$23:$B$7253,$B14,'Besi Balok'!$F$23:$F$7253,'REKAP Balok'!Q$11)</f>
        <v>0</v>
      </c>
      <c r="R14">
        <f>SUMIFS('Besi Balok'!$AA$23:$AA$7253,'Besi Balok'!$A$23:$A$7253,$A14,'Besi Balok'!$B$23:$B$7253,$B14,'Besi Balok'!$F$23:$F$7253,'REKAP Balok'!R$11)</f>
        <v>0</v>
      </c>
      <c r="S14">
        <f>SUMIFS('Besi Balok'!$AA$23:$AA$7253,'Besi Balok'!$A$23:$A$7253,$A14,'Besi Balok'!$B$23:$B$7253,$B14,'Besi Balok'!$F$23:$F$7253,'REKAP Balok'!S$11)</f>
        <v>0</v>
      </c>
      <c r="T14">
        <f>SUMIFS('Besi Balok'!$AA$23:$AA$7253,'Besi Balok'!$A$23:$A$7253,$A14,'Besi Balok'!$B$23:$B$7253,$B14,'Besi Balok'!$F$23:$F$7253,'REKAP Balok'!T$11)</f>
        <v>0</v>
      </c>
      <c r="U14">
        <f>SUM(L14:T14)</f>
        <v>91.30754628</v>
      </c>
      <c r="V14">
        <f>(D14*(F14-H14)*G14*K14)/1000000000</f>
        <v>0.651375</v>
      </c>
      <c r="W14">
        <f>(((F14-H14)*2)*(G14)*K14)/1000000</f>
        <v>4.3425</v>
      </c>
      <c r="X14">
        <v>0</v>
      </c>
      <c r="Y14">
        <f>K14*(D14+2*$F$5)*G14*$F$6/1000000000</f>
        <v>0.120625</v>
      </c>
      <c r="Z14">
        <f>K14*(D14+2*$F$5)*($F$4-J14+($F$6+$F$7)/1000)*G14/1000000</f>
        <v>1.568124999999999</v>
      </c>
      <c r="AC14">
        <f>(D14+2*$F$5)*F14*G14/1000000000</f>
        <v>1.4475</v>
      </c>
    </row>
    <row r="15">
      <c r="A15" t="str">
        <f>'Data Panjang Balok'!A11</f>
        <v>Lantai 1</v>
      </c>
      <c r="B15">
        <f>'Data Panjang Balok'!B11</f>
        <v>2</v>
      </c>
      <c r="C15" t="str">
        <f>'Data Panjang Balok'!D11</f>
        <v>S24-1</v>
      </c>
      <c r="D15">
        <f>IF(C15&gt;0,VLOOKUP(C15,'Detail Balok'!$C$11:$AU$140,2,FALSE),0)</f>
        <v>200</v>
      </c>
      <c r="E15" t="str">
        <v>x</v>
      </c>
      <c r="F15">
        <f>IF(C15&gt;0,VLOOKUP(C15,'Detail Balok'!$C$11:$AU$140,3,FALSE),0)</f>
        <v>400</v>
      </c>
      <c r="G15">
        <f>'Data Panjang Balok'!I11</f>
        <v>4175</v>
      </c>
      <c r="H15">
        <f>'Data Panjang Balok'!J11</f>
        <v>150</v>
      </c>
      <c r="I15">
        <v>-3.5</v>
      </c>
      <c r="J15">
        <f>I15-F15/1000</f>
        <v>-3.9</v>
      </c>
      <c r="K15">
        <f>'Data Panjang Balok'!E11</f>
        <v>1</v>
      </c>
      <c r="L15">
        <f>SUMIFS('Besi Balok'!$AA$23:$AA$7253,'Besi Balok'!$A$23:$A$7253,$A15,'Besi Balok'!$B$23:$B$7253,$B15,'Besi Balok'!$F$23:$F$7253,'REKAP Balok'!L$11)</f>
        <v>0</v>
      </c>
      <c r="M15">
        <f>SUMIFS('Besi Balok'!$AA$23:$AA$7253,'Besi Balok'!$A$23:$A$7253,$A15,'Besi Balok'!$B$23:$B$7253,$B15,'Besi Balok'!$F$23:$F$7253,'REKAP Balok'!M$11)</f>
        <v>10.566316800000001</v>
      </c>
      <c r="N15">
        <f>SUMIFS('Besi Balok'!$AA$23:$AA$7253,'Besi Balok'!$A$23:$A$7253,$A15,'Besi Balok'!$B$23:$B$7253,$B15,'Besi Balok'!$F$23:$F$7253,'REKAP Balok'!N$11)</f>
        <v>0</v>
      </c>
      <c r="O15">
        <f>SUMIFS('Besi Balok'!$AA$23:$AA$7253,'Besi Balok'!$A$23:$A$7253,$A15,'Besi Balok'!$B$23:$B$7253,$B15,'Besi Balok'!$F$23:$F$7253,'REKAP Balok'!O$11)</f>
        <v>28.049627969999996</v>
      </c>
      <c r="P15">
        <f>SUMIFS('Besi Balok'!$AA$23:$AA$7253,'Besi Balok'!$A$23:$A$7253,$A15,'Besi Balok'!$B$23:$B$7253,$B15,'Besi Balok'!$F$23:$F$7253,'REKAP Balok'!P$11)</f>
        <v>0</v>
      </c>
      <c r="Q15">
        <f>SUMIFS('Besi Balok'!$AA$23:$AA$7253,'Besi Balok'!$A$23:$A$7253,$A15,'Besi Balok'!$B$23:$B$7253,$B15,'Besi Balok'!$F$23:$F$7253,'REKAP Balok'!Q$11)</f>
        <v>0</v>
      </c>
      <c r="R15">
        <f>SUMIFS('Besi Balok'!$AA$23:$AA$7253,'Besi Balok'!$A$23:$A$7253,$A15,'Besi Balok'!$B$23:$B$7253,$B15,'Besi Balok'!$F$23:$F$7253,'REKAP Balok'!R$11)</f>
        <v>0</v>
      </c>
      <c r="S15">
        <f>SUMIFS('Besi Balok'!$AA$23:$AA$7253,'Besi Balok'!$A$23:$A$7253,$A15,'Besi Balok'!$B$23:$B$7253,$B15,'Besi Balok'!$F$23:$F$7253,'REKAP Balok'!S$11)</f>
        <v>0</v>
      </c>
      <c r="T15">
        <f>SUMIFS('Besi Balok'!$AA$23:$AA$7253,'Besi Balok'!$A$23:$A$7253,$A15,'Besi Balok'!$B$23:$B$7253,$B15,'Besi Balok'!$F$23:$F$7253,'REKAP Balok'!T$11)</f>
        <v>0</v>
      </c>
      <c r="U15">
        <f>SUM(L15:T15)</f>
        <v>38.61594477</v>
      </c>
      <c r="V15">
        <f>(D15*(F15-H15)*G15*K15)/1000000000</f>
        <v>0.20875</v>
      </c>
      <c r="W15">
        <f>(((F15-H15)*2)*(G15)*K15)/1000000</f>
        <v>2.0875</v>
      </c>
      <c r="X15">
        <v>0</v>
      </c>
      <c r="Y15">
        <f>K15*(D15+2*$F$5)*G15*$F$6/1000000000</f>
        <v>0.0835</v>
      </c>
      <c r="Z15">
        <f>K15*(D15+2*$F$5)*($F$4-J15+($F$6+$F$7)/1000)*G15/1000000</f>
        <v>0.7514999999999998</v>
      </c>
      <c r="AC15">
        <f>(D15+2*$F$5)*F15*G15/1000000000</f>
        <v>0.668</v>
      </c>
    </row>
    <row r="16">
      <c r="A16" t="str">
        <f>'Data Panjang Balok'!A12</f>
        <v>Lantai 1</v>
      </c>
      <c r="B16">
        <f>'Data Panjang Balok'!B12</f>
        <v>3</v>
      </c>
      <c r="C16" t="str">
        <f>'Data Panjang Balok'!D12</f>
        <v>S24-1</v>
      </c>
      <c r="D16">
        <f>IF(C16&gt;0,VLOOKUP(C16,'Detail Balok'!$C$11:$AU$140,2,FALSE),0)</f>
        <v>200</v>
      </c>
      <c r="E16" t="str">
        <v>x</v>
      </c>
      <c r="F16">
        <f>IF(C16&gt;0,VLOOKUP(C16,'Detail Balok'!$C$11:$AU$140,3,FALSE),0)</f>
        <v>400</v>
      </c>
      <c r="G16">
        <f>'Data Panjang Balok'!I12</f>
        <v>3000</v>
      </c>
      <c r="H16">
        <f>'Data Panjang Balok'!J12</f>
        <v>150</v>
      </c>
      <c r="I16">
        <v>-3.5</v>
      </c>
      <c r="J16">
        <f>I16-F16/1000</f>
        <v>-3.9</v>
      </c>
      <c r="K16">
        <f>'Data Panjang Balok'!E12</f>
        <v>1</v>
      </c>
      <c r="L16">
        <f>SUMIFS('Besi Balok'!$AA$23:$AA$7253,'Besi Balok'!$A$23:$A$7253,$A16,'Besi Balok'!$B$23:$B$7253,$B16,'Besi Balok'!$F$23:$F$7253,'REKAP Balok'!L$11)</f>
        <v>0</v>
      </c>
      <c r="M16">
        <f>SUMIFS('Besi Balok'!$AA$23:$AA$7253,'Besi Balok'!$A$23:$A$7253,$A16,'Besi Balok'!$B$23:$B$7253,$B16,'Besi Balok'!$F$23:$F$7253,'REKAP Balok'!M$11)</f>
        <v>7.721539200000002</v>
      </c>
      <c r="N16">
        <f>SUMIFS('Besi Balok'!$AA$23:$AA$7253,'Besi Balok'!$A$23:$A$7253,$A16,'Besi Balok'!$B$23:$B$7253,$B16,'Besi Balok'!$F$23:$F$7253,'REKAP Balok'!N$11)</f>
        <v>0</v>
      </c>
      <c r="O16">
        <f>SUMIFS('Besi Balok'!$AA$23:$AA$7253,'Besi Balok'!$A$23:$A$7253,$A16,'Besi Balok'!$B$23:$B$7253,$B16,'Besi Balok'!$F$23:$F$7253,'REKAP Balok'!O$11)</f>
        <v>20.704338720000003</v>
      </c>
      <c r="P16">
        <f>SUMIFS('Besi Balok'!$AA$23:$AA$7253,'Besi Balok'!$A$23:$A$7253,$A16,'Besi Balok'!$B$23:$B$7253,$B16,'Besi Balok'!$F$23:$F$7253,'REKAP Balok'!P$11)</f>
        <v>0</v>
      </c>
      <c r="Q16">
        <f>SUMIFS('Besi Balok'!$AA$23:$AA$7253,'Besi Balok'!$A$23:$A$7253,$A16,'Besi Balok'!$B$23:$B$7253,$B16,'Besi Balok'!$F$23:$F$7253,'REKAP Balok'!Q$11)</f>
        <v>0</v>
      </c>
      <c r="R16">
        <f>SUMIFS('Besi Balok'!$AA$23:$AA$7253,'Besi Balok'!$A$23:$A$7253,$A16,'Besi Balok'!$B$23:$B$7253,$B16,'Besi Balok'!$F$23:$F$7253,'REKAP Balok'!R$11)</f>
        <v>0</v>
      </c>
      <c r="S16">
        <f>SUMIFS('Besi Balok'!$AA$23:$AA$7253,'Besi Balok'!$A$23:$A$7253,$A16,'Besi Balok'!$B$23:$B$7253,$B16,'Besi Balok'!$F$23:$F$7253,'REKAP Balok'!S$11)</f>
        <v>0</v>
      </c>
      <c r="T16">
        <f>SUMIFS('Besi Balok'!$AA$23:$AA$7253,'Besi Balok'!$A$23:$A$7253,$A16,'Besi Balok'!$B$23:$B$7253,$B16,'Besi Balok'!$F$23:$F$7253,'REKAP Balok'!T$11)</f>
        <v>0</v>
      </c>
      <c r="U16">
        <f>SUM(L16:T16)</f>
        <v>28.425877920000005</v>
      </c>
      <c r="V16">
        <f>(D16*(F16-H16)*G16*K16)/1000000000</f>
        <v>0.15</v>
      </c>
      <c r="W16">
        <f>(((F16-H16)*2)*(G16)*K16)/1000000</f>
        <v>1.5</v>
      </c>
      <c r="X16">
        <v>0</v>
      </c>
      <c r="Y16">
        <f>K16*(D16+2*$F$5)*G16*$F$6/1000000000</f>
        <v>0.06</v>
      </c>
      <c r="Z16">
        <f>K16*(D16+2*$F$5)*($F$4-J16+($F$6+$F$7)/1000)*G16/1000000</f>
        <v>0.5399999999999999</v>
      </c>
      <c r="AC16">
        <f>(D16+2*$F$5)*F16*G16/1000000000</f>
        <v>0.48</v>
      </c>
    </row>
    <row r="17">
      <c r="A17" t="str">
        <f>'Data Panjang Balok'!A13</f>
        <v>Lantai 1</v>
      </c>
      <c r="B17">
        <f>'Data Panjang Balok'!B13</f>
        <v>4</v>
      </c>
      <c r="C17" t="str">
        <f>'Data Panjang Balok'!D13</f>
        <v>S24-1</v>
      </c>
      <c r="D17">
        <f>IF(C17&gt;0,VLOOKUP(C17,'Detail Balok'!$C$11:$AU$140,2,FALSE),0)</f>
        <v>200</v>
      </c>
      <c r="E17" t="str">
        <v>x</v>
      </c>
      <c r="F17">
        <f>IF(C17&gt;0,VLOOKUP(C17,'Detail Balok'!$C$11:$AU$140,3,FALSE),0)</f>
        <v>400</v>
      </c>
      <c r="G17">
        <f>'Data Panjang Balok'!I13</f>
        <v>3000</v>
      </c>
      <c r="H17">
        <f>'Data Panjang Balok'!J13</f>
        <v>0</v>
      </c>
      <c r="I17">
        <v>-3.5</v>
      </c>
      <c r="J17">
        <f>I17-F17/1000</f>
        <v>-3.9</v>
      </c>
      <c r="K17">
        <f>'Data Panjang Balok'!E13</f>
        <v>1</v>
      </c>
      <c r="L17">
        <f>SUMIFS('Besi Balok'!$AA$23:$AA$7253,'Besi Balok'!$A$23:$A$7253,$A17,'Besi Balok'!$B$23:$B$7253,$B17,'Besi Balok'!$F$23:$F$7253,'REKAP Balok'!L$11)</f>
        <v>0</v>
      </c>
      <c r="M17">
        <f>SUMIFS('Besi Balok'!$AA$23:$AA$7253,'Besi Balok'!$A$23:$A$7253,$A17,'Besi Balok'!$B$23:$B$7253,$B17,'Besi Balok'!$F$23:$F$7253,'REKAP Balok'!M$11)</f>
        <v>7.721539200000002</v>
      </c>
      <c r="N17">
        <f>SUMIFS('Besi Balok'!$AA$23:$AA$7253,'Besi Balok'!$A$23:$A$7253,$A17,'Besi Balok'!$B$23:$B$7253,$B17,'Besi Balok'!$F$23:$F$7253,'REKAP Balok'!N$11)</f>
        <v>0</v>
      </c>
      <c r="O17">
        <f>SUMIFS('Besi Balok'!$AA$23:$AA$7253,'Besi Balok'!$A$23:$A$7253,$A17,'Besi Balok'!$B$23:$B$7253,$B17,'Besi Balok'!$F$23:$F$7253,'REKAP Balok'!O$11)</f>
        <v>20.704338720000003</v>
      </c>
      <c r="P17">
        <f>SUMIFS('Besi Balok'!$AA$23:$AA$7253,'Besi Balok'!$A$23:$A$7253,$A17,'Besi Balok'!$B$23:$B$7253,$B17,'Besi Balok'!$F$23:$F$7253,'REKAP Balok'!P$11)</f>
        <v>0</v>
      </c>
      <c r="Q17">
        <f>SUMIFS('Besi Balok'!$AA$23:$AA$7253,'Besi Balok'!$A$23:$A$7253,$A17,'Besi Balok'!$B$23:$B$7253,$B17,'Besi Balok'!$F$23:$F$7253,'REKAP Balok'!Q$11)</f>
        <v>0</v>
      </c>
      <c r="R17">
        <f>SUMIFS('Besi Balok'!$AA$23:$AA$7253,'Besi Balok'!$A$23:$A$7253,$A17,'Besi Balok'!$B$23:$B$7253,$B17,'Besi Balok'!$F$23:$F$7253,'REKAP Balok'!R$11)</f>
        <v>0</v>
      </c>
      <c r="S17">
        <f>SUMIFS('Besi Balok'!$AA$23:$AA$7253,'Besi Balok'!$A$23:$A$7253,$A17,'Besi Balok'!$B$23:$B$7253,$B17,'Besi Balok'!$F$23:$F$7253,'REKAP Balok'!S$11)</f>
        <v>0</v>
      </c>
      <c r="T17">
        <f>SUMIFS('Besi Balok'!$AA$23:$AA$7253,'Besi Balok'!$A$23:$A$7253,$A17,'Besi Balok'!$B$23:$B$7253,$B17,'Besi Balok'!$F$23:$F$7253,'REKAP Balok'!T$11)</f>
        <v>0</v>
      </c>
      <c r="U17">
        <f>SUM(L17:T17)</f>
        <v>28.425877920000005</v>
      </c>
      <c r="V17">
        <f>(D17*(F17-H17)*G17*K17)/1000000000</f>
        <v>0.24</v>
      </c>
      <c r="W17">
        <f>(((F17-H17)*2)*(G17)*K17)/1000000</f>
        <v>2.4</v>
      </c>
      <c r="X17">
        <v>0</v>
      </c>
      <c r="Y17">
        <f>K17*(D17+2*$F$5)*G17*$F$6/1000000000</f>
        <v>0.06</v>
      </c>
      <c r="Z17">
        <f>K17*(D17+2*$F$5)*($F$4-J17+($F$6+$F$7)/1000)*G17/1000000</f>
        <v>0.5399999999999999</v>
      </c>
      <c r="AC17">
        <f>(D17+2*$F$5)*F17*G17/1000000000</f>
        <v>0.48</v>
      </c>
    </row>
    <row r="18">
      <c r="A18" t="str">
        <f>'Data Panjang Balok'!A14</f>
        <v>Lantai 1</v>
      </c>
      <c r="B18">
        <f>'Data Panjang Balok'!B14</f>
        <v>5</v>
      </c>
      <c r="C18" t="str">
        <f>'Data Panjang Balok'!D14</f>
        <v>S24-1</v>
      </c>
      <c r="D18">
        <f>IF(C18&gt;0,VLOOKUP(C18,'Detail Balok'!$C$11:$AU$140,2,FALSE),0)</f>
        <v>200</v>
      </c>
      <c r="E18" t="str">
        <v>x</v>
      </c>
      <c r="F18">
        <f>IF(C18&gt;0,VLOOKUP(C18,'Detail Balok'!$C$11:$AU$140,3,FALSE),0)</f>
        <v>400</v>
      </c>
      <c r="G18">
        <f>'Data Panjang Balok'!I14</f>
        <v>2590</v>
      </c>
      <c r="H18">
        <f>'Data Panjang Balok'!J14</f>
        <v>0</v>
      </c>
      <c r="I18">
        <v>-3.5</v>
      </c>
      <c r="J18">
        <f>I18-F18/1000</f>
        <v>-3.9</v>
      </c>
      <c r="K18">
        <f>'Data Panjang Balok'!E14</f>
        <v>1</v>
      </c>
      <c r="L18">
        <f>SUMIFS('Besi Balok'!$AA$23:$AA$7253,'Besi Balok'!$A$23:$A$7253,$A18,'Besi Balok'!$B$23:$B$7253,$B18,'Besi Balok'!$F$23:$F$7253,'REKAP Balok'!L$11)</f>
        <v>0</v>
      </c>
      <c r="M18">
        <f>SUMIFS('Besi Balok'!$AA$23:$AA$7253,'Besi Balok'!$A$23:$A$7253,$A18,'Besi Balok'!$B$23:$B$7253,$B18,'Besi Balok'!$F$23:$F$7253,'REKAP Balok'!M$11)</f>
        <v>6.908745600000001</v>
      </c>
      <c r="N18">
        <f>SUMIFS('Besi Balok'!$AA$23:$AA$7253,'Besi Balok'!$A$23:$A$7253,$A18,'Besi Balok'!$B$23:$B$7253,$B18,'Besi Balok'!$F$23:$F$7253,'REKAP Balok'!N$11)</f>
        <v>0</v>
      </c>
      <c r="O18">
        <f>SUMIFS('Besi Balok'!$AA$23:$AA$7253,'Besi Balok'!$A$23:$A$7253,$A18,'Besi Balok'!$B$23:$B$7253,$B18,'Besi Balok'!$F$23:$F$7253,'REKAP Balok'!O$11)</f>
        <v>18.14130162</v>
      </c>
      <c r="P18">
        <f>SUMIFS('Besi Balok'!$AA$23:$AA$7253,'Besi Balok'!$A$23:$A$7253,$A18,'Besi Balok'!$B$23:$B$7253,$B18,'Besi Balok'!$F$23:$F$7253,'REKAP Balok'!P$11)</f>
        <v>0</v>
      </c>
      <c r="Q18">
        <f>SUMIFS('Besi Balok'!$AA$23:$AA$7253,'Besi Balok'!$A$23:$A$7253,$A18,'Besi Balok'!$B$23:$B$7253,$B18,'Besi Balok'!$F$23:$F$7253,'REKAP Balok'!Q$11)</f>
        <v>0</v>
      </c>
      <c r="R18">
        <f>SUMIFS('Besi Balok'!$AA$23:$AA$7253,'Besi Balok'!$A$23:$A$7253,$A18,'Besi Balok'!$B$23:$B$7253,$B18,'Besi Balok'!$F$23:$F$7253,'REKAP Balok'!R$11)</f>
        <v>0</v>
      </c>
      <c r="S18">
        <f>SUMIFS('Besi Balok'!$AA$23:$AA$7253,'Besi Balok'!$A$23:$A$7253,$A18,'Besi Balok'!$B$23:$B$7253,$B18,'Besi Balok'!$F$23:$F$7253,'REKAP Balok'!S$11)</f>
        <v>0</v>
      </c>
      <c r="T18">
        <f>SUMIFS('Besi Balok'!$AA$23:$AA$7253,'Besi Balok'!$A$23:$A$7253,$A18,'Besi Balok'!$B$23:$B$7253,$B18,'Besi Balok'!$F$23:$F$7253,'REKAP Balok'!T$11)</f>
        <v>0</v>
      </c>
      <c r="U18">
        <f>SUM(L18:T18)</f>
        <v>25.050047220000003</v>
      </c>
      <c r="V18">
        <f>(D18*(F18-H18)*G18*K18)/1000000000</f>
        <v>0.2072</v>
      </c>
      <c r="W18">
        <f>(((F18-H18)*2)*(G18)*K18)/1000000</f>
        <v>2.072</v>
      </c>
      <c r="X18">
        <v>0</v>
      </c>
      <c r="Y18">
        <f>K18*(D18+2*$F$5)*G18*$F$6/1000000000</f>
        <v>0.0518</v>
      </c>
      <c r="Z18">
        <f>K18*(D18+2*$F$5)*($F$4-J18+($F$6+$F$7)/1000)*G18/1000000</f>
        <v>0.46619999999999995</v>
      </c>
      <c r="AC18">
        <f>(D18+2*$F$5)*F18*G18/1000000000</f>
        <v>0.4144</v>
      </c>
    </row>
    <row r="19">
      <c r="A19" t="str">
        <f>'Data Panjang Balok'!A15</f>
        <v>Lantai 1</v>
      </c>
      <c r="B19">
        <f>'Data Panjang Balok'!B15</f>
        <v>6</v>
      </c>
      <c r="C19" t="str">
        <f>'Data Panjang Balok'!D15</f>
        <v>S24-1</v>
      </c>
      <c r="D19">
        <f>IF(C19&gt;0,VLOOKUP(C19,'Detail Balok'!$C$11:$AU$140,2,FALSE),0)</f>
        <v>200</v>
      </c>
      <c r="E19" t="str">
        <v>x</v>
      </c>
      <c r="F19">
        <f>IF(C19&gt;0,VLOOKUP(C19,'Detail Balok'!$C$11:$AU$140,3,FALSE),0)</f>
        <v>400</v>
      </c>
      <c r="G19">
        <f>'Data Panjang Balok'!I15</f>
        <v>2415</v>
      </c>
      <c r="H19">
        <f>'Data Panjang Balok'!J15</f>
        <v>0</v>
      </c>
      <c r="I19">
        <v>-3.5</v>
      </c>
      <c r="J19">
        <f>I19-F19/1000</f>
        <v>-3.9</v>
      </c>
      <c r="K19">
        <f>'Data Panjang Balok'!E15</f>
        <v>1</v>
      </c>
      <c r="L19">
        <f>SUMIFS('Besi Balok'!$AA$23:$AA$7253,'Besi Balok'!$A$23:$A$7253,$A19,'Besi Balok'!$B$23:$B$7253,$B19,'Besi Balok'!$F$23:$F$7253,'REKAP Balok'!L$11)</f>
        <v>0</v>
      </c>
      <c r="M19">
        <f>SUMIFS('Besi Balok'!$AA$23:$AA$7253,'Besi Balok'!$A$23:$A$7253,$A19,'Besi Balok'!$B$23:$B$7253,$B19,'Besi Balok'!$F$23:$F$7253,'REKAP Balok'!M$11)</f>
        <v>6.502348800000002</v>
      </c>
      <c r="N19">
        <f>SUMIFS('Besi Balok'!$AA$23:$AA$7253,'Besi Balok'!$A$23:$A$7253,$A19,'Besi Balok'!$B$23:$B$7253,$B19,'Besi Balok'!$F$23:$F$7253,'REKAP Balok'!N$11)</f>
        <v>0</v>
      </c>
      <c r="O19">
        <f>SUMIFS('Besi Balok'!$AA$23:$AA$7253,'Besi Balok'!$A$23:$A$7253,$A19,'Besi Balok'!$B$23:$B$7253,$B19,'Besi Balok'!$F$23:$F$7253,'REKAP Balok'!O$11)</f>
        <v>17.047322369999996</v>
      </c>
      <c r="P19">
        <f>SUMIFS('Besi Balok'!$AA$23:$AA$7253,'Besi Balok'!$A$23:$A$7253,$A19,'Besi Balok'!$B$23:$B$7253,$B19,'Besi Balok'!$F$23:$F$7253,'REKAP Balok'!P$11)</f>
        <v>0</v>
      </c>
      <c r="Q19">
        <f>SUMIFS('Besi Balok'!$AA$23:$AA$7253,'Besi Balok'!$A$23:$A$7253,$A19,'Besi Balok'!$B$23:$B$7253,$B19,'Besi Balok'!$F$23:$F$7253,'REKAP Balok'!Q$11)</f>
        <v>0</v>
      </c>
      <c r="R19">
        <f>SUMIFS('Besi Balok'!$AA$23:$AA$7253,'Besi Balok'!$A$23:$A$7253,$A19,'Besi Balok'!$B$23:$B$7253,$B19,'Besi Balok'!$F$23:$F$7253,'REKAP Balok'!R$11)</f>
        <v>0</v>
      </c>
      <c r="S19">
        <f>SUMIFS('Besi Balok'!$AA$23:$AA$7253,'Besi Balok'!$A$23:$A$7253,$A19,'Besi Balok'!$B$23:$B$7253,$B19,'Besi Balok'!$F$23:$F$7253,'REKAP Balok'!S$11)</f>
        <v>0</v>
      </c>
      <c r="T19">
        <f>SUMIFS('Besi Balok'!$AA$23:$AA$7253,'Besi Balok'!$A$23:$A$7253,$A19,'Besi Balok'!$B$23:$B$7253,$B19,'Besi Balok'!$F$23:$F$7253,'REKAP Balok'!T$11)</f>
        <v>0</v>
      </c>
      <c r="U19">
        <f>SUM(L19:T19)</f>
        <v>23.549671169999996</v>
      </c>
      <c r="V19">
        <f>(D19*(F19-H19)*G19*K19)/1000000000</f>
        <v>0.1932</v>
      </c>
      <c r="W19">
        <f>(((F19-H19)*2)*(G19)*K19)/1000000</f>
        <v>1.932</v>
      </c>
      <c r="X19">
        <v>0</v>
      </c>
      <c r="Y19">
        <f>K19*(D19+2*$F$5)*G19*$F$6/1000000000</f>
        <v>0.0483</v>
      </c>
      <c r="Z19">
        <f>K19*(D19+2*$F$5)*($F$4-J19+($F$6+$F$7)/1000)*G19/1000000</f>
        <v>0.4346999999999999</v>
      </c>
      <c r="AC19">
        <f>(D19+2*$F$5)*F19*G19/1000000000</f>
        <v>0.3864</v>
      </c>
    </row>
    <row r="20">
      <c r="A20" t="str">
        <f>'Data Panjang Balok'!A16</f>
        <v>Lantai 1</v>
      </c>
      <c r="B20">
        <f>'Data Panjang Balok'!B16</f>
        <v>7</v>
      </c>
      <c r="C20" t="str">
        <f>'Data Panjang Balok'!D16</f>
        <v>S24-2</v>
      </c>
      <c r="D20">
        <f>IF(C20&gt;0,VLOOKUP(C20,'Detail Balok'!$C$11:$AU$140,2,FALSE),0)</f>
        <v>200</v>
      </c>
      <c r="E20" t="str">
        <v>x</v>
      </c>
      <c r="F20">
        <f>IF(C20&gt;0,VLOOKUP(C20,'Detail Balok'!$C$11:$AU$140,3,FALSE),0)</f>
        <v>400</v>
      </c>
      <c r="G20">
        <f>'Data Panjang Balok'!I16</f>
        <v>9445</v>
      </c>
      <c r="H20">
        <f>'Data Panjang Balok'!J16</f>
        <v>100</v>
      </c>
      <c r="I20">
        <v>-3.5</v>
      </c>
      <c r="J20">
        <f>I20-F20/1000</f>
        <v>-3.9</v>
      </c>
      <c r="K20">
        <f>'Data Panjang Balok'!E16</f>
        <v>2</v>
      </c>
      <c r="L20">
        <f>SUMIFS('Besi Balok'!$AA$23:$AA$7253,'Besi Balok'!$A$23:$A$7253,$A20,'Besi Balok'!$B$23:$B$7253,$B20,'Besi Balok'!$F$23:$F$7253,'REKAP Balok'!L$11)</f>
        <v>0</v>
      </c>
      <c r="M20">
        <f>SUMIFS('Besi Balok'!$AA$23:$AA$7253,'Besi Balok'!$A$23:$A$7253,$A20,'Besi Balok'!$B$23:$B$7253,$B20,'Besi Balok'!$F$23:$F$7253,'REKAP Balok'!M$11)</f>
        <v>47.142028800000006</v>
      </c>
      <c r="N20">
        <f>SUMIFS('Besi Balok'!$AA$23:$AA$7253,'Besi Balok'!$A$23:$A$7253,$A20,'Besi Balok'!$B$23:$B$7253,$B20,'Besi Balok'!$F$23:$F$7253,'REKAP Balok'!N$11)</f>
        <v>0</v>
      </c>
      <c r="O20">
        <f>SUMIFS('Besi Balok'!$AA$23:$AA$7253,'Besi Balok'!$A$23:$A$7253,$A20,'Besi Balok'!$B$23:$B$7253,$B20,'Besi Balok'!$F$23:$F$7253,'REKAP Balok'!O$11)</f>
        <v>0</v>
      </c>
      <c r="P20">
        <f>SUMIFS('Besi Balok'!$AA$23:$AA$7253,'Besi Balok'!$A$23:$A$7253,$A20,'Besi Balok'!$B$23:$B$7253,$B20,'Besi Balok'!$F$23:$F$7253,'REKAP Balok'!P$11)</f>
        <v>186.15025152</v>
      </c>
      <c r="Q20">
        <f>SUMIFS('Besi Balok'!$AA$23:$AA$7253,'Besi Balok'!$A$23:$A$7253,$A20,'Besi Balok'!$B$23:$B$7253,$B20,'Besi Balok'!$F$23:$F$7253,'REKAP Balok'!Q$11)</f>
        <v>0</v>
      </c>
      <c r="R20">
        <f>SUMIFS('Besi Balok'!$AA$23:$AA$7253,'Besi Balok'!$A$23:$A$7253,$A20,'Besi Balok'!$B$23:$B$7253,$B20,'Besi Balok'!$F$23:$F$7253,'REKAP Balok'!R$11)</f>
        <v>0</v>
      </c>
      <c r="S20">
        <f>SUMIFS('Besi Balok'!$AA$23:$AA$7253,'Besi Balok'!$A$23:$A$7253,$A20,'Besi Balok'!$B$23:$B$7253,$B20,'Besi Balok'!$F$23:$F$7253,'REKAP Balok'!S$11)</f>
        <v>0</v>
      </c>
      <c r="T20">
        <f>SUMIFS('Besi Balok'!$AA$23:$AA$7253,'Besi Balok'!$A$23:$A$7253,$A20,'Besi Balok'!$B$23:$B$7253,$B20,'Besi Balok'!$F$23:$F$7253,'REKAP Balok'!T$11)</f>
        <v>0</v>
      </c>
      <c r="U20">
        <f>SUM(L20:T20)</f>
        <v>233.29228032000003</v>
      </c>
      <c r="V20">
        <f>(D20*(F20-H20)*G20*K20)/1000000000</f>
        <v>1.1334</v>
      </c>
      <c r="W20">
        <f>(((F20-H20)*2)*(G20)*K20)/1000000</f>
        <v>11.334</v>
      </c>
      <c r="X20">
        <v>0</v>
      </c>
      <c r="Y20">
        <f>K20*(D20+2*$F$5)*G20*$F$6/1000000000</f>
        <v>0.3778</v>
      </c>
      <c r="Z20">
        <f>K20*(D20+2*$F$5)*($F$4-J20+($F$6+$F$7)/1000)*G20/1000000</f>
        <v>3.4001999999999994</v>
      </c>
      <c r="AC20">
        <f>(D20+2*$F$5)*F20*G20/1000000000</f>
        <v>1.5112</v>
      </c>
    </row>
    <row r="21">
      <c r="A21" t="str">
        <f>'Data Panjang Balok'!A17</f>
        <v>Lantai 1</v>
      </c>
      <c r="B21">
        <f>'Data Panjang Balok'!B17</f>
        <v>8</v>
      </c>
      <c r="C21" t="str">
        <f>'Data Panjang Balok'!D17</f>
        <v>S24-1</v>
      </c>
      <c r="D21">
        <f>IF(C21&gt;0,VLOOKUP(C21,'Detail Balok'!$C$11:$AU$140,2,FALSE),0)</f>
        <v>200</v>
      </c>
      <c r="E21" t="str">
        <v>x</v>
      </c>
      <c r="F21">
        <f>IF(C21&gt;0,VLOOKUP(C21,'Detail Balok'!$C$11:$AU$140,3,FALSE),0)</f>
        <v>400</v>
      </c>
      <c r="G21">
        <f>'Data Panjang Balok'!I17</f>
        <v>1720</v>
      </c>
      <c r="H21">
        <f>'Data Panjang Balok'!J17</f>
        <v>0</v>
      </c>
      <c r="I21">
        <v>-3.5</v>
      </c>
      <c r="J21">
        <f>I21-F21/1000</f>
        <v>-3.9</v>
      </c>
      <c r="K21">
        <f>'Data Panjang Balok'!E17</f>
        <v>1</v>
      </c>
      <c r="L21">
        <f>SUMIFS('Besi Balok'!$AA$23:$AA$7253,'Besi Balok'!$A$23:$A$7253,$A21,'Besi Balok'!$B$23:$B$7253,$B21,'Besi Balok'!$F$23:$F$7253,'REKAP Balok'!L$11)</f>
        <v>0</v>
      </c>
      <c r="M21">
        <f>SUMIFS('Besi Balok'!$AA$23:$AA$7253,'Besi Balok'!$A$23:$A$7253,$A21,'Besi Balok'!$B$23:$B$7253,$B21,'Besi Balok'!$F$23:$F$7253,'REKAP Balok'!M$11)</f>
        <v>5.283158400000001</v>
      </c>
      <c r="N21">
        <f>SUMIFS('Besi Balok'!$AA$23:$AA$7253,'Besi Balok'!$A$23:$A$7253,$A21,'Besi Balok'!$B$23:$B$7253,$B21,'Besi Balok'!$F$23:$F$7253,'REKAP Balok'!N$11)</f>
        <v>0</v>
      </c>
      <c r="O21">
        <f>SUMIFS('Besi Balok'!$AA$23:$AA$7253,'Besi Balok'!$A$23:$A$7253,$A21,'Besi Balok'!$B$23:$B$7253,$B21,'Besi Balok'!$F$23:$F$7253,'REKAP Balok'!O$11)</f>
        <v>12.70266192</v>
      </c>
      <c r="P21">
        <f>SUMIFS('Besi Balok'!$AA$23:$AA$7253,'Besi Balok'!$A$23:$A$7253,$A21,'Besi Balok'!$B$23:$B$7253,$B21,'Besi Balok'!$F$23:$F$7253,'REKAP Balok'!P$11)</f>
        <v>0</v>
      </c>
      <c r="Q21">
        <f>SUMIFS('Besi Balok'!$AA$23:$AA$7253,'Besi Balok'!$A$23:$A$7253,$A21,'Besi Balok'!$B$23:$B$7253,$B21,'Besi Balok'!$F$23:$F$7253,'REKAP Balok'!Q$11)</f>
        <v>0</v>
      </c>
      <c r="R21">
        <f>SUMIFS('Besi Balok'!$AA$23:$AA$7253,'Besi Balok'!$A$23:$A$7253,$A21,'Besi Balok'!$B$23:$B$7253,$B21,'Besi Balok'!$F$23:$F$7253,'REKAP Balok'!R$11)</f>
        <v>0</v>
      </c>
      <c r="S21">
        <f>SUMIFS('Besi Balok'!$AA$23:$AA$7253,'Besi Balok'!$A$23:$A$7253,$A21,'Besi Balok'!$B$23:$B$7253,$B21,'Besi Balok'!$F$23:$F$7253,'REKAP Balok'!S$11)</f>
        <v>0</v>
      </c>
      <c r="T21">
        <f>SUMIFS('Besi Balok'!$AA$23:$AA$7253,'Besi Balok'!$A$23:$A$7253,$A21,'Besi Balok'!$B$23:$B$7253,$B21,'Besi Balok'!$F$23:$F$7253,'REKAP Balok'!T$11)</f>
        <v>0</v>
      </c>
      <c r="U21">
        <f>SUM(L21:T21)</f>
        <v>17.985820320000002</v>
      </c>
      <c r="V21">
        <f>(D21*(F21-H21)*G21*K21)/1000000000</f>
        <v>0.1376</v>
      </c>
      <c r="W21">
        <f>(((F21-H21)*2)*(G21)*K21)/1000000</f>
        <v>1.376</v>
      </c>
      <c r="X21">
        <v>0</v>
      </c>
      <c r="Y21">
        <f>K21*(D21+2*$F$5)*G21*$F$6/1000000000</f>
        <v>0.0344</v>
      </c>
      <c r="Z21">
        <f>K21*(D21+2*$F$5)*($F$4-J21+($F$6+$F$7)/1000)*G21/1000000</f>
        <v>0.30959999999999993</v>
      </c>
      <c r="AC21">
        <f>(D21+2*$F$5)*F21*G21/1000000000</f>
        <v>0.2752</v>
      </c>
    </row>
    <row r="22">
      <c r="A22" t="str">
        <f>'Data Panjang Balok'!A18</f>
        <v>Lantai 1</v>
      </c>
      <c r="B22">
        <f>'Data Panjang Balok'!B18</f>
        <v>9</v>
      </c>
      <c r="C22" t="str">
        <f>'Data Panjang Balok'!D18</f>
        <v>S23-1</v>
      </c>
      <c r="D22">
        <f>IF(C22&gt;0,VLOOKUP(C22,'Detail Balok'!$C$11:$AU$140,2,FALSE),0)</f>
        <v>200</v>
      </c>
      <c r="E22" t="str">
        <v>x</v>
      </c>
      <c r="F22">
        <f>IF(C22&gt;0,VLOOKUP(C22,'Detail Balok'!$C$11:$AU$140,3,FALSE),0)</f>
        <v>300</v>
      </c>
      <c r="G22">
        <f>'Data Panjang Balok'!I18</f>
        <v>5000</v>
      </c>
      <c r="H22">
        <f>'Data Panjang Balok'!J18</f>
        <v>150</v>
      </c>
      <c r="I22">
        <v>-3.5</v>
      </c>
      <c r="J22">
        <f>I22-F22/1000</f>
        <v>-3.8</v>
      </c>
      <c r="K22">
        <f>'Data Panjang Balok'!E18</f>
        <v>1</v>
      </c>
      <c r="L22">
        <f>SUMIFS('Besi Balok'!$AA$23:$AA$7253,'Besi Balok'!$A$23:$A$7253,$A22,'Besi Balok'!$B$23:$B$7253,$B22,'Besi Balok'!$F$23:$F$7253,'REKAP Balok'!L$11)</f>
        <v>0</v>
      </c>
      <c r="M22">
        <f>SUMIFS('Besi Balok'!$AA$23:$AA$7253,'Besi Balok'!$A$23:$A$7253,$A22,'Besi Balok'!$B$23:$B$7253,$B22,'Besi Balok'!$F$23:$F$7253,'REKAP Balok'!M$11)</f>
        <v>11.461968</v>
      </c>
      <c r="N22">
        <f>SUMIFS('Besi Balok'!$AA$23:$AA$7253,'Besi Balok'!$A$23:$A$7253,$A22,'Besi Balok'!$B$23:$B$7253,$B22,'Besi Balok'!$F$23:$F$7253,'REKAP Balok'!N$11)</f>
        <v>0</v>
      </c>
      <c r="O22">
        <f>SUMIFS('Besi Balok'!$AA$23:$AA$7253,'Besi Balok'!$A$23:$A$7253,$A22,'Besi Balok'!$B$23:$B$7253,$B22,'Besi Balok'!$F$23:$F$7253,'REKAP Balok'!O$11)</f>
        <v>22.137972479999995</v>
      </c>
      <c r="P22">
        <f>SUMIFS('Besi Balok'!$AA$23:$AA$7253,'Besi Balok'!$A$23:$A$7253,$A22,'Besi Balok'!$B$23:$B$7253,$B22,'Besi Balok'!$F$23:$F$7253,'REKAP Balok'!P$11)</f>
        <v>0</v>
      </c>
      <c r="Q22">
        <f>SUMIFS('Besi Balok'!$AA$23:$AA$7253,'Besi Balok'!$A$23:$A$7253,$A22,'Besi Balok'!$B$23:$B$7253,$B22,'Besi Balok'!$F$23:$F$7253,'REKAP Balok'!Q$11)</f>
        <v>0</v>
      </c>
      <c r="R22">
        <f>SUMIFS('Besi Balok'!$AA$23:$AA$7253,'Besi Balok'!$A$23:$A$7253,$A22,'Besi Balok'!$B$23:$B$7253,$B22,'Besi Balok'!$F$23:$F$7253,'REKAP Balok'!R$11)</f>
        <v>0</v>
      </c>
      <c r="S22">
        <f>SUMIFS('Besi Balok'!$AA$23:$AA$7253,'Besi Balok'!$A$23:$A$7253,$A22,'Besi Balok'!$B$23:$B$7253,$B22,'Besi Balok'!$F$23:$F$7253,'REKAP Balok'!S$11)</f>
        <v>0</v>
      </c>
      <c r="T22">
        <f>SUMIFS('Besi Balok'!$AA$23:$AA$7253,'Besi Balok'!$A$23:$A$7253,$A22,'Besi Balok'!$B$23:$B$7253,$B22,'Besi Balok'!$F$23:$F$7253,'REKAP Balok'!T$11)</f>
        <v>0</v>
      </c>
      <c r="U22">
        <f>SUM(L22:T22)</f>
        <v>33.599940479999994</v>
      </c>
      <c r="V22">
        <f>(D22*(F22-H22)*G22*K22)/1000000000</f>
        <v>0.15</v>
      </c>
      <c r="W22">
        <f>(((F22-H22)*2)*(G22)*K22)/1000000</f>
        <v>1.5</v>
      </c>
      <c r="X22">
        <v>0</v>
      </c>
      <c r="Y22">
        <f>K22*(D22+2*$F$5)*G22*$F$6/1000000000</f>
        <v>0.1</v>
      </c>
      <c r="Z22">
        <f>K22*(D22+2*$F$5)*($F$4-J22+($F$6+$F$7)/1000)*G22/1000000</f>
        <v>0.6999999999999995</v>
      </c>
      <c r="AC22">
        <f>(D22+2*$F$5)*F22*G22/1000000000</f>
        <v>0.6</v>
      </c>
    </row>
    <row r="23">
      <c r="A23" t="str">
        <f>'Data Panjang Balok'!A19</f>
        <v>Lantai 1</v>
      </c>
      <c r="B23">
        <f>'Data Panjang Balok'!B19</f>
        <v>10</v>
      </c>
      <c r="C23" t="str">
        <f>'Data Panjang Balok'!D19</f>
        <v>S36-1</v>
      </c>
      <c r="D23">
        <f>IF(C23&gt;0,VLOOKUP(C23,'Detail Balok'!$C$11:$AU$140,2,FALSE),0)</f>
        <v>300</v>
      </c>
      <c r="E23" t="str">
        <v>x</v>
      </c>
      <c r="F23">
        <f>IF(C23&gt;0,VLOOKUP(C23,'Detail Balok'!$C$11:$AU$140,3,FALSE),0)</f>
        <v>600</v>
      </c>
      <c r="G23">
        <f>'Data Panjang Balok'!I19</f>
        <v>5000</v>
      </c>
      <c r="H23">
        <f>'Data Panjang Balok'!J19</f>
        <v>150</v>
      </c>
      <c r="I23">
        <v>-3.5</v>
      </c>
      <c r="J23">
        <f>I23-F23/1000</f>
        <v>-4.1</v>
      </c>
      <c r="K23">
        <f>'Data Panjang Balok'!E19</f>
        <v>1</v>
      </c>
      <c r="L23">
        <f>SUMIFS('Besi Balok'!$AA$23:$AA$7253,'Besi Balok'!$A$23:$A$7253,$A23,'Besi Balok'!$B$23:$B$7253,$B23,'Besi Balok'!$F$23:$F$7253,'REKAP Balok'!L$11)</f>
        <v>0</v>
      </c>
      <c r="M23">
        <f>SUMIFS('Besi Balok'!$AA$23:$AA$7253,'Besi Balok'!$A$23:$A$7253,$A23,'Besi Balok'!$B$23:$B$7253,$B23,'Besi Balok'!$F$23:$F$7253,'REKAP Balok'!M$11)</f>
        <v>19.9371168</v>
      </c>
      <c r="N23">
        <f>SUMIFS('Besi Balok'!$AA$23:$AA$7253,'Besi Balok'!$A$23:$A$7253,$A23,'Besi Balok'!$B$23:$B$7253,$B23,'Besi Balok'!$F$23:$F$7253,'REKAP Balok'!N$11)</f>
        <v>6.460920000000001</v>
      </c>
      <c r="O23">
        <f>SUMIFS('Besi Balok'!$AA$23:$AA$7253,'Besi Balok'!$A$23:$A$7253,$A23,'Besi Balok'!$B$23:$B$7253,$B23,'Besi Balok'!$F$23:$F$7253,'REKAP Balok'!O$11)</f>
        <v>0</v>
      </c>
      <c r="P23">
        <f>SUMIFS('Besi Balok'!$AA$23:$AA$7253,'Besi Balok'!$A$23:$A$7253,$A23,'Besi Balok'!$B$23:$B$7253,$B23,'Besi Balok'!$F$23:$F$7253,'REKAP Balok'!P$11)</f>
        <v>67.97795328000001</v>
      </c>
      <c r="Q23">
        <f>SUMIFS('Besi Balok'!$AA$23:$AA$7253,'Besi Balok'!$A$23:$A$7253,$A23,'Besi Balok'!$B$23:$B$7253,$B23,'Besi Balok'!$F$23:$F$7253,'REKAP Balok'!Q$11)</f>
        <v>0</v>
      </c>
      <c r="R23">
        <f>SUMIFS('Besi Balok'!$AA$23:$AA$7253,'Besi Balok'!$A$23:$A$7253,$A23,'Besi Balok'!$B$23:$B$7253,$B23,'Besi Balok'!$F$23:$F$7253,'REKAP Balok'!R$11)</f>
        <v>0</v>
      </c>
      <c r="S23">
        <f>SUMIFS('Besi Balok'!$AA$23:$AA$7253,'Besi Balok'!$A$23:$A$7253,$A23,'Besi Balok'!$B$23:$B$7253,$B23,'Besi Balok'!$F$23:$F$7253,'REKAP Balok'!S$11)</f>
        <v>0</v>
      </c>
      <c r="T23">
        <f>SUMIFS('Besi Balok'!$AA$23:$AA$7253,'Besi Balok'!$A$23:$A$7253,$A23,'Besi Balok'!$B$23:$B$7253,$B23,'Besi Balok'!$F$23:$F$7253,'REKAP Balok'!T$11)</f>
        <v>0</v>
      </c>
      <c r="U23">
        <f>SUM(L23:T23)</f>
        <v>94.37599008000001</v>
      </c>
      <c r="V23">
        <f>(D23*(F23-H23)*G23*K23)/1000000000</f>
        <v>0.675</v>
      </c>
      <c r="W23">
        <f>(((F23-H23)*2)*(G23)*K23)/1000000</f>
        <v>4.5</v>
      </c>
      <c r="X23">
        <v>0</v>
      </c>
      <c r="Y23">
        <f>K23*(D23+2*$F$5)*G23*$F$6/1000000000</f>
        <v>0.125</v>
      </c>
      <c r="Z23">
        <f>K23*(D23+2*$F$5)*($F$4-J23+($F$6+$F$7)/1000)*G23/1000000</f>
        <v>1.6249999999999991</v>
      </c>
      <c r="AC23">
        <f>(D23+2*$F$5)*F23*G23/1000000000</f>
        <v>1.5</v>
      </c>
    </row>
    <row r="24">
      <c r="A24" t="str">
        <f>'Data Panjang Balok'!A20</f>
        <v>Lantai 1</v>
      </c>
      <c r="B24">
        <f>'Data Panjang Balok'!B20</f>
        <v>11</v>
      </c>
      <c r="C24" t="str">
        <f>'Data Panjang Balok'!D20</f>
        <v>S24-1</v>
      </c>
      <c r="D24">
        <f>IF(C24&gt;0,VLOOKUP(C24,'Detail Balok'!$C$11:$AU$140,2,FALSE),0)</f>
        <v>200</v>
      </c>
      <c r="E24" t="str">
        <v>x</v>
      </c>
      <c r="F24">
        <f>IF(C24&gt;0,VLOOKUP(C24,'Detail Balok'!$C$11:$AU$140,3,FALSE),0)</f>
        <v>400</v>
      </c>
      <c r="G24">
        <f>'Data Panjang Balok'!I20</f>
        <v>4020</v>
      </c>
      <c r="H24">
        <f>'Data Panjang Balok'!J20</f>
        <v>150</v>
      </c>
      <c r="I24">
        <v>-3.5</v>
      </c>
      <c r="J24">
        <f>I24-F24/1000</f>
        <v>-3.9</v>
      </c>
      <c r="K24">
        <f>'Data Panjang Balok'!E20</f>
        <v>1</v>
      </c>
      <c r="L24">
        <f>SUMIFS('Besi Balok'!$AA$23:$AA$7253,'Besi Balok'!$A$23:$A$7253,$A24,'Besi Balok'!$B$23:$B$7253,$B24,'Besi Balok'!$F$23:$F$7253,'REKAP Balok'!L$11)</f>
        <v>0</v>
      </c>
      <c r="M24">
        <f>SUMIFS('Besi Balok'!$AA$23:$AA$7253,'Besi Balok'!$A$23:$A$7253,$A24,'Besi Balok'!$B$23:$B$7253,$B24,'Besi Balok'!$F$23:$F$7253,'REKAP Balok'!M$11)</f>
        <v>10.566316800000001</v>
      </c>
      <c r="N24">
        <f>SUMIFS('Besi Balok'!$AA$23:$AA$7253,'Besi Balok'!$A$23:$A$7253,$A24,'Besi Balok'!$B$23:$B$7253,$B24,'Besi Balok'!$F$23:$F$7253,'REKAP Balok'!N$11)</f>
        <v>0</v>
      </c>
      <c r="O24">
        <f>SUMIFS('Besi Balok'!$AA$23:$AA$7253,'Besi Balok'!$A$23:$A$7253,$A24,'Besi Balok'!$B$23:$B$7253,$B24,'Besi Balok'!$F$23:$F$7253,'REKAP Balok'!O$11)</f>
        <v>27.080674919999993</v>
      </c>
      <c r="P24">
        <f>SUMIFS('Besi Balok'!$AA$23:$AA$7253,'Besi Balok'!$A$23:$A$7253,$A24,'Besi Balok'!$B$23:$B$7253,$B24,'Besi Balok'!$F$23:$F$7253,'REKAP Balok'!P$11)</f>
        <v>0</v>
      </c>
      <c r="Q24">
        <f>SUMIFS('Besi Balok'!$AA$23:$AA$7253,'Besi Balok'!$A$23:$A$7253,$A24,'Besi Balok'!$B$23:$B$7253,$B24,'Besi Balok'!$F$23:$F$7253,'REKAP Balok'!Q$11)</f>
        <v>0</v>
      </c>
      <c r="R24">
        <f>SUMIFS('Besi Balok'!$AA$23:$AA$7253,'Besi Balok'!$A$23:$A$7253,$A24,'Besi Balok'!$B$23:$B$7253,$B24,'Besi Balok'!$F$23:$F$7253,'REKAP Balok'!R$11)</f>
        <v>0</v>
      </c>
      <c r="S24">
        <f>SUMIFS('Besi Balok'!$AA$23:$AA$7253,'Besi Balok'!$A$23:$A$7253,$A24,'Besi Balok'!$B$23:$B$7253,$B24,'Besi Balok'!$F$23:$F$7253,'REKAP Balok'!S$11)</f>
        <v>0</v>
      </c>
      <c r="T24">
        <f>SUMIFS('Besi Balok'!$AA$23:$AA$7253,'Besi Balok'!$A$23:$A$7253,$A24,'Besi Balok'!$B$23:$B$7253,$B24,'Besi Balok'!$F$23:$F$7253,'REKAP Balok'!T$11)</f>
        <v>0</v>
      </c>
      <c r="U24">
        <f>SUM(L24:T24)</f>
        <v>37.646991719999995</v>
      </c>
      <c r="V24">
        <f>(D24*(F24-H24)*G24*K24)/1000000000</f>
        <v>0.201</v>
      </c>
      <c r="W24">
        <f>(((F24-H24)*2)*(G24)*K24)/1000000</f>
        <v>2.01</v>
      </c>
      <c r="X24">
        <v>0</v>
      </c>
      <c r="Y24">
        <f>K24*(D24+2*$F$5)*G24*$F$6/1000000000</f>
        <v>0.0804</v>
      </c>
      <c r="Z24">
        <f>K24*(D24+2*$F$5)*($F$4-J24+($F$6+$F$7)/1000)*G24/1000000</f>
        <v>0.7235999999999999</v>
      </c>
      <c r="AC24">
        <f>(D24+2*$F$5)*F24*G24/1000000000</f>
        <v>0.6432</v>
      </c>
    </row>
    <row r="25">
      <c r="A25" t="str">
        <f>'Data Panjang Balok'!A21</f>
        <v>Lantai 1</v>
      </c>
      <c r="B25">
        <f>'Data Panjang Balok'!B21</f>
        <v>12</v>
      </c>
      <c r="C25" t="str">
        <f>'Data Panjang Balok'!D21</f>
        <v>S36-1</v>
      </c>
      <c r="D25">
        <f>IF(C25&gt;0,VLOOKUP(C25,'Detail Balok'!$C$11:$AU$140,2,FALSE),0)</f>
        <v>300</v>
      </c>
      <c r="E25" t="str">
        <v>x</v>
      </c>
      <c r="F25">
        <f>IF(C25&gt;0,VLOOKUP(C25,'Detail Balok'!$C$11:$AU$140,3,FALSE),0)</f>
        <v>600</v>
      </c>
      <c r="G25">
        <f>'Data Panjang Balok'!I21</f>
        <v>4000</v>
      </c>
      <c r="H25">
        <f>'Data Panjang Balok'!J21</f>
        <v>150</v>
      </c>
      <c r="I25">
        <v>-3.5</v>
      </c>
      <c r="J25">
        <f>I25-F25/1000</f>
        <v>-4.1</v>
      </c>
      <c r="K25">
        <f>'Data Panjang Balok'!E21</f>
        <v>1</v>
      </c>
      <c r="L25">
        <f>SUMIFS('Besi Balok'!$AA$23:$AA$7253,'Besi Balok'!$A$23:$A$7253,$A25,'Besi Balok'!$B$23:$B$7253,$B25,'Besi Balok'!$F$23:$F$7253,'REKAP Balok'!L$11)</f>
        <v>0</v>
      </c>
      <c r="M25">
        <f>SUMIFS('Besi Balok'!$AA$23:$AA$7253,'Besi Balok'!$A$23:$A$7253,$A25,'Besi Balok'!$B$23:$B$7253,$B25,'Besi Balok'!$F$23:$F$7253,'REKAP Balok'!M$11)</f>
        <v>16.721452799999998</v>
      </c>
      <c r="N25">
        <f>SUMIFS('Besi Balok'!$AA$23:$AA$7253,'Besi Balok'!$A$23:$A$7253,$A25,'Besi Balok'!$B$23:$B$7253,$B25,'Besi Balok'!$F$23:$F$7253,'REKAP Balok'!N$11)</f>
        <v>5.227920000000001</v>
      </c>
      <c r="O25">
        <f>SUMIFS('Besi Balok'!$AA$23:$AA$7253,'Besi Balok'!$A$23:$A$7253,$A25,'Besi Balok'!$B$23:$B$7253,$B25,'Besi Balok'!$F$23:$F$7253,'REKAP Balok'!O$11)</f>
        <v>0</v>
      </c>
      <c r="P25">
        <f>SUMIFS('Besi Balok'!$AA$23:$AA$7253,'Besi Balok'!$A$23:$A$7253,$A25,'Besi Balok'!$B$23:$B$7253,$B25,'Besi Balok'!$F$23:$F$7253,'REKAP Balok'!P$11)</f>
        <v>55.35203328000001</v>
      </c>
      <c r="Q25">
        <f>SUMIFS('Besi Balok'!$AA$23:$AA$7253,'Besi Balok'!$A$23:$A$7253,$A25,'Besi Balok'!$B$23:$B$7253,$B25,'Besi Balok'!$F$23:$F$7253,'REKAP Balok'!Q$11)</f>
        <v>0</v>
      </c>
      <c r="R25">
        <f>SUMIFS('Besi Balok'!$AA$23:$AA$7253,'Besi Balok'!$A$23:$A$7253,$A25,'Besi Balok'!$B$23:$B$7253,$B25,'Besi Balok'!$F$23:$F$7253,'REKAP Balok'!R$11)</f>
        <v>0</v>
      </c>
      <c r="S25">
        <f>SUMIFS('Besi Balok'!$AA$23:$AA$7253,'Besi Balok'!$A$23:$A$7253,$A25,'Besi Balok'!$B$23:$B$7253,$B25,'Besi Balok'!$F$23:$F$7253,'REKAP Balok'!S$11)</f>
        <v>0</v>
      </c>
      <c r="T25">
        <f>SUMIFS('Besi Balok'!$AA$23:$AA$7253,'Besi Balok'!$A$23:$A$7253,$A25,'Besi Balok'!$B$23:$B$7253,$B25,'Besi Balok'!$F$23:$F$7253,'REKAP Balok'!T$11)</f>
        <v>0</v>
      </c>
      <c r="U25">
        <f>SUM(L25:T25)</f>
        <v>77.30140608</v>
      </c>
      <c r="V25">
        <f>(D25*(F25-H25)*G25*K25)/1000000000</f>
        <v>0.54</v>
      </c>
      <c r="W25">
        <f>(((F25-H25)*2)*(G25)*K25)/1000000</f>
        <v>3.6</v>
      </c>
      <c r="X25">
        <v>0</v>
      </c>
      <c r="Y25">
        <f>K25*(D25+2*$F$5)*G25*$F$6/1000000000</f>
        <v>0.1</v>
      </c>
      <c r="Z25">
        <f>K25*(D25+2*$F$5)*($F$4-J25+($F$6+$F$7)/1000)*G25/1000000</f>
        <v>1.2999999999999994</v>
      </c>
      <c r="AC25">
        <f>(D25+2*$F$5)*F25*G25/1000000000</f>
        <v>1.2</v>
      </c>
    </row>
    <row r="26">
      <c r="A26" t="str">
        <f>'Data Panjang Balok'!A22</f>
        <v>Lantai 1</v>
      </c>
      <c r="B26">
        <f>'Data Panjang Balok'!B22</f>
        <v>13</v>
      </c>
      <c r="C26" t="str">
        <f>'Data Panjang Balok'!D22</f>
        <v>S24-2</v>
      </c>
      <c r="D26">
        <f>IF(C26&gt;0,VLOOKUP(C26,'Detail Balok'!$C$11:$AU$140,2,FALSE),0)</f>
        <v>200</v>
      </c>
      <c r="E26" t="str">
        <v>x</v>
      </c>
      <c r="F26">
        <f>IF(C26&gt;0,VLOOKUP(C26,'Detail Balok'!$C$11:$AU$140,3,FALSE),0)</f>
        <v>400</v>
      </c>
      <c r="G26">
        <f>'Data Panjang Balok'!I22</f>
        <v>9515</v>
      </c>
      <c r="H26">
        <f>'Data Panjang Balok'!J22</f>
        <v>200</v>
      </c>
      <c r="I26">
        <v>-3.5</v>
      </c>
      <c r="J26">
        <f>I26-F26/1000</f>
        <v>-3.9</v>
      </c>
      <c r="K26">
        <f>'Data Panjang Balok'!E22</f>
        <v>1</v>
      </c>
      <c r="L26">
        <f>SUMIFS('Besi Balok'!$AA$23:$AA$7253,'Besi Balok'!$A$23:$A$7253,$A26,'Besi Balok'!$B$23:$B$7253,$B26,'Besi Balok'!$F$23:$F$7253,'REKAP Balok'!L$11)</f>
        <v>0</v>
      </c>
      <c r="M26">
        <f>SUMIFS('Besi Balok'!$AA$23:$AA$7253,'Besi Balok'!$A$23:$A$7253,$A26,'Besi Balok'!$B$23:$B$7253,$B26,'Besi Balok'!$F$23:$F$7253,'REKAP Balok'!M$11)</f>
        <v>23.571014400000003</v>
      </c>
      <c r="N26">
        <f>SUMIFS('Besi Balok'!$AA$23:$AA$7253,'Besi Balok'!$A$23:$A$7253,$A26,'Besi Balok'!$B$23:$B$7253,$B26,'Besi Balok'!$F$23:$F$7253,'REKAP Balok'!N$11)</f>
        <v>0</v>
      </c>
      <c r="O26">
        <f>SUMIFS('Besi Balok'!$AA$23:$AA$7253,'Besi Balok'!$A$23:$A$7253,$A26,'Besi Balok'!$B$23:$B$7253,$B26,'Besi Balok'!$F$23:$F$7253,'REKAP Balok'!O$11)</f>
        <v>0</v>
      </c>
      <c r="P26">
        <f>SUMIFS('Besi Balok'!$AA$23:$AA$7253,'Besi Balok'!$A$23:$A$7253,$A26,'Besi Balok'!$B$23:$B$7253,$B26,'Besi Balok'!$F$23:$F$7253,'REKAP Balok'!P$11)</f>
        <v>93.73798656000001</v>
      </c>
      <c r="Q26">
        <f>SUMIFS('Besi Balok'!$AA$23:$AA$7253,'Besi Balok'!$A$23:$A$7253,$A26,'Besi Balok'!$B$23:$B$7253,$B26,'Besi Balok'!$F$23:$F$7253,'REKAP Balok'!Q$11)</f>
        <v>0</v>
      </c>
      <c r="R26">
        <f>SUMIFS('Besi Balok'!$AA$23:$AA$7253,'Besi Balok'!$A$23:$A$7253,$A26,'Besi Balok'!$B$23:$B$7253,$B26,'Besi Balok'!$F$23:$F$7253,'REKAP Balok'!R$11)</f>
        <v>0</v>
      </c>
      <c r="S26">
        <f>SUMIFS('Besi Balok'!$AA$23:$AA$7253,'Besi Balok'!$A$23:$A$7253,$A26,'Besi Balok'!$B$23:$B$7253,$B26,'Besi Balok'!$F$23:$F$7253,'REKAP Balok'!S$11)</f>
        <v>0</v>
      </c>
      <c r="T26">
        <f>SUMIFS('Besi Balok'!$AA$23:$AA$7253,'Besi Balok'!$A$23:$A$7253,$A26,'Besi Balok'!$B$23:$B$7253,$B26,'Besi Balok'!$F$23:$F$7253,'REKAP Balok'!T$11)</f>
        <v>0</v>
      </c>
      <c r="U26">
        <f>SUM(L26:T26)</f>
        <v>117.30900096000002</v>
      </c>
      <c r="V26">
        <f>(D26*(F26-H26)*G26*K26)/1000000000</f>
        <v>0.3806</v>
      </c>
      <c r="W26">
        <f>(((F26-H26)*2)*(G26)*K26)/1000000</f>
        <v>3.806</v>
      </c>
      <c r="X26">
        <v>0</v>
      </c>
      <c r="Y26">
        <f>K26*(D26+2*$F$5)*G26*$F$6/1000000000</f>
        <v>0.1903</v>
      </c>
      <c r="Z26">
        <f>K26*(D26+2*$F$5)*($F$4-J26+($F$6+$F$7)/1000)*G26/1000000</f>
        <v>1.7126999999999997</v>
      </c>
      <c r="AC26">
        <f>(D26+2*$F$5)*F26*G26/1000000000</f>
        <v>1.5224</v>
      </c>
    </row>
    <row r="27">
      <c r="A27" t="str">
        <f>'Data Panjang Balok'!A23</f>
        <v>Lantai 1</v>
      </c>
      <c r="B27" t="str">
        <f>'Data Panjang Balok'!B23</f>
        <v>13A</v>
      </c>
      <c r="C27" t="str">
        <f>'Data Panjang Balok'!D23</f>
        <v>S24-2</v>
      </c>
      <c r="D27">
        <f>IF(C27&gt;0,VLOOKUP(C27,'Detail Balok'!$C$11:$AU$140,2,FALSE),0)</f>
        <v>200</v>
      </c>
      <c r="E27" t="str">
        <v>x</v>
      </c>
      <c r="F27">
        <f>IF(C27&gt;0,VLOOKUP(C27,'Detail Balok'!$C$11:$AU$140,3,FALSE),0)</f>
        <v>400</v>
      </c>
      <c r="G27">
        <f>'Data Panjang Balok'!I23</f>
        <v>7925</v>
      </c>
      <c r="H27">
        <f>'Data Panjang Balok'!J23</f>
        <v>0</v>
      </c>
      <c r="I27">
        <v>-3.5</v>
      </c>
      <c r="J27">
        <f>I27-F27/1000</f>
        <v>-3.9</v>
      </c>
      <c r="K27">
        <f>'Data Panjang Balok'!E23</f>
        <v>1</v>
      </c>
      <c r="L27">
        <f>SUMIFS('Besi Balok'!$AA$23:$AA$7253,'Besi Balok'!$A$23:$A$7253,$A27,'Besi Balok'!$B$23:$B$7253,$B27,'Besi Balok'!$F$23:$F$7253,'REKAP Balok'!L$11)</f>
        <v>0</v>
      </c>
      <c r="M27">
        <f>SUMIFS('Besi Balok'!$AA$23:$AA$7253,'Besi Balok'!$A$23:$A$7253,$A27,'Besi Balok'!$B$23:$B$7253,$B27,'Besi Balok'!$F$23:$F$7253,'REKAP Balok'!M$11)</f>
        <v>19.507046400000004</v>
      </c>
      <c r="N27">
        <f>SUMIFS('Besi Balok'!$AA$23:$AA$7253,'Besi Balok'!$A$23:$A$7253,$A27,'Besi Balok'!$B$23:$B$7253,$B27,'Besi Balok'!$F$23:$F$7253,'REKAP Balok'!N$11)</f>
        <v>0</v>
      </c>
      <c r="O27">
        <f>SUMIFS('Besi Balok'!$AA$23:$AA$7253,'Besi Balok'!$A$23:$A$7253,$A27,'Besi Balok'!$B$23:$B$7253,$B27,'Besi Balok'!$F$23:$F$7253,'REKAP Balok'!O$11)</f>
        <v>0</v>
      </c>
      <c r="P27">
        <f>SUMIFS('Besi Balok'!$AA$23:$AA$7253,'Besi Balok'!$A$23:$A$7253,$A27,'Besi Balok'!$B$23:$B$7253,$B27,'Besi Balok'!$F$23:$F$7253,'REKAP Balok'!P$11)</f>
        <v>78.68157696</v>
      </c>
      <c r="Q27">
        <f>SUMIFS('Besi Balok'!$AA$23:$AA$7253,'Besi Balok'!$A$23:$A$7253,$A27,'Besi Balok'!$B$23:$B$7253,$B27,'Besi Balok'!$F$23:$F$7253,'REKAP Balok'!Q$11)</f>
        <v>0</v>
      </c>
      <c r="R27">
        <f>SUMIFS('Besi Balok'!$AA$23:$AA$7253,'Besi Balok'!$A$23:$A$7253,$A27,'Besi Balok'!$B$23:$B$7253,$B27,'Besi Balok'!$F$23:$F$7253,'REKAP Balok'!R$11)</f>
        <v>0</v>
      </c>
      <c r="S27">
        <f>SUMIFS('Besi Balok'!$AA$23:$AA$7253,'Besi Balok'!$A$23:$A$7253,$A27,'Besi Balok'!$B$23:$B$7253,$B27,'Besi Balok'!$F$23:$F$7253,'REKAP Balok'!S$11)</f>
        <v>0</v>
      </c>
      <c r="T27">
        <f>SUMIFS('Besi Balok'!$AA$23:$AA$7253,'Besi Balok'!$A$23:$A$7253,$A27,'Besi Balok'!$B$23:$B$7253,$B27,'Besi Balok'!$F$23:$F$7253,'REKAP Balok'!T$11)</f>
        <v>0</v>
      </c>
      <c r="U27">
        <f>SUM(L27:T27)</f>
        <v>98.18862336000001</v>
      </c>
      <c r="V27">
        <f>(D27*(F27-H27)*G27*K27)/1000000000</f>
        <v>0.634</v>
      </c>
      <c r="W27">
        <f>(((F27-H27)*2)*(G27)*K27)/1000000</f>
        <v>6.34</v>
      </c>
      <c r="X27">
        <v>0</v>
      </c>
      <c r="Y27">
        <f>K27*(D27+2*$F$5)*G27*$F$6/1000000000</f>
        <v>0.1585</v>
      </c>
      <c r="Z27">
        <f>K27*(D27+2*$F$5)*($F$4-J27+($F$6+$F$7)/1000)*G27/1000000</f>
        <v>1.4264999999999997</v>
      </c>
      <c r="AC27">
        <f>(D27+2*$F$5)*F27*G27/1000000000</f>
        <v>1.268</v>
      </c>
    </row>
    <row r="28">
      <c r="A28" t="str">
        <f>'Data Panjang Balok'!A24</f>
        <v>Lantai 1</v>
      </c>
      <c r="B28">
        <f>'Data Panjang Balok'!B24</f>
        <v>14</v>
      </c>
      <c r="C28" t="str">
        <f>'Data Panjang Balok'!D24</f>
        <v>S36-1</v>
      </c>
      <c r="D28">
        <f>IF(C28&gt;0,VLOOKUP(C28,'Detail Balok'!$C$11:$AU$140,2,FALSE),0)</f>
        <v>300</v>
      </c>
      <c r="E28" t="str">
        <v>x</v>
      </c>
      <c r="F28">
        <f>IF(C28&gt;0,VLOOKUP(C28,'Detail Balok'!$C$11:$AU$140,3,FALSE),0)</f>
        <v>600</v>
      </c>
      <c r="G28">
        <f>'Data Panjang Balok'!I24</f>
        <v>6000</v>
      </c>
      <c r="H28">
        <f>'Data Panjang Balok'!J24</f>
        <v>150</v>
      </c>
      <c r="I28">
        <v>-3.5</v>
      </c>
      <c r="J28">
        <f>I28-F28/1000</f>
        <v>-4.1</v>
      </c>
      <c r="K28">
        <f>'Data Panjang Balok'!E24</f>
        <v>1</v>
      </c>
      <c r="L28">
        <f>SUMIFS('Besi Balok'!$AA$23:$AA$7253,'Besi Balok'!$A$23:$A$7253,$A28,'Besi Balok'!$B$23:$B$7253,$B28,'Besi Balok'!$F$23:$F$7253,'REKAP Balok'!L$11)</f>
        <v>0</v>
      </c>
      <c r="M28">
        <f>SUMIFS('Besi Balok'!$AA$23:$AA$7253,'Besi Balok'!$A$23:$A$7253,$A28,'Besi Balok'!$B$23:$B$7253,$B28,'Besi Balok'!$F$23:$F$7253,'REKAP Balok'!M$11)</f>
        <v>23.7959136</v>
      </c>
      <c r="N28">
        <f>SUMIFS('Besi Balok'!$AA$23:$AA$7253,'Besi Balok'!$A$23:$A$7253,$A28,'Besi Balok'!$B$23:$B$7253,$B28,'Besi Balok'!$F$23:$F$7253,'REKAP Balok'!N$11)</f>
        <v>7.693920000000001</v>
      </c>
      <c r="O28">
        <f>SUMIFS('Besi Balok'!$AA$23:$AA$7253,'Besi Balok'!$A$23:$A$7253,$A28,'Besi Balok'!$B$23:$B$7253,$B28,'Besi Balok'!$F$23:$F$7253,'REKAP Balok'!O$11)</f>
        <v>0</v>
      </c>
      <c r="P28">
        <f>SUMIFS('Besi Balok'!$AA$23:$AA$7253,'Besi Balok'!$A$23:$A$7253,$A28,'Besi Balok'!$B$23:$B$7253,$B28,'Besi Balok'!$F$23:$F$7253,'REKAP Balok'!P$11)</f>
        <v>80.60387328</v>
      </c>
      <c r="Q28">
        <f>SUMIFS('Besi Balok'!$AA$23:$AA$7253,'Besi Balok'!$A$23:$A$7253,$A28,'Besi Balok'!$B$23:$B$7253,$B28,'Besi Balok'!$F$23:$F$7253,'REKAP Balok'!Q$11)</f>
        <v>0</v>
      </c>
      <c r="R28">
        <f>SUMIFS('Besi Balok'!$AA$23:$AA$7253,'Besi Balok'!$A$23:$A$7253,$A28,'Besi Balok'!$B$23:$B$7253,$B28,'Besi Balok'!$F$23:$F$7253,'REKAP Balok'!R$11)</f>
        <v>0</v>
      </c>
      <c r="S28">
        <f>SUMIFS('Besi Balok'!$AA$23:$AA$7253,'Besi Balok'!$A$23:$A$7253,$A28,'Besi Balok'!$B$23:$B$7253,$B28,'Besi Balok'!$F$23:$F$7253,'REKAP Balok'!S$11)</f>
        <v>0</v>
      </c>
      <c r="T28">
        <f>SUMIFS('Besi Balok'!$AA$23:$AA$7253,'Besi Balok'!$A$23:$A$7253,$A28,'Besi Balok'!$B$23:$B$7253,$B28,'Besi Balok'!$F$23:$F$7253,'REKAP Balok'!T$11)</f>
        <v>0</v>
      </c>
      <c r="U28">
        <f>SUM(L28:T28)</f>
        <v>112.09370688</v>
      </c>
      <c r="V28">
        <f>(D28*(F28-H28)*G28*K28)/1000000000</f>
        <v>0.81</v>
      </c>
      <c r="W28">
        <f>(((F28-H28)*2)*(G28)*K28)/1000000</f>
        <v>5.4</v>
      </c>
      <c r="X28">
        <v>0</v>
      </c>
      <c r="Y28">
        <f>K28*(D28+2*$F$5)*G28*$F$6/1000000000</f>
        <v>0.15</v>
      </c>
      <c r="Z28">
        <f>K28*(D28+2*$F$5)*($F$4-J28+($F$6+$F$7)/1000)*G28/1000000</f>
        <v>1.949999999999999</v>
      </c>
      <c r="AC28">
        <f>(D28+2*$F$5)*F28*G28/1000000000</f>
        <v>1.8</v>
      </c>
    </row>
    <row r="29">
      <c r="A29" t="str">
        <f>'Data Panjang Balok'!A25</f>
        <v>Lantai 1</v>
      </c>
      <c r="B29">
        <f>'Data Panjang Balok'!B25</f>
        <v>15</v>
      </c>
      <c r="C29" t="str">
        <f>'Data Panjang Balok'!D25</f>
        <v>S24-1</v>
      </c>
      <c r="D29">
        <f>IF(C29&gt;0,VLOOKUP(C29,'Detail Balok'!$C$11:$AU$140,2,FALSE),0)</f>
        <v>200</v>
      </c>
      <c r="E29" t="str">
        <v>x</v>
      </c>
      <c r="F29">
        <f>IF(C29&gt;0,VLOOKUP(C29,'Detail Balok'!$C$11:$AU$140,3,FALSE),0)</f>
        <v>400</v>
      </c>
      <c r="G29">
        <f>'Data Panjang Balok'!I25</f>
        <v>2575</v>
      </c>
      <c r="H29">
        <f>'Data Panjang Balok'!J25</f>
        <v>150</v>
      </c>
      <c r="I29">
        <v>-3.5</v>
      </c>
      <c r="J29">
        <f>I29-F29/1000</f>
        <v>-3.9</v>
      </c>
      <c r="K29">
        <f>'Data Panjang Balok'!E25</f>
        <v>1</v>
      </c>
      <c r="L29">
        <f>SUMIFS('Besi Balok'!$AA$23:$AA$7253,'Besi Balok'!$A$23:$A$7253,$A29,'Besi Balok'!$B$23:$B$7253,$B29,'Besi Balok'!$F$23:$F$7253,'REKAP Balok'!L$11)</f>
        <v>0</v>
      </c>
      <c r="M29">
        <f>SUMIFS('Besi Balok'!$AA$23:$AA$7253,'Besi Balok'!$A$23:$A$7253,$A29,'Besi Balok'!$B$23:$B$7253,$B29,'Besi Balok'!$F$23:$F$7253,'REKAP Balok'!M$11)</f>
        <v>6.908745600000001</v>
      </c>
      <c r="N29">
        <f>SUMIFS('Besi Balok'!$AA$23:$AA$7253,'Besi Balok'!$A$23:$A$7253,$A29,'Besi Balok'!$B$23:$B$7253,$B29,'Besi Balok'!$F$23:$F$7253,'REKAP Balok'!N$11)</f>
        <v>0</v>
      </c>
      <c r="O29">
        <f>SUMIFS('Besi Balok'!$AA$23:$AA$7253,'Besi Balok'!$A$23:$A$7253,$A29,'Besi Balok'!$B$23:$B$7253,$B29,'Besi Balok'!$F$23:$F$7253,'REKAP Balok'!O$11)</f>
        <v>18.047531969999998</v>
      </c>
      <c r="P29">
        <f>SUMIFS('Besi Balok'!$AA$23:$AA$7253,'Besi Balok'!$A$23:$A$7253,$A29,'Besi Balok'!$B$23:$B$7253,$B29,'Besi Balok'!$F$23:$F$7253,'REKAP Balok'!P$11)</f>
        <v>0</v>
      </c>
      <c r="Q29">
        <f>SUMIFS('Besi Balok'!$AA$23:$AA$7253,'Besi Balok'!$A$23:$A$7253,$A29,'Besi Balok'!$B$23:$B$7253,$B29,'Besi Balok'!$F$23:$F$7253,'REKAP Balok'!Q$11)</f>
        <v>0</v>
      </c>
      <c r="R29">
        <f>SUMIFS('Besi Balok'!$AA$23:$AA$7253,'Besi Balok'!$A$23:$A$7253,$A29,'Besi Balok'!$B$23:$B$7253,$B29,'Besi Balok'!$F$23:$F$7253,'REKAP Balok'!R$11)</f>
        <v>0</v>
      </c>
      <c r="S29">
        <f>SUMIFS('Besi Balok'!$AA$23:$AA$7253,'Besi Balok'!$A$23:$A$7253,$A29,'Besi Balok'!$B$23:$B$7253,$B29,'Besi Balok'!$F$23:$F$7253,'REKAP Balok'!S$11)</f>
        <v>0</v>
      </c>
      <c r="T29">
        <f>SUMIFS('Besi Balok'!$AA$23:$AA$7253,'Besi Balok'!$A$23:$A$7253,$A29,'Besi Balok'!$B$23:$B$7253,$B29,'Besi Balok'!$F$23:$F$7253,'REKAP Balok'!T$11)</f>
        <v>0</v>
      </c>
      <c r="U29">
        <f>SUM(L29:T29)</f>
        <v>24.956277569999997</v>
      </c>
      <c r="V29">
        <f>(D29*(F29-H29)*G29*K29)/1000000000</f>
        <v>0.12875</v>
      </c>
      <c r="W29">
        <f>(((F29-H29)*2)*(G29)*K29)/1000000</f>
        <v>1.2875</v>
      </c>
      <c r="X29">
        <v>0</v>
      </c>
      <c r="Y29">
        <f>K29*(D29+2*$F$5)*G29*$F$6/1000000000</f>
        <v>0.0515</v>
      </c>
      <c r="Z29">
        <f>K29*(D29+2*$F$5)*($F$4-J29+($F$6+$F$7)/1000)*G29/1000000</f>
        <v>0.46349999999999997</v>
      </c>
      <c r="AC29">
        <f>(D29+2*$F$5)*F29*G29/1000000000</f>
        <v>0.412</v>
      </c>
    </row>
    <row r="30">
      <c r="A30" t="str">
        <f>'Data Panjang Balok'!A26</f>
        <v>Lantai 1</v>
      </c>
      <c r="B30">
        <f>'Data Panjang Balok'!B26</f>
        <v>16</v>
      </c>
      <c r="C30" t="str">
        <f>'Data Panjang Balok'!D26</f>
        <v>S24-1</v>
      </c>
      <c r="D30">
        <f>IF(C30&gt;0,VLOOKUP(C30,'Detail Balok'!$C$11:$AU$140,2,FALSE),0)</f>
        <v>200</v>
      </c>
      <c r="E30" t="str">
        <v>x</v>
      </c>
      <c r="F30">
        <f>IF(C30&gt;0,VLOOKUP(C30,'Detail Balok'!$C$11:$AU$140,3,FALSE),0)</f>
        <v>400</v>
      </c>
      <c r="G30">
        <f>'Data Panjang Balok'!I26</f>
        <v>2675</v>
      </c>
      <c r="H30">
        <f>'Data Panjang Balok'!J26</f>
        <v>150</v>
      </c>
      <c r="I30">
        <v>-3.5</v>
      </c>
      <c r="J30">
        <f>I30-F30/1000</f>
        <v>-3.9</v>
      </c>
      <c r="K30">
        <f>'Data Panjang Balok'!E26</f>
        <v>1</v>
      </c>
      <c r="L30">
        <f>SUMIFS('Besi Balok'!$AA$23:$AA$7253,'Besi Balok'!$A$23:$A$7253,$A30,'Besi Balok'!$B$23:$B$7253,$B30,'Besi Balok'!$F$23:$F$7253,'REKAP Balok'!L$11)</f>
        <v>0</v>
      </c>
      <c r="M30">
        <f>SUMIFS('Besi Balok'!$AA$23:$AA$7253,'Besi Balok'!$A$23:$A$7253,$A30,'Besi Balok'!$B$23:$B$7253,$B30,'Besi Balok'!$F$23:$F$7253,'REKAP Balok'!M$11)</f>
        <v>6.908745600000001</v>
      </c>
      <c r="N30">
        <f>SUMIFS('Besi Balok'!$AA$23:$AA$7253,'Besi Balok'!$A$23:$A$7253,$A30,'Besi Balok'!$B$23:$B$7253,$B30,'Besi Balok'!$F$23:$F$7253,'REKAP Balok'!N$11)</f>
        <v>0</v>
      </c>
      <c r="O30">
        <f>SUMIFS('Besi Balok'!$AA$23:$AA$7253,'Besi Balok'!$A$23:$A$7253,$A30,'Besi Balok'!$B$23:$B$7253,$B30,'Besi Balok'!$F$23:$F$7253,'REKAP Balok'!O$11)</f>
        <v>18.672662969999998</v>
      </c>
      <c r="P30">
        <f>SUMIFS('Besi Balok'!$AA$23:$AA$7253,'Besi Balok'!$A$23:$A$7253,$A30,'Besi Balok'!$B$23:$B$7253,$B30,'Besi Balok'!$F$23:$F$7253,'REKAP Balok'!P$11)</f>
        <v>0</v>
      </c>
      <c r="Q30">
        <f>SUMIFS('Besi Balok'!$AA$23:$AA$7253,'Besi Balok'!$A$23:$A$7253,$A30,'Besi Balok'!$B$23:$B$7253,$B30,'Besi Balok'!$F$23:$F$7253,'REKAP Balok'!Q$11)</f>
        <v>0</v>
      </c>
      <c r="R30">
        <f>SUMIFS('Besi Balok'!$AA$23:$AA$7253,'Besi Balok'!$A$23:$A$7253,$A30,'Besi Balok'!$B$23:$B$7253,$B30,'Besi Balok'!$F$23:$F$7253,'REKAP Balok'!R$11)</f>
        <v>0</v>
      </c>
      <c r="S30">
        <f>SUMIFS('Besi Balok'!$AA$23:$AA$7253,'Besi Balok'!$A$23:$A$7253,$A30,'Besi Balok'!$B$23:$B$7253,$B30,'Besi Balok'!$F$23:$F$7253,'REKAP Balok'!S$11)</f>
        <v>0</v>
      </c>
      <c r="T30">
        <f>SUMIFS('Besi Balok'!$AA$23:$AA$7253,'Besi Balok'!$A$23:$A$7253,$A30,'Besi Balok'!$B$23:$B$7253,$B30,'Besi Balok'!$F$23:$F$7253,'REKAP Balok'!T$11)</f>
        <v>0</v>
      </c>
      <c r="U30">
        <f>SUM(L30:T30)</f>
        <v>25.58140857</v>
      </c>
      <c r="V30">
        <f>(D30*(F30-H30)*G30*K30)/1000000000</f>
        <v>0.13375</v>
      </c>
      <c r="W30">
        <f>(((F30-H30)*2)*(G30)*K30)/1000000</f>
        <v>1.3375</v>
      </c>
      <c r="X30">
        <v>0</v>
      </c>
      <c r="Y30">
        <f>K30*(D30+2*$F$5)*G30*$F$6/1000000000</f>
        <v>0.0535</v>
      </c>
      <c r="Z30">
        <f>K30*(D30+2*$F$5)*($F$4-J30+($F$6+$F$7)/1000)*G30/1000000</f>
        <v>0.48149999999999993</v>
      </c>
      <c r="AC30">
        <f>(D30+2*$F$5)*F30*G30/1000000000</f>
        <v>0.428</v>
      </c>
    </row>
    <row r="31">
      <c r="A31" t="str">
        <f>'Data Panjang Balok'!A27</f>
        <v>Lantai 1</v>
      </c>
      <c r="B31">
        <f>'Data Panjang Balok'!B27</f>
        <v>17</v>
      </c>
      <c r="C31" t="str">
        <f>'Data Panjang Balok'!D27</f>
        <v>S24-1</v>
      </c>
      <c r="D31">
        <f>IF(C31&gt;0,VLOOKUP(C31,'Detail Balok'!$C$11:$AU$140,2,FALSE),0)</f>
        <v>200</v>
      </c>
      <c r="E31" t="str">
        <v>x</v>
      </c>
      <c r="F31">
        <f>IF(C31&gt;0,VLOOKUP(C31,'Detail Balok'!$C$11:$AU$140,3,FALSE),0)</f>
        <v>400</v>
      </c>
      <c r="G31">
        <f>'Data Panjang Balok'!I27</f>
        <v>3100</v>
      </c>
      <c r="H31">
        <f>'Data Panjang Balok'!J27</f>
        <v>0</v>
      </c>
      <c r="I31">
        <v>-3.5</v>
      </c>
      <c r="J31">
        <f>I31-F31/1000</f>
        <v>-3.9</v>
      </c>
      <c r="K31">
        <f>'Data Panjang Balok'!E27</f>
        <v>1</v>
      </c>
      <c r="L31">
        <f>SUMIFS('Besi Balok'!$AA$23:$AA$7253,'Besi Balok'!$A$23:$A$7253,$A31,'Besi Balok'!$B$23:$B$7253,$B31,'Besi Balok'!$F$23:$F$7253,'REKAP Balok'!L$11)</f>
        <v>0</v>
      </c>
      <c r="M31">
        <f>SUMIFS('Besi Balok'!$AA$23:$AA$7253,'Besi Balok'!$A$23:$A$7253,$A31,'Besi Balok'!$B$23:$B$7253,$B31,'Besi Balok'!$F$23:$F$7253,'REKAP Balok'!M$11)</f>
        <v>8.127936000000002</v>
      </c>
      <c r="N31">
        <f>SUMIFS('Besi Balok'!$AA$23:$AA$7253,'Besi Balok'!$A$23:$A$7253,$A31,'Besi Balok'!$B$23:$B$7253,$B31,'Besi Balok'!$F$23:$F$7253,'REKAP Balok'!N$11)</f>
        <v>0</v>
      </c>
      <c r="O31">
        <f>SUMIFS('Besi Balok'!$AA$23:$AA$7253,'Besi Balok'!$A$23:$A$7253,$A31,'Besi Balok'!$B$23:$B$7253,$B31,'Besi Balok'!$F$23:$F$7253,'REKAP Balok'!O$11)</f>
        <v>21.32946972</v>
      </c>
      <c r="P31">
        <f>SUMIFS('Besi Balok'!$AA$23:$AA$7253,'Besi Balok'!$A$23:$A$7253,$A31,'Besi Balok'!$B$23:$B$7253,$B31,'Besi Balok'!$F$23:$F$7253,'REKAP Balok'!P$11)</f>
        <v>0</v>
      </c>
      <c r="Q31">
        <f>SUMIFS('Besi Balok'!$AA$23:$AA$7253,'Besi Balok'!$A$23:$A$7253,$A31,'Besi Balok'!$B$23:$B$7253,$B31,'Besi Balok'!$F$23:$F$7253,'REKAP Balok'!Q$11)</f>
        <v>0</v>
      </c>
      <c r="R31">
        <f>SUMIFS('Besi Balok'!$AA$23:$AA$7253,'Besi Balok'!$A$23:$A$7253,$A31,'Besi Balok'!$B$23:$B$7253,$B31,'Besi Balok'!$F$23:$F$7253,'REKAP Balok'!R$11)</f>
        <v>0</v>
      </c>
      <c r="S31">
        <f>SUMIFS('Besi Balok'!$AA$23:$AA$7253,'Besi Balok'!$A$23:$A$7253,$A31,'Besi Balok'!$B$23:$B$7253,$B31,'Besi Balok'!$F$23:$F$7253,'REKAP Balok'!S$11)</f>
        <v>0</v>
      </c>
      <c r="T31">
        <f>SUMIFS('Besi Balok'!$AA$23:$AA$7253,'Besi Balok'!$A$23:$A$7253,$A31,'Besi Balok'!$B$23:$B$7253,$B31,'Besi Balok'!$F$23:$F$7253,'REKAP Balok'!T$11)</f>
        <v>0</v>
      </c>
      <c r="U31">
        <f>SUM(L31:T31)</f>
        <v>29.45740572</v>
      </c>
      <c r="V31">
        <f>(D31*(F31-H31)*G31*K31)/1000000000</f>
        <v>0.248</v>
      </c>
      <c r="W31">
        <f>(((F31-H31)*2)*(G31)*K31)/1000000</f>
        <v>2.48</v>
      </c>
      <c r="X31">
        <v>0</v>
      </c>
      <c r="Y31">
        <f>K31*(D31+2*$F$5)*G31*$F$6/1000000000</f>
        <v>0.062</v>
      </c>
      <c r="Z31">
        <f>K31*(D31+2*$F$5)*($F$4-J31+($F$6+$F$7)/1000)*G31/1000000</f>
        <v>0.5579999999999998</v>
      </c>
      <c r="AC31">
        <f>(D31+2*$F$5)*F31*G31/1000000000</f>
        <v>0.496</v>
      </c>
    </row>
    <row r="32">
      <c r="A32" t="str">
        <f>'Data Panjang Balok'!A28</f>
        <v>Lantai 1</v>
      </c>
      <c r="B32">
        <f>'Data Panjang Balok'!B28</f>
        <v>18</v>
      </c>
      <c r="C32" t="str">
        <f>'Data Panjang Balok'!D28</f>
        <v>S25-1</v>
      </c>
      <c r="D32">
        <f>IF(C32&gt;0,VLOOKUP(C32,'Detail Balok'!$C$11:$AU$140,2,FALSE),0)</f>
        <v>200</v>
      </c>
      <c r="E32" t="str">
        <v>x</v>
      </c>
      <c r="F32">
        <f>IF(C32&gt;0,VLOOKUP(C32,'Detail Balok'!$C$11:$AU$140,3,FALSE),0)</f>
        <v>500</v>
      </c>
      <c r="G32">
        <f>'Data Panjang Balok'!I28</f>
        <v>13400</v>
      </c>
      <c r="H32">
        <f>'Data Panjang Balok'!J28</f>
        <v>150</v>
      </c>
      <c r="I32">
        <v>-3.5</v>
      </c>
      <c r="J32">
        <f>I32-F32/1000</f>
        <v>-4</v>
      </c>
      <c r="K32">
        <f>'Data Panjang Balok'!E28</f>
        <v>1</v>
      </c>
      <c r="L32">
        <f>SUMIFS('Besi Balok'!$AA$23:$AA$7253,'Besi Balok'!$A$23:$A$7253,$A32,'Besi Balok'!$B$23:$B$7253,$B32,'Besi Balok'!$F$23:$F$7253,'REKAP Balok'!L$11)</f>
        <v>0</v>
      </c>
      <c r="M32">
        <f>SUMIFS('Besi Balok'!$AA$23:$AA$7253,'Besi Balok'!$A$23:$A$7253,$A32,'Besi Balok'!$B$23:$B$7253,$B32,'Besi Balok'!$F$23:$F$7253,'REKAP Balok'!M$11)</f>
        <v>38.824704000000004</v>
      </c>
      <c r="N32">
        <f>SUMIFS('Besi Balok'!$AA$23:$AA$7253,'Besi Balok'!$A$23:$A$7253,$A32,'Besi Balok'!$B$23:$B$7253,$B32,'Besi Balok'!$F$23:$F$7253,'REKAP Balok'!N$11)</f>
        <v>16.818859800000002</v>
      </c>
      <c r="O32">
        <f>SUMIFS('Besi Balok'!$AA$23:$AA$7253,'Besi Balok'!$A$23:$A$7253,$A32,'Besi Balok'!$B$23:$B$7253,$B32,'Besi Balok'!$F$23:$F$7253,'REKAP Balok'!O$11)</f>
        <v>0</v>
      </c>
      <c r="P32">
        <f>SUMIFS('Besi Balok'!$AA$23:$AA$7253,'Besi Balok'!$A$23:$A$7253,$A32,'Besi Balok'!$B$23:$B$7253,$B32,'Besi Balok'!$F$23:$F$7253,'REKAP Balok'!P$11)</f>
        <v>130.534336512</v>
      </c>
      <c r="Q32">
        <f>SUMIFS('Besi Balok'!$AA$23:$AA$7253,'Besi Balok'!$A$23:$A$7253,$A32,'Besi Balok'!$B$23:$B$7253,$B32,'Besi Balok'!$F$23:$F$7253,'REKAP Balok'!Q$11)</f>
        <v>0</v>
      </c>
      <c r="R32">
        <f>SUMIFS('Besi Balok'!$AA$23:$AA$7253,'Besi Balok'!$A$23:$A$7253,$A32,'Besi Balok'!$B$23:$B$7253,$B32,'Besi Balok'!$F$23:$F$7253,'REKAP Balok'!R$11)</f>
        <v>0</v>
      </c>
      <c r="S32">
        <f>SUMIFS('Besi Balok'!$AA$23:$AA$7253,'Besi Balok'!$A$23:$A$7253,$A32,'Besi Balok'!$B$23:$B$7253,$B32,'Besi Balok'!$F$23:$F$7253,'REKAP Balok'!S$11)</f>
        <v>0</v>
      </c>
      <c r="T32">
        <f>SUMIFS('Besi Balok'!$AA$23:$AA$7253,'Besi Balok'!$A$23:$A$7253,$A32,'Besi Balok'!$B$23:$B$7253,$B32,'Besi Balok'!$F$23:$F$7253,'REKAP Balok'!T$11)</f>
        <v>0</v>
      </c>
      <c r="U32">
        <f>SUM(L32:T32)</f>
        <v>186.17790031200002</v>
      </c>
      <c r="V32">
        <f>(D32*(F32-H32)*G32*K32)/1000000000</f>
        <v>0.938</v>
      </c>
      <c r="W32">
        <f>(((F32-H32)*2)*(G32)*K32)/1000000</f>
        <v>9.38</v>
      </c>
      <c r="X32">
        <v>0</v>
      </c>
      <c r="Y32">
        <f>K32*(D32+2*$F$5)*G32*$F$6/1000000000</f>
        <v>0.268</v>
      </c>
      <c r="Z32">
        <f>K32*(D32+2*$F$5)*($F$4-J32+($F$6+$F$7)/1000)*G32/1000000</f>
        <v>2.9480000000000004</v>
      </c>
      <c r="AB32">
        <f>U32/V32</f>
        <v>198.48390225159918</v>
      </c>
      <c r="AC32">
        <f>(D32+2*$F$5)*F32*G32/1000000000</f>
        <v>2.68</v>
      </c>
    </row>
    <row r="33">
      <c r="A33" t="str">
        <f>'Data Panjang Balok'!A29</f>
        <v>Lantai 1</v>
      </c>
      <c r="B33">
        <f>'Data Panjang Balok'!B29</f>
        <v>19</v>
      </c>
      <c r="C33" t="str">
        <f>'Data Panjang Balok'!D29</f>
        <v>S24-1</v>
      </c>
      <c r="D33">
        <f>IF(C33&gt;0,VLOOKUP(C33,'Detail Balok'!$C$11:$AU$140,2,FALSE),0)</f>
        <v>200</v>
      </c>
      <c r="E33" t="str">
        <v>x</v>
      </c>
      <c r="F33">
        <f>IF(C33&gt;0,VLOOKUP(C33,'Detail Balok'!$C$11:$AU$140,3,FALSE),0)</f>
        <v>400</v>
      </c>
      <c r="G33">
        <f>'Data Panjang Balok'!I29</f>
        <v>4075</v>
      </c>
      <c r="H33">
        <f>'Data Panjang Balok'!J29</f>
        <v>150</v>
      </c>
      <c r="I33">
        <v>-3.5</v>
      </c>
      <c r="J33">
        <f>I33-F33/1000</f>
        <v>-3.9</v>
      </c>
      <c r="K33">
        <f>'Data Panjang Balok'!E29</f>
        <v>1</v>
      </c>
      <c r="L33">
        <f>SUMIFS('Besi Balok'!$AA$23:$AA$7253,'Besi Balok'!$A$23:$A$7253,$A33,'Besi Balok'!$B$23:$B$7253,$B33,'Besi Balok'!$F$23:$F$7253,'REKAP Balok'!L$11)</f>
        <v>0</v>
      </c>
      <c r="M33">
        <f>SUMIFS('Besi Balok'!$AA$23:$AA$7253,'Besi Balok'!$A$23:$A$7253,$A33,'Besi Balok'!$B$23:$B$7253,$B33,'Besi Balok'!$F$23:$F$7253,'REKAP Balok'!M$11)</f>
        <v>10.566316800000001</v>
      </c>
      <c r="N33">
        <f>SUMIFS('Besi Balok'!$AA$23:$AA$7253,'Besi Balok'!$A$23:$A$7253,$A33,'Besi Balok'!$B$23:$B$7253,$B33,'Besi Balok'!$F$23:$F$7253,'REKAP Balok'!N$11)</f>
        <v>0</v>
      </c>
      <c r="O33">
        <f>SUMIFS('Besi Balok'!$AA$23:$AA$7253,'Besi Balok'!$A$23:$A$7253,$A33,'Besi Balok'!$B$23:$B$7253,$B33,'Besi Balok'!$F$23:$F$7253,'REKAP Balok'!O$11)</f>
        <v>27.42449697</v>
      </c>
      <c r="P33">
        <f>SUMIFS('Besi Balok'!$AA$23:$AA$7253,'Besi Balok'!$A$23:$A$7253,$A33,'Besi Balok'!$B$23:$B$7253,$B33,'Besi Balok'!$F$23:$F$7253,'REKAP Balok'!P$11)</f>
        <v>0</v>
      </c>
      <c r="Q33">
        <f>SUMIFS('Besi Balok'!$AA$23:$AA$7253,'Besi Balok'!$A$23:$A$7253,$A33,'Besi Balok'!$B$23:$B$7253,$B33,'Besi Balok'!$F$23:$F$7253,'REKAP Balok'!Q$11)</f>
        <v>0</v>
      </c>
      <c r="R33">
        <f>SUMIFS('Besi Balok'!$AA$23:$AA$7253,'Besi Balok'!$A$23:$A$7253,$A33,'Besi Balok'!$B$23:$B$7253,$B33,'Besi Balok'!$F$23:$F$7253,'REKAP Balok'!R$11)</f>
        <v>0</v>
      </c>
      <c r="S33">
        <f>SUMIFS('Besi Balok'!$AA$23:$AA$7253,'Besi Balok'!$A$23:$A$7253,$A33,'Besi Balok'!$B$23:$B$7253,$B33,'Besi Balok'!$F$23:$F$7253,'REKAP Balok'!S$11)</f>
        <v>0</v>
      </c>
      <c r="T33">
        <f>SUMIFS('Besi Balok'!$AA$23:$AA$7253,'Besi Balok'!$A$23:$A$7253,$A33,'Besi Balok'!$B$23:$B$7253,$B33,'Besi Balok'!$F$23:$F$7253,'REKAP Balok'!T$11)</f>
        <v>0</v>
      </c>
      <c r="U33">
        <f>SUM(L33:T33)</f>
        <v>37.99081377</v>
      </c>
      <c r="V33">
        <f>(D33*(F33-H33)*G33*K33)/1000000000</f>
        <v>0.20375</v>
      </c>
      <c r="W33">
        <f>(((F33-H33)*2)*(G33)*K33)/1000000</f>
        <v>2.0375</v>
      </c>
      <c r="X33">
        <v>0</v>
      </c>
      <c r="Y33">
        <f>K33*(D33+2*$F$5)*G33*$F$6/1000000000</f>
        <v>0.0815</v>
      </c>
      <c r="Z33">
        <f>K33*(D33+2*$F$5)*($F$4-J33+($F$6+$F$7)/1000)*G33/1000000</f>
        <v>0.7334999999999999</v>
      </c>
      <c r="AC33">
        <f>(D33+2*$F$5)*F33*G33/1000000000</f>
        <v>0.652</v>
      </c>
    </row>
    <row r="34">
      <c r="A34" t="str">
        <f>'Data Panjang Balok'!A30</f>
        <v>Lantai 1</v>
      </c>
      <c r="B34">
        <f>'Data Panjang Balok'!B30</f>
        <v>20</v>
      </c>
      <c r="C34" t="str">
        <f>'Data Panjang Balok'!D30</f>
        <v>S24-2</v>
      </c>
      <c r="D34">
        <f>IF(C34&gt;0,VLOOKUP(C34,'Detail Balok'!$C$11:$AU$140,2,FALSE),0)</f>
        <v>200</v>
      </c>
      <c r="E34" t="str">
        <v>x</v>
      </c>
      <c r="F34">
        <f>IF(C34&gt;0,VLOOKUP(C34,'Detail Balok'!$C$11:$AU$140,3,FALSE),0)</f>
        <v>400</v>
      </c>
      <c r="G34">
        <f>'Data Panjang Balok'!I30</f>
        <v>4000</v>
      </c>
      <c r="H34">
        <f>'Data Panjang Balok'!J30</f>
        <v>150</v>
      </c>
      <c r="I34">
        <v>-3.5</v>
      </c>
      <c r="J34">
        <f>I34-F34/1000</f>
        <v>-3.9</v>
      </c>
      <c r="K34">
        <f>'Data Panjang Balok'!E30</f>
        <v>1</v>
      </c>
      <c r="L34">
        <f>SUMIFS('Besi Balok'!$AA$23:$AA$7253,'Besi Balok'!$A$23:$A$7253,$A34,'Besi Balok'!$B$23:$B$7253,$B34,'Besi Balok'!$F$23:$F$7253,'REKAP Balok'!L$11)</f>
        <v>0</v>
      </c>
      <c r="M34">
        <f>SUMIFS('Besi Balok'!$AA$23:$AA$7253,'Besi Balok'!$A$23:$A$7253,$A34,'Besi Balok'!$B$23:$B$7253,$B34,'Besi Balok'!$F$23:$F$7253,'REKAP Balok'!M$11)</f>
        <v>10.566316800000001</v>
      </c>
      <c r="N34">
        <f>SUMIFS('Besi Balok'!$AA$23:$AA$7253,'Besi Balok'!$A$23:$A$7253,$A34,'Besi Balok'!$B$23:$B$7253,$B34,'Besi Balok'!$F$23:$F$7253,'REKAP Balok'!N$11)</f>
        <v>0</v>
      </c>
      <c r="O34">
        <f>SUMIFS('Besi Balok'!$AA$23:$AA$7253,'Besi Balok'!$A$23:$A$7253,$A34,'Besi Balok'!$B$23:$B$7253,$B34,'Besi Balok'!$F$23:$F$7253,'REKAP Balok'!O$11)</f>
        <v>0</v>
      </c>
      <c r="P34">
        <f>SUMIFS('Besi Balok'!$AA$23:$AA$7253,'Besi Balok'!$A$23:$A$7253,$A34,'Besi Balok'!$B$23:$B$7253,$B34,'Besi Balok'!$F$23:$F$7253,'REKAP Balok'!P$11)</f>
        <v>41.51402496000001</v>
      </c>
      <c r="Q34">
        <f>SUMIFS('Besi Balok'!$AA$23:$AA$7253,'Besi Balok'!$A$23:$A$7253,$A34,'Besi Balok'!$B$23:$B$7253,$B34,'Besi Balok'!$F$23:$F$7253,'REKAP Balok'!Q$11)</f>
        <v>0</v>
      </c>
      <c r="R34">
        <f>SUMIFS('Besi Balok'!$AA$23:$AA$7253,'Besi Balok'!$A$23:$A$7253,$A34,'Besi Balok'!$B$23:$B$7253,$B34,'Besi Balok'!$F$23:$F$7253,'REKAP Balok'!R$11)</f>
        <v>0</v>
      </c>
      <c r="S34">
        <f>SUMIFS('Besi Balok'!$AA$23:$AA$7253,'Besi Balok'!$A$23:$A$7253,$A34,'Besi Balok'!$B$23:$B$7253,$B34,'Besi Balok'!$F$23:$F$7253,'REKAP Balok'!S$11)</f>
        <v>0</v>
      </c>
      <c r="T34">
        <f>SUMIFS('Besi Balok'!$AA$23:$AA$7253,'Besi Balok'!$A$23:$A$7253,$A34,'Besi Balok'!$B$23:$B$7253,$B34,'Besi Balok'!$F$23:$F$7253,'REKAP Balok'!T$11)</f>
        <v>0</v>
      </c>
      <c r="U34">
        <f>SUM(L34:T34)</f>
        <v>52.08034176000001</v>
      </c>
      <c r="V34">
        <f>(D34*(F34-H34)*G34*K34)/1000000000</f>
        <v>0.2</v>
      </c>
      <c r="W34">
        <f>(((F34-H34)*2)*(G34)*K34)/1000000</f>
        <v>2</v>
      </c>
      <c r="X34">
        <v>0</v>
      </c>
      <c r="Y34">
        <f>K34*(D34+2*$F$5)*G34*$F$6/1000000000</f>
        <v>0.08</v>
      </c>
      <c r="Z34">
        <f>K34*(D34+2*$F$5)*($F$4-J34+($F$6+$F$7)/1000)*G34/1000000</f>
        <v>0.7199999999999999</v>
      </c>
      <c r="AC34">
        <f>(D34+2*$F$5)*F34*G34/1000000000</f>
        <v>0.64</v>
      </c>
    </row>
    <row r="35">
      <c r="A35" t="str">
        <f>'Data Panjang Balok'!A31</f>
        <v>Lantai 1</v>
      </c>
      <c r="B35">
        <f>'Data Panjang Balok'!B31</f>
        <v>21</v>
      </c>
      <c r="C35" t="str">
        <f>'Data Panjang Balok'!D31</f>
        <v>S24-2</v>
      </c>
      <c r="D35">
        <f>IF(C35&gt;0,VLOOKUP(C35,'Detail Balok'!$C$11:$AU$140,2,FALSE),0)</f>
        <v>200</v>
      </c>
      <c r="E35" t="str">
        <v>x</v>
      </c>
      <c r="F35">
        <f>IF(C35&gt;0,VLOOKUP(C35,'Detail Balok'!$C$11:$AU$140,3,FALSE),0)</f>
        <v>400</v>
      </c>
      <c r="G35">
        <f>'Data Panjang Balok'!I31</f>
        <v>4000</v>
      </c>
      <c r="H35">
        <f>'Data Panjang Balok'!J31</f>
        <v>150</v>
      </c>
      <c r="I35">
        <v>-3.5</v>
      </c>
      <c r="J35">
        <f>I35-F35/1000</f>
        <v>-3.9</v>
      </c>
      <c r="K35">
        <f>'Data Panjang Balok'!E31</f>
        <v>1</v>
      </c>
      <c r="L35">
        <f>SUMIFS('Besi Balok'!$AA$23:$AA$7253,'Besi Balok'!$A$23:$A$7253,$A35,'Besi Balok'!$B$23:$B$7253,$B35,'Besi Balok'!$F$23:$F$7253,'REKAP Balok'!L$11)</f>
        <v>0</v>
      </c>
      <c r="M35">
        <f>SUMIFS('Besi Balok'!$AA$23:$AA$7253,'Besi Balok'!$A$23:$A$7253,$A35,'Besi Balok'!$B$23:$B$7253,$B35,'Besi Balok'!$F$23:$F$7253,'REKAP Balok'!M$11)</f>
        <v>10.566316800000001</v>
      </c>
      <c r="N35">
        <f>SUMIFS('Besi Balok'!$AA$23:$AA$7253,'Besi Balok'!$A$23:$A$7253,$A35,'Besi Balok'!$B$23:$B$7253,$B35,'Besi Balok'!$F$23:$F$7253,'REKAP Balok'!N$11)</f>
        <v>0</v>
      </c>
      <c r="O35">
        <f>SUMIFS('Besi Balok'!$AA$23:$AA$7253,'Besi Balok'!$A$23:$A$7253,$A35,'Besi Balok'!$B$23:$B$7253,$B35,'Besi Balok'!$F$23:$F$7253,'REKAP Balok'!O$11)</f>
        <v>0</v>
      </c>
      <c r="P35">
        <f>SUMIFS('Besi Balok'!$AA$23:$AA$7253,'Besi Balok'!$A$23:$A$7253,$A35,'Besi Balok'!$B$23:$B$7253,$B35,'Besi Balok'!$F$23:$F$7253,'REKAP Balok'!P$11)</f>
        <v>41.51402496000001</v>
      </c>
      <c r="Q35">
        <f>SUMIFS('Besi Balok'!$AA$23:$AA$7253,'Besi Balok'!$A$23:$A$7253,$A35,'Besi Balok'!$B$23:$B$7253,$B35,'Besi Balok'!$F$23:$F$7253,'REKAP Balok'!Q$11)</f>
        <v>0</v>
      </c>
      <c r="R35">
        <f>SUMIFS('Besi Balok'!$AA$23:$AA$7253,'Besi Balok'!$A$23:$A$7253,$A35,'Besi Balok'!$B$23:$B$7253,$B35,'Besi Balok'!$F$23:$F$7253,'REKAP Balok'!R$11)</f>
        <v>0</v>
      </c>
      <c r="S35">
        <f>SUMIFS('Besi Balok'!$AA$23:$AA$7253,'Besi Balok'!$A$23:$A$7253,$A35,'Besi Balok'!$B$23:$B$7253,$B35,'Besi Balok'!$F$23:$F$7253,'REKAP Balok'!S$11)</f>
        <v>0</v>
      </c>
      <c r="T35">
        <f>SUMIFS('Besi Balok'!$AA$23:$AA$7253,'Besi Balok'!$A$23:$A$7253,$A35,'Besi Balok'!$B$23:$B$7253,$B35,'Besi Balok'!$F$23:$F$7253,'REKAP Balok'!T$11)</f>
        <v>0</v>
      </c>
      <c r="U35">
        <f>SUM(L35:T35)</f>
        <v>52.08034176000001</v>
      </c>
      <c r="V35">
        <f>(D35*(F35-H35)*G35*K35)/1000000000</f>
        <v>0.2</v>
      </c>
      <c r="W35">
        <f>(((F35-H35)*2)*(G35)*K35)/1000000</f>
        <v>2</v>
      </c>
      <c r="X35">
        <v>0</v>
      </c>
      <c r="Y35">
        <f>K35*(D35+2*$F$5)*G35*$F$6/1000000000</f>
        <v>0.08</v>
      </c>
      <c r="Z35">
        <f>K35*(D35+2*$F$5)*($F$4-J35+($F$6+$F$7)/1000)*G35/1000000</f>
        <v>0.7199999999999999</v>
      </c>
      <c r="AC35">
        <f>(D35+2*$F$5)*F35*G35/1000000000</f>
        <v>0.64</v>
      </c>
    </row>
    <row r="36">
      <c r="A36" t="str">
        <f>'Data Panjang Balok'!A32</f>
        <v>Lantai 1</v>
      </c>
      <c r="B36">
        <f>'Data Panjang Balok'!B32</f>
        <v>22</v>
      </c>
      <c r="C36" t="str">
        <f>'Data Panjang Balok'!D32</f>
        <v>S24-1</v>
      </c>
      <c r="D36">
        <f>IF(C36&gt;0,VLOOKUP(C36,'Detail Balok'!$C$11:$AU$140,2,FALSE),0)</f>
        <v>200</v>
      </c>
      <c r="E36" t="str">
        <v>x</v>
      </c>
      <c r="F36">
        <f>IF(C36&gt;0,VLOOKUP(C36,'Detail Balok'!$C$11:$AU$140,3,FALSE),0)</f>
        <v>400</v>
      </c>
      <c r="G36">
        <f>'Data Panjang Balok'!I32</f>
        <v>1600</v>
      </c>
      <c r="H36">
        <f>'Data Panjang Balok'!J32</f>
        <v>150</v>
      </c>
      <c r="I36">
        <v>-3.5</v>
      </c>
      <c r="J36">
        <f>I36-F36/1000</f>
        <v>-3.9</v>
      </c>
      <c r="K36">
        <f>'Data Panjang Balok'!E32</f>
        <v>1</v>
      </c>
      <c r="L36">
        <f>SUMIFS('Besi Balok'!$AA$23:$AA$7253,'Besi Balok'!$A$23:$A$7253,$A36,'Besi Balok'!$B$23:$B$7253,$B36,'Besi Balok'!$F$23:$F$7253,'REKAP Balok'!L$11)</f>
        <v>0</v>
      </c>
      <c r="M36">
        <f>SUMIFS('Besi Balok'!$AA$23:$AA$7253,'Besi Balok'!$A$23:$A$7253,$A36,'Besi Balok'!$B$23:$B$7253,$B36,'Besi Balok'!$F$23:$F$7253,'REKAP Balok'!M$11)</f>
        <v>4.876761600000001</v>
      </c>
      <c r="N36">
        <f>SUMIFS('Besi Balok'!$AA$23:$AA$7253,'Besi Balok'!$A$23:$A$7253,$A36,'Besi Balok'!$B$23:$B$7253,$B36,'Besi Balok'!$F$23:$F$7253,'REKAP Balok'!N$11)</f>
        <v>0</v>
      </c>
      <c r="O36">
        <f>SUMIFS('Besi Balok'!$AA$23:$AA$7253,'Besi Balok'!$A$23:$A$7253,$A36,'Besi Balok'!$B$23:$B$7253,$B36,'Besi Balok'!$F$23:$F$7253,'REKAP Balok'!O$11)</f>
        <v>11.95250472</v>
      </c>
      <c r="P36">
        <f>SUMIFS('Besi Balok'!$AA$23:$AA$7253,'Besi Balok'!$A$23:$A$7253,$A36,'Besi Balok'!$B$23:$B$7253,$B36,'Besi Balok'!$F$23:$F$7253,'REKAP Balok'!P$11)</f>
        <v>0</v>
      </c>
      <c r="Q36">
        <f>SUMIFS('Besi Balok'!$AA$23:$AA$7253,'Besi Balok'!$A$23:$A$7253,$A36,'Besi Balok'!$B$23:$B$7253,$B36,'Besi Balok'!$F$23:$F$7253,'REKAP Balok'!Q$11)</f>
        <v>0</v>
      </c>
      <c r="R36">
        <f>SUMIFS('Besi Balok'!$AA$23:$AA$7253,'Besi Balok'!$A$23:$A$7253,$A36,'Besi Balok'!$B$23:$B$7253,$B36,'Besi Balok'!$F$23:$F$7253,'REKAP Balok'!R$11)</f>
        <v>0</v>
      </c>
      <c r="S36">
        <f>SUMIFS('Besi Balok'!$AA$23:$AA$7253,'Besi Balok'!$A$23:$A$7253,$A36,'Besi Balok'!$B$23:$B$7253,$B36,'Besi Balok'!$F$23:$F$7253,'REKAP Balok'!S$11)</f>
        <v>0</v>
      </c>
      <c r="T36">
        <f>SUMIFS('Besi Balok'!$AA$23:$AA$7253,'Besi Balok'!$A$23:$A$7253,$A36,'Besi Balok'!$B$23:$B$7253,$B36,'Besi Balok'!$F$23:$F$7253,'REKAP Balok'!T$11)</f>
        <v>0</v>
      </c>
      <c r="U36">
        <f>SUM(L36:T36)</f>
        <v>16.829266320000002</v>
      </c>
      <c r="V36">
        <f>(D36*(F36-H36)*G36*K36)/1000000000</f>
        <v>0.08</v>
      </c>
      <c r="W36">
        <f>(((F36-H36)*2)*(G36)*K36)/1000000</f>
        <v>0.8</v>
      </c>
      <c r="X36">
        <v>0</v>
      </c>
      <c r="Y36">
        <f>K36*(D36+2*$F$5)*G36*$F$6/1000000000</f>
        <v>0.032</v>
      </c>
      <c r="Z36">
        <f>K36*(D36+2*$F$5)*($F$4-J36+($F$6+$F$7)/1000)*G36/1000000</f>
        <v>0.2879999999999999</v>
      </c>
      <c r="AC36">
        <f>(D36+2*$F$5)*F36*G36/1000000000</f>
        <v>0.256</v>
      </c>
    </row>
    <row r="37">
      <c r="A37" t="str">
        <f>'Data Panjang Balok'!A33</f>
        <v>Lantai 1</v>
      </c>
      <c r="B37">
        <f>'Data Panjang Balok'!B33</f>
        <v>23</v>
      </c>
      <c r="C37" t="str">
        <f>'Data Panjang Balok'!D33</f>
        <v>S24-1</v>
      </c>
      <c r="D37">
        <f>IF(C37&gt;0,VLOOKUP(C37,'Detail Balok'!$C$11:$AU$140,2,FALSE),0)</f>
        <v>200</v>
      </c>
      <c r="E37" t="str">
        <v>x</v>
      </c>
      <c r="F37">
        <f>IF(C37&gt;0,VLOOKUP(C37,'Detail Balok'!$C$11:$AU$140,3,FALSE),0)</f>
        <v>400</v>
      </c>
      <c r="G37">
        <f>'Data Panjang Balok'!I33</f>
        <v>2200</v>
      </c>
      <c r="H37">
        <f>'Data Panjang Balok'!J33</f>
        <v>150</v>
      </c>
      <c r="I37">
        <v>-3.5</v>
      </c>
      <c r="J37">
        <f>I37-F37/1000</f>
        <v>-3.9</v>
      </c>
      <c r="K37">
        <f>'Data Panjang Balok'!E33</f>
        <v>1</v>
      </c>
      <c r="L37">
        <f>SUMIFS('Besi Balok'!$AA$23:$AA$7253,'Besi Balok'!$A$23:$A$7253,$A37,'Besi Balok'!$B$23:$B$7253,$B37,'Besi Balok'!$F$23:$F$7253,'REKAP Balok'!L$11)</f>
        <v>0</v>
      </c>
      <c r="M37">
        <f>SUMIFS('Besi Balok'!$AA$23:$AA$7253,'Besi Balok'!$A$23:$A$7253,$A37,'Besi Balok'!$B$23:$B$7253,$B37,'Besi Balok'!$F$23:$F$7253,'REKAP Balok'!M$11)</f>
        <v>6.0959520000000005</v>
      </c>
      <c r="N37">
        <f>SUMIFS('Besi Balok'!$AA$23:$AA$7253,'Besi Balok'!$A$23:$A$7253,$A37,'Besi Balok'!$B$23:$B$7253,$B37,'Besi Balok'!$F$23:$F$7253,'REKAP Balok'!N$11)</f>
        <v>0</v>
      </c>
      <c r="O37">
        <f>SUMIFS('Besi Balok'!$AA$23:$AA$7253,'Besi Balok'!$A$23:$A$7253,$A37,'Besi Balok'!$B$23:$B$7253,$B37,'Besi Balok'!$F$23:$F$7253,'REKAP Balok'!O$11)</f>
        <v>15.70329072</v>
      </c>
      <c r="P37">
        <f>SUMIFS('Besi Balok'!$AA$23:$AA$7253,'Besi Balok'!$A$23:$A$7253,$A37,'Besi Balok'!$B$23:$B$7253,$B37,'Besi Balok'!$F$23:$F$7253,'REKAP Balok'!P$11)</f>
        <v>0</v>
      </c>
      <c r="Q37">
        <f>SUMIFS('Besi Balok'!$AA$23:$AA$7253,'Besi Balok'!$A$23:$A$7253,$A37,'Besi Balok'!$B$23:$B$7253,$B37,'Besi Balok'!$F$23:$F$7253,'REKAP Balok'!Q$11)</f>
        <v>0</v>
      </c>
      <c r="R37">
        <f>SUMIFS('Besi Balok'!$AA$23:$AA$7253,'Besi Balok'!$A$23:$A$7253,$A37,'Besi Balok'!$B$23:$B$7253,$B37,'Besi Balok'!$F$23:$F$7253,'REKAP Balok'!R$11)</f>
        <v>0</v>
      </c>
      <c r="S37">
        <f>SUMIFS('Besi Balok'!$AA$23:$AA$7253,'Besi Balok'!$A$23:$A$7253,$A37,'Besi Balok'!$B$23:$B$7253,$B37,'Besi Balok'!$F$23:$F$7253,'REKAP Balok'!S$11)</f>
        <v>0</v>
      </c>
      <c r="T37">
        <f>SUMIFS('Besi Balok'!$AA$23:$AA$7253,'Besi Balok'!$A$23:$A$7253,$A37,'Besi Balok'!$B$23:$B$7253,$B37,'Besi Balok'!$F$23:$F$7253,'REKAP Balok'!T$11)</f>
        <v>0</v>
      </c>
      <c r="U37">
        <f>SUM(L37:T37)</f>
        <v>21.799242720000002</v>
      </c>
      <c r="V37">
        <f>(D37*(F37-H37)*G37*K37)/1000000000</f>
        <v>0.11</v>
      </c>
      <c r="W37">
        <f>(((F37-H37)*2)*(G37)*K37)/1000000</f>
        <v>1.1</v>
      </c>
      <c r="X37">
        <v>0</v>
      </c>
      <c r="Y37">
        <f>K37*(D37+2*$F$5)*G37*$F$6/1000000000</f>
        <v>0.044</v>
      </c>
      <c r="Z37">
        <f>K37*(D37+2*$F$5)*($F$4-J37+($F$6+$F$7)/1000)*G37/1000000</f>
        <v>0.39599999999999996</v>
      </c>
      <c r="AC37">
        <f>(D37+2*$F$5)*F37*G37/1000000000</f>
        <v>0.352</v>
      </c>
    </row>
    <row r="38">
      <c r="A38" t="str">
        <f>'Data Panjang Balok'!A34</f>
        <v>Lantai 1</v>
      </c>
      <c r="B38">
        <f>'Data Panjang Balok'!B34</f>
        <v>24</v>
      </c>
      <c r="C38" t="str">
        <f>'Data Panjang Balok'!D34</f>
        <v>S24-1</v>
      </c>
      <c r="D38">
        <f>IF(C38&gt;0,VLOOKUP(C38,'Detail Balok'!$C$11:$AU$140,2,FALSE),0)</f>
        <v>200</v>
      </c>
      <c r="E38" t="str">
        <v>x</v>
      </c>
      <c r="F38">
        <f>IF(C38&gt;0,VLOOKUP(C38,'Detail Balok'!$C$11:$AU$140,3,FALSE),0)</f>
        <v>400</v>
      </c>
      <c r="G38">
        <f>'Data Panjang Balok'!I34</f>
        <v>1675</v>
      </c>
      <c r="H38">
        <f>'Data Panjang Balok'!J34</f>
        <v>150</v>
      </c>
      <c r="I38">
        <v>-3.5</v>
      </c>
      <c r="J38">
        <f>I38-F38/1000</f>
        <v>-3.9</v>
      </c>
      <c r="K38">
        <f>'Data Panjang Balok'!E34</f>
        <v>1</v>
      </c>
      <c r="L38">
        <f>SUMIFS('Besi Balok'!$AA$23:$AA$7253,'Besi Balok'!$A$23:$A$7253,$A38,'Besi Balok'!$B$23:$B$7253,$B38,'Besi Balok'!$F$23:$F$7253,'REKAP Balok'!L$11)</f>
        <v>0</v>
      </c>
      <c r="M38">
        <f>SUMIFS('Besi Balok'!$AA$23:$AA$7253,'Besi Balok'!$A$23:$A$7253,$A38,'Besi Balok'!$B$23:$B$7253,$B38,'Besi Balok'!$F$23:$F$7253,'REKAP Balok'!M$11)</f>
        <v>4.876761600000001</v>
      </c>
      <c r="N38">
        <f>SUMIFS('Besi Balok'!$AA$23:$AA$7253,'Besi Balok'!$A$23:$A$7253,$A38,'Besi Balok'!$B$23:$B$7253,$B38,'Besi Balok'!$F$23:$F$7253,'REKAP Balok'!N$11)</f>
        <v>0</v>
      </c>
      <c r="O38">
        <f>SUMIFS('Besi Balok'!$AA$23:$AA$7253,'Besi Balok'!$A$23:$A$7253,$A38,'Besi Balok'!$B$23:$B$7253,$B38,'Besi Balok'!$F$23:$F$7253,'REKAP Balok'!O$11)</f>
        <v>12.42135297</v>
      </c>
      <c r="P38">
        <f>SUMIFS('Besi Balok'!$AA$23:$AA$7253,'Besi Balok'!$A$23:$A$7253,$A38,'Besi Balok'!$B$23:$B$7253,$B38,'Besi Balok'!$F$23:$F$7253,'REKAP Balok'!P$11)</f>
        <v>0</v>
      </c>
      <c r="Q38">
        <f>SUMIFS('Besi Balok'!$AA$23:$AA$7253,'Besi Balok'!$A$23:$A$7253,$A38,'Besi Balok'!$B$23:$B$7253,$B38,'Besi Balok'!$F$23:$F$7253,'REKAP Balok'!Q$11)</f>
        <v>0</v>
      </c>
      <c r="R38">
        <f>SUMIFS('Besi Balok'!$AA$23:$AA$7253,'Besi Balok'!$A$23:$A$7253,$A38,'Besi Balok'!$B$23:$B$7253,$B38,'Besi Balok'!$F$23:$F$7253,'REKAP Balok'!R$11)</f>
        <v>0</v>
      </c>
      <c r="S38">
        <f>SUMIFS('Besi Balok'!$AA$23:$AA$7253,'Besi Balok'!$A$23:$A$7253,$A38,'Besi Balok'!$B$23:$B$7253,$B38,'Besi Balok'!$F$23:$F$7253,'REKAP Balok'!S$11)</f>
        <v>0</v>
      </c>
      <c r="T38">
        <f>SUMIFS('Besi Balok'!$AA$23:$AA$7253,'Besi Balok'!$A$23:$A$7253,$A38,'Besi Balok'!$B$23:$B$7253,$B38,'Besi Balok'!$F$23:$F$7253,'REKAP Balok'!T$11)</f>
        <v>0</v>
      </c>
      <c r="U38">
        <f>SUM(L38:T38)</f>
        <v>17.29811457</v>
      </c>
      <c r="V38">
        <f>(D38*(F38-H38)*G38*K38)/1000000000</f>
        <v>0.08375</v>
      </c>
      <c r="W38">
        <f>(((F38-H38)*2)*(G38)*K38)/1000000</f>
        <v>0.8375</v>
      </c>
      <c r="X38">
        <v>0</v>
      </c>
      <c r="Y38">
        <f>K38*(D38+2*$F$5)*G38*$F$6/1000000000</f>
        <v>0.0335</v>
      </c>
      <c r="Z38">
        <f>K38*(D38+2*$F$5)*($F$4-J38+($F$6+$F$7)/1000)*G38/1000000</f>
        <v>0.30149999999999993</v>
      </c>
      <c r="AC38">
        <f>(D38+2*$F$5)*F38*G38/1000000000</f>
        <v>0.268</v>
      </c>
    </row>
    <row r="39">
      <c r="A39" t="str">
        <f>'Data Panjang Balok'!A35</f>
        <v>Lantai 1</v>
      </c>
      <c r="B39">
        <f>'Data Panjang Balok'!B35</f>
        <v>25</v>
      </c>
      <c r="C39" t="str">
        <f>'Data Panjang Balok'!D35</f>
        <v>S25-1</v>
      </c>
      <c r="D39">
        <f>IF(C39&gt;0,VLOOKUP(C39,'Detail Balok'!$C$11:$AU$140,2,FALSE),0)</f>
        <v>200</v>
      </c>
      <c r="E39" t="str">
        <v>x</v>
      </c>
      <c r="F39">
        <f>IF(C39&gt;0,VLOOKUP(C39,'Detail Balok'!$C$11:$AU$140,3,FALSE),0)</f>
        <v>500</v>
      </c>
      <c r="G39">
        <f>'Data Panjang Balok'!I35</f>
        <v>11000</v>
      </c>
      <c r="H39">
        <f>'Data Panjang Balok'!J35</f>
        <v>150</v>
      </c>
      <c r="I39">
        <v>-3.5</v>
      </c>
      <c r="J39">
        <f>I39-F39/1000</f>
        <v>-4</v>
      </c>
      <c r="K39">
        <f>'Data Panjang Balok'!E35</f>
        <v>1</v>
      </c>
      <c r="L39">
        <f>SUMIFS('Besi Balok'!$AA$23:$AA$7253,'Besi Balok'!$A$23:$A$7253,$A39,'Besi Balok'!$B$23:$B$7253,$B39,'Besi Balok'!$F$23:$F$7253,'REKAP Balok'!L$11)</f>
        <v>0</v>
      </c>
      <c r="M39">
        <f>SUMIFS('Besi Balok'!$AA$23:$AA$7253,'Besi Balok'!$A$23:$A$7253,$A39,'Besi Balok'!$B$23:$B$7253,$B39,'Besi Balok'!$F$23:$F$7253,'REKAP Balok'!M$11)</f>
        <v>32.0303808</v>
      </c>
      <c r="N39">
        <f>SUMIFS('Besi Balok'!$AA$23:$AA$7253,'Besi Balok'!$A$23:$A$7253,$A39,'Besi Balok'!$B$23:$B$7253,$B39,'Besi Balok'!$F$23:$F$7253,'REKAP Balok'!N$11)</f>
        <v>13.858920000000001</v>
      </c>
      <c r="O39">
        <f>SUMIFS('Besi Balok'!$AA$23:$AA$7253,'Besi Balok'!$A$23:$A$7253,$A39,'Besi Balok'!$B$23:$B$7253,$B39,'Besi Balok'!$F$23:$F$7253,'REKAP Balok'!O$11)</f>
        <v>0</v>
      </c>
      <c r="P39">
        <f>SUMIFS('Besi Balok'!$AA$23:$AA$7253,'Besi Balok'!$A$23:$A$7253,$A39,'Besi Balok'!$B$23:$B$7253,$B39,'Besi Balok'!$F$23:$F$7253,'REKAP Balok'!P$11)</f>
        <v>107.80010496</v>
      </c>
      <c r="Q39">
        <f>SUMIFS('Besi Balok'!$AA$23:$AA$7253,'Besi Balok'!$A$23:$A$7253,$A39,'Besi Balok'!$B$23:$B$7253,$B39,'Besi Balok'!$F$23:$F$7253,'REKAP Balok'!Q$11)</f>
        <v>0</v>
      </c>
      <c r="R39">
        <f>SUMIFS('Besi Balok'!$AA$23:$AA$7253,'Besi Balok'!$A$23:$A$7253,$A39,'Besi Balok'!$B$23:$B$7253,$B39,'Besi Balok'!$F$23:$F$7253,'REKAP Balok'!R$11)</f>
        <v>0</v>
      </c>
      <c r="S39">
        <f>SUMIFS('Besi Balok'!$AA$23:$AA$7253,'Besi Balok'!$A$23:$A$7253,$A39,'Besi Balok'!$B$23:$B$7253,$B39,'Besi Balok'!$F$23:$F$7253,'REKAP Balok'!S$11)</f>
        <v>0</v>
      </c>
      <c r="T39">
        <f>SUMIFS('Besi Balok'!$AA$23:$AA$7253,'Besi Balok'!$A$23:$A$7253,$A39,'Besi Balok'!$B$23:$B$7253,$B39,'Besi Balok'!$F$23:$F$7253,'REKAP Balok'!T$11)</f>
        <v>0</v>
      </c>
      <c r="U39">
        <f>SUM(L39:T39)</f>
        <v>153.68940576</v>
      </c>
      <c r="V39">
        <f>(D39*(F39-H39)*G39*K39)/1000000000</f>
        <v>0.77</v>
      </c>
      <c r="W39">
        <f>(((F39-H39)*2)*(G39)*K39)/1000000</f>
        <v>7.7</v>
      </c>
      <c r="X39">
        <v>0</v>
      </c>
      <c r="Y39">
        <f>K39*(D39+2*$F$5)*G39*$F$6/1000000000</f>
        <v>0.22</v>
      </c>
      <c r="Z39">
        <f>K39*(D39+2*$F$5)*($F$4-J39+($F$6+$F$7)/1000)*G39/1000000</f>
        <v>2.4200000000000004</v>
      </c>
      <c r="AB39">
        <f>U39/V39</f>
        <v>199.59663085714286</v>
      </c>
      <c r="AC39">
        <f>(D39+2*$F$5)*F39*G39/1000000000</f>
        <v>2.2</v>
      </c>
    </row>
    <row r="40">
      <c r="A40" t="str">
        <f>'Data Panjang Balok'!A36</f>
        <v>Lantai 1</v>
      </c>
      <c r="B40">
        <f>'Data Panjang Balok'!B36</f>
        <v>26</v>
      </c>
      <c r="C40" t="str">
        <f>'Data Panjang Balok'!D36</f>
        <v>S36-1</v>
      </c>
      <c r="D40">
        <f>IF(C40&gt;0,VLOOKUP(C40,'Detail Balok'!$C$11:$AU$140,2,FALSE),0)</f>
        <v>300</v>
      </c>
      <c r="E40" t="str">
        <v>x</v>
      </c>
      <c r="F40">
        <f>IF(C40&gt;0,VLOOKUP(C40,'Detail Balok'!$C$11:$AU$140,3,FALSE),0)</f>
        <v>600</v>
      </c>
      <c r="G40">
        <f>'Data Panjang Balok'!I36</f>
        <v>6150</v>
      </c>
      <c r="H40">
        <f>'Data Panjang Balok'!J36</f>
        <v>150</v>
      </c>
      <c r="I40">
        <v>-3.5</v>
      </c>
      <c r="J40">
        <f>I40-F40/1000</f>
        <v>-4.1</v>
      </c>
      <c r="K40">
        <f>'Data Panjang Balok'!E36</f>
        <v>1</v>
      </c>
      <c r="L40">
        <f>SUMIFS('Besi Balok'!$AA$23:$AA$7253,'Besi Balok'!$A$23:$A$7253,$A40,'Besi Balok'!$B$23:$B$7253,$B40,'Besi Balok'!$F$23:$F$7253,'REKAP Balok'!L$11)</f>
        <v>0</v>
      </c>
      <c r="M40">
        <f>SUMIFS('Besi Balok'!$AA$23:$AA$7253,'Besi Balok'!$A$23:$A$7253,$A40,'Besi Balok'!$B$23:$B$7253,$B40,'Besi Balok'!$F$23:$F$7253,'REKAP Balok'!M$11)</f>
        <v>23.7959136</v>
      </c>
      <c r="N40">
        <f>SUMIFS('Besi Balok'!$AA$23:$AA$7253,'Besi Balok'!$A$23:$A$7253,$A40,'Besi Balok'!$B$23:$B$7253,$B40,'Besi Balok'!$F$23:$F$7253,'REKAP Balok'!N$11)</f>
        <v>7.878870000000001</v>
      </c>
      <c r="O40">
        <f>SUMIFS('Besi Balok'!$AA$23:$AA$7253,'Besi Balok'!$A$23:$A$7253,$A40,'Besi Balok'!$B$23:$B$7253,$B40,'Besi Balok'!$F$23:$F$7253,'REKAP Balok'!O$11)</f>
        <v>0</v>
      </c>
      <c r="P40">
        <f>SUMIFS('Besi Balok'!$AA$23:$AA$7253,'Besi Balok'!$A$23:$A$7253,$A40,'Besi Balok'!$B$23:$B$7253,$B40,'Besi Balok'!$F$23:$F$7253,'REKAP Balok'!P$11)</f>
        <v>82.49776128</v>
      </c>
      <c r="Q40">
        <f>SUMIFS('Besi Balok'!$AA$23:$AA$7253,'Besi Balok'!$A$23:$A$7253,$A40,'Besi Balok'!$B$23:$B$7253,$B40,'Besi Balok'!$F$23:$F$7253,'REKAP Balok'!Q$11)</f>
        <v>0</v>
      </c>
      <c r="R40">
        <f>SUMIFS('Besi Balok'!$AA$23:$AA$7253,'Besi Balok'!$A$23:$A$7253,$A40,'Besi Balok'!$B$23:$B$7253,$B40,'Besi Balok'!$F$23:$F$7253,'REKAP Balok'!R$11)</f>
        <v>0</v>
      </c>
      <c r="S40">
        <f>SUMIFS('Besi Balok'!$AA$23:$AA$7253,'Besi Balok'!$A$23:$A$7253,$A40,'Besi Balok'!$B$23:$B$7253,$B40,'Besi Balok'!$F$23:$F$7253,'REKAP Balok'!S$11)</f>
        <v>0</v>
      </c>
      <c r="T40">
        <f>SUMIFS('Besi Balok'!$AA$23:$AA$7253,'Besi Balok'!$A$23:$A$7253,$A40,'Besi Balok'!$B$23:$B$7253,$B40,'Besi Balok'!$F$23:$F$7253,'REKAP Balok'!T$11)</f>
        <v>0</v>
      </c>
      <c r="U40">
        <f>SUM(L40:T40)</f>
        <v>114.17254488</v>
      </c>
      <c r="V40">
        <f>(D40*(F40-H40)*G40*K40)/1000000000</f>
        <v>0.83025</v>
      </c>
      <c r="W40">
        <f>(((F40-H40)*2)*(G40)*K40)/1000000</f>
        <v>5.535</v>
      </c>
      <c r="X40">
        <v>0</v>
      </c>
      <c r="Y40">
        <f>K40*(D40+2*$F$5)*G40*$F$6/1000000000</f>
        <v>0.15375</v>
      </c>
      <c r="Z40">
        <f>K40*(D40+2*$F$5)*($F$4-J40+($F$6+$F$7)/1000)*G40/1000000</f>
        <v>1.998749999999999</v>
      </c>
      <c r="AC40">
        <f>(D40+2*$F$5)*F40*G40/1000000000</f>
        <v>1.845</v>
      </c>
    </row>
    <row r="41">
      <c r="A41" t="str">
        <f>'Data Panjang Balok'!A37</f>
        <v>Lantai 1</v>
      </c>
      <c r="B41">
        <f>'Data Panjang Balok'!B37</f>
        <v>27</v>
      </c>
      <c r="C41" t="str">
        <f>'Data Panjang Balok'!D37</f>
        <v>S24-1</v>
      </c>
      <c r="D41">
        <f>IF(C41&gt;0,VLOOKUP(C41,'Detail Balok'!$C$11:$AU$140,2,FALSE),0)</f>
        <v>200</v>
      </c>
      <c r="E41" t="str">
        <v>x</v>
      </c>
      <c r="F41">
        <f>IF(C41&gt;0,VLOOKUP(C41,'Detail Balok'!$C$11:$AU$140,3,FALSE),0)</f>
        <v>400</v>
      </c>
      <c r="G41">
        <f>'Data Panjang Balok'!I37</f>
        <v>2390</v>
      </c>
      <c r="H41">
        <f>'Data Panjang Balok'!J37</f>
        <v>150</v>
      </c>
      <c r="I41">
        <v>-3.5</v>
      </c>
      <c r="J41">
        <f>I41-F41/1000</f>
        <v>-3.9</v>
      </c>
      <c r="K41">
        <f>'Data Panjang Balok'!E37</f>
        <v>1</v>
      </c>
      <c r="L41">
        <f>SUMIFS('Besi Balok'!$AA$23:$AA$7253,'Besi Balok'!$A$23:$A$7253,$A41,'Besi Balok'!$B$23:$B$7253,$B41,'Besi Balok'!$F$23:$F$7253,'REKAP Balok'!L$11)</f>
        <v>0</v>
      </c>
      <c r="M41">
        <f>SUMIFS('Besi Balok'!$AA$23:$AA$7253,'Besi Balok'!$A$23:$A$7253,$A41,'Besi Balok'!$B$23:$B$7253,$B41,'Besi Balok'!$F$23:$F$7253,'REKAP Balok'!M$11)</f>
        <v>6.502348800000002</v>
      </c>
      <c r="N41">
        <f>SUMIFS('Besi Balok'!$AA$23:$AA$7253,'Besi Balok'!$A$23:$A$7253,$A41,'Besi Balok'!$B$23:$B$7253,$B41,'Besi Balok'!$F$23:$F$7253,'REKAP Balok'!N$11)</f>
        <v>0</v>
      </c>
      <c r="O41">
        <f>SUMIFS('Besi Balok'!$AA$23:$AA$7253,'Besi Balok'!$A$23:$A$7253,$A41,'Besi Balok'!$B$23:$B$7253,$B41,'Besi Balok'!$F$23:$F$7253,'REKAP Balok'!O$11)</f>
        <v>16.89103962</v>
      </c>
      <c r="P41">
        <f>SUMIFS('Besi Balok'!$AA$23:$AA$7253,'Besi Balok'!$A$23:$A$7253,$A41,'Besi Balok'!$B$23:$B$7253,$B41,'Besi Balok'!$F$23:$F$7253,'REKAP Balok'!P$11)</f>
        <v>0</v>
      </c>
      <c r="Q41">
        <f>SUMIFS('Besi Balok'!$AA$23:$AA$7253,'Besi Balok'!$A$23:$A$7253,$A41,'Besi Balok'!$B$23:$B$7253,$B41,'Besi Balok'!$F$23:$F$7253,'REKAP Balok'!Q$11)</f>
        <v>0</v>
      </c>
      <c r="R41">
        <f>SUMIFS('Besi Balok'!$AA$23:$AA$7253,'Besi Balok'!$A$23:$A$7253,$A41,'Besi Balok'!$B$23:$B$7253,$B41,'Besi Balok'!$F$23:$F$7253,'REKAP Balok'!R$11)</f>
        <v>0</v>
      </c>
      <c r="S41">
        <f>SUMIFS('Besi Balok'!$AA$23:$AA$7253,'Besi Balok'!$A$23:$A$7253,$A41,'Besi Balok'!$B$23:$B$7253,$B41,'Besi Balok'!$F$23:$F$7253,'REKAP Balok'!S$11)</f>
        <v>0</v>
      </c>
      <c r="T41">
        <f>SUMIFS('Besi Balok'!$AA$23:$AA$7253,'Besi Balok'!$A$23:$A$7253,$A41,'Besi Balok'!$B$23:$B$7253,$B41,'Besi Balok'!$F$23:$F$7253,'REKAP Balok'!T$11)</f>
        <v>0</v>
      </c>
      <c r="U41">
        <f>SUM(L41:T41)</f>
        <v>23.39338842</v>
      </c>
      <c r="V41">
        <f>(D41*(F41-H41)*G41*K41)/1000000000</f>
        <v>0.1195</v>
      </c>
      <c r="W41">
        <f>(((F41-H41)*2)*(G41)*K41)/1000000</f>
        <v>1.195</v>
      </c>
      <c r="X41">
        <v>0</v>
      </c>
      <c r="Y41">
        <f>K41*(D41+2*$F$5)*G41*$F$6/1000000000</f>
        <v>0.0478</v>
      </c>
      <c r="Z41">
        <f>K41*(D41+2*$F$5)*($F$4-J41+($F$6+$F$7)/1000)*G41/1000000</f>
        <v>0.4301999999999999</v>
      </c>
      <c r="AC41">
        <f>(D41+2*$F$5)*F41*G41/1000000000</f>
        <v>0.3824</v>
      </c>
    </row>
    <row r="42">
      <c r="A42" t="str">
        <f>'Data Panjang Balok'!A38</f>
        <v>Lantai 1</v>
      </c>
      <c r="B42">
        <f>'Data Panjang Balok'!B38</f>
        <v>28</v>
      </c>
      <c r="C42" t="str">
        <f>'Data Panjang Balok'!D38</f>
        <v>S24-1</v>
      </c>
      <c r="D42">
        <f>IF(C42&gt;0,VLOOKUP(C42,'Detail Balok'!$C$11:$AU$140,2,FALSE),0)</f>
        <v>200</v>
      </c>
      <c r="E42" t="str">
        <v>x</v>
      </c>
      <c r="F42">
        <f>IF(C42&gt;0,VLOOKUP(C42,'Detail Balok'!$C$11:$AU$140,3,FALSE),0)</f>
        <v>400</v>
      </c>
      <c r="G42">
        <f>'Data Panjang Balok'!I38</f>
        <v>2650</v>
      </c>
      <c r="H42">
        <f>'Data Panjang Balok'!J38</f>
        <v>150</v>
      </c>
      <c r="I42">
        <v>-3.5</v>
      </c>
      <c r="J42">
        <f>I42-F42/1000</f>
        <v>-3.9</v>
      </c>
      <c r="K42">
        <f>'Data Panjang Balok'!E38</f>
        <v>1</v>
      </c>
      <c r="L42">
        <f>SUMIFS('Besi Balok'!$AA$23:$AA$7253,'Besi Balok'!$A$23:$A$7253,$A42,'Besi Balok'!$B$23:$B$7253,$B42,'Besi Balok'!$F$23:$F$7253,'REKAP Balok'!L$11)</f>
        <v>0</v>
      </c>
      <c r="M42">
        <f>SUMIFS('Besi Balok'!$AA$23:$AA$7253,'Besi Balok'!$A$23:$A$7253,$A42,'Besi Balok'!$B$23:$B$7253,$B42,'Besi Balok'!$F$23:$F$7253,'REKAP Balok'!M$11)</f>
        <v>6.908745600000001</v>
      </c>
      <c r="N42">
        <f>SUMIFS('Besi Balok'!$AA$23:$AA$7253,'Besi Balok'!$A$23:$A$7253,$A42,'Besi Balok'!$B$23:$B$7253,$B42,'Besi Balok'!$F$23:$F$7253,'REKAP Balok'!N$11)</f>
        <v>0</v>
      </c>
      <c r="O42">
        <f>SUMIFS('Besi Balok'!$AA$23:$AA$7253,'Besi Balok'!$A$23:$A$7253,$A42,'Besi Balok'!$B$23:$B$7253,$B42,'Besi Balok'!$F$23:$F$7253,'REKAP Balok'!O$11)</f>
        <v>18.51638022</v>
      </c>
      <c r="P42">
        <f>SUMIFS('Besi Balok'!$AA$23:$AA$7253,'Besi Balok'!$A$23:$A$7253,$A42,'Besi Balok'!$B$23:$B$7253,$B42,'Besi Balok'!$F$23:$F$7253,'REKAP Balok'!P$11)</f>
        <v>0</v>
      </c>
      <c r="Q42">
        <f>SUMIFS('Besi Balok'!$AA$23:$AA$7253,'Besi Balok'!$A$23:$A$7253,$A42,'Besi Balok'!$B$23:$B$7253,$B42,'Besi Balok'!$F$23:$F$7253,'REKAP Balok'!Q$11)</f>
        <v>0</v>
      </c>
      <c r="R42">
        <f>SUMIFS('Besi Balok'!$AA$23:$AA$7253,'Besi Balok'!$A$23:$A$7253,$A42,'Besi Balok'!$B$23:$B$7253,$B42,'Besi Balok'!$F$23:$F$7253,'REKAP Balok'!R$11)</f>
        <v>0</v>
      </c>
      <c r="S42">
        <f>SUMIFS('Besi Balok'!$AA$23:$AA$7253,'Besi Balok'!$A$23:$A$7253,$A42,'Besi Balok'!$B$23:$B$7253,$B42,'Besi Balok'!$F$23:$F$7253,'REKAP Balok'!S$11)</f>
        <v>0</v>
      </c>
      <c r="T42">
        <f>SUMIFS('Besi Balok'!$AA$23:$AA$7253,'Besi Balok'!$A$23:$A$7253,$A42,'Besi Balok'!$B$23:$B$7253,$B42,'Besi Balok'!$F$23:$F$7253,'REKAP Balok'!T$11)</f>
        <v>0</v>
      </c>
      <c r="U42">
        <f>SUM(L42:T42)</f>
        <v>25.425125819999998</v>
      </c>
      <c r="V42">
        <f>(D42*(F42-H42)*G42*K42)/1000000000</f>
        <v>0.1325</v>
      </c>
      <c r="W42">
        <f>(((F42-H42)*2)*(G42)*K42)/1000000</f>
        <v>1.325</v>
      </c>
      <c r="X42">
        <v>0</v>
      </c>
      <c r="Y42">
        <f>K42*(D42+2*$F$5)*G42*$F$6/1000000000</f>
        <v>0.053</v>
      </c>
      <c r="Z42">
        <f>K42*(D42+2*$F$5)*($F$4-J42+($F$6+$F$7)/1000)*G42/1000000</f>
        <v>0.4769999999999999</v>
      </c>
      <c r="AC42">
        <f>(D42+2*$F$5)*F42*G42/1000000000</f>
        <v>0.424</v>
      </c>
    </row>
    <row r="43">
      <c r="A43" t="str">
        <f>'Data Panjang Balok'!A39</f>
        <v>Lantai 1</v>
      </c>
      <c r="B43">
        <f>'Data Panjang Balok'!B39</f>
        <v>29</v>
      </c>
      <c r="C43" t="str">
        <f>'Data Panjang Balok'!D39</f>
        <v>S24-1</v>
      </c>
      <c r="D43">
        <f>IF(C43&gt;0,VLOOKUP(C43,'Detail Balok'!$C$11:$AU$140,2,FALSE),0)</f>
        <v>200</v>
      </c>
      <c r="E43" t="str">
        <v>x</v>
      </c>
      <c r="F43">
        <f>IF(C43&gt;0,VLOOKUP(C43,'Detail Balok'!$C$11:$AU$140,3,FALSE),0)</f>
        <v>400</v>
      </c>
      <c r="G43">
        <f>'Data Panjang Balok'!I39</f>
        <v>2890</v>
      </c>
      <c r="H43">
        <f>'Data Panjang Balok'!J39</f>
        <v>0</v>
      </c>
      <c r="I43">
        <v>-3.5</v>
      </c>
      <c r="J43">
        <f>I43-F43/1000</f>
        <v>-3.9</v>
      </c>
      <c r="K43">
        <f>'Data Panjang Balok'!E39</f>
        <v>1</v>
      </c>
      <c r="L43">
        <f>SUMIFS('Besi Balok'!$AA$23:$AA$7253,'Besi Balok'!$A$23:$A$7253,$A43,'Besi Balok'!$B$23:$B$7253,$B43,'Besi Balok'!$F$23:$F$7253,'REKAP Balok'!L$11)</f>
        <v>0</v>
      </c>
      <c r="M43">
        <f>SUMIFS('Besi Balok'!$AA$23:$AA$7253,'Besi Balok'!$A$23:$A$7253,$A43,'Besi Balok'!$B$23:$B$7253,$B43,'Besi Balok'!$F$23:$F$7253,'REKAP Balok'!M$11)</f>
        <v>7.315142400000001</v>
      </c>
      <c r="N43">
        <f>SUMIFS('Besi Balok'!$AA$23:$AA$7253,'Besi Balok'!$A$23:$A$7253,$A43,'Besi Balok'!$B$23:$B$7253,$B43,'Besi Balok'!$F$23:$F$7253,'REKAP Balok'!N$11)</f>
        <v>0</v>
      </c>
      <c r="O43">
        <f>SUMIFS('Besi Balok'!$AA$23:$AA$7253,'Besi Balok'!$A$23:$A$7253,$A43,'Besi Balok'!$B$23:$B$7253,$B43,'Besi Balok'!$F$23:$F$7253,'REKAP Balok'!O$11)</f>
        <v>20.01669462</v>
      </c>
      <c r="P43">
        <f>SUMIFS('Besi Balok'!$AA$23:$AA$7253,'Besi Balok'!$A$23:$A$7253,$A43,'Besi Balok'!$B$23:$B$7253,$B43,'Besi Balok'!$F$23:$F$7253,'REKAP Balok'!P$11)</f>
        <v>0</v>
      </c>
      <c r="Q43">
        <f>SUMIFS('Besi Balok'!$AA$23:$AA$7253,'Besi Balok'!$A$23:$A$7253,$A43,'Besi Balok'!$B$23:$B$7253,$B43,'Besi Balok'!$F$23:$F$7253,'REKAP Balok'!Q$11)</f>
        <v>0</v>
      </c>
      <c r="R43">
        <f>SUMIFS('Besi Balok'!$AA$23:$AA$7253,'Besi Balok'!$A$23:$A$7253,$A43,'Besi Balok'!$B$23:$B$7253,$B43,'Besi Balok'!$F$23:$F$7253,'REKAP Balok'!R$11)</f>
        <v>0</v>
      </c>
      <c r="S43">
        <f>SUMIFS('Besi Balok'!$AA$23:$AA$7253,'Besi Balok'!$A$23:$A$7253,$A43,'Besi Balok'!$B$23:$B$7253,$B43,'Besi Balok'!$F$23:$F$7253,'REKAP Balok'!S$11)</f>
        <v>0</v>
      </c>
      <c r="T43">
        <f>SUMIFS('Besi Balok'!$AA$23:$AA$7253,'Besi Balok'!$A$23:$A$7253,$A43,'Besi Balok'!$B$23:$B$7253,$B43,'Besi Balok'!$F$23:$F$7253,'REKAP Balok'!T$11)</f>
        <v>0</v>
      </c>
      <c r="U43">
        <f>SUM(L43:T43)</f>
        <v>27.331837020000002</v>
      </c>
      <c r="V43">
        <f>(D43*(F43-H43)*G43*K43)/1000000000</f>
        <v>0.2312</v>
      </c>
      <c r="W43">
        <f>(((F43-H43)*2)*(G43)*K43)/1000000</f>
        <v>2.312</v>
      </c>
      <c r="X43">
        <v>0</v>
      </c>
      <c r="Y43">
        <f>K43*(D43+2*$F$5)*G43*$F$6/1000000000</f>
        <v>0.0578</v>
      </c>
      <c r="Z43">
        <f>K43*(D43+2*$F$5)*($F$4-J43+($F$6+$F$7)/1000)*G43/1000000</f>
        <v>0.5202</v>
      </c>
      <c r="AC43">
        <f>(D43+2*$F$5)*F43*G43/1000000000</f>
        <v>0.4624</v>
      </c>
    </row>
    <row r="44">
      <c r="A44" t="str">
        <f>'Data Panjang Balok'!A40</f>
        <v>Lantai 1</v>
      </c>
      <c r="B44">
        <f>'Data Panjang Balok'!B40</f>
        <v>30</v>
      </c>
      <c r="C44" t="str">
        <f>'Data Panjang Balok'!D40</f>
        <v>S24-1</v>
      </c>
      <c r="D44">
        <f>IF(C44&gt;0,VLOOKUP(C44,'Detail Balok'!$C$11:$AU$140,2,FALSE),0)</f>
        <v>200</v>
      </c>
      <c r="E44" t="str">
        <v>x</v>
      </c>
      <c r="F44">
        <f>IF(C44&gt;0,VLOOKUP(C44,'Detail Balok'!$C$11:$AU$140,3,FALSE),0)</f>
        <v>400</v>
      </c>
      <c r="G44">
        <f>'Data Panjang Balok'!I40</f>
        <v>2120</v>
      </c>
      <c r="H44">
        <f>'Data Panjang Balok'!J40</f>
        <v>150</v>
      </c>
      <c r="I44">
        <v>-3.5</v>
      </c>
      <c r="J44">
        <f>I44-F44/1000</f>
        <v>-3.9</v>
      </c>
      <c r="K44">
        <f>'Data Panjang Balok'!E40</f>
        <v>1</v>
      </c>
      <c r="L44">
        <f>SUMIFS('Besi Balok'!$AA$23:$AA$7253,'Besi Balok'!$A$23:$A$7253,$A44,'Besi Balok'!$B$23:$B$7253,$B44,'Besi Balok'!$F$23:$F$7253,'REKAP Balok'!L$11)</f>
        <v>0</v>
      </c>
      <c r="M44">
        <f>SUMIFS('Besi Balok'!$AA$23:$AA$7253,'Besi Balok'!$A$23:$A$7253,$A44,'Besi Balok'!$B$23:$B$7253,$B44,'Besi Balok'!$F$23:$F$7253,'REKAP Balok'!M$11)</f>
        <v>6.0959520000000005</v>
      </c>
      <c r="N44">
        <f>SUMIFS('Besi Balok'!$AA$23:$AA$7253,'Besi Balok'!$A$23:$A$7253,$A44,'Besi Balok'!$B$23:$B$7253,$B44,'Besi Balok'!$F$23:$F$7253,'REKAP Balok'!N$11)</f>
        <v>0</v>
      </c>
      <c r="O44">
        <f>SUMIFS('Besi Balok'!$AA$23:$AA$7253,'Besi Balok'!$A$23:$A$7253,$A44,'Besi Balok'!$B$23:$B$7253,$B44,'Besi Balok'!$F$23:$F$7253,'REKAP Balok'!O$11)</f>
        <v>15.20318592</v>
      </c>
      <c r="P44">
        <f>SUMIFS('Besi Balok'!$AA$23:$AA$7253,'Besi Balok'!$A$23:$A$7253,$A44,'Besi Balok'!$B$23:$B$7253,$B44,'Besi Balok'!$F$23:$F$7253,'REKAP Balok'!P$11)</f>
        <v>0</v>
      </c>
      <c r="Q44">
        <f>SUMIFS('Besi Balok'!$AA$23:$AA$7253,'Besi Balok'!$A$23:$A$7253,$A44,'Besi Balok'!$B$23:$B$7253,$B44,'Besi Balok'!$F$23:$F$7253,'REKAP Balok'!Q$11)</f>
        <v>0</v>
      </c>
      <c r="R44">
        <f>SUMIFS('Besi Balok'!$AA$23:$AA$7253,'Besi Balok'!$A$23:$A$7253,$A44,'Besi Balok'!$B$23:$B$7253,$B44,'Besi Balok'!$F$23:$F$7253,'REKAP Balok'!R$11)</f>
        <v>0</v>
      </c>
      <c r="S44">
        <f>SUMIFS('Besi Balok'!$AA$23:$AA$7253,'Besi Balok'!$A$23:$A$7253,$A44,'Besi Balok'!$B$23:$B$7253,$B44,'Besi Balok'!$F$23:$F$7253,'REKAP Balok'!S$11)</f>
        <v>0</v>
      </c>
      <c r="T44">
        <f>SUMIFS('Besi Balok'!$AA$23:$AA$7253,'Besi Balok'!$A$23:$A$7253,$A44,'Besi Balok'!$B$23:$B$7253,$B44,'Besi Balok'!$F$23:$F$7253,'REKAP Balok'!T$11)</f>
        <v>0</v>
      </c>
      <c r="U44">
        <f>SUM(L44:T44)</f>
        <v>21.29913792</v>
      </c>
      <c r="V44">
        <f>(D44*(F44-H44)*G44*K44)/1000000000</f>
        <v>0.106</v>
      </c>
      <c r="W44">
        <f>(((F44-H44)*2)*(G44)*K44)/1000000</f>
        <v>1.06</v>
      </c>
      <c r="X44">
        <v>0</v>
      </c>
      <c r="Y44">
        <f>K44*(D44+2*$F$5)*G44*$F$6/1000000000</f>
        <v>0.0424</v>
      </c>
      <c r="Z44">
        <f>K44*(D44+2*$F$5)*($F$4-J44+($F$6+$F$7)/1000)*G44/1000000</f>
        <v>0.38159999999999994</v>
      </c>
      <c r="AC44">
        <f>(D44+2*$F$5)*F44*G44/1000000000</f>
        <v>0.3392</v>
      </c>
    </row>
    <row r="45">
      <c r="A45" t="str">
        <f>'Data Panjang Balok'!A41</f>
        <v>Lantai 1</v>
      </c>
      <c r="B45">
        <f>'Data Panjang Balok'!B41</f>
        <v>31</v>
      </c>
      <c r="C45" t="str">
        <f>'Data Panjang Balok'!D41</f>
        <v>S25-1</v>
      </c>
      <c r="D45">
        <f>IF(C45&gt;0,VLOOKUP(C45,'Detail Balok'!$C$11:$AU$140,2,FALSE),0)</f>
        <v>200</v>
      </c>
      <c r="E45" t="str">
        <v>x</v>
      </c>
      <c r="F45">
        <f>IF(C45&gt;0,VLOOKUP(C45,'Detail Balok'!$C$11:$AU$140,3,FALSE),0)</f>
        <v>500</v>
      </c>
      <c r="G45">
        <f>'Data Panjang Balok'!I41</f>
        <v>6150</v>
      </c>
      <c r="H45">
        <f>'Data Panjang Balok'!J41</f>
        <v>150</v>
      </c>
      <c r="I45">
        <v>-3.5</v>
      </c>
      <c r="J45">
        <f>I45-F45/1000</f>
        <v>-4</v>
      </c>
      <c r="K45">
        <f>'Data Panjang Balok'!E41</f>
        <v>1</v>
      </c>
      <c r="L45">
        <f>SUMIFS('Besi Balok'!$AA$23:$AA$7253,'Besi Balok'!$A$23:$A$7253,$A45,'Besi Balok'!$B$23:$B$7253,$B45,'Besi Balok'!$F$23:$F$7253,'REKAP Balok'!L$11)</f>
        <v>0</v>
      </c>
      <c r="M45">
        <f>SUMIFS('Besi Balok'!$AA$23:$AA$7253,'Besi Balok'!$A$23:$A$7253,$A45,'Besi Balok'!$B$23:$B$7253,$B45,'Besi Balok'!$F$23:$F$7253,'REKAP Balok'!M$11)</f>
        <v>17.956425600000003</v>
      </c>
      <c r="N45">
        <f>SUMIFS('Besi Balok'!$AA$23:$AA$7253,'Besi Balok'!$A$23:$A$7253,$A45,'Besi Balok'!$B$23:$B$7253,$B45,'Besi Balok'!$F$23:$F$7253,'REKAP Balok'!N$11)</f>
        <v>7.878870000000001</v>
      </c>
      <c r="O45">
        <f>SUMIFS('Besi Balok'!$AA$23:$AA$7253,'Besi Balok'!$A$23:$A$7253,$A45,'Besi Balok'!$B$23:$B$7253,$B45,'Besi Balok'!$F$23:$F$7253,'REKAP Balok'!O$11)</f>
        <v>0</v>
      </c>
      <c r="P45">
        <f>SUMIFS('Besi Balok'!$AA$23:$AA$7253,'Besi Balok'!$A$23:$A$7253,$A45,'Besi Balok'!$B$23:$B$7253,$B45,'Besi Balok'!$F$23:$F$7253,'REKAP Balok'!P$11)</f>
        <v>61.87332096</v>
      </c>
      <c r="Q45">
        <f>SUMIFS('Besi Balok'!$AA$23:$AA$7253,'Besi Balok'!$A$23:$A$7253,$A45,'Besi Balok'!$B$23:$B$7253,$B45,'Besi Balok'!$F$23:$F$7253,'REKAP Balok'!Q$11)</f>
        <v>0</v>
      </c>
      <c r="R45">
        <f>SUMIFS('Besi Balok'!$AA$23:$AA$7253,'Besi Balok'!$A$23:$A$7253,$A45,'Besi Balok'!$B$23:$B$7253,$B45,'Besi Balok'!$F$23:$F$7253,'REKAP Balok'!R$11)</f>
        <v>0</v>
      </c>
      <c r="S45">
        <f>SUMIFS('Besi Balok'!$AA$23:$AA$7253,'Besi Balok'!$A$23:$A$7253,$A45,'Besi Balok'!$B$23:$B$7253,$B45,'Besi Balok'!$F$23:$F$7253,'REKAP Balok'!S$11)</f>
        <v>0</v>
      </c>
      <c r="T45">
        <f>SUMIFS('Besi Balok'!$AA$23:$AA$7253,'Besi Balok'!$A$23:$A$7253,$A45,'Besi Balok'!$B$23:$B$7253,$B45,'Besi Balok'!$F$23:$F$7253,'REKAP Balok'!T$11)</f>
        <v>0</v>
      </c>
      <c r="U45">
        <f>SUM(L45:T45)</f>
        <v>87.70861656</v>
      </c>
      <c r="V45">
        <f>(D45*(F45-H45)*G45*K45)/1000000000</f>
        <v>0.4305</v>
      </c>
      <c r="W45">
        <f>(((F45-H45)*2)*(G45)*K45)/1000000</f>
        <v>4.305</v>
      </c>
      <c r="X45">
        <v>0</v>
      </c>
      <c r="Y45">
        <f>K45*(D45+2*$F$5)*G45*$F$6/1000000000</f>
        <v>0.123</v>
      </c>
      <c r="Z45">
        <f>K45*(D45+2*$F$5)*($F$4-J45+($F$6+$F$7)/1000)*G45/1000000</f>
        <v>1.3530000000000002</v>
      </c>
      <c r="AB45">
        <f>U45/V45</f>
        <v>203.7366238327526</v>
      </c>
      <c r="AC45">
        <f>(D45+2*$F$5)*F45*G45/1000000000</f>
        <v>1.23</v>
      </c>
    </row>
    <row r="46">
      <c r="A46" t="str">
        <f>'Data Panjang Balok'!A42</f>
        <v>Lantai 1</v>
      </c>
      <c r="B46">
        <f>'Data Panjang Balok'!B42</f>
        <v>32</v>
      </c>
      <c r="C46" t="str">
        <f>'Data Panjang Balok'!D42</f>
        <v>S24-1</v>
      </c>
      <c r="D46">
        <f>IF(C46&gt;0,VLOOKUP(C46,'Detail Balok'!$C$11:$AU$140,2,FALSE),0)</f>
        <v>200</v>
      </c>
      <c r="E46" t="str">
        <v>x</v>
      </c>
      <c r="F46">
        <f>IF(C46&gt;0,VLOOKUP(C46,'Detail Balok'!$C$11:$AU$140,3,FALSE),0)</f>
        <v>400</v>
      </c>
      <c r="G46">
        <f>'Data Panjang Balok'!I42</f>
        <v>5150</v>
      </c>
      <c r="H46">
        <f>'Data Panjang Balok'!J42</f>
        <v>150</v>
      </c>
      <c r="I46">
        <v>-3.5</v>
      </c>
      <c r="J46">
        <f>I46-F46/1000</f>
        <v>-3.9</v>
      </c>
      <c r="K46">
        <f>'Data Panjang Balok'!E42</f>
        <v>1</v>
      </c>
      <c r="L46">
        <f>SUMIFS('Besi Balok'!$AA$23:$AA$7253,'Besi Balok'!$A$23:$A$7253,$A46,'Besi Balok'!$B$23:$B$7253,$B46,'Besi Balok'!$F$23:$F$7253,'REKAP Balok'!L$11)</f>
        <v>0</v>
      </c>
      <c r="M46">
        <f>SUMIFS('Besi Balok'!$AA$23:$AA$7253,'Besi Balok'!$A$23:$A$7253,$A46,'Besi Balok'!$B$23:$B$7253,$B46,'Besi Balok'!$F$23:$F$7253,'REKAP Balok'!M$11)</f>
        <v>13.411094400000001</v>
      </c>
      <c r="N46">
        <f>SUMIFS('Besi Balok'!$AA$23:$AA$7253,'Besi Balok'!$A$23:$A$7253,$A46,'Besi Balok'!$B$23:$B$7253,$B46,'Besi Balok'!$F$23:$F$7253,'REKAP Balok'!N$11)</f>
        <v>0</v>
      </c>
      <c r="O46">
        <f>SUMIFS('Besi Balok'!$AA$23:$AA$7253,'Besi Balok'!$A$23:$A$7253,$A46,'Besi Balok'!$B$23:$B$7253,$B46,'Besi Balok'!$F$23:$F$7253,'REKAP Balok'!O$11)</f>
        <v>34.144655220000004</v>
      </c>
      <c r="P46">
        <f>SUMIFS('Besi Balok'!$AA$23:$AA$7253,'Besi Balok'!$A$23:$A$7253,$A46,'Besi Balok'!$B$23:$B$7253,$B46,'Besi Balok'!$F$23:$F$7253,'REKAP Balok'!P$11)</f>
        <v>0</v>
      </c>
      <c r="Q46">
        <f>SUMIFS('Besi Balok'!$AA$23:$AA$7253,'Besi Balok'!$A$23:$A$7253,$A46,'Besi Balok'!$B$23:$B$7253,$B46,'Besi Balok'!$F$23:$F$7253,'REKAP Balok'!Q$11)</f>
        <v>0</v>
      </c>
      <c r="R46">
        <f>SUMIFS('Besi Balok'!$AA$23:$AA$7253,'Besi Balok'!$A$23:$A$7253,$A46,'Besi Balok'!$B$23:$B$7253,$B46,'Besi Balok'!$F$23:$F$7253,'REKAP Balok'!R$11)</f>
        <v>0</v>
      </c>
      <c r="S46">
        <f>SUMIFS('Besi Balok'!$AA$23:$AA$7253,'Besi Balok'!$A$23:$A$7253,$A46,'Besi Balok'!$B$23:$B$7253,$B46,'Besi Balok'!$F$23:$F$7253,'REKAP Balok'!S$11)</f>
        <v>0</v>
      </c>
      <c r="T46">
        <f>SUMIFS('Besi Balok'!$AA$23:$AA$7253,'Besi Balok'!$A$23:$A$7253,$A46,'Besi Balok'!$B$23:$B$7253,$B46,'Besi Balok'!$F$23:$F$7253,'REKAP Balok'!T$11)</f>
        <v>0</v>
      </c>
      <c r="U46">
        <f>SUM(L46:T46)</f>
        <v>47.55574962000001</v>
      </c>
      <c r="V46">
        <f>(D46*(F46-H46)*G46*K46)/1000000000</f>
        <v>0.2575</v>
      </c>
      <c r="W46">
        <f>(((F46-H46)*2)*(G46)*K46)/1000000</f>
        <v>2.575</v>
      </c>
      <c r="X46">
        <v>0</v>
      </c>
      <c r="Y46">
        <f>K46*(D46+2*$F$5)*G46*$F$6/1000000000</f>
        <v>0.103</v>
      </c>
      <c r="Z46">
        <f>K46*(D46+2*$F$5)*($F$4-J46+($F$6+$F$7)/1000)*G46/1000000</f>
        <v>0.9269999999999999</v>
      </c>
      <c r="AC46">
        <f>(D46+2*$F$5)*F46*G46/1000000000</f>
        <v>0.824</v>
      </c>
    </row>
    <row r="47">
      <c r="A47" t="str">
        <f>'Data Panjang Balok'!A43</f>
        <v>Lantai 1</v>
      </c>
      <c r="B47">
        <f>'Data Panjang Balok'!B43</f>
        <v>33</v>
      </c>
      <c r="C47" t="str">
        <f>'Data Panjang Balok'!D43</f>
        <v>S24-2</v>
      </c>
      <c r="D47">
        <f>IF(C47&gt;0,VLOOKUP(C47,'Detail Balok'!$C$11:$AU$140,2,FALSE),0)</f>
        <v>200</v>
      </c>
      <c r="E47" t="str">
        <v>x</v>
      </c>
      <c r="F47">
        <f>IF(C47&gt;0,VLOOKUP(C47,'Detail Balok'!$C$11:$AU$140,3,FALSE),0)</f>
        <v>400</v>
      </c>
      <c r="G47">
        <f>'Data Panjang Balok'!I43</f>
        <v>4000</v>
      </c>
      <c r="H47">
        <f>'Data Panjang Balok'!J43</f>
        <v>150</v>
      </c>
      <c r="I47">
        <v>-3.5</v>
      </c>
      <c r="J47">
        <f>I47-F47/1000</f>
        <v>-3.9</v>
      </c>
      <c r="K47">
        <f>'Data Panjang Balok'!E43</f>
        <v>1</v>
      </c>
      <c r="L47">
        <f>SUMIFS('Besi Balok'!$AA$23:$AA$7253,'Besi Balok'!$A$23:$A$7253,$A47,'Besi Balok'!$B$23:$B$7253,$B47,'Besi Balok'!$F$23:$F$7253,'REKAP Balok'!L$11)</f>
        <v>0</v>
      </c>
      <c r="M47">
        <f>SUMIFS('Besi Balok'!$AA$23:$AA$7253,'Besi Balok'!$A$23:$A$7253,$A47,'Besi Balok'!$B$23:$B$7253,$B47,'Besi Balok'!$F$23:$F$7253,'REKAP Balok'!M$11)</f>
        <v>10.566316800000001</v>
      </c>
      <c r="N47">
        <f>SUMIFS('Besi Balok'!$AA$23:$AA$7253,'Besi Balok'!$A$23:$A$7253,$A47,'Besi Balok'!$B$23:$B$7253,$B47,'Besi Balok'!$F$23:$F$7253,'REKAP Balok'!N$11)</f>
        <v>0</v>
      </c>
      <c r="O47">
        <f>SUMIFS('Besi Balok'!$AA$23:$AA$7253,'Besi Balok'!$A$23:$A$7253,$A47,'Besi Balok'!$B$23:$B$7253,$B47,'Besi Balok'!$F$23:$F$7253,'REKAP Balok'!O$11)</f>
        <v>0</v>
      </c>
      <c r="P47">
        <f>SUMIFS('Besi Balok'!$AA$23:$AA$7253,'Besi Balok'!$A$23:$A$7253,$A47,'Besi Balok'!$B$23:$B$7253,$B47,'Besi Balok'!$F$23:$F$7253,'REKAP Balok'!P$11)</f>
        <v>41.51402496000001</v>
      </c>
      <c r="Q47">
        <f>SUMIFS('Besi Balok'!$AA$23:$AA$7253,'Besi Balok'!$A$23:$A$7253,$A47,'Besi Balok'!$B$23:$B$7253,$B47,'Besi Balok'!$F$23:$F$7253,'REKAP Balok'!Q$11)</f>
        <v>0</v>
      </c>
      <c r="R47">
        <f>SUMIFS('Besi Balok'!$AA$23:$AA$7253,'Besi Balok'!$A$23:$A$7253,$A47,'Besi Balok'!$B$23:$B$7253,$B47,'Besi Balok'!$F$23:$F$7253,'REKAP Balok'!R$11)</f>
        <v>0</v>
      </c>
      <c r="S47">
        <f>SUMIFS('Besi Balok'!$AA$23:$AA$7253,'Besi Balok'!$A$23:$A$7253,$A47,'Besi Balok'!$B$23:$B$7253,$B47,'Besi Balok'!$F$23:$F$7253,'REKAP Balok'!S$11)</f>
        <v>0</v>
      </c>
      <c r="T47">
        <f>SUMIFS('Besi Balok'!$AA$23:$AA$7253,'Besi Balok'!$A$23:$A$7253,$A47,'Besi Balok'!$B$23:$B$7253,$B47,'Besi Balok'!$F$23:$F$7253,'REKAP Balok'!T$11)</f>
        <v>0</v>
      </c>
      <c r="U47">
        <f>SUM(L47:T47)</f>
        <v>52.08034176000001</v>
      </c>
      <c r="V47">
        <f>(D47*(F47-H47)*G47*K47)/1000000000</f>
        <v>0.2</v>
      </c>
      <c r="W47">
        <f>(((F47-H47)*2)*(G47)*K47)/1000000</f>
        <v>2</v>
      </c>
      <c r="X47">
        <v>0</v>
      </c>
      <c r="Y47">
        <f>K47*(D47+2*$F$5)*G47*$F$6/1000000000</f>
        <v>0.08</v>
      </c>
      <c r="Z47">
        <f>K47*(D47+2*$F$5)*($F$4-J47+($F$6+$F$7)/1000)*G47/1000000</f>
        <v>0.7199999999999999</v>
      </c>
      <c r="AC47">
        <f>(D47+2*$F$5)*F47*G47/1000000000</f>
        <v>0.64</v>
      </c>
    </row>
    <row r="48">
      <c r="A48" t="str">
        <f>'Data Panjang Balok'!A44</f>
        <v>Lantai 1</v>
      </c>
      <c r="B48">
        <f>'Data Panjang Balok'!B44</f>
        <v>34</v>
      </c>
      <c r="C48" t="str">
        <f>'Data Panjang Balok'!D44</f>
        <v>S25-1</v>
      </c>
      <c r="D48">
        <f>IF(C48&gt;0,VLOOKUP(C48,'Detail Balok'!$C$11:$AU$140,2,FALSE),0)</f>
        <v>200</v>
      </c>
      <c r="E48" t="str">
        <v>x</v>
      </c>
      <c r="F48">
        <f>IF(C48&gt;0,VLOOKUP(C48,'Detail Balok'!$C$11:$AU$140,3,FALSE),0)</f>
        <v>500</v>
      </c>
      <c r="G48">
        <f>'Data Panjang Balok'!I44</f>
        <v>5075</v>
      </c>
      <c r="H48">
        <f>'Data Panjang Balok'!J44</f>
        <v>150</v>
      </c>
      <c r="I48">
        <v>-3.5</v>
      </c>
      <c r="J48">
        <f>I48-F48/1000</f>
        <v>-4</v>
      </c>
      <c r="K48">
        <f>'Data Panjang Balok'!E44</f>
        <v>1</v>
      </c>
      <c r="L48">
        <f>SUMIFS('Besi Balok'!$AA$23:$AA$7253,'Besi Balok'!$A$23:$A$7253,$A48,'Besi Balok'!$B$23:$B$7253,$B48,'Besi Balok'!$F$23:$F$7253,'REKAP Balok'!L$11)</f>
        <v>0</v>
      </c>
      <c r="M48">
        <f>SUMIFS('Besi Balok'!$AA$23:$AA$7253,'Besi Balok'!$A$23:$A$7253,$A48,'Besi Balok'!$B$23:$B$7253,$B48,'Besi Balok'!$F$23:$F$7253,'REKAP Balok'!M$11)</f>
        <v>15.044572800000001</v>
      </c>
      <c r="N48">
        <f>SUMIFS('Besi Balok'!$AA$23:$AA$7253,'Besi Balok'!$A$23:$A$7253,$A48,'Besi Balok'!$B$23:$B$7253,$B48,'Besi Balok'!$F$23:$F$7253,'REKAP Balok'!N$11)</f>
        <v>6.553395000000001</v>
      </c>
      <c r="O48">
        <f>SUMIFS('Besi Balok'!$AA$23:$AA$7253,'Besi Balok'!$A$23:$A$7253,$A48,'Besi Balok'!$B$23:$B$7253,$B48,'Besi Balok'!$F$23:$F$7253,'REKAP Balok'!O$11)</f>
        <v>0</v>
      </c>
      <c r="P48">
        <f>SUMIFS('Besi Balok'!$AA$23:$AA$7253,'Besi Balok'!$A$23:$A$7253,$A48,'Besi Balok'!$B$23:$B$7253,$B48,'Besi Balok'!$F$23:$F$7253,'REKAP Balok'!P$11)</f>
        <v>51.69367296</v>
      </c>
      <c r="Q48">
        <f>SUMIFS('Besi Balok'!$AA$23:$AA$7253,'Besi Balok'!$A$23:$A$7253,$A48,'Besi Balok'!$B$23:$B$7253,$B48,'Besi Balok'!$F$23:$F$7253,'REKAP Balok'!Q$11)</f>
        <v>0</v>
      </c>
      <c r="R48">
        <f>SUMIFS('Besi Balok'!$AA$23:$AA$7253,'Besi Balok'!$A$23:$A$7253,$A48,'Besi Balok'!$B$23:$B$7253,$B48,'Besi Balok'!$F$23:$F$7253,'REKAP Balok'!R$11)</f>
        <v>0</v>
      </c>
      <c r="S48">
        <f>SUMIFS('Besi Balok'!$AA$23:$AA$7253,'Besi Balok'!$A$23:$A$7253,$A48,'Besi Balok'!$B$23:$B$7253,$B48,'Besi Balok'!$F$23:$F$7253,'REKAP Balok'!S$11)</f>
        <v>0</v>
      </c>
      <c r="T48">
        <f>SUMIFS('Besi Balok'!$AA$23:$AA$7253,'Besi Balok'!$A$23:$A$7253,$A48,'Besi Balok'!$B$23:$B$7253,$B48,'Besi Balok'!$F$23:$F$7253,'REKAP Balok'!T$11)</f>
        <v>0</v>
      </c>
      <c r="U48">
        <f>SUM(L48:T48)</f>
        <v>73.29164076</v>
      </c>
      <c r="V48">
        <f>(D48*(F48-H48)*G48*K48)/1000000000</f>
        <v>0.35525</v>
      </c>
      <c r="W48">
        <f>(((F48-H48)*2)*(G48)*K48)/1000000</f>
        <v>3.5525</v>
      </c>
      <c r="X48">
        <v>0</v>
      </c>
      <c r="Y48">
        <f>K48*(D48+2*$F$5)*G48*$F$6/1000000000</f>
        <v>0.1015</v>
      </c>
      <c r="Z48">
        <f>K48*(D48+2*$F$5)*($F$4-J48+($F$6+$F$7)/1000)*G48/1000000</f>
        <v>1.1165000000000003</v>
      </c>
      <c r="AB48">
        <f>U48/V48</f>
        <v>206.3100373258269</v>
      </c>
      <c r="AC48">
        <f>(D48+2*$F$5)*F48*G48/1000000000</f>
        <v>1.015</v>
      </c>
    </row>
    <row r="49">
      <c r="A49" t="str">
        <f>'Data Panjang Balok'!A45</f>
        <v>Lantai 1</v>
      </c>
      <c r="B49">
        <f>'Data Panjang Balok'!B45</f>
        <v>35</v>
      </c>
      <c r="C49" t="str">
        <f>'Data Panjang Balok'!D45</f>
        <v>S36-1</v>
      </c>
      <c r="D49">
        <f>IF(C49&gt;0,VLOOKUP(C49,'Detail Balok'!$C$11:$AU$140,2,FALSE),0)</f>
        <v>300</v>
      </c>
      <c r="E49" t="str">
        <v>x</v>
      </c>
      <c r="F49">
        <f>IF(C49&gt;0,VLOOKUP(C49,'Detail Balok'!$C$11:$AU$140,3,FALSE),0)</f>
        <v>600</v>
      </c>
      <c r="G49">
        <f>'Data Panjang Balok'!I45</f>
        <v>6075</v>
      </c>
      <c r="H49">
        <f>'Data Panjang Balok'!J45</f>
        <v>150</v>
      </c>
      <c r="I49">
        <v>-3.5</v>
      </c>
      <c r="J49">
        <f>I49-F49/1000</f>
        <v>-4.1</v>
      </c>
      <c r="K49">
        <f>'Data Panjang Balok'!E45</f>
        <v>1</v>
      </c>
      <c r="L49">
        <f>SUMIFS('Besi Balok'!$AA$23:$AA$7253,'Besi Balok'!$A$23:$A$7253,$A49,'Besi Balok'!$B$23:$B$7253,$B49,'Besi Balok'!$F$23:$F$7253,'REKAP Balok'!L$11)</f>
        <v>0</v>
      </c>
      <c r="M49">
        <f>SUMIFS('Besi Balok'!$AA$23:$AA$7253,'Besi Balok'!$A$23:$A$7253,$A49,'Besi Balok'!$B$23:$B$7253,$B49,'Besi Balok'!$F$23:$F$7253,'REKAP Balok'!M$11)</f>
        <v>23.7959136</v>
      </c>
      <c r="N49">
        <f>SUMIFS('Besi Balok'!$AA$23:$AA$7253,'Besi Balok'!$A$23:$A$7253,$A49,'Besi Balok'!$B$23:$B$7253,$B49,'Besi Balok'!$F$23:$F$7253,'REKAP Balok'!N$11)</f>
        <v>7.7863950000000015</v>
      </c>
      <c r="O49">
        <f>SUMIFS('Besi Balok'!$AA$23:$AA$7253,'Besi Balok'!$A$23:$A$7253,$A49,'Besi Balok'!$B$23:$B$7253,$B49,'Besi Balok'!$F$23:$F$7253,'REKAP Balok'!O$11)</f>
        <v>0</v>
      </c>
      <c r="P49">
        <f>SUMIFS('Besi Balok'!$AA$23:$AA$7253,'Besi Balok'!$A$23:$A$7253,$A49,'Besi Balok'!$B$23:$B$7253,$B49,'Besi Balok'!$F$23:$F$7253,'REKAP Balok'!P$11)</f>
        <v>81.55081728</v>
      </c>
      <c r="Q49">
        <f>SUMIFS('Besi Balok'!$AA$23:$AA$7253,'Besi Balok'!$A$23:$A$7253,$A49,'Besi Balok'!$B$23:$B$7253,$B49,'Besi Balok'!$F$23:$F$7253,'REKAP Balok'!Q$11)</f>
        <v>0</v>
      </c>
      <c r="R49">
        <f>SUMIFS('Besi Balok'!$AA$23:$AA$7253,'Besi Balok'!$A$23:$A$7253,$A49,'Besi Balok'!$B$23:$B$7253,$B49,'Besi Balok'!$F$23:$F$7253,'REKAP Balok'!R$11)</f>
        <v>0</v>
      </c>
      <c r="S49">
        <f>SUMIFS('Besi Balok'!$AA$23:$AA$7253,'Besi Balok'!$A$23:$A$7253,$A49,'Besi Balok'!$B$23:$B$7253,$B49,'Besi Balok'!$F$23:$F$7253,'REKAP Balok'!S$11)</f>
        <v>0</v>
      </c>
      <c r="T49">
        <f>SUMIFS('Besi Balok'!$AA$23:$AA$7253,'Besi Balok'!$A$23:$A$7253,$A49,'Besi Balok'!$B$23:$B$7253,$B49,'Besi Balok'!$F$23:$F$7253,'REKAP Balok'!T$11)</f>
        <v>0</v>
      </c>
      <c r="U49">
        <f>SUM(L49:T49)</f>
        <v>113.13312588000001</v>
      </c>
      <c r="V49">
        <f>(D49*(F49-H49)*G49*K49)/1000000000</f>
        <v>0.820125</v>
      </c>
      <c r="W49">
        <f>(((F49-H49)*2)*(G49)*K49)/1000000</f>
        <v>5.4675</v>
      </c>
      <c r="X49">
        <v>0</v>
      </c>
      <c r="Y49">
        <f>K49*(D49+2*$F$5)*G49*$F$6/1000000000</f>
        <v>0.151875</v>
      </c>
      <c r="Z49">
        <f>K49*(D49+2*$F$5)*($F$4-J49+($F$6+$F$7)/1000)*G49/1000000</f>
        <v>1.974374999999999</v>
      </c>
      <c r="AC49">
        <f>(D49+2*$F$5)*F49*G49/1000000000</f>
        <v>1.8225</v>
      </c>
    </row>
    <row r="50">
      <c r="A50" t="str">
        <f>'Data Panjang Balok'!A46</f>
        <v>Lantai 1</v>
      </c>
      <c r="B50">
        <f>'Data Panjang Balok'!B46</f>
        <v>36</v>
      </c>
      <c r="C50" t="str">
        <f>'Data Panjang Balok'!D46</f>
        <v>S24-1</v>
      </c>
      <c r="D50">
        <f>IF(C50&gt;0,VLOOKUP(C50,'Detail Balok'!$C$11:$AU$140,2,FALSE),0)</f>
        <v>200</v>
      </c>
      <c r="E50" t="str">
        <v>x</v>
      </c>
      <c r="F50">
        <f>IF(C50&gt;0,VLOOKUP(C50,'Detail Balok'!$C$11:$AU$140,3,FALSE),0)</f>
        <v>400</v>
      </c>
      <c r="G50">
        <f>'Data Panjang Balok'!I46</f>
        <v>5370</v>
      </c>
      <c r="H50">
        <f>'Data Panjang Balok'!J46</f>
        <v>0</v>
      </c>
      <c r="I50">
        <v>-3.5</v>
      </c>
      <c r="J50">
        <f>I50-F50/1000</f>
        <v>-3.9</v>
      </c>
      <c r="K50">
        <f>'Data Panjang Balok'!E46</f>
        <v>1</v>
      </c>
      <c r="L50">
        <f>SUMIFS('Besi Balok'!$AA$23:$AA$7253,'Besi Balok'!$A$23:$A$7253,$A50,'Besi Balok'!$B$23:$B$7253,$B50,'Besi Balok'!$F$23:$F$7253,'REKAP Balok'!L$11)</f>
        <v>0</v>
      </c>
      <c r="M50">
        <f>SUMIFS('Besi Balok'!$AA$23:$AA$7253,'Besi Balok'!$A$23:$A$7253,$A50,'Besi Balok'!$B$23:$B$7253,$B50,'Besi Balok'!$F$23:$F$7253,'REKAP Balok'!M$11)</f>
        <v>13.411094400000001</v>
      </c>
      <c r="N50">
        <f>SUMIFS('Besi Balok'!$AA$23:$AA$7253,'Besi Balok'!$A$23:$A$7253,$A50,'Besi Balok'!$B$23:$B$7253,$B50,'Besi Balok'!$F$23:$F$7253,'REKAP Balok'!N$11)</f>
        <v>0</v>
      </c>
      <c r="O50">
        <f>SUMIFS('Besi Balok'!$AA$23:$AA$7253,'Besi Balok'!$A$23:$A$7253,$A50,'Besi Balok'!$B$23:$B$7253,$B50,'Besi Balok'!$F$23:$F$7253,'REKAP Balok'!O$11)</f>
        <v>35.519943420000004</v>
      </c>
      <c r="P50">
        <f>SUMIFS('Besi Balok'!$AA$23:$AA$7253,'Besi Balok'!$A$23:$A$7253,$A50,'Besi Balok'!$B$23:$B$7253,$B50,'Besi Balok'!$F$23:$F$7253,'REKAP Balok'!P$11)</f>
        <v>0</v>
      </c>
      <c r="Q50">
        <f>SUMIFS('Besi Balok'!$AA$23:$AA$7253,'Besi Balok'!$A$23:$A$7253,$A50,'Besi Balok'!$B$23:$B$7253,$B50,'Besi Balok'!$F$23:$F$7253,'REKAP Balok'!Q$11)</f>
        <v>0</v>
      </c>
      <c r="R50">
        <f>SUMIFS('Besi Balok'!$AA$23:$AA$7253,'Besi Balok'!$A$23:$A$7253,$A50,'Besi Balok'!$B$23:$B$7253,$B50,'Besi Balok'!$F$23:$F$7253,'REKAP Balok'!R$11)</f>
        <v>0</v>
      </c>
      <c r="S50">
        <f>SUMIFS('Besi Balok'!$AA$23:$AA$7253,'Besi Balok'!$A$23:$A$7253,$A50,'Besi Balok'!$B$23:$B$7253,$B50,'Besi Balok'!$F$23:$F$7253,'REKAP Balok'!S$11)</f>
        <v>0</v>
      </c>
      <c r="T50">
        <f>SUMIFS('Besi Balok'!$AA$23:$AA$7253,'Besi Balok'!$A$23:$A$7253,$A50,'Besi Balok'!$B$23:$B$7253,$B50,'Besi Balok'!$F$23:$F$7253,'REKAP Balok'!T$11)</f>
        <v>0</v>
      </c>
      <c r="U50">
        <f>SUM(L50:T50)</f>
        <v>48.93103782000001</v>
      </c>
      <c r="V50">
        <f>(D50*(F50-H50)*G50*K50)/1000000000</f>
        <v>0.4296</v>
      </c>
      <c r="W50">
        <f>(((F50-H50)*2)*(G50)*K50)/1000000</f>
        <v>4.296</v>
      </c>
      <c r="X50">
        <v>0</v>
      </c>
      <c r="Y50">
        <f>K50*(D50+2*$F$5)*G50*$F$6/1000000000</f>
        <v>0.1074</v>
      </c>
      <c r="Z50">
        <f>K50*(D50+2*$F$5)*($F$4-J50+($F$6+$F$7)/1000)*G50/1000000</f>
        <v>0.9665999999999999</v>
      </c>
      <c r="AC50">
        <f>(D50+2*$F$5)*F50*G50/1000000000</f>
        <v>0.8592</v>
      </c>
    </row>
    <row r="51">
      <c r="A51" t="str">
        <f>'Data Panjang Balok'!A47</f>
        <v>Lantai 1</v>
      </c>
      <c r="B51">
        <f>'Data Panjang Balok'!B47</f>
        <v>37</v>
      </c>
      <c r="C51" t="str">
        <f>'Data Panjang Balok'!D47</f>
        <v>S24-2</v>
      </c>
      <c r="D51">
        <f>IF(C51&gt;0,VLOOKUP(C51,'Detail Balok'!$C$11:$AU$140,2,FALSE),0)</f>
        <v>200</v>
      </c>
      <c r="E51" t="str">
        <v>x</v>
      </c>
      <c r="F51">
        <f>IF(C51&gt;0,VLOOKUP(C51,'Detail Balok'!$C$11:$AU$140,3,FALSE),0)</f>
        <v>400</v>
      </c>
      <c r="G51">
        <f>'Data Panjang Balok'!I47</f>
        <v>5500</v>
      </c>
      <c r="H51">
        <f>'Data Panjang Balok'!J47</f>
        <v>150</v>
      </c>
      <c r="I51">
        <v>-3.5</v>
      </c>
      <c r="J51">
        <f>I51-F51/1000</f>
        <v>-3.9</v>
      </c>
      <c r="K51">
        <f>'Data Panjang Balok'!E47</f>
        <v>1</v>
      </c>
      <c r="L51">
        <f>SUMIFS('Besi Balok'!$AA$23:$AA$7253,'Besi Balok'!$A$23:$A$7253,$A51,'Besi Balok'!$B$23:$B$7253,$B51,'Besi Balok'!$F$23:$F$7253,'REKAP Balok'!L$11)</f>
        <v>0</v>
      </c>
      <c r="M51">
        <f>SUMIFS('Besi Balok'!$AA$23:$AA$7253,'Besi Balok'!$A$23:$A$7253,$A51,'Besi Balok'!$B$23:$B$7253,$B51,'Besi Balok'!$F$23:$F$7253,'REKAP Balok'!M$11)</f>
        <v>13.817491200000003</v>
      </c>
      <c r="N51">
        <f>SUMIFS('Besi Balok'!$AA$23:$AA$7253,'Besi Balok'!$A$23:$A$7253,$A51,'Besi Balok'!$B$23:$B$7253,$B51,'Besi Balok'!$F$23:$F$7253,'REKAP Balok'!N$11)</f>
        <v>0</v>
      </c>
      <c r="O51">
        <f>SUMIFS('Besi Balok'!$AA$23:$AA$7253,'Besi Balok'!$A$23:$A$7253,$A51,'Besi Balok'!$B$23:$B$7253,$B51,'Besi Balok'!$F$23:$F$7253,'REKAP Balok'!O$11)</f>
        <v>0</v>
      </c>
      <c r="P51">
        <f>SUMIFS('Besi Balok'!$AA$23:$AA$7253,'Besi Balok'!$A$23:$A$7253,$A51,'Besi Balok'!$B$23:$B$7253,$B51,'Besi Balok'!$F$23:$F$7253,'REKAP Balok'!P$11)</f>
        <v>55.71818496000001</v>
      </c>
      <c r="Q51">
        <f>SUMIFS('Besi Balok'!$AA$23:$AA$7253,'Besi Balok'!$A$23:$A$7253,$A51,'Besi Balok'!$B$23:$B$7253,$B51,'Besi Balok'!$F$23:$F$7253,'REKAP Balok'!Q$11)</f>
        <v>0</v>
      </c>
      <c r="R51">
        <f>SUMIFS('Besi Balok'!$AA$23:$AA$7253,'Besi Balok'!$A$23:$A$7253,$A51,'Besi Balok'!$B$23:$B$7253,$B51,'Besi Balok'!$F$23:$F$7253,'REKAP Balok'!R$11)</f>
        <v>0</v>
      </c>
      <c r="S51">
        <f>SUMIFS('Besi Balok'!$AA$23:$AA$7253,'Besi Balok'!$A$23:$A$7253,$A51,'Besi Balok'!$B$23:$B$7253,$B51,'Besi Balok'!$F$23:$F$7253,'REKAP Balok'!S$11)</f>
        <v>0</v>
      </c>
      <c r="T51">
        <f>SUMIFS('Besi Balok'!$AA$23:$AA$7253,'Besi Balok'!$A$23:$A$7253,$A51,'Besi Balok'!$B$23:$B$7253,$B51,'Besi Balok'!$F$23:$F$7253,'REKAP Balok'!T$11)</f>
        <v>0</v>
      </c>
      <c r="U51">
        <f>SUM(L51:T51)</f>
        <v>69.53567616000001</v>
      </c>
      <c r="V51">
        <f>(D51*(F51-H51)*G51*K51)/1000000000</f>
        <v>0.275</v>
      </c>
      <c r="W51">
        <f>(((F51-H51)*2)*(G51)*K51)/1000000</f>
        <v>2.75</v>
      </c>
      <c r="X51">
        <v>0</v>
      </c>
      <c r="Y51">
        <f>K51*(D51+2*$F$5)*G51*$F$6/1000000000</f>
        <v>0.11</v>
      </c>
      <c r="Z51">
        <f>K51*(D51+2*$F$5)*($F$4-J51+($F$6+$F$7)/1000)*G51/1000000</f>
        <v>0.9899999999999999</v>
      </c>
      <c r="AC51">
        <f>(D51+2*$F$5)*F51*G51/1000000000</f>
        <v>0.88</v>
      </c>
    </row>
    <row r="52">
      <c r="A52" t="str">
        <f>'Data Panjang Balok'!A48</f>
        <v>Lantai 1</v>
      </c>
      <c r="B52">
        <f>'Data Panjang Balok'!B48</f>
        <v>38</v>
      </c>
      <c r="C52" t="str">
        <f>'Data Panjang Balok'!D48</f>
        <v>S24-1</v>
      </c>
      <c r="D52">
        <f>IF(C52&gt;0,VLOOKUP(C52,'Detail Balok'!$C$11:$AU$140,2,FALSE),0)</f>
        <v>200</v>
      </c>
      <c r="E52" t="str">
        <v>x</v>
      </c>
      <c r="F52">
        <f>IF(C52&gt;0,VLOOKUP(C52,'Detail Balok'!$C$11:$AU$140,3,FALSE),0)</f>
        <v>400</v>
      </c>
      <c r="G52">
        <f>'Data Panjang Balok'!I48</f>
        <v>8825</v>
      </c>
      <c r="H52">
        <f>'Data Panjang Balok'!J48</f>
        <v>150</v>
      </c>
      <c r="I52">
        <v>-3.5</v>
      </c>
      <c r="J52">
        <f>I52-F52/1000</f>
        <v>-3.9</v>
      </c>
      <c r="K52">
        <f>'Data Panjang Balok'!E48</f>
        <v>1</v>
      </c>
      <c r="L52">
        <f>SUMIFS('Besi Balok'!$AA$23:$AA$7253,'Besi Balok'!$A$23:$A$7253,$A52,'Besi Balok'!$B$23:$B$7253,$B52,'Besi Balok'!$F$23:$F$7253,'REKAP Balok'!L$11)</f>
        <v>0</v>
      </c>
      <c r="M52">
        <f>SUMIFS('Besi Balok'!$AA$23:$AA$7253,'Besi Balok'!$A$23:$A$7253,$A52,'Besi Balok'!$B$23:$B$7253,$B52,'Besi Balok'!$F$23:$F$7253,'REKAP Balok'!M$11)</f>
        <v>21.9454272</v>
      </c>
      <c r="N52">
        <f>SUMIFS('Besi Balok'!$AA$23:$AA$7253,'Besi Balok'!$A$23:$A$7253,$A52,'Besi Balok'!$B$23:$B$7253,$B52,'Besi Balok'!$F$23:$F$7253,'REKAP Balok'!N$11)</f>
        <v>0</v>
      </c>
      <c r="O52">
        <f>SUMIFS('Besi Balok'!$AA$23:$AA$7253,'Besi Balok'!$A$23:$A$7253,$A52,'Besi Balok'!$B$23:$B$7253,$B52,'Besi Balok'!$F$23:$F$7253,'REKAP Balok'!O$11)</f>
        <v>57.11821946999999</v>
      </c>
      <c r="P52">
        <f>SUMIFS('Besi Balok'!$AA$23:$AA$7253,'Besi Balok'!$A$23:$A$7253,$A52,'Besi Balok'!$B$23:$B$7253,$B52,'Besi Balok'!$F$23:$F$7253,'REKAP Balok'!P$11)</f>
        <v>0</v>
      </c>
      <c r="Q52">
        <f>SUMIFS('Besi Balok'!$AA$23:$AA$7253,'Besi Balok'!$A$23:$A$7253,$A52,'Besi Balok'!$B$23:$B$7253,$B52,'Besi Balok'!$F$23:$F$7253,'REKAP Balok'!Q$11)</f>
        <v>0</v>
      </c>
      <c r="R52">
        <f>SUMIFS('Besi Balok'!$AA$23:$AA$7253,'Besi Balok'!$A$23:$A$7253,$A52,'Besi Balok'!$B$23:$B$7253,$B52,'Besi Balok'!$F$23:$F$7253,'REKAP Balok'!R$11)</f>
        <v>0</v>
      </c>
      <c r="S52">
        <f>SUMIFS('Besi Balok'!$AA$23:$AA$7253,'Besi Balok'!$A$23:$A$7253,$A52,'Besi Balok'!$B$23:$B$7253,$B52,'Besi Balok'!$F$23:$F$7253,'REKAP Balok'!S$11)</f>
        <v>0</v>
      </c>
      <c r="T52">
        <f>SUMIFS('Besi Balok'!$AA$23:$AA$7253,'Besi Balok'!$A$23:$A$7253,$A52,'Besi Balok'!$B$23:$B$7253,$B52,'Besi Balok'!$F$23:$F$7253,'REKAP Balok'!T$11)</f>
        <v>0</v>
      </c>
      <c r="U52">
        <f>SUM(L52:T52)</f>
        <v>79.06364667</v>
      </c>
      <c r="V52">
        <f>(D52*(F52-H52)*G52*K52)/1000000000</f>
        <v>0.44125</v>
      </c>
      <c r="W52">
        <f>(((F52-H52)*2)*(G52)*K52)/1000000</f>
        <v>4.4125</v>
      </c>
      <c r="X52">
        <v>0</v>
      </c>
      <c r="Y52">
        <f>K52*(D52+2*$F$5)*G52*$F$6/1000000000</f>
        <v>0.1765</v>
      </c>
      <c r="Z52">
        <f>K52*(D52+2*$F$5)*($F$4-J52+($F$6+$F$7)/1000)*G52/1000000</f>
        <v>1.5884999999999998</v>
      </c>
      <c r="AC52">
        <f>(D52+2*$F$5)*F52*G52/1000000000</f>
        <v>1.412</v>
      </c>
    </row>
    <row r="53">
      <c r="A53" t="str">
        <f>'Data Panjang Balok'!A49</f>
        <v>Lantai 1</v>
      </c>
      <c r="B53">
        <f>'Data Panjang Balok'!B49</f>
        <v>39</v>
      </c>
      <c r="C53" t="str">
        <f>'Data Panjang Balok'!D49</f>
        <v>S24-1</v>
      </c>
      <c r="D53">
        <f>IF(C53&gt;0,VLOOKUP(C53,'Detail Balok'!$C$11:$AU$140,2,FALSE),0)</f>
        <v>200</v>
      </c>
      <c r="E53" t="str">
        <v>x</v>
      </c>
      <c r="F53">
        <f>IF(C53&gt;0,VLOOKUP(C53,'Detail Balok'!$C$11:$AU$140,3,FALSE),0)</f>
        <v>400</v>
      </c>
      <c r="G53">
        <f>'Data Panjang Balok'!I49</f>
        <v>8825</v>
      </c>
      <c r="H53">
        <f>'Data Panjang Balok'!J49</f>
        <v>0</v>
      </c>
      <c r="I53">
        <v>-3.5</v>
      </c>
      <c r="J53">
        <f>I53-F53/1000</f>
        <v>-3.9</v>
      </c>
      <c r="K53">
        <f>'Data Panjang Balok'!E49</f>
        <v>1</v>
      </c>
      <c r="L53">
        <f>SUMIFS('Besi Balok'!$AA$23:$AA$7253,'Besi Balok'!$A$23:$A$7253,$A53,'Besi Balok'!$B$23:$B$7253,$B53,'Besi Balok'!$F$23:$F$7253,'REKAP Balok'!L$11)</f>
        <v>0</v>
      </c>
      <c r="M53">
        <f>SUMIFS('Besi Balok'!$AA$23:$AA$7253,'Besi Balok'!$A$23:$A$7253,$A53,'Besi Balok'!$B$23:$B$7253,$B53,'Besi Balok'!$F$23:$F$7253,'REKAP Balok'!M$11)</f>
        <v>21.9454272</v>
      </c>
      <c r="N53">
        <f>SUMIFS('Besi Balok'!$AA$23:$AA$7253,'Besi Balok'!$A$23:$A$7253,$A53,'Besi Balok'!$B$23:$B$7253,$B53,'Besi Balok'!$F$23:$F$7253,'REKAP Balok'!N$11)</f>
        <v>0</v>
      </c>
      <c r="O53">
        <f>SUMIFS('Besi Balok'!$AA$23:$AA$7253,'Besi Balok'!$A$23:$A$7253,$A53,'Besi Balok'!$B$23:$B$7253,$B53,'Besi Balok'!$F$23:$F$7253,'REKAP Balok'!O$11)</f>
        <v>57.11821946999999</v>
      </c>
      <c r="P53">
        <f>SUMIFS('Besi Balok'!$AA$23:$AA$7253,'Besi Balok'!$A$23:$A$7253,$A53,'Besi Balok'!$B$23:$B$7253,$B53,'Besi Balok'!$F$23:$F$7253,'REKAP Balok'!P$11)</f>
        <v>0</v>
      </c>
      <c r="Q53">
        <f>SUMIFS('Besi Balok'!$AA$23:$AA$7253,'Besi Balok'!$A$23:$A$7253,$A53,'Besi Balok'!$B$23:$B$7253,$B53,'Besi Balok'!$F$23:$F$7253,'REKAP Balok'!Q$11)</f>
        <v>0</v>
      </c>
      <c r="R53">
        <f>SUMIFS('Besi Balok'!$AA$23:$AA$7253,'Besi Balok'!$A$23:$A$7253,$A53,'Besi Balok'!$B$23:$B$7253,$B53,'Besi Balok'!$F$23:$F$7253,'REKAP Balok'!R$11)</f>
        <v>0</v>
      </c>
      <c r="S53">
        <f>SUMIFS('Besi Balok'!$AA$23:$AA$7253,'Besi Balok'!$A$23:$A$7253,$A53,'Besi Balok'!$B$23:$B$7253,$B53,'Besi Balok'!$F$23:$F$7253,'REKAP Balok'!S$11)</f>
        <v>0</v>
      </c>
      <c r="T53">
        <f>SUMIFS('Besi Balok'!$AA$23:$AA$7253,'Besi Balok'!$A$23:$A$7253,$A53,'Besi Balok'!$B$23:$B$7253,$B53,'Besi Balok'!$F$23:$F$7253,'REKAP Balok'!T$11)</f>
        <v>0</v>
      </c>
      <c r="U53">
        <f>SUM(L53:T53)</f>
        <v>79.06364667</v>
      </c>
      <c r="V53">
        <f>(D53*(F53-H53)*G53*K53)/1000000000</f>
        <v>0.706</v>
      </c>
      <c r="W53">
        <f>(((F53-H53)*2)*(G53)*K53)/1000000</f>
        <v>7.06</v>
      </c>
      <c r="X53">
        <v>0</v>
      </c>
      <c r="Y53">
        <f>K53*(D53+2*$F$5)*G53*$F$6/1000000000</f>
        <v>0.1765</v>
      </c>
      <c r="Z53">
        <f>K53*(D53+2*$F$5)*($F$4-J53+($F$6+$F$7)/1000)*G53/1000000</f>
        <v>1.5884999999999998</v>
      </c>
      <c r="AC53">
        <f>(D53+2*$F$5)*F53*G53/1000000000</f>
        <v>1.412</v>
      </c>
    </row>
    <row r="54">
      <c r="A54" t="str">
        <f>'Data Panjang Balok'!A50</f>
        <v>Lantai 1</v>
      </c>
      <c r="B54">
        <f>'Data Panjang Balok'!B50</f>
        <v>40</v>
      </c>
      <c r="C54" t="str">
        <f>'Data Panjang Balok'!D50</f>
        <v>S24-1</v>
      </c>
      <c r="D54">
        <f>IF(C54&gt;0,VLOOKUP(C54,'Detail Balok'!$C$11:$AU$140,2,FALSE),0)</f>
        <v>200</v>
      </c>
      <c r="E54" t="str">
        <v>x</v>
      </c>
      <c r="F54">
        <f>IF(C54&gt;0,VLOOKUP(C54,'Detail Balok'!$C$11:$AU$140,3,FALSE),0)</f>
        <v>400</v>
      </c>
      <c r="G54">
        <f>'Data Panjang Balok'!I50</f>
        <v>16710</v>
      </c>
      <c r="H54">
        <f>'Data Panjang Balok'!J50</f>
        <v>0</v>
      </c>
      <c r="I54">
        <v>-3.5</v>
      </c>
      <c r="J54">
        <f>I54-F54/1000</f>
        <v>-3.9</v>
      </c>
      <c r="K54">
        <f>'Data Panjang Balok'!E50</f>
        <v>1</v>
      </c>
      <c r="L54">
        <f>SUMIFS('Besi Balok'!$AA$23:$AA$7253,'Besi Balok'!$A$23:$A$7253,$A54,'Besi Balok'!$B$23:$B$7253,$B54,'Besi Balok'!$F$23:$F$7253,'REKAP Balok'!L$11)</f>
        <v>0</v>
      </c>
      <c r="M54">
        <f>SUMIFS('Besi Balok'!$AA$23:$AA$7253,'Besi Balok'!$A$23:$A$7253,$A54,'Besi Balok'!$B$23:$B$7253,$B54,'Besi Balok'!$F$23:$F$7253,'REKAP Balok'!M$11)</f>
        <v>40.639680000000006</v>
      </c>
      <c r="N54">
        <f>SUMIFS('Besi Balok'!$AA$23:$AA$7253,'Besi Balok'!$A$23:$A$7253,$A54,'Besi Balok'!$B$23:$B$7253,$B54,'Besi Balok'!$F$23:$F$7253,'REKAP Balok'!N$11)</f>
        <v>0</v>
      </c>
      <c r="O54">
        <f>SUMIFS('Besi Balok'!$AA$23:$AA$7253,'Besi Balok'!$A$23:$A$7253,$A54,'Besi Balok'!$B$23:$B$7253,$B54,'Besi Balok'!$F$23:$F$7253,'REKAP Balok'!O$11)</f>
        <v>106.4138621715</v>
      </c>
      <c r="P54">
        <f>SUMIFS('Besi Balok'!$AA$23:$AA$7253,'Besi Balok'!$A$23:$A$7253,$A54,'Besi Balok'!$B$23:$B$7253,$B54,'Besi Balok'!$F$23:$F$7253,'REKAP Balok'!P$11)</f>
        <v>0</v>
      </c>
      <c r="Q54">
        <f>SUMIFS('Besi Balok'!$AA$23:$AA$7253,'Besi Balok'!$A$23:$A$7253,$A54,'Besi Balok'!$B$23:$B$7253,$B54,'Besi Balok'!$F$23:$F$7253,'REKAP Balok'!Q$11)</f>
        <v>0</v>
      </c>
      <c r="R54">
        <f>SUMIFS('Besi Balok'!$AA$23:$AA$7253,'Besi Balok'!$A$23:$A$7253,$A54,'Besi Balok'!$B$23:$B$7253,$B54,'Besi Balok'!$F$23:$F$7253,'REKAP Balok'!R$11)</f>
        <v>0</v>
      </c>
      <c r="S54">
        <f>SUMIFS('Besi Balok'!$AA$23:$AA$7253,'Besi Balok'!$A$23:$A$7253,$A54,'Besi Balok'!$B$23:$B$7253,$B54,'Besi Balok'!$F$23:$F$7253,'REKAP Balok'!S$11)</f>
        <v>0</v>
      </c>
      <c r="T54">
        <f>SUMIFS('Besi Balok'!$AA$23:$AA$7253,'Besi Balok'!$A$23:$A$7253,$A54,'Besi Balok'!$B$23:$B$7253,$B54,'Besi Balok'!$F$23:$F$7253,'REKAP Balok'!T$11)</f>
        <v>0</v>
      </c>
      <c r="U54">
        <f>SUM(L54:T54)</f>
        <v>147.0535421715</v>
      </c>
      <c r="V54">
        <f>(D54*(F54-H54)*G54*K54)/1000000000</f>
        <v>1.3368</v>
      </c>
      <c r="W54">
        <f>(((F54-H54)*2)*(G54)*K54)/1000000</f>
        <v>13.368</v>
      </c>
      <c r="X54">
        <v>0</v>
      </c>
      <c r="Y54">
        <f>K54*(D54+2*$F$5)*G54*$F$6/1000000000</f>
        <v>0.3342</v>
      </c>
      <c r="Z54">
        <f>K54*(D54+2*$F$5)*($F$4-J54+($F$6+$F$7)/1000)*G54/1000000</f>
        <v>3.0077999999999996</v>
      </c>
      <c r="AC54">
        <f>(D54+2*$F$5)*F54*G54/1000000000</f>
        <v>2.6736</v>
      </c>
    </row>
    <row r="55">
      <c r="A55" t="str">
        <f>'Data Panjang Balok'!A51</f>
        <v>Lantai 1</v>
      </c>
      <c r="B55">
        <f>'Data Panjang Balok'!B51</f>
        <v>41</v>
      </c>
      <c r="C55" t="str">
        <f>'Data Panjang Balok'!D51</f>
        <v>S24-1</v>
      </c>
      <c r="D55">
        <f>IF(C55&gt;0,VLOOKUP(C55,'Detail Balok'!$C$11:$AU$140,2,FALSE),0)</f>
        <v>200</v>
      </c>
      <c r="E55" t="str">
        <v>x</v>
      </c>
      <c r="F55">
        <f>IF(C55&gt;0,VLOOKUP(C55,'Detail Balok'!$C$11:$AU$140,3,FALSE),0)</f>
        <v>400</v>
      </c>
      <c r="G55">
        <f>'Data Panjang Balok'!I51</f>
        <v>7090</v>
      </c>
      <c r="H55">
        <f>'Data Panjang Balok'!J51</f>
        <v>0</v>
      </c>
      <c r="I55">
        <v>-3.5</v>
      </c>
      <c r="J55">
        <f>I55-F55/1000</f>
        <v>-3.9</v>
      </c>
      <c r="K55">
        <f>'Data Panjang Balok'!E51</f>
        <v>1</v>
      </c>
      <c r="L55">
        <f>SUMIFS('Besi Balok'!$AA$23:$AA$7253,'Besi Balok'!$A$23:$A$7253,$A55,'Besi Balok'!$B$23:$B$7253,$B55,'Besi Balok'!$F$23:$F$7253,'REKAP Balok'!L$11)</f>
        <v>0</v>
      </c>
      <c r="M55">
        <f>SUMIFS('Besi Balok'!$AA$23:$AA$7253,'Besi Balok'!$A$23:$A$7253,$A55,'Besi Balok'!$B$23:$B$7253,$B55,'Besi Balok'!$F$23:$F$7253,'REKAP Balok'!M$11)</f>
        <v>17.881459200000002</v>
      </c>
      <c r="N55">
        <f>SUMIFS('Besi Balok'!$AA$23:$AA$7253,'Besi Balok'!$A$23:$A$7253,$A55,'Besi Balok'!$B$23:$B$7253,$B55,'Besi Balok'!$F$23:$F$7253,'REKAP Balok'!N$11)</f>
        <v>0</v>
      </c>
      <c r="O55">
        <f>SUMIFS('Besi Balok'!$AA$23:$AA$7253,'Besi Balok'!$A$23:$A$7253,$A55,'Besi Balok'!$B$23:$B$7253,$B55,'Besi Balok'!$F$23:$F$7253,'REKAP Balok'!O$11)</f>
        <v>46.27219661999999</v>
      </c>
      <c r="P55">
        <f>SUMIFS('Besi Balok'!$AA$23:$AA$7253,'Besi Balok'!$A$23:$A$7253,$A55,'Besi Balok'!$B$23:$B$7253,$B55,'Besi Balok'!$F$23:$F$7253,'REKAP Balok'!P$11)</f>
        <v>0</v>
      </c>
      <c r="Q55">
        <f>SUMIFS('Besi Balok'!$AA$23:$AA$7253,'Besi Balok'!$A$23:$A$7253,$A55,'Besi Balok'!$B$23:$B$7253,$B55,'Besi Balok'!$F$23:$F$7253,'REKAP Balok'!Q$11)</f>
        <v>0</v>
      </c>
      <c r="R55">
        <f>SUMIFS('Besi Balok'!$AA$23:$AA$7253,'Besi Balok'!$A$23:$A$7253,$A55,'Besi Balok'!$B$23:$B$7253,$B55,'Besi Balok'!$F$23:$F$7253,'REKAP Balok'!R$11)</f>
        <v>0</v>
      </c>
      <c r="S55">
        <f>SUMIFS('Besi Balok'!$AA$23:$AA$7253,'Besi Balok'!$A$23:$A$7253,$A55,'Besi Balok'!$B$23:$B$7253,$B55,'Besi Balok'!$F$23:$F$7253,'REKAP Balok'!S$11)</f>
        <v>0</v>
      </c>
      <c r="T55">
        <f>SUMIFS('Besi Balok'!$AA$23:$AA$7253,'Besi Balok'!$A$23:$A$7253,$A55,'Besi Balok'!$B$23:$B$7253,$B55,'Besi Balok'!$F$23:$F$7253,'REKAP Balok'!T$11)</f>
        <v>0</v>
      </c>
      <c r="U55">
        <f>SUM(L55:T55)</f>
        <v>64.15365581999998</v>
      </c>
      <c r="V55">
        <f>(D55*(F55-H55)*G55*K55)/1000000000</f>
        <v>0.5672</v>
      </c>
      <c r="W55">
        <f>(((F55-H55)*2)*(G55)*K55)/1000000</f>
        <v>5.672</v>
      </c>
      <c r="X55">
        <v>0</v>
      </c>
      <c r="Y55">
        <f>K55*(D55+2*$F$5)*G55*$F$6/1000000000</f>
        <v>0.1418</v>
      </c>
      <c r="Z55">
        <f>K55*(D55+2*$F$5)*($F$4-J55+($F$6+$F$7)/1000)*G55/1000000</f>
        <v>1.2761999999999998</v>
      </c>
      <c r="AC55">
        <f>(D55+2*$F$5)*F55*G55/1000000000</f>
        <v>1.1344</v>
      </c>
    </row>
    <row r="56">
      <c r="A56" t="str">
        <f>'Data Panjang Balok'!A52</f>
        <v>Lantai 1</v>
      </c>
      <c r="B56">
        <f>'Data Panjang Balok'!B52</f>
        <v>42</v>
      </c>
      <c r="C56" t="str">
        <f>'Data Panjang Balok'!D52</f>
        <v>S25-1</v>
      </c>
      <c r="D56">
        <f>IF(C56&gt;0,VLOOKUP(C56,'Detail Balok'!$C$11:$AU$140,2,FALSE),0)</f>
        <v>200</v>
      </c>
      <c r="E56" t="str">
        <v>x</v>
      </c>
      <c r="F56">
        <f>IF(C56&gt;0,VLOOKUP(C56,'Detail Balok'!$C$11:$AU$140,3,FALSE),0)</f>
        <v>500</v>
      </c>
      <c r="G56">
        <f>'Data Panjang Balok'!I52</f>
        <v>5500</v>
      </c>
      <c r="H56">
        <f>'Data Panjang Balok'!J52</f>
        <v>150</v>
      </c>
      <c r="I56">
        <v>-3.5</v>
      </c>
      <c r="J56">
        <f>I56-F56/1000</f>
        <v>-4</v>
      </c>
      <c r="K56">
        <f>'Data Panjang Balok'!E52</f>
        <v>1</v>
      </c>
      <c r="L56">
        <f>SUMIFS('Besi Balok'!$AA$23:$AA$7253,'Besi Balok'!$A$23:$A$7253,$A56,'Besi Balok'!$B$23:$B$7253,$B56,'Besi Balok'!$F$23:$F$7253,'REKAP Balok'!L$11)</f>
        <v>0</v>
      </c>
      <c r="M56">
        <f>SUMIFS('Besi Balok'!$AA$23:$AA$7253,'Besi Balok'!$A$23:$A$7253,$A56,'Besi Balok'!$B$23:$B$7253,$B56,'Besi Balok'!$F$23:$F$7253,'REKAP Balok'!M$11)</f>
        <v>16.5004992</v>
      </c>
      <c r="N56">
        <f>SUMIFS('Besi Balok'!$AA$23:$AA$7253,'Besi Balok'!$A$23:$A$7253,$A56,'Besi Balok'!$B$23:$B$7253,$B56,'Besi Balok'!$F$23:$F$7253,'REKAP Balok'!N$11)</f>
        <v>7.077420000000001</v>
      </c>
      <c r="O56">
        <f>SUMIFS('Besi Balok'!$AA$23:$AA$7253,'Besi Balok'!$A$23:$A$7253,$A56,'Besi Balok'!$B$23:$B$7253,$B56,'Besi Balok'!$F$23:$F$7253,'REKAP Balok'!O$11)</f>
        <v>0</v>
      </c>
      <c r="P56">
        <f>SUMIFS('Besi Balok'!$AA$23:$AA$7253,'Besi Balok'!$A$23:$A$7253,$A56,'Besi Balok'!$B$23:$B$7253,$B56,'Besi Balok'!$F$23:$F$7253,'REKAP Balok'!P$11)</f>
        <v>55.71818496000001</v>
      </c>
      <c r="Q56">
        <f>SUMIFS('Besi Balok'!$AA$23:$AA$7253,'Besi Balok'!$A$23:$A$7253,$A56,'Besi Balok'!$B$23:$B$7253,$B56,'Besi Balok'!$F$23:$F$7253,'REKAP Balok'!Q$11)</f>
        <v>0</v>
      </c>
      <c r="R56">
        <f>SUMIFS('Besi Balok'!$AA$23:$AA$7253,'Besi Balok'!$A$23:$A$7253,$A56,'Besi Balok'!$B$23:$B$7253,$B56,'Besi Balok'!$F$23:$F$7253,'REKAP Balok'!R$11)</f>
        <v>0</v>
      </c>
      <c r="S56">
        <f>SUMIFS('Besi Balok'!$AA$23:$AA$7253,'Besi Balok'!$A$23:$A$7253,$A56,'Besi Balok'!$B$23:$B$7253,$B56,'Besi Balok'!$F$23:$F$7253,'REKAP Balok'!S$11)</f>
        <v>0</v>
      </c>
      <c r="T56">
        <f>SUMIFS('Besi Balok'!$AA$23:$AA$7253,'Besi Balok'!$A$23:$A$7253,$A56,'Besi Balok'!$B$23:$B$7253,$B56,'Besi Balok'!$F$23:$F$7253,'REKAP Balok'!T$11)</f>
        <v>0</v>
      </c>
      <c r="U56">
        <f>SUM(L56:T56)</f>
        <v>79.29610416000001</v>
      </c>
      <c r="V56">
        <f>(D56*(F56-H56)*G56*K56)/1000000000</f>
        <v>0.385</v>
      </c>
      <c r="W56">
        <f>(((F56-H56)*2)*(G56)*K56)/1000000</f>
        <v>3.85</v>
      </c>
      <c r="X56">
        <v>0</v>
      </c>
      <c r="Y56">
        <f>K56*(D56+2*$F$5)*G56*$F$6/1000000000</f>
        <v>0.11</v>
      </c>
      <c r="Z56">
        <f>K56*(D56+2*$F$5)*($F$4-J56+($F$6+$F$7)/1000)*G56/1000000</f>
        <v>1.2100000000000002</v>
      </c>
      <c r="AB56">
        <f>U56/V56</f>
        <v>205.96390690909095</v>
      </c>
      <c r="AC56">
        <f>(D56+2*$F$5)*F56*G56/1000000000</f>
        <v>1.1</v>
      </c>
    </row>
    <row r="57">
      <c r="A57" t="str">
        <f>'Data Panjang Balok'!A53</f>
        <v>Lantai 1</v>
      </c>
      <c r="B57">
        <f>'Data Panjang Balok'!B53</f>
        <v>43</v>
      </c>
      <c r="C57" t="str">
        <f>'Data Panjang Balok'!D53</f>
        <v>S25-1</v>
      </c>
      <c r="D57">
        <f>IF(C57&gt;0,VLOOKUP(C57,'Detail Balok'!$C$11:$AU$140,2,FALSE),0)</f>
        <v>200</v>
      </c>
      <c r="E57" t="str">
        <v>x</v>
      </c>
      <c r="F57">
        <f>IF(C57&gt;0,VLOOKUP(C57,'Detail Balok'!$C$11:$AU$140,3,FALSE),0)</f>
        <v>500</v>
      </c>
      <c r="G57">
        <f>'Data Panjang Balok'!I53</f>
        <v>5575</v>
      </c>
      <c r="H57">
        <f>'Data Panjang Balok'!J53</f>
        <v>150</v>
      </c>
      <c r="I57">
        <v>-3.5</v>
      </c>
      <c r="J57">
        <f>I57-F57/1000</f>
        <v>-4</v>
      </c>
      <c r="K57">
        <f>'Data Panjang Balok'!E53</f>
        <v>1</v>
      </c>
      <c r="L57">
        <f>SUMIFS('Besi Balok'!$AA$23:$AA$7253,'Besi Balok'!$A$23:$A$7253,$A57,'Besi Balok'!$B$23:$B$7253,$B57,'Besi Balok'!$F$23:$F$7253,'REKAP Balok'!L$11)</f>
        <v>0</v>
      </c>
      <c r="M57">
        <f>SUMIFS('Besi Balok'!$AA$23:$AA$7253,'Besi Balok'!$A$23:$A$7253,$A57,'Besi Balok'!$B$23:$B$7253,$B57,'Besi Balok'!$F$23:$F$7253,'REKAP Balok'!M$11)</f>
        <v>16.5004992</v>
      </c>
      <c r="N57">
        <f>SUMIFS('Besi Balok'!$AA$23:$AA$7253,'Besi Balok'!$A$23:$A$7253,$A57,'Besi Balok'!$B$23:$B$7253,$B57,'Besi Balok'!$F$23:$F$7253,'REKAP Balok'!N$11)</f>
        <v>7.169895000000001</v>
      </c>
      <c r="O57">
        <f>SUMIFS('Besi Balok'!$AA$23:$AA$7253,'Besi Balok'!$A$23:$A$7253,$A57,'Besi Balok'!$B$23:$B$7253,$B57,'Besi Balok'!$F$23:$F$7253,'REKAP Balok'!O$11)</f>
        <v>0</v>
      </c>
      <c r="P57">
        <f>SUMIFS('Besi Balok'!$AA$23:$AA$7253,'Besi Balok'!$A$23:$A$7253,$A57,'Besi Balok'!$B$23:$B$7253,$B57,'Besi Balok'!$F$23:$F$7253,'REKAP Balok'!P$11)</f>
        <v>56.42839296000001</v>
      </c>
      <c r="Q57">
        <f>SUMIFS('Besi Balok'!$AA$23:$AA$7253,'Besi Balok'!$A$23:$A$7253,$A57,'Besi Balok'!$B$23:$B$7253,$B57,'Besi Balok'!$F$23:$F$7253,'REKAP Balok'!Q$11)</f>
        <v>0</v>
      </c>
      <c r="R57">
        <f>SUMIFS('Besi Balok'!$AA$23:$AA$7253,'Besi Balok'!$A$23:$A$7253,$A57,'Besi Balok'!$B$23:$B$7253,$B57,'Besi Balok'!$F$23:$F$7253,'REKAP Balok'!R$11)</f>
        <v>0</v>
      </c>
      <c r="S57">
        <f>SUMIFS('Besi Balok'!$AA$23:$AA$7253,'Besi Balok'!$A$23:$A$7253,$A57,'Besi Balok'!$B$23:$B$7253,$B57,'Besi Balok'!$F$23:$F$7253,'REKAP Balok'!S$11)</f>
        <v>0</v>
      </c>
      <c r="T57">
        <f>SUMIFS('Besi Balok'!$AA$23:$AA$7253,'Besi Balok'!$A$23:$A$7253,$A57,'Besi Balok'!$B$23:$B$7253,$B57,'Besi Balok'!$F$23:$F$7253,'REKAP Balok'!T$11)</f>
        <v>0</v>
      </c>
      <c r="U57">
        <f>SUM(L57:T57)</f>
        <v>80.09878716000001</v>
      </c>
      <c r="V57">
        <f>(D57*(F57-H57)*G57*K57)/1000000000</f>
        <v>0.39025</v>
      </c>
      <c r="W57">
        <f>(((F57-H57)*2)*(G57)*K57)/1000000</f>
        <v>3.9025</v>
      </c>
      <c r="X57">
        <v>0</v>
      </c>
      <c r="Y57">
        <f>K57*(D57+2*$F$5)*G57*$F$6/1000000000</f>
        <v>0.1115</v>
      </c>
      <c r="Z57">
        <f>K57*(D57+2*$F$5)*($F$4-J57+($F$6+$F$7)/1000)*G57/1000000</f>
        <v>1.2265000000000001</v>
      </c>
      <c r="AB57">
        <f>U57/V57</f>
        <v>205.24993506726463</v>
      </c>
      <c r="AC57">
        <f>(D57+2*$F$5)*F57*G57/1000000000</f>
        <v>1.115</v>
      </c>
    </row>
    <row r="58">
      <c r="A58" t="str">
        <f>'Data Panjang Balok'!A54</f>
        <v>Lantai 1</v>
      </c>
      <c r="B58">
        <f>'Data Panjang Balok'!B54</f>
        <v>44</v>
      </c>
      <c r="C58" t="str">
        <f>'Data Panjang Balok'!D54</f>
        <v>S36-1</v>
      </c>
      <c r="D58">
        <f>IF(C58&gt;0,VLOOKUP(C58,'Detail Balok'!$C$11:$AU$140,2,FALSE),0)</f>
        <v>300</v>
      </c>
      <c r="E58" t="str">
        <v>x</v>
      </c>
      <c r="F58">
        <f>IF(C58&gt;0,VLOOKUP(C58,'Detail Balok'!$C$11:$AU$140,3,FALSE),0)</f>
        <v>600</v>
      </c>
      <c r="G58">
        <f>'Data Panjang Balok'!I54</f>
        <v>5585</v>
      </c>
      <c r="H58">
        <f>'Data Panjang Balok'!J54</f>
        <v>150</v>
      </c>
      <c r="I58">
        <v>-3.5</v>
      </c>
      <c r="J58">
        <f>I58-F58/1000</f>
        <v>-4.1</v>
      </c>
      <c r="K58">
        <f>'Data Panjang Balok'!E54</f>
        <v>1</v>
      </c>
      <c r="L58">
        <f>SUMIFS('Besi Balok'!$AA$23:$AA$7253,'Besi Balok'!$A$23:$A$7253,$A58,'Besi Balok'!$B$23:$B$7253,$B58,'Besi Balok'!$F$23:$F$7253,'REKAP Balok'!L$11)</f>
        <v>0</v>
      </c>
      <c r="M58">
        <f>SUMIFS('Besi Balok'!$AA$23:$AA$7253,'Besi Balok'!$A$23:$A$7253,$A58,'Besi Balok'!$B$23:$B$7253,$B58,'Besi Balok'!$F$23:$F$7253,'REKAP Balok'!M$11)</f>
        <v>21.8665152</v>
      </c>
      <c r="N58">
        <f>SUMIFS('Besi Balok'!$AA$23:$AA$7253,'Besi Balok'!$A$23:$A$7253,$A58,'Besi Balok'!$B$23:$B$7253,$B58,'Besi Balok'!$F$23:$F$7253,'REKAP Balok'!N$11)</f>
        <v>7.182225000000001</v>
      </c>
      <c r="O58">
        <f>SUMIFS('Besi Balok'!$AA$23:$AA$7253,'Besi Balok'!$A$23:$A$7253,$A58,'Besi Balok'!$B$23:$B$7253,$B58,'Besi Balok'!$F$23:$F$7253,'REKAP Balok'!O$11)</f>
        <v>0</v>
      </c>
      <c r="P58">
        <f>SUMIFS('Besi Balok'!$AA$23:$AA$7253,'Besi Balok'!$A$23:$A$7253,$A58,'Besi Balok'!$B$23:$B$7253,$B58,'Besi Balok'!$F$23:$F$7253,'REKAP Balok'!P$11)</f>
        <v>75.36411647999999</v>
      </c>
      <c r="Q58">
        <f>SUMIFS('Besi Balok'!$AA$23:$AA$7253,'Besi Balok'!$A$23:$A$7253,$A58,'Besi Balok'!$B$23:$B$7253,$B58,'Besi Balok'!$F$23:$F$7253,'REKAP Balok'!Q$11)</f>
        <v>0</v>
      </c>
      <c r="R58">
        <f>SUMIFS('Besi Balok'!$AA$23:$AA$7253,'Besi Balok'!$A$23:$A$7253,$A58,'Besi Balok'!$B$23:$B$7253,$B58,'Besi Balok'!$F$23:$F$7253,'REKAP Balok'!R$11)</f>
        <v>0</v>
      </c>
      <c r="S58">
        <f>SUMIFS('Besi Balok'!$AA$23:$AA$7253,'Besi Balok'!$A$23:$A$7253,$A58,'Besi Balok'!$B$23:$B$7253,$B58,'Besi Balok'!$F$23:$F$7253,'REKAP Balok'!S$11)</f>
        <v>0</v>
      </c>
      <c r="T58">
        <f>SUMIFS('Besi Balok'!$AA$23:$AA$7253,'Besi Balok'!$A$23:$A$7253,$A58,'Besi Balok'!$B$23:$B$7253,$B58,'Besi Balok'!$F$23:$F$7253,'REKAP Balok'!T$11)</f>
        <v>0</v>
      </c>
      <c r="U58">
        <f>SUM(L58:T58)</f>
        <v>104.41285667999999</v>
      </c>
      <c r="V58">
        <f>(D58*(F58-H58)*G58*K58)/1000000000</f>
        <v>0.753975</v>
      </c>
      <c r="W58">
        <f>(((F58-H58)*2)*(G58)*K58)/1000000</f>
        <v>5.0265</v>
      </c>
      <c r="X58">
        <v>0</v>
      </c>
      <c r="Y58">
        <f>K58*(D58+2*$F$5)*G58*$F$6/1000000000</f>
        <v>0.139625</v>
      </c>
      <c r="Z58">
        <f>K58*(D58+2*$F$5)*($F$4-J58+($F$6+$F$7)/1000)*G58/1000000</f>
        <v>1.815124999999999</v>
      </c>
      <c r="AC58">
        <f>(D58+2*$F$5)*F58*G58/1000000000</f>
        <v>1.6755</v>
      </c>
    </row>
    <row r="59">
      <c r="A59" t="str">
        <f>'Data Panjang Balok'!A55</f>
        <v>Lantai 1</v>
      </c>
      <c r="B59">
        <f>'Data Panjang Balok'!B55</f>
        <v>45</v>
      </c>
      <c r="C59" t="str">
        <f>'Data Panjang Balok'!D55</f>
        <v>S25-1</v>
      </c>
      <c r="D59">
        <f>IF(C59&gt;0,VLOOKUP(C59,'Detail Balok'!$C$11:$AU$140,2,FALSE),0)</f>
        <v>200</v>
      </c>
      <c r="E59" t="str">
        <v>x</v>
      </c>
      <c r="F59">
        <f>IF(C59&gt;0,VLOOKUP(C59,'Detail Balok'!$C$11:$AU$140,3,FALSE),0)</f>
        <v>500</v>
      </c>
      <c r="G59">
        <f>'Data Panjang Balok'!I55</f>
        <v>5575</v>
      </c>
      <c r="H59">
        <f>'Data Panjang Balok'!J55</f>
        <v>150</v>
      </c>
      <c r="I59">
        <v>-3.5</v>
      </c>
      <c r="J59">
        <f>I59-F59/1000</f>
        <v>-4</v>
      </c>
      <c r="K59">
        <f>'Data Panjang Balok'!E55</f>
        <v>1</v>
      </c>
      <c r="L59">
        <f>SUMIFS('Besi Balok'!$AA$23:$AA$7253,'Besi Balok'!$A$23:$A$7253,$A59,'Besi Balok'!$B$23:$B$7253,$B59,'Besi Balok'!$F$23:$F$7253,'REKAP Balok'!L$11)</f>
        <v>0</v>
      </c>
      <c r="M59">
        <f>SUMIFS('Besi Balok'!$AA$23:$AA$7253,'Besi Balok'!$A$23:$A$7253,$A59,'Besi Balok'!$B$23:$B$7253,$B59,'Besi Balok'!$F$23:$F$7253,'REKAP Balok'!M$11)</f>
        <v>16.5004992</v>
      </c>
      <c r="N59">
        <f>SUMIFS('Besi Balok'!$AA$23:$AA$7253,'Besi Balok'!$A$23:$A$7253,$A59,'Besi Balok'!$B$23:$B$7253,$B59,'Besi Balok'!$F$23:$F$7253,'REKAP Balok'!N$11)</f>
        <v>7.169895000000001</v>
      </c>
      <c r="O59">
        <f>SUMIFS('Besi Balok'!$AA$23:$AA$7253,'Besi Balok'!$A$23:$A$7253,$A59,'Besi Balok'!$B$23:$B$7253,$B59,'Besi Balok'!$F$23:$F$7253,'REKAP Balok'!O$11)</f>
        <v>0</v>
      </c>
      <c r="P59">
        <f>SUMIFS('Besi Balok'!$AA$23:$AA$7253,'Besi Balok'!$A$23:$A$7253,$A59,'Besi Balok'!$B$23:$B$7253,$B59,'Besi Balok'!$F$23:$F$7253,'REKAP Balok'!P$11)</f>
        <v>56.42839296000001</v>
      </c>
      <c r="Q59">
        <f>SUMIFS('Besi Balok'!$AA$23:$AA$7253,'Besi Balok'!$A$23:$A$7253,$A59,'Besi Balok'!$B$23:$B$7253,$B59,'Besi Balok'!$F$23:$F$7253,'REKAP Balok'!Q$11)</f>
        <v>0</v>
      </c>
      <c r="R59">
        <f>SUMIFS('Besi Balok'!$AA$23:$AA$7253,'Besi Balok'!$A$23:$A$7253,$A59,'Besi Balok'!$B$23:$B$7253,$B59,'Besi Balok'!$F$23:$F$7253,'REKAP Balok'!R$11)</f>
        <v>0</v>
      </c>
      <c r="S59">
        <f>SUMIFS('Besi Balok'!$AA$23:$AA$7253,'Besi Balok'!$A$23:$A$7253,$A59,'Besi Balok'!$B$23:$B$7253,$B59,'Besi Balok'!$F$23:$F$7253,'REKAP Balok'!S$11)</f>
        <v>0</v>
      </c>
      <c r="T59">
        <f>SUMIFS('Besi Balok'!$AA$23:$AA$7253,'Besi Balok'!$A$23:$A$7253,$A59,'Besi Balok'!$B$23:$B$7253,$B59,'Besi Balok'!$F$23:$F$7253,'REKAP Balok'!T$11)</f>
        <v>0</v>
      </c>
      <c r="U59">
        <f>SUM(L59:T59)</f>
        <v>80.09878716000001</v>
      </c>
      <c r="V59">
        <f>(D59*(F59-H59)*G59*K59)/1000000000</f>
        <v>0.39025</v>
      </c>
      <c r="W59">
        <f>(((F59-H59)*2)*(G59)*K59)/1000000</f>
        <v>3.9025</v>
      </c>
      <c r="X59">
        <v>0</v>
      </c>
      <c r="Y59">
        <f>K59*(D59+2*$F$5)*G59*$F$6/1000000000</f>
        <v>0.1115</v>
      </c>
      <c r="Z59">
        <f>K59*(D59+2*$F$5)*($F$4-J59+($F$6+$F$7)/1000)*G59/1000000</f>
        <v>1.2265000000000001</v>
      </c>
      <c r="AB59">
        <f>U59/V59</f>
        <v>205.24993506726463</v>
      </c>
      <c r="AC59">
        <f>(D59+2*$F$5)*F59*G59/1000000000</f>
        <v>1.115</v>
      </c>
    </row>
    <row r="60">
      <c r="A60" t="str">
        <f>'Data Panjang Balok'!A56</f>
        <v>Lantai 1</v>
      </c>
      <c r="B60">
        <f>'Data Panjang Balok'!B56</f>
        <v>46</v>
      </c>
      <c r="C60" t="str">
        <f>'Data Panjang Balok'!D56</f>
        <v>S25-1</v>
      </c>
      <c r="D60">
        <f>IF(C60&gt;0,VLOOKUP(C60,'Detail Balok'!$C$11:$AU$140,2,FALSE),0)</f>
        <v>200</v>
      </c>
      <c r="E60" t="str">
        <v>x</v>
      </c>
      <c r="F60">
        <f>IF(C60&gt;0,VLOOKUP(C60,'Detail Balok'!$C$11:$AU$140,3,FALSE),0)</f>
        <v>500</v>
      </c>
      <c r="G60">
        <f>'Data Panjang Balok'!I56</f>
        <v>5575</v>
      </c>
      <c r="H60">
        <f>'Data Panjang Balok'!J56</f>
        <v>100</v>
      </c>
      <c r="I60">
        <v>-3.5</v>
      </c>
      <c r="J60">
        <f>I60-F60/1000</f>
        <v>-4</v>
      </c>
      <c r="K60">
        <f>'Data Panjang Balok'!E56</f>
        <v>2</v>
      </c>
      <c r="L60">
        <f>SUMIFS('Besi Balok'!$AA$23:$AA$7253,'Besi Balok'!$A$23:$A$7253,$A60,'Besi Balok'!$B$23:$B$7253,$B60,'Besi Balok'!$F$23:$F$7253,'REKAP Balok'!L$11)</f>
        <v>0</v>
      </c>
      <c r="M60">
        <f>SUMIFS('Besi Balok'!$AA$23:$AA$7253,'Besi Balok'!$A$23:$A$7253,$A60,'Besi Balok'!$B$23:$B$7253,$B60,'Besi Balok'!$F$23:$F$7253,'REKAP Balok'!M$11)</f>
        <v>33.0009984</v>
      </c>
      <c r="N60">
        <f>SUMIFS('Besi Balok'!$AA$23:$AA$7253,'Besi Balok'!$A$23:$A$7253,$A60,'Besi Balok'!$B$23:$B$7253,$B60,'Besi Balok'!$F$23:$F$7253,'REKAP Balok'!N$11)</f>
        <v>14.339790000000002</v>
      </c>
      <c r="O60">
        <f>SUMIFS('Besi Balok'!$AA$23:$AA$7253,'Besi Balok'!$A$23:$A$7253,$A60,'Besi Balok'!$B$23:$B$7253,$B60,'Besi Balok'!$F$23:$F$7253,'REKAP Balok'!O$11)</f>
        <v>0</v>
      </c>
      <c r="P60">
        <f>SUMIFS('Besi Balok'!$AA$23:$AA$7253,'Besi Balok'!$A$23:$A$7253,$A60,'Besi Balok'!$B$23:$B$7253,$B60,'Besi Balok'!$F$23:$F$7253,'REKAP Balok'!P$11)</f>
        <v>112.85678592000002</v>
      </c>
      <c r="Q60">
        <f>SUMIFS('Besi Balok'!$AA$23:$AA$7253,'Besi Balok'!$A$23:$A$7253,$A60,'Besi Balok'!$B$23:$B$7253,$B60,'Besi Balok'!$F$23:$F$7253,'REKAP Balok'!Q$11)</f>
        <v>0</v>
      </c>
      <c r="R60">
        <f>SUMIFS('Besi Balok'!$AA$23:$AA$7253,'Besi Balok'!$A$23:$A$7253,$A60,'Besi Balok'!$B$23:$B$7253,$B60,'Besi Balok'!$F$23:$F$7253,'REKAP Balok'!R$11)</f>
        <v>0</v>
      </c>
      <c r="S60">
        <f>SUMIFS('Besi Balok'!$AA$23:$AA$7253,'Besi Balok'!$A$23:$A$7253,$A60,'Besi Balok'!$B$23:$B$7253,$B60,'Besi Balok'!$F$23:$F$7253,'REKAP Balok'!S$11)</f>
        <v>0</v>
      </c>
      <c r="T60">
        <f>SUMIFS('Besi Balok'!$AA$23:$AA$7253,'Besi Balok'!$A$23:$A$7253,$A60,'Besi Balok'!$B$23:$B$7253,$B60,'Besi Balok'!$F$23:$F$7253,'REKAP Balok'!T$11)</f>
        <v>0</v>
      </c>
      <c r="U60">
        <f>SUM(L60:T60)</f>
        <v>160.19757432000003</v>
      </c>
      <c r="V60">
        <f>(D60*(F60-H60)*G60*K60)/1000000000</f>
        <v>0.892</v>
      </c>
      <c r="W60">
        <f>(((F60-H60)*2)*(G60)*K60)/1000000</f>
        <v>8.92</v>
      </c>
      <c r="X60">
        <v>0</v>
      </c>
      <c r="Y60">
        <f>K60*(D60+2*$F$5)*G60*$F$6/1000000000</f>
        <v>0.223</v>
      </c>
      <c r="Z60">
        <f>K60*(D60+2*$F$5)*($F$4-J60+($F$6+$F$7)/1000)*G60/1000000</f>
        <v>2.4530000000000003</v>
      </c>
      <c r="AB60">
        <f>U60/V60</f>
        <v>179.59369318385654</v>
      </c>
      <c r="AC60">
        <f>(D60+2*$F$5)*F60*G60/1000000000</f>
        <v>1.115</v>
      </c>
    </row>
    <row r="61">
      <c r="A61" t="str">
        <f>'Data Panjang Balok'!A57</f>
        <v>Lantai 1</v>
      </c>
      <c r="B61">
        <f>'Data Panjang Balok'!B57</f>
        <v>47</v>
      </c>
      <c r="C61" t="str">
        <f>'Data Panjang Balok'!D57</f>
        <v>S25-1</v>
      </c>
      <c r="D61">
        <f>IF(C61&gt;0,VLOOKUP(C61,'Detail Balok'!$C$11:$AU$140,2,FALSE),0)</f>
        <v>200</v>
      </c>
      <c r="E61" t="str">
        <v>x</v>
      </c>
      <c r="F61">
        <f>IF(C61&gt;0,VLOOKUP(C61,'Detail Balok'!$C$11:$AU$140,3,FALSE),0)</f>
        <v>500</v>
      </c>
      <c r="G61">
        <f>'Data Panjang Balok'!I57</f>
        <v>3850</v>
      </c>
      <c r="H61">
        <f>'Data Panjang Balok'!J57</f>
        <v>200</v>
      </c>
      <c r="I61">
        <v>-3.5</v>
      </c>
      <c r="J61">
        <f>I61-F61/1000</f>
        <v>-4</v>
      </c>
      <c r="K61">
        <f>'Data Panjang Balok'!E57</f>
        <v>1</v>
      </c>
      <c r="L61">
        <f>SUMIFS('Besi Balok'!$AA$23:$AA$7253,'Besi Balok'!$A$23:$A$7253,$A61,'Besi Balok'!$B$23:$B$7253,$B61,'Besi Balok'!$F$23:$F$7253,'REKAP Balok'!L$11)</f>
        <v>0</v>
      </c>
      <c r="M61">
        <f>SUMIFS('Besi Balok'!$AA$23:$AA$7253,'Besi Balok'!$A$23:$A$7253,$A61,'Besi Balok'!$B$23:$B$7253,$B61,'Besi Balok'!$F$23:$F$7253,'REKAP Balok'!M$11)</f>
        <v>12.13272</v>
      </c>
      <c r="N61">
        <f>SUMIFS('Besi Balok'!$AA$23:$AA$7253,'Besi Balok'!$A$23:$A$7253,$A61,'Besi Balok'!$B$23:$B$7253,$B61,'Besi Balok'!$F$23:$F$7253,'REKAP Balok'!N$11)</f>
        <v>5.04297</v>
      </c>
      <c r="O61">
        <f>SUMIFS('Besi Balok'!$AA$23:$AA$7253,'Besi Balok'!$A$23:$A$7253,$A61,'Besi Balok'!$B$23:$B$7253,$B61,'Besi Balok'!$F$23:$F$7253,'REKAP Balok'!O$11)</f>
        <v>0</v>
      </c>
      <c r="P61">
        <f>SUMIFS('Besi Balok'!$AA$23:$AA$7253,'Besi Balok'!$A$23:$A$7253,$A61,'Besi Balok'!$B$23:$B$7253,$B61,'Besi Balok'!$F$23:$F$7253,'REKAP Balok'!P$11)</f>
        <v>40.093608960000005</v>
      </c>
      <c r="Q61">
        <f>SUMIFS('Besi Balok'!$AA$23:$AA$7253,'Besi Balok'!$A$23:$A$7253,$A61,'Besi Balok'!$B$23:$B$7253,$B61,'Besi Balok'!$F$23:$F$7253,'REKAP Balok'!Q$11)</f>
        <v>0</v>
      </c>
      <c r="R61">
        <f>SUMIFS('Besi Balok'!$AA$23:$AA$7253,'Besi Balok'!$A$23:$A$7253,$A61,'Besi Balok'!$B$23:$B$7253,$B61,'Besi Balok'!$F$23:$F$7253,'REKAP Balok'!R$11)</f>
        <v>0</v>
      </c>
      <c r="S61">
        <f>SUMIFS('Besi Balok'!$AA$23:$AA$7253,'Besi Balok'!$A$23:$A$7253,$A61,'Besi Balok'!$B$23:$B$7253,$B61,'Besi Balok'!$F$23:$F$7253,'REKAP Balok'!S$11)</f>
        <v>0</v>
      </c>
      <c r="T61">
        <f>SUMIFS('Besi Balok'!$AA$23:$AA$7253,'Besi Balok'!$A$23:$A$7253,$A61,'Besi Balok'!$B$23:$B$7253,$B61,'Besi Balok'!$F$23:$F$7253,'REKAP Balok'!T$11)</f>
        <v>0</v>
      </c>
      <c r="U61">
        <f>SUM(L61:T61)</f>
        <v>57.26929896000001</v>
      </c>
      <c r="V61">
        <f>(D61*(F61-H61)*G61*K61)/1000000000</f>
        <v>0.231</v>
      </c>
      <c r="W61">
        <f>(((F61-H61)*2)*(G61)*K61)/1000000</f>
        <v>2.31</v>
      </c>
      <c r="X61">
        <v>0</v>
      </c>
      <c r="Y61">
        <f>K61*(D61+2*$F$5)*G61*$F$6/1000000000</f>
        <v>0.077</v>
      </c>
      <c r="Z61">
        <f>K61*(D61+2*$F$5)*($F$4-J61+($F$6+$F$7)/1000)*G61/1000000</f>
        <v>0.8470000000000001</v>
      </c>
      <c r="AB61">
        <f>U61/V61</f>
        <v>247.91904311688313</v>
      </c>
      <c r="AC61">
        <f>(D61+2*$F$5)*F61*G61/1000000000</f>
        <v>0.77</v>
      </c>
    </row>
    <row r="62">
      <c r="A62" t="str">
        <f>'Data Panjang Balok'!A58</f>
        <v>Lantai 1</v>
      </c>
      <c r="B62">
        <f>'Data Panjang Balok'!B58</f>
        <v>48</v>
      </c>
      <c r="C62" t="str">
        <f>'Data Panjang Balok'!D58</f>
        <v>S24-2</v>
      </c>
      <c r="D62">
        <f>IF(C62&gt;0,VLOOKUP(C62,'Detail Balok'!$C$11:$AU$140,2,FALSE),0)</f>
        <v>200</v>
      </c>
      <c r="E62" t="str">
        <v>x</v>
      </c>
      <c r="F62">
        <f>IF(C62&gt;0,VLOOKUP(C62,'Detail Balok'!$C$11:$AU$140,3,FALSE),0)</f>
        <v>400</v>
      </c>
      <c r="G62">
        <f>'Data Panjang Balok'!I58</f>
        <v>3850</v>
      </c>
      <c r="H62">
        <f>'Data Panjang Balok'!J58</f>
        <v>200</v>
      </c>
      <c r="I62">
        <v>-3.5</v>
      </c>
      <c r="J62">
        <f>I62-F62/1000</f>
        <v>-3.9</v>
      </c>
      <c r="K62">
        <f>'Data Panjang Balok'!E58</f>
        <v>1</v>
      </c>
      <c r="L62">
        <f>SUMIFS('Besi Balok'!$AA$23:$AA$7253,'Besi Balok'!$A$23:$A$7253,$A62,'Besi Balok'!$B$23:$B$7253,$B62,'Besi Balok'!$F$23:$F$7253,'REKAP Balok'!L$11)</f>
        <v>0</v>
      </c>
      <c r="M62">
        <f>SUMIFS('Besi Balok'!$AA$23:$AA$7253,'Besi Balok'!$A$23:$A$7253,$A62,'Besi Balok'!$B$23:$B$7253,$B62,'Besi Balok'!$F$23:$F$7253,'REKAP Balok'!M$11)</f>
        <v>9.753523200000002</v>
      </c>
      <c r="N62">
        <f>SUMIFS('Besi Balok'!$AA$23:$AA$7253,'Besi Balok'!$A$23:$A$7253,$A62,'Besi Balok'!$B$23:$B$7253,$B62,'Besi Balok'!$F$23:$F$7253,'REKAP Balok'!N$11)</f>
        <v>0</v>
      </c>
      <c r="O62">
        <f>SUMIFS('Besi Balok'!$AA$23:$AA$7253,'Besi Balok'!$A$23:$A$7253,$A62,'Besi Balok'!$B$23:$B$7253,$B62,'Besi Balok'!$F$23:$F$7253,'REKAP Balok'!O$11)</f>
        <v>0</v>
      </c>
      <c r="P62">
        <f>SUMIFS('Besi Balok'!$AA$23:$AA$7253,'Besi Balok'!$A$23:$A$7253,$A62,'Besi Balok'!$B$23:$B$7253,$B62,'Besi Balok'!$F$23:$F$7253,'REKAP Balok'!P$11)</f>
        <v>40.093608960000005</v>
      </c>
      <c r="Q62">
        <f>SUMIFS('Besi Balok'!$AA$23:$AA$7253,'Besi Balok'!$A$23:$A$7253,$A62,'Besi Balok'!$B$23:$B$7253,$B62,'Besi Balok'!$F$23:$F$7253,'REKAP Balok'!Q$11)</f>
        <v>0</v>
      </c>
      <c r="R62">
        <f>SUMIFS('Besi Balok'!$AA$23:$AA$7253,'Besi Balok'!$A$23:$A$7253,$A62,'Besi Balok'!$B$23:$B$7253,$B62,'Besi Balok'!$F$23:$F$7253,'REKAP Balok'!R$11)</f>
        <v>0</v>
      </c>
      <c r="S62">
        <f>SUMIFS('Besi Balok'!$AA$23:$AA$7253,'Besi Balok'!$A$23:$A$7253,$A62,'Besi Balok'!$B$23:$B$7253,$B62,'Besi Balok'!$F$23:$F$7253,'REKAP Balok'!S$11)</f>
        <v>0</v>
      </c>
      <c r="T62">
        <f>SUMIFS('Besi Balok'!$AA$23:$AA$7253,'Besi Balok'!$A$23:$A$7253,$A62,'Besi Balok'!$B$23:$B$7253,$B62,'Besi Balok'!$F$23:$F$7253,'REKAP Balok'!T$11)</f>
        <v>0</v>
      </c>
      <c r="U62">
        <f>SUM(L62:T62)</f>
        <v>49.84713216000001</v>
      </c>
      <c r="V62">
        <f>(D62*(F62-H62)*G62*K62)/1000000000</f>
        <v>0.154</v>
      </c>
      <c r="W62">
        <f>(((F62-H62)*2)*(G62)*K62)/1000000</f>
        <v>1.54</v>
      </c>
      <c r="X62">
        <v>0</v>
      </c>
      <c r="Y62">
        <f>K62*(D62+2*$F$5)*G62*$F$6/1000000000</f>
        <v>0.077</v>
      </c>
      <c r="Z62">
        <f>K62*(D62+2*$F$5)*($F$4-J62+($F$6+$F$7)/1000)*G62/1000000</f>
        <v>0.6929999999999998</v>
      </c>
      <c r="AC62">
        <f>(D62+2*$F$5)*F62*G62/1000000000</f>
        <v>0.616</v>
      </c>
    </row>
    <row r="63">
      <c r="A63" t="str">
        <f>'Data Panjang Balok'!A59</f>
        <v>Lantai 1</v>
      </c>
      <c r="B63">
        <f>'Data Panjang Balok'!B59</f>
        <v>49</v>
      </c>
      <c r="C63" t="str">
        <f>'Data Panjang Balok'!D59</f>
        <v>S25-1</v>
      </c>
      <c r="D63">
        <f>IF(C63&gt;0,VLOOKUP(C63,'Detail Balok'!$C$11:$AU$140,2,FALSE),0)</f>
        <v>200</v>
      </c>
      <c r="E63" t="str">
        <v>x</v>
      </c>
      <c r="F63">
        <f>IF(C63&gt;0,VLOOKUP(C63,'Detail Balok'!$C$11:$AU$140,3,FALSE),0)</f>
        <v>500</v>
      </c>
      <c r="G63">
        <f>'Data Panjang Balok'!I59</f>
        <v>3850</v>
      </c>
      <c r="H63">
        <f>'Data Panjang Balok'!J59</f>
        <v>200</v>
      </c>
      <c r="I63">
        <v>-3.5</v>
      </c>
      <c r="J63">
        <f>I63-F63/1000</f>
        <v>-4</v>
      </c>
      <c r="K63">
        <f>'Data Panjang Balok'!E59</f>
        <v>1</v>
      </c>
      <c r="L63">
        <f>SUMIFS('Besi Balok'!$AA$23:$AA$7253,'Besi Balok'!$A$23:$A$7253,$A63,'Besi Balok'!$B$23:$B$7253,$B63,'Besi Balok'!$F$23:$F$7253,'REKAP Balok'!L$11)</f>
        <v>0</v>
      </c>
      <c r="M63">
        <f>SUMIFS('Besi Balok'!$AA$23:$AA$7253,'Besi Balok'!$A$23:$A$7253,$A63,'Besi Balok'!$B$23:$B$7253,$B63,'Besi Balok'!$F$23:$F$7253,'REKAP Balok'!M$11)</f>
        <v>12.13272</v>
      </c>
      <c r="N63">
        <f>SUMIFS('Besi Balok'!$AA$23:$AA$7253,'Besi Balok'!$A$23:$A$7253,$A63,'Besi Balok'!$B$23:$B$7253,$B63,'Besi Balok'!$F$23:$F$7253,'REKAP Balok'!N$11)</f>
        <v>5.04297</v>
      </c>
      <c r="O63">
        <f>SUMIFS('Besi Balok'!$AA$23:$AA$7253,'Besi Balok'!$A$23:$A$7253,$A63,'Besi Balok'!$B$23:$B$7253,$B63,'Besi Balok'!$F$23:$F$7253,'REKAP Balok'!O$11)</f>
        <v>0</v>
      </c>
      <c r="P63">
        <f>SUMIFS('Besi Balok'!$AA$23:$AA$7253,'Besi Balok'!$A$23:$A$7253,$A63,'Besi Balok'!$B$23:$B$7253,$B63,'Besi Balok'!$F$23:$F$7253,'REKAP Balok'!P$11)</f>
        <v>40.093608960000005</v>
      </c>
      <c r="Q63">
        <f>SUMIFS('Besi Balok'!$AA$23:$AA$7253,'Besi Balok'!$A$23:$A$7253,$A63,'Besi Balok'!$B$23:$B$7253,$B63,'Besi Balok'!$F$23:$F$7253,'REKAP Balok'!Q$11)</f>
        <v>0</v>
      </c>
      <c r="R63">
        <f>SUMIFS('Besi Balok'!$AA$23:$AA$7253,'Besi Balok'!$A$23:$A$7253,$A63,'Besi Balok'!$B$23:$B$7253,$B63,'Besi Balok'!$F$23:$F$7253,'REKAP Balok'!R$11)</f>
        <v>0</v>
      </c>
      <c r="S63">
        <f>SUMIFS('Besi Balok'!$AA$23:$AA$7253,'Besi Balok'!$A$23:$A$7253,$A63,'Besi Balok'!$B$23:$B$7253,$B63,'Besi Balok'!$F$23:$F$7253,'REKAP Balok'!S$11)</f>
        <v>0</v>
      </c>
      <c r="T63">
        <f>SUMIFS('Besi Balok'!$AA$23:$AA$7253,'Besi Balok'!$A$23:$A$7253,$A63,'Besi Balok'!$B$23:$B$7253,$B63,'Besi Balok'!$F$23:$F$7253,'REKAP Balok'!T$11)</f>
        <v>0</v>
      </c>
      <c r="U63">
        <f>SUM(L63:T63)</f>
        <v>57.26929896000001</v>
      </c>
      <c r="V63">
        <f>(D63*(F63-H63)*G63*K63)/1000000000</f>
        <v>0.231</v>
      </c>
      <c r="W63">
        <f>(((F63-H63)*2)*(G63)*K63)/1000000</f>
        <v>2.31</v>
      </c>
      <c r="X63">
        <v>0</v>
      </c>
      <c r="Y63">
        <f>K63*(D63+2*$F$5)*G63*$F$6/1000000000</f>
        <v>0.077</v>
      </c>
      <c r="Z63">
        <f>K63*(D63+2*$F$5)*($F$4-J63+($F$6+$F$7)/1000)*G63/1000000</f>
        <v>0.8470000000000001</v>
      </c>
      <c r="AB63">
        <f>U63/V63</f>
        <v>247.91904311688313</v>
      </c>
      <c r="AC63">
        <f>(D63+2*$F$5)*F63*G63/1000000000</f>
        <v>0.77</v>
      </c>
    </row>
    <row r="64">
      <c r="A64" t="str">
        <f>'Data Panjang Balok'!A60</f>
        <v>Lantai 1</v>
      </c>
      <c r="B64" t="str">
        <f>'Data Panjang Balok'!B60</f>
        <v>49A</v>
      </c>
      <c r="C64" t="str">
        <f>'Data Panjang Balok'!D60</f>
        <v>S24-2</v>
      </c>
      <c r="D64">
        <f>IF(C64&gt;0,VLOOKUP(C64,'Detail Balok'!$C$11:$AU$140,2,FALSE),0)</f>
        <v>200</v>
      </c>
      <c r="E64" t="str">
        <v>x</v>
      </c>
      <c r="F64">
        <f>IF(C64&gt;0,VLOOKUP(C64,'Detail Balok'!$C$11:$AU$140,3,FALSE),0)</f>
        <v>400</v>
      </c>
      <c r="G64">
        <f>'Data Panjang Balok'!I60</f>
        <v>3100</v>
      </c>
      <c r="H64">
        <f>'Data Panjang Balok'!J60</f>
        <v>100</v>
      </c>
      <c r="I64">
        <v>-3.5</v>
      </c>
      <c r="J64">
        <f>I64-F64/1000</f>
        <v>-3.9</v>
      </c>
      <c r="K64">
        <f>'Data Panjang Balok'!E60</f>
        <v>2</v>
      </c>
      <c r="L64">
        <f>SUMIFS('Besi Balok'!$AA$23:$AA$7253,'Besi Balok'!$A$23:$A$7253,$A64,'Besi Balok'!$B$23:$B$7253,$B64,'Besi Balok'!$F$23:$F$7253,'REKAP Balok'!L$11)</f>
        <v>0</v>
      </c>
      <c r="M64">
        <f>SUMIFS('Besi Balok'!$AA$23:$AA$7253,'Besi Balok'!$A$23:$A$7253,$A64,'Besi Balok'!$B$23:$B$7253,$B64,'Besi Balok'!$F$23:$F$7253,'REKAP Balok'!M$11)</f>
        <v>16.255872000000004</v>
      </c>
      <c r="N64">
        <f>SUMIFS('Besi Balok'!$AA$23:$AA$7253,'Besi Balok'!$A$23:$A$7253,$A64,'Besi Balok'!$B$23:$B$7253,$B64,'Besi Balok'!$F$23:$F$7253,'REKAP Balok'!N$11)</f>
        <v>0</v>
      </c>
      <c r="O64">
        <f>SUMIFS('Besi Balok'!$AA$23:$AA$7253,'Besi Balok'!$A$23:$A$7253,$A64,'Besi Balok'!$B$23:$B$7253,$B64,'Besi Balok'!$F$23:$F$7253,'REKAP Balok'!O$11)</f>
        <v>0</v>
      </c>
      <c r="P64">
        <f>SUMIFS('Besi Balok'!$AA$23:$AA$7253,'Besi Balok'!$A$23:$A$7253,$A64,'Besi Balok'!$B$23:$B$7253,$B64,'Besi Balok'!$F$23:$F$7253,'REKAP Balok'!P$11)</f>
        <v>65.98305792000001</v>
      </c>
      <c r="Q64">
        <f>SUMIFS('Besi Balok'!$AA$23:$AA$7253,'Besi Balok'!$A$23:$A$7253,$A64,'Besi Balok'!$B$23:$B$7253,$B64,'Besi Balok'!$F$23:$F$7253,'REKAP Balok'!Q$11)</f>
        <v>0</v>
      </c>
      <c r="R64">
        <f>SUMIFS('Besi Balok'!$AA$23:$AA$7253,'Besi Balok'!$A$23:$A$7253,$A64,'Besi Balok'!$B$23:$B$7253,$B64,'Besi Balok'!$F$23:$F$7253,'REKAP Balok'!R$11)</f>
        <v>0</v>
      </c>
      <c r="S64">
        <f>SUMIFS('Besi Balok'!$AA$23:$AA$7253,'Besi Balok'!$A$23:$A$7253,$A64,'Besi Balok'!$B$23:$B$7253,$B64,'Besi Balok'!$F$23:$F$7253,'REKAP Balok'!S$11)</f>
        <v>0</v>
      </c>
      <c r="T64">
        <f>SUMIFS('Besi Balok'!$AA$23:$AA$7253,'Besi Balok'!$A$23:$A$7253,$A64,'Besi Balok'!$B$23:$B$7253,$B64,'Besi Balok'!$F$23:$F$7253,'REKAP Balok'!T$11)</f>
        <v>0</v>
      </c>
      <c r="U64">
        <f>SUM(L64:T64)</f>
        <v>82.23892992</v>
      </c>
      <c r="V64">
        <f>(D64*(F64-H64)*G64*K64)/1000000000</f>
        <v>0.372</v>
      </c>
      <c r="W64">
        <f>(((F64-H64)*2)*(G64)*K64)/1000000</f>
        <v>3.72</v>
      </c>
      <c r="X64">
        <v>0</v>
      </c>
      <c r="Y64">
        <f>K64*(D64+2*$F$5)*G64*$F$6/1000000000</f>
        <v>0.124</v>
      </c>
      <c r="Z64">
        <f>K64*(D64+2*$F$5)*($F$4-J64+($F$6+$F$7)/1000)*G64/1000000</f>
        <v>1.1159999999999997</v>
      </c>
      <c r="AC64">
        <f>(D64+2*$F$5)*F64*G64/1000000000</f>
        <v>0.496</v>
      </c>
    </row>
    <row r="65">
      <c r="A65" t="str">
        <f>'Data Panjang Balok'!A61</f>
        <v>Lantai 1</v>
      </c>
      <c r="B65">
        <f>'Data Panjang Balok'!B61</f>
        <v>50</v>
      </c>
      <c r="C65" t="str">
        <f>'Data Panjang Balok'!D61</f>
        <v>S24-1</v>
      </c>
      <c r="D65">
        <f>IF(C65&gt;0,VLOOKUP(C65,'Detail Balok'!$C$11:$AU$140,2,FALSE),0)</f>
        <v>200</v>
      </c>
      <c r="E65" t="str">
        <v>x</v>
      </c>
      <c r="F65">
        <f>IF(C65&gt;0,VLOOKUP(C65,'Detail Balok'!$C$11:$AU$140,3,FALSE),0)</f>
        <v>400</v>
      </c>
      <c r="G65">
        <f>'Data Panjang Balok'!I61</f>
        <v>1975</v>
      </c>
      <c r="H65">
        <f>'Data Panjang Balok'!J61</f>
        <v>150</v>
      </c>
      <c r="I65">
        <v>-3.5</v>
      </c>
      <c r="J65">
        <f>I65-F65/1000</f>
        <v>-3.9</v>
      </c>
      <c r="K65">
        <f>'Data Panjang Balok'!E61</f>
        <v>1</v>
      </c>
      <c r="L65">
        <f>SUMIFS('Besi Balok'!$AA$23:$AA$7253,'Besi Balok'!$A$23:$A$7253,$A65,'Besi Balok'!$B$23:$B$7253,$B65,'Besi Balok'!$F$23:$F$7253,'REKAP Balok'!L$11)</f>
        <v>0</v>
      </c>
      <c r="M65">
        <f>SUMIFS('Besi Balok'!$AA$23:$AA$7253,'Besi Balok'!$A$23:$A$7253,$A65,'Besi Balok'!$B$23:$B$7253,$B65,'Besi Balok'!$F$23:$F$7253,'REKAP Balok'!M$11)</f>
        <v>5.689555200000001</v>
      </c>
      <c r="N65">
        <f>SUMIFS('Besi Balok'!$AA$23:$AA$7253,'Besi Balok'!$A$23:$A$7253,$A65,'Besi Balok'!$B$23:$B$7253,$B65,'Besi Balok'!$F$23:$F$7253,'REKAP Balok'!N$11)</f>
        <v>0</v>
      </c>
      <c r="O65">
        <f>SUMIFS('Besi Balok'!$AA$23:$AA$7253,'Besi Balok'!$A$23:$A$7253,$A65,'Besi Balok'!$B$23:$B$7253,$B65,'Besi Balok'!$F$23:$F$7253,'REKAP Balok'!O$11)</f>
        <v>14.296745969999998</v>
      </c>
      <c r="P65">
        <f>SUMIFS('Besi Balok'!$AA$23:$AA$7253,'Besi Balok'!$A$23:$A$7253,$A65,'Besi Balok'!$B$23:$B$7253,$B65,'Besi Balok'!$F$23:$F$7253,'REKAP Balok'!P$11)</f>
        <v>0</v>
      </c>
      <c r="Q65">
        <f>SUMIFS('Besi Balok'!$AA$23:$AA$7253,'Besi Balok'!$A$23:$A$7253,$A65,'Besi Balok'!$B$23:$B$7253,$B65,'Besi Balok'!$F$23:$F$7253,'REKAP Balok'!Q$11)</f>
        <v>0</v>
      </c>
      <c r="R65">
        <f>SUMIFS('Besi Balok'!$AA$23:$AA$7253,'Besi Balok'!$A$23:$A$7253,$A65,'Besi Balok'!$B$23:$B$7253,$B65,'Besi Balok'!$F$23:$F$7253,'REKAP Balok'!R$11)</f>
        <v>0</v>
      </c>
      <c r="S65">
        <f>SUMIFS('Besi Balok'!$AA$23:$AA$7253,'Besi Balok'!$A$23:$A$7253,$A65,'Besi Balok'!$B$23:$B$7253,$B65,'Besi Balok'!$F$23:$F$7253,'REKAP Balok'!S$11)</f>
        <v>0</v>
      </c>
      <c r="T65">
        <f>SUMIFS('Besi Balok'!$AA$23:$AA$7253,'Besi Balok'!$A$23:$A$7253,$A65,'Besi Balok'!$B$23:$B$7253,$B65,'Besi Balok'!$F$23:$F$7253,'REKAP Balok'!T$11)</f>
        <v>0</v>
      </c>
      <c r="U65">
        <f>SUM(L65:T65)</f>
        <v>19.986301169999997</v>
      </c>
      <c r="V65">
        <f>(D65*(F65-H65)*G65*K65)/1000000000</f>
        <v>0.09875</v>
      </c>
      <c r="W65">
        <f>(((F65-H65)*2)*(G65)*K65)/1000000</f>
        <v>0.9875</v>
      </c>
      <c r="X65">
        <v>0</v>
      </c>
      <c r="Y65">
        <f>K65*(D65+2*$F$5)*G65*$F$6/1000000000</f>
        <v>0.0395</v>
      </c>
      <c r="Z65">
        <f>K65*(D65+2*$F$5)*($F$4-J65+($F$6+$F$7)/1000)*G65/1000000</f>
        <v>0.3554999999999999</v>
      </c>
      <c r="AC65">
        <f>(D65+2*$F$5)*F65*G65/1000000000</f>
        <v>0.316</v>
      </c>
    </row>
    <row r="66">
      <c r="A66" t="str">
        <f>'Data Panjang Balok'!A62</f>
        <v>Lantai 1</v>
      </c>
      <c r="B66">
        <f>'Data Panjang Balok'!B62</f>
        <v>51</v>
      </c>
      <c r="C66" t="str">
        <f>'Data Panjang Balok'!D62</f>
        <v>S25-1</v>
      </c>
      <c r="D66">
        <f>IF(C66&gt;0,VLOOKUP(C66,'Detail Balok'!$C$11:$AU$140,2,FALSE),0)</f>
        <v>200</v>
      </c>
      <c r="E66" t="str">
        <v>x</v>
      </c>
      <c r="F66">
        <f>IF(C66&gt;0,VLOOKUP(C66,'Detail Balok'!$C$11:$AU$140,3,FALSE),0)</f>
        <v>500</v>
      </c>
      <c r="G66">
        <f>'Data Panjang Balok'!I62</f>
        <v>4000</v>
      </c>
      <c r="H66">
        <f>'Data Panjang Balok'!J62</f>
        <v>150</v>
      </c>
      <c r="I66">
        <v>-3.5</v>
      </c>
      <c r="J66">
        <f>I66-F66/1000</f>
        <v>-4</v>
      </c>
      <c r="K66">
        <f>'Data Panjang Balok'!E62</f>
        <v>1</v>
      </c>
      <c r="L66">
        <f>SUMIFS('Besi Balok'!$AA$23:$AA$7253,'Besi Balok'!$A$23:$A$7253,$A66,'Besi Balok'!$B$23:$B$7253,$B66,'Besi Balok'!$F$23:$F$7253,'REKAP Balok'!L$11)</f>
        <v>0</v>
      </c>
      <c r="M66">
        <f>SUMIFS('Besi Balok'!$AA$23:$AA$7253,'Besi Balok'!$A$23:$A$7253,$A66,'Besi Balok'!$B$23:$B$7253,$B66,'Besi Balok'!$F$23:$F$7253,'REKAP Balok'!M$11)</f>
        <v>12.618028800000001</v>
      </c>
      <c r="N66">
        <f>SUMIFS('Besi Balok'!$AA$23:$AA$7253,'Besi Balok'!$A$23:$A$7253,$A66,'Besi Balok'!$B$23:$B$7253,$B66,'Besi Balok'!$F$23:$F$7253,'REKAP Balok'!N$11)</f>
        <v>5.227920000000001</v>
      </c>
      <c r="O66">
        <f>SUMIFS('Besi Balok'!$AA$23:$AA$7253,'Besi Balok'!$A$23:$A$7253,$A66,'Besi Balok'!$B$23:$B$7253,$B66,'Besi Balok'!$F$23:$F$7253,'REKAP Balok'!O$11)</f>
        <v>0</v>
      </c>
      <c r="P66">
        <f>SUMIFS('Besi Balok'!$AA$23:$AA$7253,'Besi Balok'!$A$23:$A$7253,$A66,'Besi Balok'!$B$23:$B$7253,$B66,'Besi Balok'!$F$23:$F$7253,'REKAP Balok'!P$11)</f>
        <v>41.51402496000001</v>
      </c>
      <c r="Q66">
        <f>SUMIFS('Besi Balok'!$AA$23:$AA$7253,'Besi Balok'!$A$23:$A$7253,$A66,'Besi Balok'!$B$23:$B$7253,$B66,'Besi Balok'!$F$23:$F$7253,'REKAP Balok'!Q$11)</f>
        <v>0</v>
      </c>
      <c r="R66">
        <f>SUMIFS('Besi Balok'!$AA$23:$AA$7253,'Besi Balok'!$A$23:$A$7253,$A66,'Besi Balok'!$B$23:$B$7253,$B66,'Besi Balok'!$F$23:$F$7253,'REKAP Balok'!R$11)</f>
        <v>0</v>
      </c>
      <c r="S66">
        <f>SUMIFS('Besi Balok'!$AA$23:$AA$7253,'Besi Balok'!$A$23:$A$7253,$A66,'Besi Balok'!$B$23:$B$7253,$B66,'Besi Balok'!$F$23:$F$7253,'REKAP Balok'!S$11)</f>
        <v>0</v>
      </c>
      <c r="T66">
        <f>SUMIFS('Besi Balok'!$AA$23:$AA$7253,'Besi Balok'!$A$23:$A$7253,$A66,'Besi Balok'!$B$23:$B$7253,$B66,'Besi Balok'!$F$23:$F$7253,'REKAP Balok'!T$11)</f>
        <v>0</v>
      </c>
      <c r="U66">
        <f>SUM(L66:T66)</f>
        <v>59.35997376000001</v>
      </c>
      <c r="V66">
        <f>(D66*(F66-H66)*G66*K66)/1000000000</f>
        <v>0.28</v>
      </c>
      <c r="W66">
        <f>(((F66-H66)*2)*(G66)*K66)/1000000</f>
        <v>2.8</v>
      </c>
      <c r="X66">
        <v>0</v>
      </c>
      <c r="Y66">
        <f>K66*(D66+2*$F$5)*G66*$F$6/1000000000</f>
        <v>0.08</v>
      </c>
      <c r="Z66">
        <f>K66*(D66+2*$F$5)*($F$4-J66+($F$6+$F$7)/1000)*G66/1000000</f>
        <v>0.8800000000000001</v>
      </c>
      <c r="AB66">
        <f>U66/V66</f>
        <v>211.9999062857143</v>
      </c>
      <c r="AC66">
        <f>(D66+2*$F$5)*F66*G66/1000000000</f>
        <v>0.8</v>
      </c>
    </row>
    <row r="67">
      <c r="A67" t="str">
        <f>'Data Panjang Balok'!A63</f>
        <v>Lantai 1</v>
      </c>
      <c r="B67">
        <f>'Data Panjang Balok'!B63</f>
        <v>52</v>
      </c>
      <c r="C67" t="str">
        <f>'Data Panjang Balok'!D63</f>
        <v>S25-1</v>
      </c>
      <c r="D67">
        <f>IF(C67&gt;0,VLOOKUP(C67,'Detail Balok'!$C$11:$AU$140,2,FALSE),0)</f>
        <v>200</v>
      </c>
      <c r="E67" t="str">
        <v>x</v>
      </c>
      <c r="F67">
        <f>IF(C67&gt;0,VLOOKUP(C67,'Detail Balok'!$C$11:$AU$140,3,FALSE),0)</f>
        <v>500</v>
      </c>
      <c r="G67">
        <f>'Data Panjang Balok'!I63</f>
        <v>1300</v>
      </c>
      <c r="H67">
        <f>'Data Panjang Balok'!J63</f>
        <v>150</v>
      </c>
      <c r="I67">
        <v>-3.5</v>
      </c>
      <c r="J67">
        <f>I67-F67/1000</f>
        <v>-4</v>
      </c>
      <c r="K67">
        <f>'Data Panjang Balok'!E63</f>
        <v>1</v>
      </c>
      <c r="L67">
        <f>SUMIFS('Besi Balok'!$AA$23:$AA$7253,'Besi Balok'!$A$23:$A$7253,$A67,'Besi Balok'!$B$23:$B$7253,$B67,'Besi Balok'!$F$23:$F$7253,'REKAP Balok'!L$11)</f>
        <v>0</v>
      </c>
      <c r="M67">
        <f>SUMIFS('Besi Balok'!$AA$23:$AA$7253,'Besi Balok'!$A$23:$A$7253,$A67,'Besi Balok'!$B$23:$B$7253,$B67,'Besi Balok'!$F$23:$F$7253,'REKAP Balok'!M$11)</f>
        <v>4.8530880000000005</v>
      </c>
      <c r="N67">
        <f>SUMIFS('Besi Balok'!$AA$23:$AA$7253,'Besi Balok'!$A$23:$A$7253,$A67,'Besi Balok'!$B$23:$B$7253,$B67,'Besi Balok'!$F$23:$F$7253,'REKAP Balok'!N$11)</f>
        <v>1.8988200000000002</v>
      </c>
      <c r="O67">
        <f>SUMIFS('Besi Balok'!$AA$23:$AA$7253,'Besi Balok'!$A$23:$A$7253,$A67,'Besi Balok'!$B$23:$B$7253,$B67,'Besi Balok'!$F$23:$F$7253,'REKAP Balok'!O$11)</f>
        <v>0</v>
      </c>
      <c r="P67">
        <f>SUMIFS('Besi Balok'!$AA$23:$AA$7253,'Besi Balok'!$A$23:$A$7253,$A67,'Besi Balok'!$B$23:$B$7253,$B67,'Besi Balok'!$F$23:$F$7253,'REKAP Balok'!P$11)</f>
        <v>15.946536960000003</v>
      </c>
      <c r="Q67">
        <f>SUMIFS('Besi Balok'!$AA$23:$AA$7253,'Besi Balok'!$A$23:$A$7253,$A67,'Besi Balok'!$B$23:$B$7253,$B67,'Besi Balok'!$F$23:$F$7253,'REKAP Balok'!Q$11)</f>
        <v>0</v>
      </c>
      <c r="R67">
        <f>SUMIFS('Besi Balok'!$AA$23:$AA$7253,'Besi Balok'!$A$23:$A$7253,$A67,'Besi Balok'!$B$23:$B$7253,$B67,'Besi Balok'!$F$23:$F$7253,'REKAP Balok'!R$11)</f>
        <v>0</v>
      </c>
      <c r="S67">
        <f>SUMIFS('Besi Balok'!$AA$23:$AA$7253,'Besi Balok'!$A$23:$A$7253,$A67,'Besi Balok'!$B$23:$B$7253,$B67,'Besi Balok'!$F$23:$F$7253,'REKAP Balok'!S$11)</f>
        <v>0</v>
      </c>
      <c r="T67">
        <f>SUMIFS('Besi Balok'!$AA$23:$AA$7253,'Besi Balok'!$A$23:$A$7253,$A67,'Besi Balok'!$B$23:$B$7253,$B67,'Besi Balok'!$F$23:$F$7253,'REKAP Balok'!T$11)</f>
        <v>0</v>
      </c>
      <c r="U67">
        <f>SUM(L67:T67)</f>
        <v>22.698444960000003</v>
      </c>
      <c r="V67">
        <f>(D67*(F67-H67)*G67*K67)/1000000000</f>
        <v>0.091</v>
      </c>
      <c r="W67">
        <f>(((F67-H67)*2)*(G67)*K67)/1000000</f>
        <v>0.91</v>
      </c>
      <c r="X67">
        <v>0</v>
      </c>
      <c r="Y67">
        <f>K67*(D67+2*$F$5)*G67*$F$6/1000000000</f>
        <v>0.026</v>
      </c>
      <c r="Z67">
        <f>K67*(D67+2*$F$5)*($F$4-J67+($F$6+$F$7)/1000)*G67/1000000</f>
        <v>0.28600000000000003</v>
      </c>
      <c r="AB67">
        <f>U67/V67</f>
        <v>249.43346109890115</v>
      </c>
      <c r="AC67">
        <f>(D67+2*$F$5)*F67*G67/1000000000</f>
        <v>0.26</v>
      </c>
    </row>
    <row r="68">
      <c r="A68" t="str">
        <f>'Data Panjang Balok'!A64</f>
        <v>Lantai 1</v>
      </c>
      <c r="B68">
        <f>'Data Panjang Balok'!B64</f>
        <v>53</v>
      </c>
      <c r="C68" t="str">
        <f>'Data Panjang Balok'!D64</f>
        <v>S24-1</v>
      </c>
      <c r="D68">
        <f>IF(C68&gt;0,VLOOKUP(C68,'Detail Balok'!$C$11:$AU$140,2,FALSE),0)</f>
        <v>200</v>
      </c>
      <c r="E68" t="str">
        <v>x</v>
      </c>
      <c r="F68">
        <f>IF(C68&gt;0,VLOOKUP(C68,'Detail Balok'!$C$11:$AU$140,3,FALSE),0)</f>
        <v>400</v>
      </c>
      <c r="G68">
        <f>'Data Panjang Balok'!I64</f>
        <v>4150</v>
      </c>
      <c r="H68">
        <f>'Data Panjang Balok'!J64</f>
        <v>150</v>
      </c>
      <c r="I68">
        <v>-3.5</v>
      </c>
      <c r="J68">
        <f>I68-F68/1000</f>
        <v>-3.9</v>
      </c>
      <c r="K68">
        <f>'Data Panjang Balok'!E64</f>
        <v>1</v>
      </c>
      <c r="L68">
        <f>SUMIFS('Besi Balok'!$AA$23:$AA$7253,'Besi Balok'!$A$23:$A$7253,$A68,'Besi Balok'!$B$23:$B$7253,$B68,'Besi Balok'!$F$23:$F$7253,'REKAP Balok'!L$11)</f>
        <v>0</v>
      </c>
      <c r="M68">
        <f>SUMIFS('Besi Balok'!$AA$23:$AA$7253,'Besi Balok'!$A$23:$A$7253,$A68,'Besi Balok'!$B$23:$B$7253,$B68,'Besi Balok'!$F$23:$F$7253,'REKAP Balok'!M$11)</f>
        <v>10.566316800000001</v>
      </c>
      <c r="N68">
        <f>SUMIFS('Besi Balok'!$AA$23:$AA$7253,'Besi Balok'!$A$23:$A$7253,$A68,'Besi Balok'!$B$23:$B$7253,$B68,'Besi Balok'!$F$23:$F$7253,'REKAP Balok'!N$11)</f>
        <v>0</v>
      </c>
      <c r="O68">
        <f>SUMIFS('Besi Balok'!$AA$23:$AA$7253,'Besi Balok'!$A$23:$A$7253,$A68,'Besi Balok'!$B$23:$B$7253,$B68,'Besi Balok'!$F$23:$F$7253,'REKAP Balok'!O$11)</f>
        <v>27.893345220000004</v>
      </c>
      <c r="P68">
        <f>SUMIFS('Besi Balok'!$AA$23:$AA$7253,'Besi Balok'!$A$23:$A$7253,$A68,'Besi Balok'!$B$23:$B$7253,$B68,'Besi Balok'!$F$23:$F$7253,'REKAP Balok'!P$11)</f>
        <v>0</v>
      </c>
      <c r="Q68">
        <f>SUMIFS('Besi Balok'!$AA$23:$AA$7253,'Besi Balok'!$A$23:$A$7253,$A68,'Besi Balok'!$B$23:$B$7253,$B68,'Besi Balok'!$F$23:$F$7253,'REKAP Balok'!Q$11)</f>
        <v>0</v>
      </c>
      <c r="R68">
        <f>SUMIFS('Besi Balok'!$AA$23:$AA$7253,'Besi Balok'!$A$23:$A$7253,$A68,'Besi Balok'!$B$23:$B$7253,$B68,'Besi Balok'!$F$23:$F$7253,'REKAP Balok'!R$11)</f>
        <v>0</v>
      </c>
      <c r="S68">
        <f>SUMIFS('Besi Balok'!$AA$23:$AA$7253,'Besi Balok'!$A$23:$A$7253,$A68,'Besi Balok'!$B$23:$B$7253,$B68,'Besi Balok'!$F$23:$F$7253,'REKAP Balok'!S$11)</f>
        <v>0</v>
      </c>
      <c r="T68">
        <f>SUMIFS('Besi Balok'!$AA$23:$AA$7253,'Besi Balok'!$A$23:$A$7253,$A68,'Besi Balok'!$B$23:$B$7253,$B68,'Besi Balok'!$F$23:$F$7253,'REKAP Balok'!T$11)</f>
        <v>0</v>
      </c>
      <c r="U68">
        <f>SUM(L68:T68)</f>
        <v>38.45966202</v>
      </c>
      <c r="V68">
        <f>(D68*(F68-H68)*G68*K68)/1000000000</f>
        <v>0.2075</v>
      </c>
      <c r="W68">
        <f>(((F68-H68)*2)*(G68)*K68)/1000000</f>
        <v>2.075</v>
      </c>
      <c r="X68">
        <v>0</v>
      </c>
      <c r="Y68">
        <f>K68*(D68+2*$F$5)*G68*$F$6/1000000000</f>
        <v>0.083</v>
      </c>
      <c r="Z68">
        <f>K68*(D68+2*$F$5)*($F$4-J68+($F$6+$F$7)/1000)*G68/1000000</f>
        <v>0.7469999999999999</v>
      </c>
      <c r="AC68">
        <f>(D68+2*$F$5)*F68*G68/1000000000</f>
        <v>0.664</v>
      </c>
    </row>
    <row r="69">
      <c r="A69" t="str">
        <f>'Data Panjang Balok'!A65</f>
        <v>Lantai 1</v>
      </c>
      <c r="B69">
        <f>'Data Panjang Balok'!B65</f>
        <v>54</v>
      </c>
      <c r="C69" t="str">
        <f>'Data Panjang Balok'!D65</f>
        <v>S36-1</v>
      </c>
      <c r="D69">
        <f>IF(C69&gt;0,VLOOKUP(C69,'Detail Balok'!$C$11:$AU$140,2,FALSE),0)</f>
        <v>300</v>
      </c>
      <c r="E69" t="str">
        <v>x</v>
      </c>
      <c r="F69">
        <f>IF(C69&gt;0,VLOOKUP(C69,'Detail Balok'!$C$11:$AU$140,3,FALSE),0)</f>
        <v>600</v>
      </c>
      <c r="G69">
        <f>'Data Panjang Balok'!I65</f>
        <v>4075</v>
      </c>
      <c r="H69">
        <f>'Data Panjang Balok'!J65</f>
        <v>150</v>
      </c>
      <c r="I69">
        <v>-3.5</v>
      </c>
      <c r="J69">
        <f>I69-F69/1000</f>
        <v>-4.1</v>
      </c>
      <c r="K69">
        <f>'Data Panjang Balok'!E65</f>
        <v>1</v>
      </c>
      <c r="L69">
        <f>SUMIFS('Besi Balok'!$AA$23:$AA$7253,'Besi Balok'!$A$23:$A$7253,$A69,'Besi Balok'!$B$23:$B$7253,$B69,'Besi Balok'!$F$23:$F$7253,'REKAP Balok'!L$11)</f>
        <v>0</v>
      </c>
      <c r="M69">
        <f>SUMIFS('Besi Balok'!$AA$23:$AA$7253,'Besi Balok'!$A$23:$A$7253,$A69,'Besi Balok'!$B$23:$B$7253,$B69,'Besi Balok'!$F$23:$F$7253,'REKAP Balok'!M$11)</f>
        <v>16.721452799999998</v>
      </c>
      <c r="N69">
        <f>SUMIFS('Besi Balok'!$AA$23:$AA$7253,'Besi Balok'!$A$23:$A$7253,$A69,'Besi Balok'!$B$23:$B$7253,$B69,'Besi Balok'!$F$23:$F$7253,'REKAP Balok'!N$11)</f>
        <v>5.320395000000001</v>
      </c>
      <c r="O69">
        <f>SUMIFS('Besi Balok'!$AA$23:$AA$7253,'Besi Balok'!$A$23:$A$7253,$A69,'Besi Balok'!$B$23:$B$7253,$B69,'Besi Balok'!$F$23:$F$7253,'REKAP Balok'!O$11)</f>
        <v>0</v>
      </c>
      <c r="P69">
        <f>SUMIFS('Besi Balok'!$AA$23:$AA$7253,'Besi Balok'!$A$23:$A$7253,$A69,'Besi Balok'!$B$23:$B$7253,$B69,'Besi Balok'!$F$23:$F$7253,'REKAP Balok'!P$11)</f>
        <v>56.298977279999995</v>
      </c>
      <c r="Q69">
        <f>SUMIFS('Besi Balok'!$AA$23:$AA$7253,'Besi Balok'!$A$23:$A$7253,$A69,'Besi Balok'!$B$23:$B$7253,$B69,'Besi Balok'!$F$23:$F$7253,'REKAP Balok'!Q$11)</f>
        <v>0</v>
      </c>
      <c r="R69">
        <f>SUMIFS('Besi Balok'!$AA$23:$AA$7253,'Besi Balok'!$A$23:$A$7253,$A69,'Besi Balok'!$B$23:$B$7253,$B69,'Besi Balok'!$F$23:$F$7253,'REKAP Balok'!R$11)</f>
        <v>0</v>
      </c>
      <c r="S69">
        <f>SUMIFS('Besi Balok'!$AA$23:$AA$7253,'Besi Balok'!$A$23:$A$7253,$A69,'Besi Balok'!$B$23:$B$7253,$B69,'Besi Balok'!$F$23:$F$7253,'REKAP Balok'!S$11)</f>
        <v>0</v>
      </c>
      <c r="T69">
        <f>SUMIFS('Besi Balok'!$AA$23:$AA$7253,'Besi Balok'!$A$23:$A$7253,$A69,'Besi Balok'!$B$23:$B$7253,$B69,'Besi Balok'!$F$23:$F$7253,'REKAP Balok'!T$11)</f>
        <v>0</v>
      </c>
      <c r="U69">
        <f>SUM(L69:T69)</f>
        <v>78.34082508</v>
      </c>
      <c r="V69">
        <f>(D69*(F69-H69)*G69*K69)/1000000000</f>
        <v>0.550125</v>
      </c>
      <c r="W69">
        <f>(((F69-H69)*2)*(G69)*K69)/1000000</f>
        <v>3.6675</v>
      </c>
      <c r="X69">
        <v>0</v>
      </c>
      <c r="Y69">
        <f>K69*(D69+2*$F$5)*G69*$F$6/1000000000</f>
        <v>0.101875</v>
      </c>
      <c r="Z69">
        <f>K69*(D69+2*$F$5)*($F$4-J69+($F$6+$F$7)/1000)*G69/1000000</f>
        <v>1.3243749999999992</v>
      </c>
      <c r="AC69">
        <f>(D69+2*$F$5)*F69*G69/1000000000</f>
        <v>1.2225</v>
      </c>
    </row>
    <row r="70">
      <c r="A70" t="str">
        <f>'Data Panjang Balok'!A66</f>
        <v>Lantai 1</v>
      </c>
      <c r="B70">
        <f>'Data Panjang Balok'!B66</f>
        <v>55</v>
      </c>
      <c r="C70" t="str">
        <f>'Data Panjang Balok'!D66</f>
        <v>S24-1</v>
      </c>
      <c r="D70">
        <f>IF(C70&gt;0,VLOOKUP(C70,'Detail Balok'!$C$11:$AU$140,2,FALSE),0)</f>
        <v>200</v>
      </c>
      <c r="E70" t="str">
        <v>x</v>
      </c>
      <c r="F70">
        <f>IF(C70&gt;0,VLOOKUP(C70,'Detail Balok'!$C$11:$AU$140,3,FALSE),0)</f>
        <v>400</v>
      </c>
      <c r="G70">
        <f>'Data Panjang Balok'!I66</f>
        <v>1780</v>
      </c>
      <c r="H70">
        <f>'Data Panjang Balok'!J66</f>
        <v>150</v>
      </c>
      <c r="I70">
        <v>-3.5</v>
      </c>
      <c r="J70">
        <f>I70-F70/1000</f>
        <v>-3.9</v>
      </c>
      <c r="K70">
        <f>'Data Panjang Balok'!E66</f>
        <v>1</v>
      </c>
      <c r="L70">
        <f>SUMIFS('Besi Balok'!$AA$23:$AA$7253,'Besi Balok'!$A$23:$A$7253,$A70,'Besi Balok'!$B$23:$B$7253,$B70,'Besi Balok'!$F$23:$F$7253,'REKAP Balok'!L$11)</f>
        <v>0</v>
      </c>
      <c r="M70">
        <f>SUMIFS('Besi Balok'!$AA$23:$AA$7253,'Besi Balok'!$A$23:$A$7253,$A70,'Besi Balok'!$B$23:$B$7253,$B70,'Besi Balok'!$F$23:$F$7253,'REKAP Balok'!M$11)</f>
        <v>5.283158400000001</v>
      </c>
      <c r="N70">
        <f>SUMIFS('Besi Balok'!$AA$23:$AA$7253,'Besi Balok'!$A$23:$A$7253,$A70,'Besi Balok'!$B$23:$B$7253,$B70,'Besi Balok'!$F$23:$F$7253,'REKAP Balok'!N$11)</f>
        <v>0</v>
      </c>
      <c r="O70">
        <f>SUMIFS('Besi Balok'!$AA$23:$AA$7253,'Besi Balok'!$A$23:$A$7253,$A70,'Besi Balok'!$B$23:$B$7253,$B70,'Besi Balok'!$F$23:$F$7253,'REKAP Balok'!O$11)</f>
        <v>13.077740519999999</v>
      </c>
      <c r="P70">
        <f>SUMIFS('Besi Balok'!$AA$23:$AA$7253,'Besi Balok'!$A$23:$A$7253,$A70,'Besi Balok'!$B$23:$B$7253,$B70,'Besi Balok'!$F$23:$F$7253,'REKAP Balok'!P$11)</f>
        <v>0</v>
      </c>
      <c r="Q70">
        <f>SUMIFS('Besi Balok'!$AA$23:$AA$7253,'Besi Balok'!$A$23:$A$7253,$A70,'Besi Balok'!$B$23:$B$7253,$B70,'Besi Balok'!$F$23:$F$7253,'REKAP Balok'!Q$11)</f>
        <v>0</v>
      </c>
      <c r="R70">
        <f>SUMIFS('Besi Balok'!$AA$23:$AA$7253,'Besi Balok'!$A$23:$A$7253,$A70,'Besi Balok'!$B$23:$B$7253,$B70,'Besi Balok'!$F$23:$F$7253,'REKAP Balok'!R$11)</f>
        <v>0</v>
      </c>
      <c r="S70">
        <f>SUMIFS('Besi Balok'!$AA$23:$AA$7253,'Besi Balok'!$A$23:$A$7253,$A70,'Besi Balok'!$B$23:$B$7253,$B70,'Besi Balok'!$F$23:$F$7253,'REKAP Balok'!S$11)</f>
        <v>0</v>
      </c>
      <c r="T70">
        <f>SUMIFS('Besi Balok'!$AA$23:$AA$7253,'Besi Balok'!$A$23:$A$7253,$A70,'Besi Balok'!$B$23:$B$7253,$B70,'Besi Balok'!$F$23:$F$7253,'REKAP Balok'!T$11)</f>
        <v>0</v>
      </c>
      <c r="U70">
        <f>SUM(L70:T70)</f>
        <v>18.36089892</v>
      </c>
      <c r="V70">
        <f>(D70*(F70-H70)*G70*K70)/1000000000</f>
        <v>0.089</v>
      </c>
      <c r="W70">
        <f>(((F70-H70)*2)*(G70)*K70)/1000000</f>
        <v>0.89</v>
      </c>
      <c r="X70">
        <v>0</v>
      </c>
      <c r="Y70">
        <f>K70*(D70+2*$F$5)*G70*$F$6/1000000000</f>
        <v>0.0356</v>
      </c>
      <c r="Z70">
        <f>K70*(D70+2*$F$5)*($F$4-J70+($F$6+$F$7)/1000)*G70/1000000</f>
        <v>0.32039999999999996</v>
      </c>
      <c r="AC70">
        <f>(D70+2*$F$5)*F70*G70/1000000000</f>
        <v>0.2848</v>
      </c>
    </row>
    <row r="71">
      <c r="A71" t="str">
        <f>'Data Panjang Balok'!A67</f>
        <v>Lantai 1</v>
      </c>
      <c r="B71">
        <f>'Data Panjang Balok'!B67</f>
        <v>56</v>
      </c>
      <c r="C71" t="str">
        <f>'Data Panjang Balok'!D67</f>
        <v>S36-1</v>
      </c>
      <c r="D71">
        <f>IF(C71&gt;0,VLOOKUP(C71,'Detail Balok'!$C$11:$AU$140,2,FALSE),0)</f>
        <v>300</v>
      </c>
      <c r="E71" t="str">
        <v>x</v>
      </c>
      <c r="F71">
        <f>IF(C71&gt;0,VLOOKUP(C71,'Detail Balok'!$C$11:$AU$140,3,FALSE),0)</f>
        <v>600</v>
      </c>
      <c r="G71">
        <f>'Data Panjang Balok'!I67</f>
        <v>5690</v>
      </c>
      <c r="H71">
        <f>'Data Panjang Balok'!J67</f>
        <v>150</v>
      </c>
      <c r="I71">
        <v>-3.5</v>
      </c>
      <c r="J71">
        <f>I71-F71/1000</f>
        <v>-4.1</v>
      </c>
      <c r="K71">
        <f>'Data Panjang Balok'!E67</f>
        <v>1</v>
      </c>
      <c r="L71">
        <f>SUMIFS('Besi Balok'!$AA$23:$AA$7253,'Besi Balok'!$A$23:$A$7253,$A71,'Besi Balok'!$B$23:$B$7253,$B71,'Besi Balok'!$F$23:$F$7253,'REKAP Balok'!L$11)</f>
        <v>0</v>
      </c>
      <c r="M71">
        <f>SUMIFS('Besi Balok'!$AA$23:$AA$7253,'Besi Balok'!$A$23:$A$7253,$A71,'Besi Balok'!$B$23:$B$7253,$B71,'Besi Balok'!$F$23:$F$7253,'REKAP Balok'!M$11)</f>
        <v>21.8665152</v>
      </c>
      <c r="N71">
        <f>SUMIFS('Besi Balok'!$AA$23:$AA$7253,'Besi Balok'!$A$23:$A$7253,$A71,'Besi Balok'!$B$23:$B$7253,$B71,'Besi Balok'!$F$23:$F$7253,'REKAP Balok'!N$11)</f>
        <v>7.311690000000001</v>
      </c>
      <c r="O71">
        <f>SUMIFS('Besi Balok'!$AA$23:$AA$7253,'Besi Balok'!$A$23:$A$7253,$A71,'Besi Balok'!$B$23:$B$7253,$B71,'Besi Balok'!$F$23:$F$7253,'REKAP Balok'!O$11)</f>
        <v>0</v>
      </c>
      <c r="P71">
        <f>SUMIFS('Besi Balok'!$AA$23:$AA$7253,'Besi Balok'!$A$23:$A$7253,$A71,'Besi Balok'!$B$23:$B$7253,$B71,'Besi Balok'!$F$23:$F$7253,'REKAP Balok'!P$11)</f>
        <v>76.68983808</v>
      </c>
      <c r="Q71">
        <f>SUMIFS('Besi Balok'!$AA$23:$AA$7253,'Besi Balok'!$A$23:$A$7253,$A71,'Besi Balok'!$B$23:$B$7253,$B71,'Besi Balok'!$F$23:$F$7253,'REKAP Balok'!Q$11)</f>
        <v>0</v>
      </c>
      <c r="R71">
        <f>SUMIFS('Besi Balok'!$AA$23:$AA$7253,'Besi Balok'!$A$23:$A$7253,$A71,'Besi Balok'!$B$23:$B$7253,$B71,'Besi Balok'!$F$23:$F$7253,'REKAP Balok'!R$11)</f>
        <v>0</v>
      </c>
      <c r="S71">
        <f>SUMIFS('Besi Balok'!$AA$23:$AA$7253,'Besi Balok'!$A$23:$A$7253,$A71,'Besi Balok'!$B$23:$B$7253,$B71,'Besi Balok'!$F$23:$F$7253,'REKAP Balok'!S$11)</f>
        <v>0</v>
      </c>
      <c r="T71">
        <f>SUMIFS('Besi Balok'!$AA$23:$AA$7253,'Besi Balok'!$A$23:$A$7253,$A71,'Besi Balok'!$B$23:$B$7253,$B71,'Besi Balok'!$F$23:$F$7253,'REKAP Balok'!T$11)</f>
        <v>0</v>
      </c>
      <c r="U71">
        <f>SUM(L71:T71)</f>
        <v>105.86804328</v>
      </c>
      <c r="V71">
        <f>(D71*(F71-H71)*G71*K71)/1000000000</f>
        <v>0.76815</v>
      </c>
      <c r="W71">
        <f>(((F71-H71)*2)*(G71)*K71)/1000000</f>
        <v>5.121</v>
      </c>
      <c r="X71">
        <v>0</v>
      </c>
      <c r="Y71">
        <f>K71*(D71+2*$F$5)*G71*$F$6/1000000000</f>
        <v>0.14225</v>
      </c>
      <c r="Z71">
        <f>K71*(D71+2*$F$5)*($F$4-J71+($F$6+$F$7)/1000)*G71/1000000</f>
        <v>1.8492499999999992</v>
      </c>
      <c r="AC71">
        <f>(D71+2*$F$5)*F71*G71/1000000000</f>
        <v>1.707</v>
      </c>
    </row>
    <row r="72">
      <c r="A72" t="str">
        <f>'Data Panjang Balok'!A68</f>
        <v>Lantai 1</v>
      </c>
      <c r="B72">
        <f>'Data Panjang Balok'!B68</f>
        <v>57</v>
      </c>
      <c r="C72" t="str">
        <f>'Data Panjang Balok'!D68</f>
        <v>S36-1</v>
      </c>
      <c r="D72">
        <f>IF(C72&gt;0,VLOOKUP(C72,'Detail Balok'!$C$11:$AU$140,2,FALSE),0)</f>
        <v>300</v>
      </c>
      <c r="E72" t="str">
        <v>x</v>
      </c>
      <c r="F72">
        <f>IF(C72&gt;0,VLOOKUP(C72,'Detail Balok'!$C$11:$AU$140,3,FALSE),0)</f>
        <v>600</v>
      </c>
      <c r="G72">
        <f>'Data Panjang Balok'!I68</f>
        <v>4000</v>
      </c>
      <c r="H72">
        <f>'Data Panjang Balok'!J68</f>
        <v>150</v>
      </c>
      <c r="I72">
        <v>-3.5</v>
      </c>
      <c r="J72">
        <f>I72-F72/1000</f>
        <v>-4.1</v>
      </c>
      <c r="K72">
        <f>'Data Panjang Balok'!E68</f>
        <v>1</v>
      </c>
      <c r="L72">
        <f>SUMIFS('Besi Balok'!$AA$23:$AA$7253,'Besi Balok'!$A$23:$A$7253,$A72,'Besi Balok'!$B$23:$B$7253,$B72,'Besi Balok'!$F$23:$F$7253,'REKAP Balok'!L$11)</f>
        <v>0</v>
      </c>
      <c r="M72">
        <f>SUMIFS('Besi Balok'!$AA$23:$AA$7253,'Besi Balok'!$A$23:$A$7253,$A72,'Besi Balok'!$B$23:$B$7253,$B72,'Besi Balok'!$F$23:$F$7253,'REKAP Balok'!M$11)</f>
        <v>16.721452799999998</v>
      </c>
      <c r="N72">
        <f>SUMIFS('Besi Balok'!$AA$23:$AA$7253,'Besi Balok'!$A$23:$A$7253,$A72,'Besi Balok'!$B$23:$B$7253,$B72,'Besi Balok'!$F$23:$F$7253,'REKAP Balok'!N$11)</f>
        <v>5.227920000000001</v>
      </c>
      <c r="O72">
        <f>SUMIFS('Besi Balok'!$AA$23:$AA$7253,'Besi Balok'!$A$23:$A$7253,$A72,'Besi Balok'!$B$23:$B$7253,$B72,'Besi Balok'!$F$23:$F$7253,'REKAP Balok'!O$11)</f>
        <v>0</v>
      </c>
      <c r="P72">
        <f>SUMIFS('Besi Balok'!$AA$23:$AA$7253,'Besi Balok'!$A$23:$A$7253,$A72,'Besi Balok'!$B$23:$B$7253,$B72,'Besi Balok'!$F$23:$F$7253,'REKAP Balok'!P$11)</f>
        <v>55.35203328000001</v>
      </c>
      <c r="Q72">
        <f>SUMIFS('Besi Balok'!$AA$23:$AA$7253,'Besi Balok'!$A$23:$A$7253,$A72,'Besi Balok'!$B$23:$B$7253,$B72,'Besi Balok'!$F$23:$F$7253,'REKAP Balok'!Q$11)</f>
        <v>0</v>
      </c>
      <c r="R72">
        <f>SUMIFS('Besi Balok'!$AA$23:$AA$7253,'Besi Balok'!$A$23:$A$7253,$A72,'Besi Balok'!$B$23:$B$7253,$B72,'Besi Balok'!$F$23:$F$7253,'REKAP Balok'!R$11)</f>
        <v>0</v>
      </c>
      <c r="S72">
        <f>SUMIFS('Besi Balok'!$AA$23:$AA$7253,'Besi Balok'!$A$23:$A$7253,$A72,'Besi Balok'!$B$23:$B$7253,$B72,'Besi Balok'!$F$23:$F$7253,'REKAP Balok'!S$11)</f>
        <v>0</v>
      </c>
      <c r="T72">
        <f>SUMIFS('Besi Balok'!$AA$23:$AA$7253,'Besi Balok'!$A$23:$A$7253,$A72,'Besi Balok'!$B$23:$B$7253,$B72,'Besi Balok'!$F$23:$F$7253,'REKAP Balok'!T$11)</f>
        <v>0</v>
      </c>
      <c r="U72">
        <f>SUM(L72:T72)</f>
        <v>77.30140608</v>
      </c>
      <c r="V72">
        <f>(D72*(F72-H72)*G72*K72)/1000000000</f>
        <v>0.54</v>
      </c>
      <c r="W72">
        <f>(((F72-H72)*2)*(G72)*K72)/1000000</f>
        <v>3.6</v>
      </c>
      <c r="X72">
        <v>0</v>
      </c>
      <c r="Y72">
        <f>K72*(D72+2*$F$5)*G72*$F$6/1000000000</f>
        <v>0.1</v>
      </c>
      <c r="Z72">
        <f>K72*(D72+2*$F$5)*($F$4-J72+($F$6+$F$7)/1000)*G72/1000000</f>
        <v>1.2999999999999994</v>
      </c>
      <c r="AC72">
        <f>(D72+2*$F$5)*F72*G72/1000000000</f>
        <v>1.2</v>
      </c>
    </row>
    <row r="73">
      <c r="A73" t="str">
        <f>'Data Panjang Balok'!A69</f>
        <v>Lantai 1</v>
      </c>
      <c r="B73">
        <f>'Data Panjang Balok'!B69</f>
        <v>58</v>
      </c>
      <c r="C73" t="str">
        <f>'Data Panjang Balok'!D69</f>
        <v>S25-1</v>
      </c>
      <c r="D73">
        <f>IF(C73&gt;0,VLOOKUP(C73,'Detail Balok'!$C$11:$AU$140,2,FALSE),0)</f>
        <v>200</v>
      </c>
      <c r="E73" t="str">
        <v>x</v>
      </c>
      <c r="F73">
        <f>IF(C73&gt;0,VLOOKUP(C73,'Detail Balok'!$C$11:$AU$140,3,FALSE),0)</f>
        <v>500</v>
      </c>
      <c r="G73">
        <f>'Data Panjang Balok'!I69</f>
        <v>1600</v>
      </c>
      <c r="H73">
        <f>'Data Panjang Balok'!J69</f>
        <v>150</v>
      </c>
      <c r="I73">
        <v>-3.5</v>
      </c>
      <c r="J73">
        <f>I73-F73/1000</f>
        <v>-4</v>
      </c>
      <c r="K73">
        <f>'Data Panjang Balok'!E69</f>
        <v>1</v>
      </c>
      <c r="L73">
        <f>SUMIFS('Besi Balok'!$AA$23:$AA$7253,'Besi Balok'!$A$23:$A$7253,$A73,'Besi Balok'!$B$23:$B$7253,$B73,'Besi Balok'!$F$23:$F$7253,'REKAP Balok'!L$11)</f>
        <v>0</v>
      </c>
      <c r="M73">
        <f>SUMIFS('Besi Balok'!$AA$23:$AA$7253,'Besi Balok'!$A$23:$A$7253,$A73,'Besi Balok'!$B$23:$B$7253,$B73,'Besi Balok'!$F$23:$F$7253,'REKAP Balok'!M$11)</f>
        <v>5.8237056</v>
      </c>
      <c r="N73">
        <f>SUMIFS('Besi Balok'!$AA$23:$AA$7253,'Besi Balok'!$A$23:$A$7253,$A73,'Besi Balok'!$B$23:$B$7253,$B73,'Besi Balok'!$F$23:$F$7253,'REKAP Balok'!N$11)</f>
        <v>2.26872</v>
      </c>
      <c r="O73">
        <f>SUMIFS('Besi Balok'!$AA$23:$AA$7253,'Besi Balok'!$A$23:$A$7253,$A73,'Besi Balok'!$B$23:$B$7253,$B73,'Besi Balok'!$F$23:$F$7253,'REKAP Balok'!O$11)</f>
        <v>0</v>
      </c>
      <c r="P73">
        <f>SUMIFS('Besi Balok'!$AA$23:$AA$7253,'Besi Balok'!$A$23:$A$7253,$A73,'Besi Balok'!$B$23:$B$7253,$B73,'Besi Balok'!$F$23:$F$7253,'REKAP Balok'!P$11)</f>
        <v>18.787368960000002</v>
      </c>
      <c r="Q73">
        <f>SUMIFS('Besi Balok'!$AA$23:$AA$7253,'Besi Balok'!$A$23:$A$7253,$A73,'Besi Balok'!$B$23:$B$7253,$B73,'Besi Balok'!$F$23:$F$7253,'REKAP Balok'!Q$11)</f>
        <v>0</v>
      </c>
      <c r="R73">
        <f>SUMIFS('Besi Balok'!$AA$23:$AA$7253,'Besi Balok'!$A$23:$A$7253,$A73,'Besi Balok'!$B$23:$B$7253,$B73,'Besi Balok'!$F$23:$F$7253,'REKAP Balok'!R$11)</f>
        <v>0</v>
      </c>
      <c r="S73">
        <f>SUMIFS('Besi Balok'!$AA$23:$AA$7253,'Besi Balok'!$A$23:$A$7253,$A73,'Besi Balok'!$B$23:$B$7253,$B73,'Besi Balok'!$F$23:$F$7253,'REKAP Balok'!S$11)</f>
        <v>0</v>
      </c>
      <c r="T73">
        <f>SUMIFS('Besi Balok'!$AA$23:$AA$7253,'Besi Balok'!$A$23:$A$7253,$A73,'Besi Balok'!$B$23:$B$7253,$B73,'Besi Balok'!$F$23:$F$7253,'REKAP Balok'!T$11)</f>
        <v>0</v>
      </c>
      <c r="U73">
        <f>SUM(L73:T73)</f>
        <v>26.87979456</v>
      </c>
      <c r="V73">
        <f>(D73*(F73-H73)*G73*K73)/1000000000</f>
        <v>0.112</v>
      </c>
      <c r="W73">
        <f>(((F73-H73)*2)*(G73)*K73)/1000000</f>
        <v>1.12</v>
      </c>
      <c r="X73">
        <v>0</v>
      </c>
      <c r="Y73">
        <f>K73*(D73+2*$F$5)*G73*$F$6/1000000000</f>
        <v>0.032</v>
      </c>
      <c r="Z73">
        <f>K73*(D73+2*$F$5)*($F$4-J73+($F$6+$F$7)/1000)*G73/1000000</f>
        <v>0.35200000000000004</v>
      </c>
      <c r="AB73">
        <f>U73/V73</f>
        <v>239.9981657142857</v>
      </c>
      <c r="AC73">
        <f>(D73+2*$F$5)*F73*G73/1000000000</f>
        <v>0.32</v>
      </c>
    </row>
    <row r="74">
      <c r="A74" t="str">
        <f>'Data Panjang Balok'!A70</f>
        <v>Lantai 1</v>
      </c>
      <c r="B74">
        <f>'Data Panjang Balok'!B70</f>
        <v>59</v>
      </c>
      <c r="C74" t="str">
        <f>'Data Panjang Balok'!D70</f>
        <v>S24-1</v>
      </c>
      <c r="D74">
        <f>IF(C74&gt;0,VLOOKUP(C74,'Detail Balok'!$C$11:$AU$140,2,FALSE),0)</f>
        <v>200</v>
      </c>
      <c r="E74" t="str">
        <v>x</v>
      </c>
      <c r="F74">
        <f>IF(C74&gt;0,VLOOKUP(C74,'Detail Balok'!$C$11:$AU$140,3,FALSE),0)</f>
        <v>400</v>
      </c>
      <c r="G74">
        <f>'Data Panjang Balok'!I70</f>
        <v>6975</v>
      </c>
      <c r="H74">
        <f>'Data Panjang Balok'!J70</f>
        <v>150</v>
      </c>
      <c r="I74">
        <v>-3.5</v>
      </c>
      <c r="J74">
        <f>I74-F74/1000</f>
        <v>-3.9</v>
      </c>
      <c r="K74">
        <f>'Data Panjang Balok'!E70</f>
        <v>1</v>
      </c>
      <c r="L74">
        <f>SUMIFS('Besi Balok'!$AA$23:$AA$7253,'Besi Balok'!$A$23:$A$7253,$A74,'Besi Balok'!$B$23:$B$7253,$B74,'Besi Balok'!$F$23:$F$7253,'REKAP Balok'!L$11)</f>
        <v>0</v>
      </c>
      <c r="M74">
        <f>SUMIFS('Besi Balok'!$AA$23:$AA$7253,'Besi Balok'!$A$23:$A$7253,$A74,'Besi Balok'!$B$23:$B$7253,$B74,'Besi Balok'!$F$23:$F$7253,'REKAP Balok'!M$11)</f>
        <v>17.475062400000002</v>
      </c>
      <c r="N74">
        <f>SUMIFS('Besi Balok'!$AA$23:$AA$7253,'Besi Balok'!$A$23:$A$7253,$A74,'Besi Balok'!$B$23:$B$7253,$B74,'Besi Balok'!$F$23:$F$7253,'REKAP Balok'!N$11)</f>
        <v>0</v>
      </c>
      <c r="O74">
        <f>SUMIFS('Besi Balok'!$AA$23:$AA$7253,'Besi Balok'!$A$23:$A$7253,$A74,'Besi Balok'!$B$23:$B$7253,$B74,'Besi Balok'!$F$23:$F$7253,'REKAP Balok'!O$11)</f>
        <v>45.55329596999999</v>
      </c>
      <c r="P74">
        <f>SUMIFS('Besi Balok'!$AA$23:$AA$7253,'Besi Balok'!$A$23:$A$7253,$A74,'Besi Balok'!$B$23:$B$7253,$B74,'Besi Balok'!$F$23:$F$7253,'REKAP Balok'!P$11)</f>
        <v>0</v>
      </c>
      <c r="Q74">
        <f>SUMIFS('Besi Balok'!$AA$23:$AA$7253,'Besi Balok'!$A$23:$A$7253,$A74,'Besi Balok'!$B$23:$B$7253,$B74,'Besi Balok'!$F$23:$F$7253,'REKAP Balok'!Q$11)</f>
        <v>0</v>
      </c>
      <c r="R74">
        <f>SUMIFS('Besi Balok'!$AA$23:$AA$7253,'Besi Balok'!$A$23:$A$7253,$A74,'Besi Balok'!$B$23:$B$7253,$B74,'Besi Balok'!$F$23:$F$7253,'REKAP Balok'!R$11)</f>
        <v>0</v>
      </c>
      <c r="S74">
        <f>SUMIFS('Besi Balok'!$AA$23:$AA$7253,'Besi Balok'!$A$23:$A$7253,$A74,'Besi Balok'!$B$23:$B$7253,$B74,'Besi Balok'!$F$23:$F$7253,'REKAP Balok'!S$11)</f>
        <v>0</v>
      </c>
      <c r="T74">
        <f>SUMIFS('Besi Balok'!$AA$23:$AA$7253,'Besi Balok'!$A$23:$A$7253,$A74,'Besi Balok'!$B$23:$B$7253,$B74,'Besi Balok'!$F$23:$F$7253,'REKAP Balok'!T$11)</f>
        <v>0</v>
      </c>
      <c r="U74">
        <f>SUM(L74:T74)</f>
        <v>63.02835836999999</v>
      </c>
      <c r="V74">
        <f>(D74*(F74-H74)*G74*K74)/1000000000</f>
        <v>0.34875</v>
      </c>
      <c r="W74">
        <f>(((F74-H74)*2)*(G74)*K74)/1000000</f>
        <v>3.4875</v>
      </c>
      <c r="X74">
        <v>0</v>
      </c>
      <c r="Y74">
        <f>K74*(D74+2*$F$5)*G74*$F$6/1000000000</f>
        <v>0.1395</v>
      </c>
      <c r="Z74">
        <f>K74*(D74+2*$F$5)*($F$4-J74+($F$6+$F$7)/1000)*G74/1000000</f>
        <v>1.2554999999999998</v>
      </c>
      <c r="AC74">
        <f>(D74+2*$F$5)*F74*G74/1000000000</f>
        <v>1.116</v>
      </c>
    </row>
    <row r="75">
      <c r="A75" t="str">
        <f>'Data Panjang Balok'!A71</f>
        <v>Lantai 1</v>
      </c>
      <c r="B75">
        <f>'Data Panjang Balok'!B71</f>
        <v>60</v>
      </c>
      <c r="C75" t="str">
        <f>'Data Panjang Balok'!D71</f>
        <v>S24-1</v>
      </c>
      <c r="D75">
        <f>IF(C75&gt;0,VLOOKUP(C75,'Detail Balok'!$C$11:$AU$140,2,FALSE),0)</f>
        <v>200</v>
      </c>
      <c r="E75" t="str">
        <v>x</v>
      </c>
      <c r="F75">
        <f>IF(C75&gt;0,VLOOKUP(C75,'Detail Balok'!$C$11:$AU$140,3,FALSE),0)</f>
        <v>400</v>
      </c>
      <c r="G75">
        <f>'Data Panjang Balok'!I71</f>
        <v>17030</v>
      </c>
      <c r="H75">
        <f>'Data Panjang Balok'!J71</f>
        <v>0</v>
      </c>
      <c r="I75">
        <v>-3.5</v>
      </c>
      <c r="J75">
        <f>I75-F75/1000</f>
        <v>-3.9</v>
      </c>
      <c r="K75">
        <f>'Data Panjang Balok'!E71</f>
        <v>1</v>
      </c>
      <c r="L75">
        <f>SUMIFS('Besi Balok'!$AA$23:$AA$7253,'Besi Balok'!$A$23:$A$7253,$A75,'Besi Balok'!$B$23:$B$7253,$B75,'Besi Balok'!$F$23:$F$7253,'REKAP Balok'!L$11)</f>
        <v>0</v>
      </c>
      <c r="M75">
        <f>SUMIFS('Besi Balok'!$AA$23:$AA$7253,'Besi Balok'!$A$23:$A$7253,$A75,'Besi Balok'!$B$23:$B$7253,$B75,'Besi Balok'!$F$23:$F$7253,'REKAP Balok'!M$11)</f>
        <v>41.04607680000001</v>
      </c>
      <c r="N75">
        <f>SUMIFS('Besi Balok'!$AA$23:$AA$7253,'Besi Balok'!$A$23:$A$7253,$A75,'Besi Balok'!$B$23:$B$7253,$B75,'Besi Balok'!$F$23:$F$7253,'REKAP Balok'!N$11)</f>
        <v>0</v>
      </c>
      <c r="O75">
        <f>SUMIFS('Besi Balok'!$AA$23:$AA$7253,'Besi Balok'!$A$23:$A$7253,$A75,'Besi Balok'!$B$23:$B$7253,$B75,'Besi Balok'!$F$23:$F$7253,'REKAP Balok'!O$11)</f>
        <v>108.41428137149998</v>
      </c>
      <c r="P75">
        <f>SUMIFS('Besi Balok'!$AA$23:$AA$7253,'Besi Balok'!$A$23:$A$7253,$A75,'Besi Balok'!$B$23:$B$7253,$B75,'Besi Balok'!$F$23:$F$7253,'REKAP Balok'!P$11)</f>
        <v>0</v>
      </c>
      <c r="Q75">
        <f>SUMIFS('Besi Balok'!$AA$23:$AA$7253,'Besi Balok'!$A$23:$A$7253,$A75,'Besi Balok'!$B$23:$B$7253,$B75,'Besi Balok'!$F$23:$F$7253,'REKAP Balok'!Q$11)</f>
        <v>0</v>
      </c>
      <c r="R75">
        <f>SUMIFS('Besi Balok'!$AA$23:$AA$7253,'Besi Balok'!$A$23:$A$7253,$A75,'Besi Balok'!$B$23:$B$7253,$B75,'Besi Balok'!$F$23:$F$7253,'REKAP Balok'!R$11)</f>
        <v>0</v>
      </c>
      <c r="S75">
        <f>SUMIFS('Besi Balok'!$AA$23:$AA$7253,'Besi Balok'!$A$23:$A$7253,$A75,'Besi Balok'!$B$23:$B$7253,$B75,'Besi Balok'!$F$23:$F$7253,'REKAP Balok'!S$11)</f>
        <v>0</v>
      </c>
      <c r="T75">
        <f>SUMIFS('Besi Balok'!$AA$23:$AA$7253,'Besi Balok'!$A$23:$A$7253,$A75,'Besi Balok'!$B$23:$B$7253,$B75,'Besi Balok'!$F$23:$F$7253,'REKAP Balok'!T$11)</f>
        <v>0</v>
      </c>
      <c r="U75">
        <f>SUM(L75:T75)</f>
        <v>149.4603581715</v>
      </c>
      <c r="V75">
        <f>(D75*(F75-H75)*G75*K75)/1000000000</f>
        <v>1.3624</v>
      </c>
      <c r="W75">
        <f>(((F75-H75)*2)*(G75)*K75)/1000000</f>
        <v>13.624</v>
      </c>
      <c r="X75">
        <v>0</v>
      </c>
      <c r="Y75">
        <f>K75*(D75+2*$F$5)*G75*$F$6/1000000000</f>
        <v>0.3406</v>
      </c>
      <c r="Z75">
        <f>K75*(D75+2*$F$5)*($F$4-J75+($F$6+$F$7)/1000)*G75/1000000</f>
        <v>3.0653999999999995</v>
      </c>
      <c r="AC75">
        <f>(D75+2*$F$5)*F75*G75/1000000000</f>
        <v>2.7248</v>
      </c>
    </row>
    <row r="76">
      <c r="A76" t="str">
        <f>'Data Panjang Balok'!A72</f>
        <v>Lantai 1</v>
      </c>
      <c r="B76">
        <f>'Data Panjang Balok'!B72</f>
        <v>61</v>
      </c>
      <c r="C76" t="str">
        <f>'Data Panjang Balok'!D72</f>
        <v>S24-1</v>
      </c>
      <c r="D76">
        <f>IF(C76&gt;0,VLOOKUP(C76,'Detail Balok'!$C$11:$AU$140,2,FALSE),0)</f>
        <v>200</v>
      </c>
      <c r="E76" t="str">
        <v>x</v>
      </c>
      <c r="F76">
        <f>IF(C76&gt;0,VLOOKUP(C76,'Detail Balok'!$C$11:$AU$140,3,FALSE),0)</f>
        <v>400</v>
      </c>
      <c r="G76">
        <f>'Data Panjang Balok'!I72</f>
        <v>5675</v>
      </c>
      <c r="H76">
        <f>'Data Panjang Balok'!J72</f>
        <v>150</v>
      </c>
      <c r="I76">
        <v>-3.5</v>
      </c>
      <c r="J76">
        <f>I76-F76/1000</f>
        <v>-3.9</v>
      </c>
      <c r="K76">
        <f>'Data Panjang Balok'!E72</f>
        <v>1</v>
      </c>
      <c r="L76">
        <f>SUMIFS('Besi Balok'!$AA$23:$AA$7253,'Besi Balok'!$A$23:$A$7253,$A76,'Besi Balok'!$B$23:$B$7253,$B76,'Besi Balok'!$F$23:$F$7253,'REKAP Balok'!L$11)</f>
        <v>0</v>
      </c>
      <c r="M76">
        <f>SUMIFS('Besi Balok'!$AA$23:$AA$7253,'Besi Balok'!$A$23:$A$7253,$A76,'Besi Balok'!$B$23:$B$7253,$B76,'Besi Balok'!$F$23:$F$7253,'REKAP Balok'!M$11)</f>
        <v>13.817491200000003</v>
      </c>
      <c r="N76">
        <f>SUMIFS('Besi Balok'!$AA$23:$AA$7253,'Besi Balok'!$A$23:$A$7253,$A76,'Besi Balok'!$B$23:$B$7253,$B76,'Besi Balok'!$F$23:$F$7253,'REKAP Balok'!N$11)</f>
        <v>0</v>
      </c>
      <c r="O76">
        <f>SUMIFS('Besi Balok'!$AA$23:$AA$7253,'Besi Balok'!$A$23:$A$7253,$A76,'Besi Balok'!$B$23:$B$7253,$B76,'Besi Balok'!$F$23:$F$7253,'REKAP Balok'!O$11)</f>
        <v>37.42659297</v>
      </c>
      <c r="P76">
        <f>SUMIFS('Besi Balok'!$AA$23:$AA$7253,'Besi Balok'!$A$23:$A$7253,$A76,'Besi Balok'!$B$23:$B$7253,$B76,'Besi Balok'!$F$23:$F$7253,'REKAP Balok'!P$11)</f>
        <v>0</v>
      </c>
      <c r="Q76">
        <f>SUMIFS('Besi Balok'!$AA$23:$AA$7253,'Besi Balok'!$A$23:$A$7253,$A76,'Besi Balok'!$B$23:$B$7253,$B76,'Besi Balok'!$F$23:$F$7253,'REKAP Balok'!Q$11)</f>
        <v>0</v>
      </c>
      <c r="R76">
        <f>SUMIFS('Besi Balok'!$AA$23:$AA$7253,'Besi Balok'!$A$23:$A$7253,$A76,'Besi Balok'!$B$23:$B$7253,$B76,'Besi Balok'!$F$23:$F$7253,'REKAP Balok'!R$11)</f>
        <v>0</v>
      </c>
      <c r="S76">
        <f>SUMIFS('Besi Balok'!$AA$23:$AA$7253,'Besi Balok'!$A$23:$A$7253,$A76,'Besi Balok'!$B$23:$B$7253,$B76,'Besi Balok'!$F$23:$F$7253,'REKAP Balok'!S$11)</f>
        <v>0</v>
      </c>
      <c r="T76">
        <f>SUMIFS('Besi Balok'!$AA$23:$AA$7253,'Besi Balok'!$A$23:$A$7253,$A76,'Besi Balok'!$B$23:$B$7253,$B76,'Besi Balok'!$F$23:$F$7253,'REKAP Balok'!T$11)</f>
        <v>0</v>
      </c>
      <c r="U76">
        <f>SUM(L76:T76)</f>
        <v>51.24408417000001</v>
      </c>
      <c r="V76">
        <f>(D76*(F76-H76)*G76*K76)/1000000000</f>
        <v>0.28375</v>
      </c>
      <c r="W76">
        <f>(((F76-H76)*2)*(G76)*K76)/1000000</f>
        <v>2.8375</v>
      </c>
      <c r="X76">
        <v>0</v>
      </c>
      <c r="Y76">
        <f>K76*(D76+2*$F$5)*G76*$F$6/1000000000</f>
        <v>0.1135</v>
      </c>
      <c r="Z76">
        <f>K76*(D76+2*$F$5)*($F$4-J76+($F$6+$F$7)/1000)*G76/1000000</f>
        <v>1.0214999999999999</v>
      </c>
      <c r="AC76">
        <f>(D76+2*$F$5)*F76*G76/1000000000</f>
        <v>0.908</v>
      </c>
    </row>
    <row r="77">
      <c r="A77" t="str">
        <f>'Data Panjang Balok'!A73</f>
        <v>Lantai 1</v>
      </c>
      <c r="B77">
        <f>'Data Panjang Balok'!B73</f>
        <v>62</v>
      </c>
      <c r="C77" t="str">
        <f>'Data Panjang Balok'!D73</f>
        <v>S25-1</v>
      </c>
      <c r="D77">
        <f>IF(C77&gt;0,VLOOKUP(C77,'Detail Balok'!$C$11:$AU$140,2,FALSE),0)</f>
        <v>200</v>
      </c>
      <c r="E77" t="str">
        <v>x</v>
      </c>
      <c r="F77">
        <f>IF(C77&gt;0,VLOOKUP(C77,'Detail Balok'!$C$11:$AU$140,3,FALSE),0)</f>
        <v>500</v>
      </c>
      <c r="G77">
        <f>'Data Panjang Balok'!I73</f>
        <v>4300</v>
      </c>
      <c r="H77">
        <f>'Data Panjang Balok'!J73</f>
        <v>150</v>
      </c>
      <c r="I77">
        <v>-3.5</v>
      </c>
      <c r="J77">
        <f>I77-F77/1000</f>
        <v>-4</v>
      </c>
      <c r="K77">
        <f>'Data Panjang Balok'!E73</f>
        <v>1</v>
      </c>
      <c r="L77">
        <f>SUMIFS('Besi Balok'!$AA$23:$AA$7253,'Besi Balok'!$A$23:$A$7253,$A77,'Besi Balok'!$B$23:$B$7253,$B77,'Besi Balok'!$F$23:$F$7253,'REKAP Balok'!L$11)</f>
        <v>0</v>
      </c>
      <c r="M77">
        <f>SUMIFS('Besi Balok'!$AA$23:$AA$7253,'Besi Balok'!$A$23:$A$7253,$A77,'Besi Balok'!$B$23:$B$7253,$B77,'Besi Balok'!$F$23:$F$7253,'REKAP Balok'!M$11)</f>
        <v>13.103337600000001</v>
      </c>
      <c r="N77">
        <f>SUMIFS('Besi Balok'!$AA$23:$AA$7253,'Besi Balok'!$A$23:$A$7253,$A77,'Besi Balok'!$B$23:$B$7253,$B77,'Besi Balok'!$F$23:$F$7253,'REKAP Balok'!N$11)</f>
        <v>5.5978200000000005</v>
      </c>
      <c r="O77">
        <f>SUMIFS('Besi Balok'!$AA$23:$AA$7253,'Besi Balok'!$A$23:$A$7253,$A77,'Besi Balok'!$B$23:$B$7253,$B77,'Besi Balok'!$F$23:$F$7253,'REKAP Balok'!O$11)</f>
        <v>0</v>
      </c>
      <c r="P77">
        <f>SUMIFS('Besi Balok'!$AA$23:$AA$7253,'Besi Balok'!$A$23:$A$7253,$A77,'Besi Balok'!$B$23:$B$7253,$B77,'Besi Balok'!$F$23:$F$7253,'REKAP Balok'!P$11)</f>
        <v>44.35485695999999</v>
      </c>
      <c r="Q77">
        <f>SUMIFS('Besi Balok'!$AA$23:$AA$7253,'Besi Balok'!$A$23:$A$7253,$A77,'Besi Balok'!$B$23:$B$7253,$B77,'Besi Balok'!$F$23:$F$7253,'REKAP Balok'!Q$11)</f>
        <v>0</v>
      </c>
      <c r="R77">
        <f>SUMIFS('Besi Balok'!$AA$23:$AA$7253,'Besi Balok'!$A$23:$A$7253,$A77,'Besi Balok'!$B$23:$B$7253,$B77,'Besi Balok'!$F$23:$F$7253,'REKAP Balok'!R$11)</f>
        <v>0</v>
      </c>
      <c r="S77">
        <f>SUMIFS('Besi Balok'!$AA$23:$AA$7253,'Besi Balok'!$A$23:$A$7253,$A77,'Besi Balok'!$B$23:$B$7253,$B77,'Besi Balok'!$F$23:$F$7253,'REKAP Balok'!S$11)</f>
        <v>0</v>
      </c>
      <c r="T77">
        <f>SUMIFS('Besi Balok'!$AA$23:$AA$7253,'Besi Balok'!$A$23:$A$7253,$A77,'Besi Balok'!$B$23:$B$7253,$B77,'Besi Balok'!$F$23:$F$7253,'REKAP Balok'!T$11)</f>
        <v>0</v>
      </c>
      <c r="U77">
        <f>SUM(L77:T77)</f>
        <v>63.056014559999994</v>
      </c>
      <c r="V77">
        <f>(D77*(F77-H77)*G77*K77)/1000000000</f>
        <v>0.301</v>
      </c>
      <c r="W77">
        <f>(((F77-H77)*2)*(G77)*K77)/1000000</f>
        <v>3.01</v>
      </c>
      <c r="X77">
        <v>0</v>
      </c>
      <c r="Y77">
        <f>K77*(D77+2*$F$5)*G77*$F$6/1000000000</f>
        <v>0.086</v>
      </c>
      <c r="Z77">
        <f>K77*(D77+2*$F$5)*($F$4-J77+($F$6+$F$7)/1000)*G77/1000000</f>
        <v>0.9460000000000001</v>
      </c>
      <c r="AB77">
        <f>U77/V77</f>
        <v>209.48842046511626</v>
      </c>
      <c r="AC77">
        <f>(D77+2*$F$5)*F77*G77/1000000000</f>
        <v>0.86</v>
      </c>
    </row>
    <row r="78">
      <c r="A78" t="str">
        <f>'Data Panjang Balok'!A74</f>
        <v>Lantai 1</v>
      </c>
      <c r="B78">
        <f>'Data Panjang Balok'!B74</f>
        <v>63</v>
      </c>
      <c r="C78" t="str">
        <f>'Data Panjang Balok'!D74</f>
        <v>S24-1</v>
      </c>
      <c r="D78">
        <f>IF(C78&gt;0,VLOOKUP(C78,'Detail Balok'!$C$11:$AU$140,2,FALSE),0)</f>
        <v>200</v>
      </c>
      <c r="E78" t="str">
        <v>x</v>
      </c>
      <c r="F78">
        <f>IF(C78&gt;0,VLOOKUP(C78,'Detail Balok'!$C$11:$AU$140,3,FALSE),0)</f>
        <v>400</v>
      </c>
      <c r="G78">
        <f>'Data Panjang Balok'!I74</f>
        <v>2100</v>
      </c>
      <c r="H78">
        <f>'Data Panjang Balok'!J74</f>
        <v>150</v>
      </c>
      <c r="I78">
        <v>-3.5</v>
      </c>
      <c r="J78">
        <f>I78-F78/1000</f>
        <v>-3.9</v>
      </c>
      <c r="K78">
        <f>'Data Panjang Balok'!E74</f>
        <v>1</v>
      </c>
      <c r="L78">
        <f>SUMIFS('Besi Balok'!$AA$23:$AA$7253,'Besi Balok'!$A$23:$A$7253,$A78,'Besi Balok'!$B$23:$B$7253,$B78,'Besi Balok'!$F$23:$F$7253,'REKAP Balok'!L$11)</f>
        <v>0</v>
      </c>
      <c r="M78">
        <f>SUMIFS('Besi Balok'!$AA$23:$AA$7253,'Besi Balok'!$A$23:$A$7253,$A78,'Besi Balok'!$B$23:$B$7253,$B78,'Besi Balok'!$F$23:$F$7253,'REKAP Balok'!M$11)</f>
        <v>6.0959520000000005</v>
      </c>
      <c r="N78">
        <f>SUMIFS('Besi Balok'!$AA$23:$AA$7253,'Besi Balok'!$A$23:$A$7253,$A78,'Besi Balok'!$B$23:$B$7253,$B78,'Besi Balok'!$F$23:$F$7253,'REKAP Balok'!N$11)</f>
        <v>0</v>
      </c>
      <c r="O78">
        <f>SUMIFS('Besi Balok'!$AA$23:$AA$7253,'Besi Balok'!$A$23:$A$7253,$A78,'Besi Balok'!$B$23:$B$7253,$B78,'Besi Balok'!$F$23:$F$7253,'REKAP Balok'!O$11)</f>
        <v>15.078159719999999</v>
      </c>
      <c r="P78">
        <f>SUMIFS('Besi Balok'!$AA$23:$AA$7253,'Besi Balok'!$A$23:$A$7253,$A78,'Besi Balok'!$B$23:$B$7253,$B78,'Besi Balok'!$F$23:$F$7253,'REKAP Balok'!P$11)</f>
        <v>0</v>
      </c>
      <c r="Q78">
        <f>SUMIFS('Besi Balok'!$AA$23:$AA$7253,'Besi Balok'!$A$23:$A$7253,$A78,'Besi Balok'!$B$23:$B$7253,$B78,'Besi Balok'!$F$23:$F$7253,'REKAP Balok'!Q$11)</f>
        <v>0</v>
      </c>
      <c r="R78">
        <f>SUMIFS('Besi Balok'!$AA$23:$AA$7253,'Besi Balok'!$A$23:$A$7253,$A78,'Besi Balok'!$B$23:$B$7253,$B78,'Besi Balok'!$F$23:$F$7253,'REKAP Balok'!R$11)</f>
        <v>0</v>
      </c>
      <c r="S78">
        <f>SUMIFS('Besi Balok'!$AA$23:$AA$7253,'Besi Balok'!$A$23:$A$7253,$A78,'Besi Balok'!$B$23:$B$7253,$B78,'Besi Balok'!$F$23:$F$7253,'REKAP Balok'!S$11)</f>
        <v>0</v>
      </c>
      <c r="T78">
        <f>SUMIFS('Besi Balok'!$AA$23:$AA$7253,'Besi Balok'!$A$23:$A$7253,$A78,'Besi Balok'!$B$23:$B$7253,$B78,'Besi Balok'!$F$23:$F$7253,'REKAP Balok'!T$11)</f>
        <v>0</v>
      </c>
      <c r="U78">
        <f>SUM(L78:T78)</f>
        <v>21.17411172</v>
      </c>
      <c r="V78">
        <f>(D78*(F78-H78)*G78*K78)/1000000000</f>
        <v>0.105</v>
      </c>
      <c r="W78">
        <f>(((F78-H78)*2)*(G78)*K78)/1000000</f>
        <v>1.05</v>
      </c>
      <c r="X78">
        <v>0</v>
      </c>
      <c r="Y78">
        <f>K78*(D78+2*$F$5)*G78*$F$6/1000000000</f>
        <v>0.042</v>
      </c>
      <c r="Z78">
        <f>K78*(D78+2*$F$5)*($F$4-J78+($F$6+$F$7)/1000)*G78/1000000</f>
        <v>0.37799999999999995</v>
      </c>
      <c r="AC78">
        <f>(D78+2*$F$5)*F78*G78/1000000000</f>
        <v>0.336</v>
      </c>
    </row>
    <row r="79">
      <c r="A79" t="str">
        <f>'Data Panjang Balok'!A75</f>
        <v>Lantai 1</v>
      </c>
      <c r="B79">
        <f>'Data Panjang Balok'!B75</f>
        <v>64</v>
      </c>
      <c r="C79" t="str">
        <f>'Data Panjang Balok'!D75</f>
        <v>S24-1</v>
      </c>
      <c r="D79">
        <f>IF(C79&gt;0,VLOOKUP(C79,'Detail Balok'!$C$11:$AU$140,2,FALSE),0)</f>
        <v>200</v>
      </c>
      <c r="E79" t="str">
        <v>x</v>
      </c>
      <c r="F79">
        <f>IF(C79&gt;0,VLOOKUP(C79,'Detail Balok'!$C$11:$AU$140,3,FALSE),0)</f>
        <v>400</v>
      </c>
      <c r="G79">
        <f>'Data Panjang Balok'!I75</f>
        <v>925</v>
      </c>
      <c r="H79">
        <f>'Data Panjang Balok'!J75</f>
        <v>150</v>
      </c>
      <c r="I79">
        <v>-3.5</v>
      </c>
      <c r="J79">
        <f>I79-F79/1000</f>
        <v>-3.9</v>
      </c>
      <c r="K79">
        <f>'Data Panjang Balok'!E75</f>
        <v>1</v>
      </c>
      <c r="L79">
        <f>SUMIFS('Besi Balok'!$AA$23:$AA$7253,'Besi Balok'!$A$23:$A$7253,$A79,'Besi Balok'!$B$23:$B$7253,$B79,'Besi Balok'!$F$23:$F$7253,'REKAP Balok'!L$11)</f>
        <v>0</v>
      </c>
      <c r="M79">
        <f>SUMIFS('Besi Balok'!$AA$23:$AA$7253,'Besi Balok'!$A$23:$A$7253,$A79,'Besi Balok'!$B$23:$B$7253,$B79,'Besi Balok'!$F$23:$F$7253,'REKAP Balok'!M$11)</f>
        <v>2.8447776000000005</v>
      </c>
      <c r="N79">
        <f>SUMIFS('Besi Balok'!$AA$23:$AA$7253,'Besi Balok'!$A$23:$A$7253,$A79,'Besi Balok'!$B$23:$B$7253,$B79,'Besi Balok'!$F$23:$F$7253,'REKAP Balok'!N$11)</f>
        <v>0</v>
      </c>
      <c r="O79">
        <f>SUMIFS('Besi Balok'!$AA$23:$AA$7253,'Besi Balok'!$A$23:$A$7253,$A79,'Besi Balok'!$B$23:$B$7253,$B79,'Besi Balok'!$F$23:$F$7253,'REKAP Balok'!O$11)</f>
        <v>7.73287047</v>
      </c>
      <c r="P79">
        <f>SUMIFS('Besi Balok'!$AA$23:$AA$7253,'Besi Balok'!$A$23:$A$7253,$A79,'Besi Balok'!$B$23:$B$7253,$B79,'Besi Balok'!$F$23:$F$7253,'REKAP Balok'!P$11)</f>
        <v>0</v>
      </c>
      <c r="Q79">
        <f>SUMIFS('Besi Balok'!$AA$23:$AA$7253,'Besi Balok'!$A$23:$A$7253,$A79,'Besi Balok'!$B$23:$B$7253,$B79,'Besi Balok'!$F$23:$F$7253,'REKAP Balok'!Q$11)</f>
        <v>0</v>
      </c>
      <c r="R79">
        <f>SUMIFS('Besi Balok'!$AA$23:$AA$7253,'Besi Balok'!$A$23:$A$7253,$A79,'Besi Balok'!$B$23:$B$7253,$B79,'Besi Balok'!$F$23:$F$7253,'REKAP Balok'!R$11)</f>
        <v>0</v>
      </c>
      <c r="S79">
        <f>SUMIFS('Besi Balok'!$AA$23:$AA$7253,'Besi Balok'!$A$23:$A$7253,$A79,'Besi Balok'!$B$23:$B$7253,$B79,'Besi Balok'!$F$23:$F$7253,'REKAP Balok'!S$11)</f>
        <v>0</v>
      </c>
      <c r="T79">
        <f>SUMIFS('Besi Balok'!$AA$23:$AA$7253,'Besi Balok'!$A$23:$A$7253,$A79,'Besi Balok'!$B$23:$B$7253,$B79,'Besi Balok'!$F$23:$F$7253,'REKAP Balok'!T$11)</f>
        <v>0</v>
      </c>
      <c r="U79">
        <f>SUM(L79:T79)</f>
        <v>10.57764807</v>
      </c>
      <c r="V79">
        <f>(D79*(F79-H79)*G79*K79)/1000000000</f>
        <v>0.04625</v>
      </c>
      <c r="W79">
        <f>(((F79-H79)*2)*(G79)*K79)/1000000</f>
        <v>0.4625</v>
      </c>
      <c r="X79">
        <v>0</v>
      </c>
      <c r="Y79">
        <f>K79*(D79+2*$F$5)*G79*$F$6/1000000000</f>
        <v>0.0185</v>
      </c>
      <c r="Z79">
        <f>K79*(D79+2*$F$5)*($F$4-J79+($F$6+$F$7)/1000)*G79/1000000</f>
        <v>0.16649999999999998</v>
      </c>
      <c r="AC79">
        <f>(D79+2*$F$5)*F79*G79/1000000000</f>
        <v>0.148</v>
      </c>
    </row>
    <row r="80">
      <c r="A80" t="str">
        <f>'Data Panjang Balok'!A76</f>
        <v>Lantai 1</v>
      </c>
      <c r="B80">
        <f>'Data Panjang Balok'!B76</f>
        <v>65</v>
      </c>
      <c r="C80" t="str">
        <f>'Data Panjang Balok'!D76</f>
        <v>S25-1</v>
      </c>
      <c r="D80">
        <f>IF(C80&gt;0,VLOOKUP(C80,'Detail Balok'!$C$11:$AU$140,2,FALSE),0)</f>
        <v>200</v>
      </c>
      <c r="E80" t="str">
        <v>x</v>
      </c>
      <c r="F80">
        <f>IF(C80&gt;0,VLOOKUP(C80,'Detail Balok'!$C$11:$AU$140,3,FALSE),0)</f>
        <v>500</v>
      </c>
      <c r="G80">
        <f>'Data Panjang Balok'!I76</f>
        <v>1875</v>
      </c>
      <c r="H80">
        <f>'Data Panjang Balok'!J76</f>
        <v>150</v>
      </c>
      <c r="I80">
        <v>-3.5</v>
      </c>
      <c r="J80">
        <f>I80-F80/1000</f>
        <v>-4</v>
      </c>
      <c r="K80">
        <f>'Data Panjang Balok'!E76</f>
        <v>1</v>
      </c>
      <c r="L80">
        <f>SUMIFS('Besi Balok'!$AA$23:$AA$7253,'Besi Balok'!$A$23:$A$7253,$A80,'Besi Balok'!$B$23:$B$7253,$B80,'Besi Balok'!$F$23:$F$7253,'REKAP Balok'!L$11)</f>
        <v>0</v>
      </c>
      <c r="M80">
        <f>SUMIFS('Besi Balok'!$AA$23:$AA$7253,'Besi Balok'!$A$23:$A$7253,$A80,'Besi Balok'!$B$23:$B$7253,$B80,'Besi Balok'!$F$23:$F$7253,'REKAP Balok'!M$11)</f>
        <v>6.794323200000001</v>
      </c>
      <c r="N80">
        <f>SUMIFS('Besi Balok'!$AA$23:$AA$7253,'Besi Balok'!$A$23:$A$7253,$A80,'Besi Balok'!$B$23:$B$7253,$B80,'Besi Balok'!$F$23:$F$7253,'REKAP Balok'!N$11)</f>
        <v>2.6077950000000003</v>
      </c>
      <c r="O80">
        <f>SUMIFS('Besi Balok'!$AA$23:$AA$7253,'Besi Balok'!$A$23:$A$7253,$A80,'Besi Balok'!$B$23:$B$7253,$B80,'Besi Balok'!$F$23:$F$7253,'REKAP Balok'!O$11)</f>
        <v>0</v>
      </c>
      <c r="P80">
        <f>SUMIFS('Besi Balok'!$AA$23:$AA$7253,'Besi Balok'!$A$23:$A$7253,$A80,'Besi Balok'!$B$23:$B$7253,$B80,'Besi Balok'!$F$23:$F$7253,'REKAP Balok'!P$11)</f>
        <v>21.39146496</v>
      </c>
      <c r="Q80">
        <f>SUMIFS('Besi Balok'!$AA$23:$AA$7253,'Besi Balok'!$A$23:$A$7253,$A80,'Besi Balok'!$B$23:$B$7253,$B80,'Besi Balok'!$F$23:$F$7253,'REKAP Balok'!Q$11)</f>
        <v>0</v>
      </c>
      <c r="R80">
        <f>SUMIFS('Besi Balok'!$AA$23:$AA$7253,'Besi Balok'!$A$23:$A$7253,$A80,'Besi Balok'!$B$23:$B$7253,$B80,'Besi Balok'!$F$23:$F$7253,'REKAP Balok'!R$11)</f>
        <v>0</v>
      </c>
      <c r="S80">
        <f>SUMIFS('Besi Balok'!$AA$23:$AA$7253,'Besi Balok'!$A$23:$A$7253,$A80,'Besi Balok'!$B$23:$B$7253,$B80,'Besi Balok'!$F$23:$F$7253,'REKAP Balok'!S$11)</f>
        <v>0</v>
      </c>
      <c r="T80">
        <f>SUMIFS('Besi Balok'!$AA$23:$AA$7253,'Besi Balok'!$A$23:$A$7253,$A80,'Besi Balok'!$B$23:$B$7253,$B80,'Besi Balok'!$F$23:$F$7253,'REKAP Balok'!T$11)</f>
        <v>0</v>
      </c>
      <c r="U80">
        <f>SUM(L80:T80)</f>
        <v>30.79358316</v>
      </c>
      <c r="V80">
        <f>(D80*(F80-H80)*G80*K80)/1000000000</f>
        <v>0.13125</v>
      </c>
      <c r="W80">
        <f>(((F80-H80)*2)*(G80)*K80)/1000000</f>
        <v>1.3125</v>
      </c>
      <c r="X80">
        <v>0</v>
      </c>
      <c r="Y80">
        <f>K80*(D80+2*$F$5)*G80*$F$6/1000000000</f>
        <v>0.0375</v>
      </c>
      <c r="Z80">
        <f>K80*(D80+2*$F$5)*($F$4-J80+($F$6+$F$7)/1000)*G80/1000000</f>
        <v>0.41250000000000003</v>
      </c>
      <c r="AB80">
        <f>U80/V80</f>
        <v>234.61777645714287</v>
      </c>
      <c r="AC80">
        <f>(D80+2*$F$5)*F80*G80/1000000000</f>
        <v>0.375</v>
      </c>
    </row>
    <row r="81">
      <c r="A81" t="str">
        <f>'Data Panjang Balok'!A77</f>
        <v>Lantai 1</v>
      </c>
      <c r="B81">
        <f>'Data Panjang Balok'!B77</f>
        <v>66</v>
      </c>
      <c r="C81" t="str">
        <f>'Data Panjang Balok'!D77</f>
        <v>S24-1</v>
      </c>
      <c r="D81">
        <f>IF(C81&gt;0,VLOOKUP(C81,'Detail Balok'!$C$11:$AU$140,2,FALSE),0)</f>
        <v>200</v>
      </c>
      <c r="E81" t="str">
        <v>x</v>
      </c>
      <c r="F81">
        <f>IF(C81&gt;0,VLOOKUP(C81,'Detail Balok'!$C$11:$AU$140,3,FALSE),0)</f>
        <v>400</v>
      </c>
      <c r="G81">
        <f>'Data Panjang Balok'!I77</f>
        <v>2100</v>
      </c>
      <c r="H81">
        <f>'Data Panjang Balok'!J77</f>
        <v>150</v>
      </c>
      <c r="I81">
        <v>-3.5</v>
      </c>
      <c r="J81">
        <f>I81-F81/1000</f>
        <v>-3.9</v>
      </c>
      <c r="K81">
        <f>'Data Panjang Balok'!E77</f>
        <v>1</v>
      </c>
      <c r="L81">
        <f>SUMIFS('Besi Balok'!$AA$23:$AA$7253,'Besi Balok'!$A$23:$A$7253,$A81,'Besi Balok'!$B$23:$B$7253,$B81,'Besi Balok'!$F$23:$F$7253,'REKAP Balok'!L$11)</f>
        <v>0</v>
      </c>
      <c r="M81">
        <f>SUMIFS('Besi Balok'!$AA$23:$AA$7253,'Besi Balok'!$A$23:$A$7253,$A81,'Besi Balok'!$B$23:$B$7253,$B81,'Besi Balok'!$F$23:$F$7253,'REKAP Balok'!M$11)</f>
        <v>6.0959520000000005</v>
      </c>
      <c r="N81">
        <f>SUMIFS('Besi Balok'!$AA$23:$AA$7253,'Besi Balok'!$A$23:$A$7253,$A81,'Besi Balok'!$B$23:$B$7253,$B81,'Besi Balok'!$F$23:$F$7253,'REKAP Balok'!N$11)</f>
        <v>0</v>
      </c>
      <c r="O81">
        <f>SUMIFS('Besi Balok'!$AA$23:$AA$7253,'Besi Balok'!$A$23:$A$7253,$A81,'Besi Balok'!$B$23:$B$7253,$B81,'Besi Balok'!$F$23:$F$7253,'REKAP Balok'!O$11)</f>
        <v>15.078159719999999</v>
      </c>
      <c r="P81">
        <f>SUMIFS('Besi Balok'!$AA$23:$AA$7253,'Besi Balok'!$A$23:$A$7253,$A81,'Besi Balok'!$B$23:$B$7253,$B81,'Besi Balok'!$F$23:$F$7253,'REKAP Balok'!P$11)</f>
        <v>0</v>
      </c>
      <c r="Q81">
        <f>SUMIFS('Besi Balok'!$AA$23:$AA$7253,'Besi Balok'!$A$23:$A$7253,$A81,'Besi Balok'!$B$23:$B$7253,$B81,'Besi Balok'!$F$23:$F$7253,'REKAP Balok'!Q$11)</f>
        <v>0</v>
      </c>
      <c r="R81">
        <f>SUMIFS('Besi Balok'!$AA$23:$AA$7253,'Besi Balok'!$A$23:$A$7253,$A81,'Besi Balok'!$B$23:$B$7253,$B81,'Besi Balok'!$F$23:$F$7253,'REKAP Balok'!R$11)</f>
        <v>0</v>
      </c>
      <c r="S81">
        <f>SUMIFS('Besi Balok'!$AA$23:$AA$7253,'Besi Balok'!$A$23:$A$7253,$A81,'Besi Balok'!$B$23:$B$7253,$B81,'Besi Balok'!$F$23:$F$7253,'REKAP Balok'!S$11)</f>
        <v>0</v>
      </c>
      <c r="T81">
        <f>SUMIFS('Besi Balok'!$AA$23:$AA$7253,'Besi Balok'!$A$23:$A$7253,$A81,'Besi Balok'!$B$23:$B$7253,$B81,'Besi Balok'!$F$23:$F$7253,'REKAP Balok'!T$11)</f>
        <v>0</v>
      </c>
      <c r="U81">
        <f>SUM(L81:T81)</f>
        <v>21.17411172</v>
      </c>
      <c r="V81">
        <f>(D81*(F81-H81)*G81*K81)/1000000000</f>
        <v>0.105</v>
      </c>
      <c r="W81">
        <f>(((F81-H81)*2)*(G81)*K81)/1000000</f>
        <v>1.05</v>
      </c>
      <c r="X81">
        <v>0</v>
      </c>
      <c r="Y81">
        <f>K81*(D81+2*$F$5)*G81*$F$6/1000000000</f>
        <v>0.042</v>
      </c>
      <c r="Z81">
        <f>K81*(D81+2*$F$5)*($F$4-J81+($F$6+$F$7)/1000)*G81/1000000</f>
        <v>0.37799999999999995</v>
      </c>
      <c r="AC81">
        <f>(D81+2*$F$5)*F81*G81/1000000000</f>
        <v>0.336</v>
      </c>
    </row>
    <row r="82">
      <c r="A82" t="str">
        <f>'Data Panjang Balok'!A78</f>
        <v>Lantai 1</v>
      </c>
      <c r="B82">
        <f>'Data Panjang Balok'!B78</f>
        <v>67</v>
      </c>
      <c r="C82" t="str">
        <f>'Data Panjang Balok'!D78</f>
        <v>S24-1</v>
      </c>
      <c r="D82">
        <f>IF(C82&gt;0,VLOOKUP(C82,'Detail Balok'!$C$11:$AU$140,2,FALSE),0)</f>
        <v>200</v>
      </c>
      <c r="E82" t="str">
        <v>x</v>
      </c>
      <c r="F82">
        <f>IF(C82&gt;0,VLOOKUP(C82,'Detail Balok'!$C$11:$AU$140,3,FALSE),0)</f>
        <v>400</v>
      </c>
      <c r="G82">
        <f>'Data Panjang Balok'!I78</f>
        <v>925</v>
      </c>
      <c r="H82">
        <f>'Data Panjang Balok'!J78</f>
        <v>150</v>
      </c>
      <c r="I82">
        <v>-3.5</v>
      </c>
      <c r="J82">
        <f>I82-F82/1000</f>
        <v>-3.9</v>
      </c>
      <c r="K82">
        <f>'Data Panjang Balok'!E78</f>
        <v>1</v>
      </c>
      <c r="L82">
        <f>SUMIFS('Besi Balok'!$AA$23:$AA$7253,'Besi Balok'!$A$23:$A$7253,$A82,'Besi Balok'!$B$23:$B$7253,$B82,'Besi Balok'!$F$23:$F$7253,'REKAP Balok'!L$11)</f>
        <v>0</v>
      </c>
      <c r="M82">
        <f>SUMIFS('Besi Balok'!$AA$23:$AA$7253,'Besi Balok'!$A$23:$A$7253,$A82,'Besi Balok'!$B$23:$B$7253,$B82,'Besi Balok'!$F$23:$F$7253,'REKAP Balok'!M$11)</f>
        <v>2.8447776000000005</v>
      </c>
      <c r="N82">
        <f>SUMIFS('Besi Balok'!$AA$23:$AA$7253,'Besi Balok'!$A$23:$A$7253,$A82,'Besi Balok'!$B$23:$B$7253,$B82,'Besi Balok'!$F$23:$F$7253,'REKAP Balok'!N$11)</f>
        <v>0</v>
      </c>
      <c r="O82">
        <f>SUMIFS('Besi Balok'!$AA$23:$AA$7253,'Besi Balok'!$A$23:$A$7253,$A82,'Besi Balok'!$B$23:$B$7253,$B82,'Besi Balok'!$F$23:$F$7253,'REKAP Balok'!O$11)</f>
        <v>7.73287047</v>
      </c>
      <c r="P82">
        <f>SUMIFS('Besi Balok'!$AA$23:$AA$7253,'Besi Balok'!$A$23:$A$7253,$A82,'Besi Balok'!$B$23:$B$7253,$B82,'Besi Balok'!$F$23:$F$7253,'REKAP Balok'!P$11)</f>
        <v>0</v>
      </c>
      <c r="Q82">
        <f>SUMIFS('Besi Balok'!$AA$23:$AA$7253,'Besi Balok'!$A$23:$A$7253,$A82,'Besi Balok'!$B$23:$B$7253,$B82,'Besi Balok'!$F$23:$F$7253,'REKAP Balok'!Q$11)</f>
        <v>0</v>
      </c>
      <c r="R82">
        <f>SUMIFS('Besi Balok'!$AA$23:$AA$7253,'Besi Balok'!$A$23:$A$7253,$A82,'Besi Balok'!$B$23:$B$7253,$B82,'Besi Balok'!$F$23:$F$7253,'REKAP Balok'!R$11)</f>
        <v>0</v>
      </c>
      <c r="S82">
        <f>SUMIFS('Besi Balok'!$AA$23:$AA$7253,'Besi Balok'!$A$23:$A$7253,$A82,'Besi Balok'!$B$23:$B$7253,$B82,'Besi Balok'!$F$23:$F$7253,'REKAP Balok'!S$11)</f>
        <v>0</v>
      </c>
      <c r="T82">
        <f>SUMIFS('Besi Balok'!$AA$23:$AA$7253,'Besi Balok'!$A$23:$A$7253,$A82,'Besi Balok'!$B$23:$B$7253,$B82,'Besi Balok'!$F$23:$F$7253,'REKAP Balok'!T$11)</f>
        <v>0</v>
      </c>
      <c r="U82">
        <f>SUM(L82:T82)</f>
        <v>10.57764807</v>
      </c>
      <c r="V82">
        <f>(D82*(F82-H82)*G82*K82)/1000000000</f>
        <v>0.04625</v>
      </c>
      <c r="W82">
        <f>(((F82-H82)*2)*(G82)*K82)/1000000</f>
        <v>0.4625</v>
      </c>
      <c r="X82">
        <v>0</v>
      </c>
      <c r="Y82">
        <f>K82*(D82+2*$F$5)*G82*$F$6/1000000000</f>
        <v>0.0185</v>
      </c>
      <c r="Z82">
        <f>K82*(D82+2*$F$5)*($F$4-J82+($F$6+$F$7)/1000)*G82/1000000</f>
        <v>0.16649999999999998</v>
      </c>
      <c r="AC82">
        <f>(D82+2*$F$5)*F82*G82/1000000000</f>
        <v>0.148</v>
      </c>
    </row>
    <row r="83">
      <c r="A83" t="str">
        <f>'Data Panjang Balok'!A79</f>
        <v>Lantai 1</v>
      </c>
      <c r="B83">
        <f>'Data Panjang Balok'!B79</f>
        <v>68</v>
      </c>
      <c r="C83" t="str">
        <f>'Data Panjang Balok'!D79</f>
        <v>S25-1</v>
      </c>
      <c r="D83">
        <f>IF(C83&gt;0,VLOOKUP(C83,'Detail Balok'!$C$11:$AU$140,2,FALSE),0)</f>
        <v>200</v>
      </c>
      <c r="E83" t="str">
        <v>x</v>
      </c>
      <c r="F83">
        <f>IF(C83&gt;0,VLOOKUP(C83,'Detail Balok'!$C$11:$AU$140,3,FALSE),0)</f>
        <v>500</v>
      </c>
      <c r="G83">
        <f>'Data Panjang Balok'!I79</f>
        <v>4805</v>
      </c>
      <c r="H83">
        <f>'Data Panjang Balok'!J79</f>
        <v>150</v>
      </c>
      <c r="I83">
        <v>-3.5</v>
      </c>
      <c r="J83">
        <f>I83-F83/1000</f>
        <v>-4</v>
      </c>
      <c r="K83">
        <f>'Data Panjang Balok'!E79</f>
        <v>1</v>
      </c>
      <c r="L83">
        <f>SUMIFS('Besi Balok'!$AA$23:$AA$7253,'Besi Balok'!$A$23:$A$7253,$A83,'Besi Balok'!$B$23:$B$7253,$B83,'Besi Balok'!$F$23:$F$7253,'REKAP Balok'!L$11)</f>
        <v>0</v>
      </c>
      <c r="M83">
        <f>SUMIFS('Besi Balok'!$AA$23:$AA$7253,'Besi Balok'!$A$23:$A$7253,$A83,'Besi Balok'!$B$23:$B$7253,$B83,'Besi Balok'!$F$23:$F$7253,'REKAP Balok'!M$11)</f>
        <v>14.559264000000002</v>
      </c>
      <c r="N83">
        <f>SUMIFS('Besi Balok'!$AA$23:$AA$7253,'Besi Balok'!$A$23:$A$7253,$A83,'Besi Balok'!$B$23:$B$7253,$B83,'Besi Balok'!$F$23:$F$7253,'REKAP Balok'!N$11)</f>
        <v>6.220485</v>
      </c>
      <c r="O83">
        <f>SUMIFS('Besi Balok'!$AA$23:$AA$7253,'Besi Balok'!$A$23:$A$7253,$A83,'Besi Balok'!$B$23:$B$7253,$B83,'Besi Balok'!$F$23:$F$7253,'REKAP Balok'!O$11)</f>
        <v>0</v>
      </c>
      <c r="P83">
        <f>SUMIFS('Besi Balok'!$AA$23:$AA$7253,'Besi Balok'!$A$23:$A$7253,$A83,'Besi Balok'!$B$23:$B$7253,$B83,'Besi Balok'!$F$23:$F$7253,'REKAP Balok'!P$11)</f>
        <v>49.13692416000001</v>
      </c>
      <c r="Q83">
        <f>SUMIFS('Besi Balok'!$AA$23:$AA$7253,'Besi Balok'!$A$23:$A$7253,$A83,'Besi Balok'!$B$23:$B$7253,$B83,'Besi Balok'!$F$23:$F$7253,'REKAP Balok'!Q$11)</f>
        <v>0</v>
      </c>
      <c r="R83">
        <f>SUMIFS('Besi Balok'!$AA$23:$AA$7253,'Besi Balok'!$A$23:$A$7253,$A83,'Besi Balok'!$B$23:$B$7253,$B83,'Besi Balok'!$F$23:$F$7253,'REKAP Balok'!R$11)</f>
        <v>0</v>
      </c>
      <c r="S83">
        <f>SUMIFS('Besi Balok'!$AA$23:$AA$7253,'Besi Balok'!$A$23:$A$7253,$A83,'Besi Balok'!$B$23:$B$7253,$B83,'Besi Balok'!$F$23:$F$7253,'REKAP Balok'!S$11)</f>
        <v>0</v>
      </c>
      <c r="T83">
        <f>SUMIFS('Besi Balok'!$AA$23:$AA$7253,'Besi Balok'!$A$23:$A$7253,$A83,'Besi Balok'!$B$23:$B$7253,$B83,'Besi Balok'!$F$23:$F$7253,'REKAP Balok'!T$11)</f>
        <v>0</v>
      </c>
      <c r="U83">
        <f>SUM(L83:T83)</f>
        <v>69.91667316000002</v>
      </c>
      <c r="V83">
        <f>(D83*(F83-H83)*G83*K83)/1000000000</f>
        <v>0.33635</v>
      </c>
      <c r="W83">
        <f>(((F83-H83)*2)*(G83)*K83)/1000000</f>
        <v>3.3635</v>
      </c>
      <c r="X83">
        <v>0</v>
      </c>
      <c r="Y83">
        <f>K83*(D83+2*$F$5)*G83*$F$6/1000000000</f>
        <v>0.0961</v>
      </c>
      <c r="Z83">
        <f>K83*(D83+2*$F$5)*($F$4-J83+($F$6+$F$7)/1000)*G83/1000000</f>
        <v>1.0571000000000002</v>
      </c>
      <c r="AB83">
        <f>U83/V83</f>
        <v>207.86880677865324</v>
      </c>
      <c r="AC83">
        <f>(D83+2*$F$5)*F83*G83/1000000000</f>
        <v>0.961</v>
      </c>
    </row>
    <row r="84">
      <c r="A84" t="str">
        <f>'Data Panjang Balok'!A80</f>
        <v>Lantai 1</v>
      </c>
      <c r="B84">
        <f>'Data Panjang Balok'!B80</f>
        <v>69</v>
      </c>
      <c r="C84" t="str">
        <f>'Data Panjang Balok'!D80</f>
        <v>S25-1</v>
      </c>
      <c r="D84">
        <f>IF(C84&gt;0,VLOOKUP(C84,'Detail Balok'!$C$11:$AU$140,2,FALSE),0)</f>
        <v>200</v>
      </c>
      <c r="E84" t="str">
        <v>x</v>
      </c>
      <c r="F84">
        <f>IF(C84&gt;0,VLOOKUP(C84,'Detail Balok'!$C$11:$AU$140,3,FALSE),0)</f>
        <v>500</v>
      </c>
      <c r="G84">
        <f>'Data Panjang Balok'!I80</f>
        <v>4805</v>
      </c>
      <c r="H84">
        <f>'Data Panjang Balok'!J80</f>
        <v>150</v>
      </c>
      <c r="I84">
        <v>-3.5</v>
      </c>
      <c r="J84">
        <f>I84-F84/1000</f>
        <v>-4</v>
      </c>
      <c r="K84">
        <f>'Data Panjang Balok'!E80</f>
        <v>1</v>
      </c>
      <c r="L84">
        <f>SUMIFS('Besi Balok'!$AA$23:$AA$7253,'Besi Balok'!$A$23:$A$7253,$A84,'Besi Balok'!$B$23:$B$7253,$B84,'Besi Balok'!$F$23:$F$7253,'REKAP Balok'!L$11)</f>
        <v>0</v>
      </c>
      <c r="M84">
        <f>SUMIFS('Besi Balok'!$AA$23:$AA$7253,'Besi Balok'!$A$23:$A$7253,$A84,'Besi Balok'!$B$23:$B$7253,$B84,'Besi Balok'!$F$23:$F$7253,'REKAP Balok'!M$11)</f>
        <v>14.559264000000002</v>
      </c>
      <c r="N84">
        <f>SUMIFS('Besi Balok'!$AA$23:$AA$7253,'Besi Balok'!$A$23:$A$7253,$A84,'Besi Balok'!$B$23:$B$7253,$B84,'Besi Balok'!$F$23:$F$7253,'REKAP Balok'!N$11)</f>
        <v>6.220485</v>
      </c>
      <c r="O84">
        <f>SUMIFS('Besi Balok'!$AA$23:$AA$7253,'Besi Balok'!$A$23:$A$7253,$A84,'Besi Balok'!$B$23:$B$7253,$B84,'Besi Balok'!$F$23:$F$7253,'REKAP Balok'!O$11)</f>
        <v>0</v>
      </c>
      <c r="P84">
        <f>SUMIFS('Besi Balok'!$AA$23:$AA$7253,'Besi Balok'!$A$23:$A$7253,$A84,'Besi Balok'!$B$23:$B$7253,$B84,'Besi Balok'!$F$23:$F$7253,'REKAP Balok'!P$11)</f>
        <v>49.13692416000001</v>
      </c>
      <c r="Q84">
        <f>SUMIFS('Besi Balok'!$AA$23:$AA$7253,'Besi Balok'!$A$23:$A$7253,$A84,'Besi Balok'!$B$23:$B$7253,$B84,'Besi Balok'!$F$23:$F$7253,'REKAP Balok'!Q$11)</f>
        <v>0</v>
      </c>
      <c r="R84">
        <f>SUMIFS('Besi Balok'!$AA$23:$AA$7253,'Besi Balok'!$A$23:$A$7253,$A84,'Besi Balok'!$B$23:$B$7253,$B84,'Besi Balok'!$F$23:$F$7253,'REKAP Balok'!R$11)</f>
        <v>0</v>
      </c>
      <c r="S84">
        <f>SUMIFS('Besi Balok'!$AA$23:$AA$7253,'Besi Balok'!$A$23:$A$7253,$A84,'Besi Balok'!$B$23:$B$7253,$B84,'Besi Balok'!$F$23:$F$7253,'REKAP Balok'!S$11)</f>
        <v>0</v>
      </c>
      <c r="T84">
        <f>SUMIFS('Besi Balok'!$AA$23:$AA$7253,'Besi Balok'!$A$23:$A$7253,$A84,'Besi Balok'!$B$23:$B$7253,$B84,'Besi Balok'!$F$23:$F$7253,'REKAP Balok'!T$11)</f>
        <v>0</v>
      </c>
      <c r="U84">
        <f>SUM(L84:T84)</f>
        <v>69.91667316000002</v>
      </c>
      <c r="V84">
        <f>(D84*(F84-H84)*G84*K84)/1000000000</f>
        <v>0.33635</v>
      </c>
      <c r="W84">
        <f>(((F84-H84)*2)*(G84)*K84)/1000000</f>
        <v>3.3635</v>
      </c>
      <c r="X84">
        <v>0</v>
      </c>
      <c r="Y84">
        <f>K84*(D84+2*$F$5)*G84*$F$6/1000000000</f>
        <v>0.0961</v>
      </c>
      <c r="Z84">
        <f>K84*(D84+2*$F$5)*($F$4-J84+($F$6+$F$7)/1000)*G84/1000000</f>
        <v>1.0571000000000002</v>
      </c>
      <c r="AB84">
        <f>U84/V84</f>
        <v>207.86880677865324</v>
      </c>
      <c r="AC84">
        <f>(D84+2*$F$5)*F84*G84/1000000000</f>
        <v>0.961</v>
      </c>
    </row>
    <row r="85">
      <c r="A85" t="str">
        <f>'Data Panjang Balok'!A81</f>
        <v>Lantai 1</v>
      </c>
      <c r="B85">
        <f>'Data Panjang Balok'!B81</f>
        <v>70</v>
      </c>
      <c r="C85" t="str">
        <f>'Data Panjang Balok'!D81</f>
        <v>S24-1</v>
      </c>
      <c r="D85">
        <f>IF(C85&gt;0,VLOOKUP(C85,'Detail Balok'!$C$11:$AU$140,2,FALSE),0)</f>
        <v>200</v>
      </c>
      <c r="E85" t="str">
        <v>x</v>
      </c>
      <c r="F85">
        <f>IF(C85&gt;0,VLOOKUP(C85,'Detail Balok'!$C$11:$AU$140,3,FALSE),0)</f>
        <v>400</v>
      </c>
      <c r="G85">
        <f>'Data Panjang Balok'!I81</f>
        <v>6825</v>
      </c>
      <c r="H85">
        <f>'Data Panjang Balok'!J81</f>
        <v>150</v>
      </c>
      <c r="I85">
        <v>-3.5</v>
      </c>
      <c r="J85">
        <f>I85-F85/1000</f>
        <v>-3.9</v>
      </c>
      <c r="K85">
        <f>'Data Panjang Balok'!E81</f>
        <v>1</v>
      </c>
      <c r="L85">
        <f>SUMIFS('Besi Balok'!$AA$23:$AA$7253,'Besi Balok'!$A$23:$A$7253,$A85,'Besi Balok'!$B$23:$B$7253,$B85,'Besi Balok'!$F$23:$F$7253,'REKAP Balok'!L$11)</f>
        <v>0</v>
      </c>
      <c r="M85">
        <f>SUMIFS('Besi Balok'!$AA$23:$AA$7253,'Besi Balok'!$A$23:$A$7253,$A85,'Besi Balok'!$B$23:$B$7253,$B85,'Besi Balok'!$F$23:$F$7253,'REKAP Balok'!M$11)</f>
        <v>16.662268800000003</v>
      </c>
      <c r="N85">
        <f>SUMIFS('Besi Balok'!$AA$23:$AA$7253,'Besi Balok'!$A$23:$A$7253,$A85,'Besi Balok'!$B$23:$B$7253,$B85,'Besi Balok'!$F$23:$F$7253,'REKAP Balok'!N$11)</f>
        <v>0</v>
      </c>
      <c r="O85">
        <f>SUMIFS('Besi Balok'!$AA$23:$AA$7253,'Besi Balok'!$A$23:$A$7253,$A85,'Besi Balok'!$B$23:$B$7253,$B85,'Besi Balok'!$F$23:$F$7253,'REKAP Balok'!O$11)</f>
        <v>44.61559947</v>
      </c>
      <c r="P85">
        <f>SUMIFS('Besi Balok'!$AA$23:$AA$7253,'Besi Balok'!$A$23:$A$7253,$A85,'Besi Balok'!$B$23:$B$7253,$B85,'Besi Balok'!$F$23:$F$7253,'REKAP Balok'!P$11)</f>
        <v>0</v>
      </c>
      <c r="Q85">
        <f>SUMIFS('Besi Balok'!$AA$23:$AA$7253,'Besi Balok'!$A$23:$A$7253,$A85,'Besi Balok'!$B$23:$B$7253,$B85,'Besi Balok'!$F$23:$F$7253,'REKAP Balok'!Q$11)</f>
        <v>0</v>
      </c>
      <c r="R85">
        <f>SUMIFS('Besi Balok'!$AA$23:$AA$7253,'Besi Balok'!$A$23:$A$7253,$A85,'Besi Balok'!$B$23:$B$7253,$B85,'Besi Balok'!$F$23:$F$7253,'REKAP Balok'!R$11)</f>
        <v>0</v>
      </c>
      <c r="S85">
        <f>SUMIFS('Besi Balok'!$AA$23:$AA$7253,'Besi Balok'!$A$23:$A$7253,$A85,'Besi Balok'!$B$23:$B$7253,$B85,'Besi Balok'!$F$23:$F$7253,'REKAP Balok'!S$11)</f>
        <v>0</v>
      </c>
      <c r="T85">
        <f>SUMIFS('Besi Balok'!$AA$23:$AA$7253,'Besi Balok'!$A$23:$A$7253,$A85,'Besi Balok'!$B$23:$B$7253,$B85,'Besi Balok'!$F$23:$F$7253,'REKAP Balok'!T$11)</f>
        <v>0</v>
      </c>
      <c r="U85">
        <f>SUM(L85:T85)</f>
        <v>61.27786827</v>
      </c>
      <c r="V85">
        <f>(D85*(F85-H85)*G85*K85)/1000000000</f>
        <v>0.34125</v>
      </c>
      <c r="W85">
        <f>(((F85-H85)*2)*(G85)*K85)/1000000</f>
        <v>3.4125</v>
      </c>
      <c r="X85">
        <v>0</v>
      </c>
      <c r="Y85">
        <f>K85*(D85+2*$F$5)*G85*$F$6/1000000000</f>
        <v>0.1365</v>
      </c>
      <c r="Z85">
        <f>K85*(D85+2*$F$5)*($F$4-J85+($F$6+$F$7)/1000)*G85/1000000</f>
        <v>1.2284999999999997</v>
      </c>
      <c r="AC85">
        <f>(D85+2*$F$5)*F85*G85/1000000000</f>
        <v>1.092</v>
      </c>
    </row>
    <row r="86">
      <c r="A86" t="str">
        <f>'Data Panjang Balok'!A82</f>
        <v>Lantai 1</v>
      </c>
      <c r="B86">
        <f>'Data Panjang Balok'!B82</f>
        <v>71</v>
      </c>
      <c r="C86" t="str">
        <f>'Data Panjang Balok'!D82</f>
        <v>S24-2</v>
      </c>
      <c r="D86">
        <f>IF(C86&gt;0,VLOOKUP(C86,'Detail Balok'!$C$11:$AU$140,2,FALSE),0)</f>
        <v>200</v>
      </c>
      <c r="E86" t="str">
        <v>x</v>
      </c>
      <c r="F86">
        <f>IF(C86&gt;0,VLOOKUP(C86,'Detail Balok'!$C$11:$AU$140,3,FALSE),0)</f>
        <v>400</v>
      </c>
      <c r="G86">
        <f>'Data Panjang Balok'!I82</f>
        <v>6575</v>
      </c>
      <c r="H86">
        <f>'Data Panjang Balok'!J82</f>
        <v>150</v>
      </c>
      <c r="I86">
        <v>-3.5</v>
      </c>
      <c r="J86">
        <f>I86-F86/1000</f>
        <v>-3.9</v>
      </c>
      <c r="K86">
        <f>'Data Panjang Balok'!E82</f>
        <v>1</v>
      </c>
      <c r="L86">
        <f>SUMIFS('Besi Balok'!$AA$23:$AA$7253,'Besi Balok'!$A$23:$A$7253,$A86,'Besi Balok'!$B$23:$B$7253,$B86,'Besi Balok'!$F$23:$F$7253,'REKAP Balok'!L$11)</f>
        <v>0</v>
      </c>
      <c r="M86">
        <f>SUMIFS('Besi Balok'!$AA$23:$AA$7253,'Besi Balok'!$A$23:$A$7253,$A86,'Besi Balok'!$B$23:$B$7253,$B86,'Besi Balok'!$F$23:$F$7253,'REKAP Balok'!M$11)</f>
        <v>16.255872000000004</v>
      </c>
      <c r="N86">
        <f>SUMIFS('Besi Balok'!$AA$23:$AA$7253,'Besi Balok'!$A$23:$A$7253,$A86,'Besi Balok'!$B$23:$B$7253,$B86,'Besi Balok'!$F$23:$F$7253,'REKAP Balok'!N$11)</f>
        <v>0</v>
      </c>
      <c r="O86">
        <f>SUMIFS('Besi Balok'!$AA$23:$AA$7253,'Besi Balok'!$A$23:$A$7253,$A86,'Besi Balok'!$B$23:$B$7253,$B86,'Besi Balok'!$F$23:$F$7253,'REKAP Balok'!O$11)</f>
        <v>0</v>
      </c>
      <c r="P86">
        <f>SUMIFS('Besi Balok'!$AA$23:$AA$7253,'Besi Balok'!$A$23:$A$7253,$A86,'Besi Balok'!$B$23:$B$7253,$B86,'Besi Balok'!$F$23:$F$7253,'REKAP Balok'!P$11)</f>
        <v>65.89783296</v>
      </c>
      <c r="Q86">
        <f>SUMIFS('Besi Balok'!$AA$23:$AA$7253,'Besi Balok'!$A$23:$A$7253,$A86,'Besi Balok'!$B$23:$B$7253,$B86,'Besi Balok'!$F$23:$F$7253,'REKAP Balok'!Q$11)</f>
        <v>0</v>
      </c>
      <c r="R86">
        <f>SUMIFS('Besi Balok'!$AA$23:$AA$7253,'Besi Balok'!$A$23:$A$7253,$A86,'Besi Balok'!$B$23:$B$7253,$B86,'Besi Balok'!$F$23:$F$7253,'REKAP Balok'!R$11)</f>
        <v>0</v>
      </c>
      <c r="S86">
        <f>SUMIFS('Besi Balok'!$AA$23:$AA$7253,'Besi Balok'!$A$23:$A$7253,$A86,'Besi Balok'!$B$23:$B$7253,$B86,'Besi Balok'!$F$23:$F$7253,'REKAP Balok'!S$11)</f>
        <v>0</v>
      </c>
      <c r="T86">
        <f>SUMIFS('Besi Balok'!$AA$23:$AA$7253,'Besi Balok'!$A$23:$A$7253,$A86,'Besi Balok'!$B$23:$B$7253,$B86,'Besi Balok'!$F$23:$F$7253,'REKAP Balok'!T$11)</f>
        <v>0</v>
      </c>
      <c r="U86">
        <f>SUM(L86:T86)</f>
        <v>82.15370496</v>
      </c>
      <c r="V86">
        <f>(D86*(F86-H86)*G86*K86)/1000000000</f>
        <v>0.32875</v>
      </c>
      <c r="W86">
        <f>(((F86-H86)*2)*(G86)*K86)/1000000</f>
        <v>3.2875</v>
      </c>
      <c r="X86">
        <v>0</v>
      </c>
      <c r="Y86">
        <f>K86*(D86+2*$F$5)*G86*$F$6/1000000000</f>
        <v>0.1315</v>
      </c>
      <c r="Z86">
        <f>K86*(D86+2*$F$5)*($F$4-J86+($F$6+$F$7)/1000)*G86/1000000</f>
        <v>1.1834999999999998</v>
      </c>
      <c r="AC86">
        <f>(D86+2*$F$5)*F86*G86/1000000000</f>
        <v>1.052</v>
      </c>
    </row>
    <row r="87">
      <c r="A87" t="str">
        <f>'Data Panjang Balok'!A83</f>
        <v>Lantai 1</v>
      </c>
      <c r="B87">
        <f>'Data Panjang Balok'!B83</f>
        <v>72</v>
      </c>
      <c r="C87" t="str">
        <f>'Data Panjang Balok'!D83</f>
        <v>S24-1</v>
      </c>
      <c r="D87">
        <f>IF(C87&gt;0,VLOOKUP(C87,'Detail Balok'!$C$11:$AU$140,2,FALSE),0)</f>
        <v>200</v>
      </c>
      <c r="E87" t="str">
        <v>x</v>
      </c>
      <c r="F87">
        <f>IF(C87&gt;0,VLOOKUP(C87,'Detail Balok'!$C$11:$AU$140,3,FALSE),0)</f>
        <v>400</v>
      </c>
      <c r="G87">
        <f>'Data Panjang Balok'!I83</f>
        <v>6575</v>
      </c>
      <c r="H87">
        <f>'Data Panjang Balok'!J83</f>
        <v>0</v>
      </c>
      <c r="I87">
        <v>-3.5</v>
      </c>
      <c r="J87">
        <f>I87-F87/1000</f>
        <v>-3.9</v>
      </c>
      <c r="K87">
        <f>'Data Panjang Balok'!E83</f>
        <v>1</v>
      </c>
      <c r="L87">
        <f>SUMIFS('Besi Balok'!$AA$23:$AA$7253,'Besi Balok'!$A$23:$A$7253,$A87,'Besi Balok'!$B$23:$B$7253,$B87,'Besi Balok'!$F$23:$F$7253,'REKAP Balok'!L$11)</f>
        <v>0</v>
      </c>
      <c r="M87">
        <f>SUMIFS('Besi Balok'!$AA$23:$AA$7253,'Besi Balok'!$A$23:$A$7253,$A87,'Besi Balok'!$B$23:$B$7253,$B87,'Besi Balok'!$F$23:$F$7253,'REKAP Balok'!M$11)</f>
        <v>16.255872000000004</v>
      </c>
      <c r="N87">
        <f>SUMIFS('Besi Balok'!$AA$23:$AA$7253,'Besi Balok'!$A$23:$A$7253,$A87,'Besi Balok'!$B$23:$B$7253,$B87,'Besi Balok'!$F$23:$F$7253,'REKAP Balok'!N$11)</f>
        <v>0</v>
      </c>
      <c r="O87">
        <f>SUMIFS('Besi Balok'!$AA$23:$AA$7253,'Besi Balok'!$A$23:$A$7253,$A87,'Besi Balok'!$B$23:$B$7253,$B87,'Besi Balok'!$F$23:$F$7253,'REKAP Balok'!O$11)</f>
        <v>43.05277197</v>
      </c>
      <c r="P87">
        <f>SUMIFS('Besi Balok'!$AA$23:$AA$7253,'Besi Balok'!$A$23:$A$7253,$A87,'Besi Balok'!$B$23:$B$7253,$B87,'Besi Balok'!$F$23:$F$7253,'REKAP Balok'!P$11)</f>
        <v>0</v>
      </c>
      <c r="Q87">
        <f>SUMIFS('Besi Balok'!$AA$23:$AA$7253,'Besi Balok'!$A$23:$A$7253,$A87,'Besi Balok'!$B$23:$B$7253,$B87,'Besi Balok'!$F$23:$F$7253,'REKAP Balok'!Q$11)</f>
        <v>0</v>
      </c>
      <c r="R87">
        <f>SUMIFS('Besi Balok'!$AA$23:$AA$7253,'Besi Balok'!$A$23:$A$7253,$A87,'Besi Balok'!$B$23:$B$7253,$B87,'Besi Balok'!$F$23:$F$7253,'REKAP Balok'!R$11)</f>
        <v>0</v>
      </c>
      <c r="S87">
        <f>SUMIFS('Besi Balok'!$AA$23:$AA$7253,'Besi Balok'!$A$23:$A$7253,$A87,'Besi Balok'!$B$23:$B$7253,$B87,'Besi Balok'!$F$23:$F$7253,'REKAP Balok'!S$11)</f>
        <v>0</v>
      </c>
      <c r="T87">
        <f>SUMIFS('Besi Balok'!$AA$23:$AA$7253,'Besi Balok'!$A$23:$A$7253,$A87,'Besi Balok'!$B$23:$B$7253,$B87,'Besi Balok'!$F$23:$F$7253,'REKAP Balok'!T$11)</f>
        <v>0</v>
      </c>
      <c r="U87">
        <f>SUM(L87:T87)</f>
        <v>59.308643970000006</v>
      </c>
      <c r="V87">
        <f>(D87*(F87-H87)*G87*K87)/1000000000</f>
        <v>0.526</v>
      </c>
      <c r="W87">
        <f>(((F87-H87)*2)*(G87)*K87)/1000000</f>
        <v>5.26</v>
      </c>
      <c r="X87">
        <v>0</v>
      </c>
      <c r="Y87">
        <f>K87*(D87+2*$F$5)*G87*$F$6/1000000000</f>
        <v>0.1315</v>
      </c>
      <c r="Z87">
        <f>K87*(D87+2*$F$5)*($F$4-J87+($F$6+$F$7)/1000)*G87/1000000</f>
        <v>1.1834999999999998</v>
      </c>
      <c r="AC87">
        <f>(D87+2*$F$5)*F87*G87/1000000000</f>
        <v>1.052</v>
      </c>
    </row>
    <row r="88">
      <c r="A88" t="str">
        <f>'Data Panjang Balok'!A84</f>
        <v>Lantai 1</v>
      </c>
      <c r="B88">
        <f>'Data Panjang Balok'!B84</f>
        <v>73</v>
      </c>
      <c r="C88" t="str">
        <f>'Data Panjang Balok'!D84</f>
        <v>S24-2</v>
      </c>
      <c r="D88">
        <f>IF(C88&gt;0,VLOOKUP(C88,'Detail Balok'!$C$11:$AU$140,2,FALSE),0)</f>
        <v>200</v>
      </c>
      <c r="E88" t="str">
        <v>x</v>
      </c>
      <c r="F88">
        <f>IF(C88&gt;0,VLOOKUP(C88,'Detail Balok'!$C$11:$AU$140,3,FALSE),0)</f>
        <v>400</v>
      </c>
      <c r="G88">
        <f>'Data Panjang Balok'!I84</f>
        <v>6075</v>
      </c>
      <c r="H88">
        <f>'Data Panjang Balok'!J84</f>
        <v>0</v>
      </c>
      <c r="I88">
        <v>-3.5</v>
      </c>
      <c r="J88">
        <f>I88-F88/1000</f>
        <v>-3.9</v>
      </c>
      <c r="K88">
        <f>'Data Panjang Balok'!E84</f>
        <v>1</v>
      </c>
      <c r="L88">
        <f>SUMIFS('Besi Balok'!$AA$23:$AA$7253,'Besi Balok'!$A$23:$A$7253,$A88,'Besi Balok'!$B$23:$B$7253,$B88,'Besi Balok'!$F$23:$F$7253,'REKAP Balok'!L$11)</f>
        <v>0</v>
      </c>
      <c r="M88">
        <f>SUMIFS('Besi Balok'!$AA$23:$AA$7253,'Besi Balok'!$A$23:$A$7253,$A88,'Besi Balok'!$B$23:$B$7253,$B88,'Besi Balok'!$F$23:$F$7253,'REKAP Balok'!M$11)</f>
        <v>15.036681600000001</v>
      </c>
      <c r="N88">
        <f>SUMIFS('Besi Balok'!$AA$23:$AA$7253,'Besi Balok'!$A$23:$A$7253,$A88,'Besi Balok'!$B$23:$B$7253,$B88,'Besi Balok'!$F$23:$F$7253,'REKAP Balok'!N$11)</f>
        <v>0</v>
      </c>
      <c r="O88">
        <f>SUMIFS('Besi Balok'!$AA$23:$AA$7253,'Besi Balok'!$A$23:$A$7253,$A88,'Besi Balok'!$B$23:$B$7253,$B88,'Besi Balok'!$F$23:$F$7253,'REKAP Balok'!O$11)</f>
        <v>0</v>
      </c>
      <c r="P88">
        <f>SUMIFS('Besi Balok'!$AA$23:$AA$7253,'Besi Balok'!$A$23:$A$7253,$A88,'Besi Balok'!$B$23:$B$7253,$B88,'Besi Balok'!$F$23:$F$7253,'REKAP Balok'!P$11)</f>
        <v>61.16311296000001</v>
      </c>
      <c r="Q88">
        <f>SUMIFS('Besi Balok'!$AA$23:$AA$7253,'Besi Balok'!$A$23:$A$7253,$A88,'Besi Balok'!$B$23:$B$7253,$B88,'Besi Balok'!$F$23:$F$7253,'REKAP Balok'!Q$11)</f>
        <v>0</v>
      </c>
      <c r="R88">
        <f>SUMIFS('Besi Balok'!$AA$23:$AA$7253,'Besi Balok'!$A$23:$A$7253,$A88,'Besi Balok'!$B$23:$B$7253,$B88,'Besi Balok'!$F$23:$F$7253,'REKAP Balok'!R$11)</f>
        <v>0</v>
      </c>
      <c r="S88">
        <f>SUMIFS('Besi Balok'!$AA$23:$AA$7253,'Besi Balok'!$A$23:$A$7253,$A88,'Besi Balok'!$B$23:$B$7253,$B88,'Besi Balok'!$F$23:$F$7253,'REKAP Balok'!S$11)</f>
        <v>0</v>
      </c>
      <c r="T88">
        <f>SUMIFS('Besi Balok'!$AA$23:$AA$7253,'Besi Balok'!$A$23:$A$7253,$A88,'Besi Balok'!$B$23:$B$7253,$B88,'Besi Balok'!$F$23:$F$7253,'REKAP Balok'!T$11)</f>
        <v>0</v>
      </c>
      <c r="U88">
        <f>SUM(L88:T88)</f>
        <v>76.19979456000002</v>
      </c>
      <c r="V88">
        <f>(D88*(F88-H88)*G88*K88)/1000000000</f>
        <v>0.486</v>
      </c>
      <c r="W88">
        <f>(((F88-H88)*2)*(G88)*K88)/1000000</f>
        <v>4.86</v>
      </c>
      <c r="X88">
        <v>0</v>
      </c>
      <c r="Y88">
        <f>K88*(D88+2*$F$5)*G88*$F$6/1000000000</f>
        <v>0.1215</v>
      </c>
      <c r="Z88">
        <f>K88*(D88+2*$F$5)*($F$4-J88+($F$6+$F$7)/1000)*G88/1000000</f>
        <v>1.0934999999999997</v>
      </c>
      <c r="AC88">
        <f>(D88+2*$F$5)*F88*G88/1000000000</f>
        <v>0.972</v>
      </c>
    </row>
    <row r="89">
      <c r="A89" t="str">
        <f>'Data Panjang Balok'!A85</f>
        <v>Lantai 1</v>
      </c>
      <c r="B89">
        <f>'Data Panjang Balok'!B85</f>
        <v>74</v>
      </c>
      <c r="C89" t="str">
        <f>'Data Panjang Balok'!D85</f>
        <v>S24-2</v>
      </c>
      <c r="D89">
        <f>IF(C89&gt;0,VLOOKUP(C89,'Detail Balok'!$C$11:$AU$140,2,FALSE),0)</f>
        <v>200</v>
      </c>
      <c r="E89" t="str">
        <v>x</v>
      </c>
      <c r="F89">
        <f>IF(C89&gt;0,VLOOKUP(C89,'Detail Balok'!$C$11:$AU$140,3,FALSE),0)</f>
        <v>400</v>
      </c>
      <c r="G89">
        <f>'Data Panjang Balok'!I85</f>
        <v>5560</v>
      </c>
      <c r="H89">
        <f>'Data Panjang Balok'!J85</f>
        <v>0</v>
      </c>
      <c r="I89">
        <v>-3.5</v>
      </c>
      <c r="J89">
        <f>I89-F89/1000</f>
        <v>-3.9</v>
      </c>
      <c r="K89">
        <f>'Data Panjang Balok'!E85</f>
        <v>1</v>
      </c>
      <c r="L89">
        <f>SUMIFS('Besi Balok'!$AA$23:$AA$7253,'Besi Balok'!$A$23:$A$7253,$A89,'Besi Balok'!$B$23:$B$7253,$B89,'Besi Balok'!$F$23:$F$7253,'REKAP Balok'!L$11)</f>
        <v>0</v>
      </c>
      <c r="M89">
        <f>SUMIFS('Besi Balok'!$AA$23:$AA$7253,'Besi Balok'!$A$23:$A$7253,$A89,'Besi Balok'!$B$23:$B$7253,$B89,'Besi Balok'!$F$23:$F$7253,'REKAP Balok'!M$11)</f>
        <v>13.817491200000003</v>
      </c>
      <c r="N89">
        <f>SUMIFS('Besi Balok'!$AA$23:$AA$7253,'Besi Balok'!$A$23:$A$7253,$A89,'Besi Balok'!$B$23:$B$7253,$B89,'Besi Balok'!$F$23:$F$7253,'REKAP Balok'!N$11)</f>
        <v>0</v>
      </c>
      <c r="O89">
        <f>SUMIFS('Besi Balok'!$AA$23:$AA$7253,'Besi Balok'!$A$23:$A$7253,$A89,'Besi Balok'!$B$23:$B$7253,$B89,'Besi Balok'!$F$23:$F$7253,'REKAP Balok'!O$11)</f>
        <v>0</v>
      </c>
      <c r="P89">
        <f>SUMIFS('Besi Balok'!$AA$23:$AA$7253,'Besi Balok'!$A$23:$A$7253,$A89,'Besi Balok'!$B$23:$B$7253,$B89,'Besi Balok'!$F$23:$F$7253,'REKAP Balok'!P$11)</f>
        <v>56.28635136</v>
      </c>
      <c r="Q89">
        <f>SUMIFS('Besi Balok'!$AA$23:$AA$7253,'Besi Balok'!$A$23:$A$7253,$A89,'Besi Balok'!$B$23:$B$7253,$B89,'Besi Balok'!$F$23:$F$7253,'REKAP Balok'!Q$11)</f>
        <v>0</v>
      </c>
      <c r="R89">
        <f>SUMIFS('Besi Balok'!$AA$23:$AA$7253,'Besi Balok'!$A$23:$A$7253,$A89,'Besi Balok'!$B$23:$B$7253,$B89,'Besi Balok'!$F$23:$F$7253,'REKAP Balok'!R$11)</f>
        <v>0</v>
      </c>
      <c r="S89">
        <f>SUMIFS('Besi Balok'!$AA$23:$AA$7253,'Besi Balok'!$A$23:$A$7253,$A89,'Besi Balok'!$B$23:$B$7253,$B89,'Besi Balok'!$F$23:$F$7253,'REKAP Balok'!S$11)</f>
        <v>0</v>
      </c>
      <c r="T89">
        <f>SUMIFS('Besi Balok'!$AA$23:$AA$7253,'Besi Balok'!$A$23:$A$7253,$A89,'Besi Balok'!$B$23:$B$7253,$B89,'Besi Balok'!$F$23:$F$7253,'REKAP Balok'!T$11)</f>
        <v>0</v>
      </c>
      <c r="U89">
        <f>SUM(L89:T89)</f>
        <v>70.10384256</v>
      </c>
      <c r="V89">
        <f>(D89*(F89-H89)*G89*K89)/1000000000</f>
        <v>0.4448</v>
      </c>
      <c r="W89">
        <f>(((F89-H89)*2)*(G89)*K89)/1000000</f>
        <v>4.448</v>
      </c>
      <c r="X89">
        <v>0</v>
      </c>
      <c r="Y89">
        <f>K89*(D89+2*$F$5)*G89*$F$6/1000000000</f>
        <v>0.1112</v>
      </c>
      <c r="Z89">
        <f>K89*(D89+2*$F$5)*($F$4-J89+($F$6+$F$7)/1000)*G89/1000000</f>
        <v>1.0008</v>
      </c>
      <c r="AC89">
        <f>(D89+2*$F$5)*F89*G89/1000000000</f>
        <v>0.8896</v>
      </c>
    </row>
    <row r="90">
      <c r="A90" t="str">
        <f>'Data Panjang Balok'!A86</f>
        <v>Lantai 1</v>
      </c>
      <c r="B90">
        <f>'Data Panjang Balok'!B86</f>
        <v>75</v>
      </c>
      <c r="C90" t="str">
        <f>'Data Panjang Balok'!D86</f>
        <v>B25-1</v>
      </c>
      <c r="D90">
        <f>IF(C90&gt;0,VLOOKUP(C90,'Detail Balok'!$C$11:$AU$140,2,FALSE),0)</f>
        <v>200</v>
      </c>
      <c r="E90" t="str">
        <v>x</v>
      </c>
      <c r="F90">
        <f>IF(C90&gt;0,VLOOKUP(C90,'Detail Balok'!$C$11:$AU$140,3,FALSE),0)</f>
        <v>500</v>
      </c>
      <c r="G90">
        <f>'Data Panjang Balok'!I86</f>
        <v>4000</v>
      </c>
      <c r="H90">
        <f>'Data Panjang Balok'!J86</f>
        <v>150</v>
      </c>
      <c r="I90">
        <v>-3.5</v>
      </c>
      <c r="J90">
        <f>I90-F90/1000</f>
        <v>-4</v>
      </c>
      <c r="K90">
        <f>'Data Panjang Balok'!E86</f>
        <v>1</v>
      </c>
      <c r="L90">
        <f>SUMIFS('Besi Balok'!$AA$23:$AA$7253,'Besi Balok'!$A$23:$A$7253,$A90,'Besi Balok'!$B$23:$B$7253,$B90,'Besi Balok'!$F$23:$F$7253,'REKAP Balok'!L$11)</f>
        <v>0</v>
      </c>
      <c r="M90">
        <f>SUMIFS('Besi Balok'!$AA$23:$AA$7253,'Besi Balok'!$A$23:$A$7253,$A90,'Besi Balok'!$B$23:$B$7253,$B90,'Besi Balok'!$F$23:$F$7253,'REKAP Balok'!M$11)</f>
        <v>0</v>
      </c>
      <c r="N90">
        <f>SUMIFS('Besi Balok'!$AA$23:$AA$7253,'Besi Balok'!$A$23:$A$7253,$A90,'Besi Balok'!$B$23:$B$7253,$B90,'Besi Balok'!$F$23:$F$7253,'REKAP Balok'!N$11)</f>
        <v>24.94359</v>
      </c>
      <c r="O90">
        <f>SUMIFS('Besi Balok'!$AA$23:$AA$7253,'Besi Balok'!$A$23:$A$7253,$A90,'Besi Balok'!$B$23:$B$7253,$B90,'Besi Balok'!$F$23:$F$7253,'REKAP Balok'!O$11)</f>
        <v>0</v>
      </c>
      <c r="P90">
        <f>SUMIFS('Besi Balok'!$AA$23:$AA$7253,'Besi Balok'!$A$23:$A$7253,$A90,'Besi Balok'!$B$23:$B$7253,$B90,'Besi Balok'!$F$23:$F$7253,'REKAP Balok'!P$11)</f>
        <v>55.35203328000001</v>
      </c>
      <c r="Q90">
        <f>SUMIFS('Besi Balok'!$AA$23:$AA$7253,'Besi Balok'!$A$23:$A$7253,$A90,'Besi Balok'!$B$23:$B$7253,$B90,'Besi Balok'!$F$23:$F$7253,'REKAP Balok'!Q$11)</f>
        <v>0</v>
      </c>
      <c r="R90">
        <f>SUMIFS('Besi Balok'!$AA$23:$AA$7253,'Besi Balok'!$A$23:$A$7253,$A90,'Besi Balok'!$B$23:$B$7253,$B90,'Besi Balok'!$F$23:$F$7253,'REKAP Balok'!R$11)</f>
        <v>0</v>
      </c>
      <c r="S90">
        <f>SUMIFS('Besi Balok'!$AA$23:$AA$7253,'Besi Balok'!$A$23:$A$7253,$A90,'Besi Balok'!$B$23:$B$7253,$B90,'Besi Balok'!$F$23:$F$7253,'REKAP Balok'!S$11)</f>
        <v>0</v>
      </c>
      <c r="T90">
        <f>SUMIFS('Besi Balok'!$AA$23:$AA$7253,'Besi Balok'!$A$23:$A$7253,$A90,'Besi Balok'!$B$23:$B$7253,$B90,'Besi Balok'!$F$23:$F$7253,'REKAP Balok'!T$11)</f>
        <v>0</v>
      </c>
      <c r="U90">
        <f>SUM(L90:T90)</f>
        <v>80.29562328</v>
      </c>
      <c r="V90">
        <f>(D90*(F90-H90)*G90*K90)/1000000000</f>
        <v>0.28</v>
      </c>
      <c r="W90">
        <f>(((F90-H90)*2)*(G90)*K90)/1000000</f>
        <v>2.8</v>
      </c>
      <c r="X90">
        <v>0</v>
      </c>
      <c r="Y90">
        <f>K90*(D90+2*$F$5)*G90*$F$6/1000000000</f>
        <v>0.08</v>
      </c>
      <c r="Z90">
        <f>K90*(D90+2*$F$5)*($F$4-J90+($F$6+$F$7)/1000)*G90/1000000</f>
        <v>0.8800000000000001</v>
      </c>
      <c r="AC90">
        <f>(D90+2*$F$5)*F90*G90/1000000000</f>
        <v>0.8</v>
      </c>
    </row>
    <row r="91">
      <c r="A91" t="str">
        <f>'Data Panjang Balok'!A87</f>
        <v>Lantai 1</v>
      </c>
      <c r="B91">
        <f>'Data Panjang Balok'!B87</f>
        <v>76</v>
      </c>
      <c r="C91" t="str">
        <f>'Data Panjang Balok'!D87</f>
        <v>B25-1</v>
      </c>
      <c r="D91">
        <f>IF(C91&gt;0,VLOOKUP(C91,'Detail Balok'!$C$11:$AU$140,2,FALSE),0)</f>
        <v>200</v>
      </c>
      <c r="E91" t="str">
        <v>x</v>
      </c>
      <c r="F91">
        <f>IF(C91&gt;0,VLOOKUP(C91,'Detail Balok'!$C$11:$AU$140,3,FALSE),0)</f>
        <v>500</v>
      </c>
      <c r="G91">
        <f>'Data Panjang Balok'!I87</f>
        <v>5075</v>
      </c>
      <c r="H91">
        <f>'Data Panjang Balok'!J87</f>
        <v>0</v>
      </c>
      <c r="I91">
        <v>-3.5</v>
      </c>
      <c r="J91">
        <f>I91-F91/1000</f>
        <v>-4</v>
      </c>
      <c r="K91">
        <f>'Data Panjang Balok'!E87</f>
        <v>1</v>
      </c>
      <c r="L91">
        <f>SUMIFS('Besi Balok'!$AA$23:$AA$7253,'Besi Balok'!$A$23:$A$7253,$A91,'Besi Balok'!$B$23:$B$7253,$B91,'Besi Balok'!$F$23:$F$7253,'REKAP Balok'!L$11)</f>
        <v>0</v>
      </c>
      <c r="M91">
        <f>SUMIFS('Besi Balok'!$AA$23:$AA$7253,'Besi Balok'!$A$23:$A$7253,$A91,'Besi Balok'!$B$23:$B$7253,$B91,'Besi Balok'!$F$23:$F$7253,'REKAP Balok'!M$11)</f>
        <v>0</v>
      </c>
      <c r="N91">
        <f>SUMIFS('Besi Balok'!$AA$23:$AA$7253,'Besi Balok'!$A$23:$A$7253,$A91,'Besi Balok'!$B$23:$B$7253,$B91,'Besi Balok'!$F$23:$F$7253,'REKAP Balok'!N$11)</f>
        <v>30.060540000000003</v>
      </c>
      <c r="O91">
        <f>SUMIFS('Besi Balok'!$AA$23:$AA$7253,'Besi Balok'!$A$23:$A$7253,$A91,'Besi Balok'!$B$23:$B$7253,$B91,'Besi Balok'!$F$23:$F$7253,'REKAP Balok'!O$11)</f>
        <v>0</v>
      </c>
      <c r="P91">
        <f>SUMIFS('Besi Balok'!$AA$23:$AA$7253,'Besi Balok'!$A$23:$A$7253,$A91,'Besi Balok'!$B$23:$B$7253,$B91,'Besi Balok'!$F$23:$F$7253,'REKAP Balok'!P$11)</f>
        <v>68.92489728</v>
      </c>
      <c r="Q91">
        <f>SUMIFS('Besi Balok'!$AA$23:$AA$7253,'Besi Balok'!$A$23:$A$7253,$A91,'Besi Balok'!$B$23:$B$7253,$B91,'Besi Balok'!$F$23:$F$7253,'REKAP Balok'!Q$11)</f>
        <v>0</v>
      </c>
      <c r="R91">
        <f>SUMIFS('Besi Balok'!$AA$23:$AA$7253,'Besi Balok'!$A$23:$A$7253,$A91,'Besi Balok'!$B$23:$B$7253,$B91,'Besi Balok'!$F$23:$F$7253,'REKAP Balok'!R$11)</f>
        <v>0</v>
      </c>
      <c r="S91">
        <f>SUMIFS('Besi Balok'!$AA$23:$AA$7253,'Besi Balok'!$A$23:$A$7253,$A91,'Besi Balok'!$B$23:$B$7253,$B91,'Besi Balok'!$F$23:$F$7253,'REKAP Balok'!S$11)</f>
        <v>0</v>
      </c>
      <c r="T91">
        <f>SUMIFS('Besi Balok'!$AA$23:$AA$7253,'Besi Balok'!$A$23:$A$7253,$A91,'Besi Balok'!$B$23:$B$7253,$B91,'Besi Balok'!$F$23:$F$7253,'REKAP Balok'!T$11)</f>
        <v>0</v>
      </c>
      <c r="U91">
        <f>SUM(L91:T91)</f>
        <v>98.98543728</v>
      </c>
      <c r="V91">
        <f>(D91*(F91-H91)*G91*K91)/1000000000</f>
        <v>0.5075</v>
      </c>
      <c r="W91">
        <f>(((F91-H91)*2)*(G91)*K91)/1000000</f>
        <v>5.075</v>
      </c>
      <c r="X91">
        <v>0</v>
      </c>
      <c r="Y91">
        <f>K91*(D91+2*$F$5)*G91*$F$6/1000000000</f>
        <v>0.1015</v>
      </c>
      <c r="Z91">
        <f>K91*(D91+2*$F$5)*($F$4-J91+($F$6+$F$7)/1000)*G91/1000000</f>
        <v>1.1165000000000003</v>
      </c>
      <c r="AC91">
        <f>(D91+2*$F$5)*F91*G91/1000000000</f>
        <v>1.015</v>
      </c>
    </row>
    <row r="92">
      <c r="A92" t="str">
        <f>'Data Panjang Balok'!A88</f>
        <v>Lantai 1</v>
      </c>
      <c r="B92">
        <f>'Data Panjang Balok'!B88</f>
        <v>77</v>
      </c>
      <c r="C92" t="str">
        <f>'Data Panjang Balok'!D88</f>
        <v>B24-2</v>
      </c>
      <c r="D92">
        <f>IF(C92&gt;0,VLOOKUP(C92,'Detail Balok'!$C$11:$AU$140,2,FALSE),0)</f>
        <v>200</v>
      </c>
      <c r="E92" t="str">
        <v>x</v>
      </c>
      <c r="F92">
        <f>IF(C92&gt;0,VLOOKUP(C92,'Detail Balok'!$C$11:$AU$140,3,FALSE),0)</f>
        <v>400</v>
      </c>
      <c r="G92">
        <f>'Data Panjang Balok'!I88</f>
        <v>2540</v>
      </c>
      <c r="H92">
        <f>'Data Panjang Balok'!J88</f>
        <v>150</v>
      </c>
      <c r="I92">
        <v>-3.5</v>
      </c>
      <c r="J92">
        <f>I92-F92/1000</f>
        <v>-3.9</v>
      </c>
      <c r="K92">
        <f>'Data Panjang Balok'!E88</f>
        <v>1</v>
      </c>
      <c r="L92">
        <f>SUMIFS('Besi Balok'!$AA$23:$AA$7253,'Besi Balok'!$A$23:$A$7253,$A92,'Besi Balok'!$B$23:$B$7253,$B92,'Besi Balok'!$F$23:$F$7253,'REKAP Balok'!L$11)</f>
        <v>0</v>
      </c>
      <c r="M92">
        <f>SUMIFS('Besi Balok'!$AA$23:$AA$7253,'Besi Balok'!$A$23:$A$7253,$A92,'Besi Balok'!$B$23:$B$7253,$B92,'Besi Balok'!$F$23:$F$7253,'REKAP Balok'!M$11)</f>
        <v>0</v>
      </c>
      <c r="N92">
        <f>SUMIFS('Besi Balok'!$AA$23:$AA$7253,'Besi Balok'!$A$23:$A$7253,$A92,'Besi Balok'!$B$23:$B$7253,$B92,'Besi Balok'!$F$23:$F$7253,'REKAP Balok'!N$11)</f>
        <v>14.604885000000003</v>
      </c>
      <c r="O92">
        <f>SUMIFS('Besi Balok'!$AA$23:$AA$7253,'Besi Balok'!$A$23:$A$7253,$A92,'Besi Balok'!$B$23:$B$7253,$B92,'Besi Balok'!$F$23:$F$7253,'REKAP Balok'!O$11)</f>
        <v>0</v>
      </c>
      <c r="P92">
        <f>SUMIFS('Besi Balok'!$AA$23:$AA$7253,'Besi Balok'!$A$23:$A$7253,$A92,'Besi Balok'!$B$23:$B$7253,$B92,'Besi Balok'!$F$23:$F$7253,'REKAP Balok'!P$11)</f>
        <v>27.68864256</v>
      </c>
      <c r="Q92">
        <f>SUMIFS('Besi Balok'!$AA$23:$AA$7253,'Besi Balok'!$A$23:$A$7253,$A92,'Besi Balok'!$B$23:$B$7253,$B92,'Besi Balok'!$F$23:$F$7253,'REKAP Balok'!Q$11)</f>
        <v>0</v>
      </c>
      <c r="R92">
        <f>SUMIFS('Besi Balok'!$AA$23:$AA$7253,'Besi Balok'!$A$23:$A$7253,$A92,'Besi Balok'!$B$23:$B$7253,$B92,'Besi Balok'!$F$23:$F$7253,'REKAP Balok'!R$11)</f>
        <v>0</v>
      </c>
      <c r="S92">
        <f>SUMIFS('Besi Balok'!$AA$23:$AA$7253,'Besi Balok'!$A$23:$A$7253,$A92,'Besi Balok'!$B$23:$B$7253,$B92,'Besi Balok'!$F$23:$F$7253,'REKAP Balok'!S$11)</f>
        <v>0</v>
      </c>
      <c r="T92">
        <f>SUMIFS('Besi Balok'!$AA$23:$AA$7253,'Besi Balok'!$A$23:$A$7253,$A92,'Besi Balok'!$B$23:$B$7253,$B92,'Besi Balok'!$F$23:$F$7253,'REKAP Balok'!T$11)</f>
        <v>0</v>
      </c>
      <c r="U92">
        <f>SUM(L92:T92)</f>
        <v>42.29352756</v>
      </c>
      <c r="V92">
        <f>(D92*(F92-H92)*G92*K92)/1000000000</f>
        <v>0.127</v>
      </c>
      <c r="W92">
        <f>(((F92-H92)*2)*(G92)*K92)/1000000</f>
        <v>1.27</v>
      </c>
      <c r="X92">
        <v>0</v>
      </c>
      <c r="Y92">
        <f>K92*(D92+2*$F$5)*G92*$F$6/1000000000</f>
        <v>0.0508</v>
      </c>
      <c r="Z92">
        <f>K92*(D92+2*$F$5)*($F$4-J92+($F$6+$F$7)/1000)*G92/1000000</f>
        <v>0.45719999999999994</v>
      </c>
      <c r="AC92">
        <f>(D92+2*$F$5)*F92*G92/1000000000</f>
        <v>0.4064</v>
      </c>
    </row>
    <row r="93">
      <c r="A93" t="str">
        <f>'Data Panjang Balok'!A89</f>
        <v>Lantai 1</v>
      </c>
      <c r="B93">
        <f>'Data Panjang Balok'!B89</f>
        <v>78</v>
      </c>
      <c r="C93" t="str">
        <f>'Data Panjang Balok'!D89</f>
        <v>B25-1</v>
      </c>
      <c r="D93">
        <f>IF(C93&gt;0,VLOOKUP(C93,'Detail Balok'!$C$11:$AU$140,2,FALSE),0)</f>
        <v>200</v>
      </c>
      <c r="E93" t="str">
        <v>x</v>
      </c>
      <c r="F93">
        <f>IF(C93&gt;0,VLOOKUP(C93,'Detail Balok'!$C$11:$AU$140,3,FALSE),0)</f>
        <v>500</v>
      </c>
      <c r="G93">
        <f>'Data Panjang Balok'!I89</f>
        <v>7075</v>
      </c>
      <c r="H93">
        <f>'Data Panjang Balok'!J89</f>
        <v>150</v>
      </c>
      <c r="I93">
        <v>-3.5</v>
      </c>
      <c r="J93">
        <f>I93-F93/1000</f>
        <v>-4</v>
      </c>
      <c r="K93">
        <f>'Data Panjang Balok'!E89</f>
        <v>1</v>
      </c>
      <c r="L93">
        <f>SUMIFS('Besi Balok'!$AA$23:$AA$7253,'Besi Balok'!$A$23:$A$7253,$A93,'Besi Balok'!$B$23:$B$7253,$B93,'Besi Balok'!$F$23:$F$7253,'REKAP Balok'!L$11)</f>
        <v>0</v>
      </c>
      <c r="M93">
        <f>SUMIFS('Besi Balok'!$AA$23:$AA$7253,'Besi Balok'!$A$23:$A$7253,$A93,'Besi Balok'!$B$23:$B$7253,$B93,'Besi Balok'!$F$23:$F$7253,'REKAP Balok'!M$11)</f>
        <v>0</v>
      </c>
      <c r="N93">
        <f>SUMIFS('Besi Balok'!$AA$23:$AA$7253,'Besi Balok'!$A$23:$A$7253,$A93,'Besi Balok'!$B$23:$B$7253,$B93,'Besi Balok'!$F$23:$F$7253,'REKAP Balok'!N$11)</f>
        <v>42.384375000000006</v>
      </c>
      <c r="O93">
        <f>SUMIFS('Besi Balok'!$AA$23:$AA$7253,'Besi Balok'!$A$23:$A$7253,$A93,'Besi Balok'!$B$23:$B$7253,$B93,'Besi Balok'!$F$23:$F$7253,'REKAP Balok'!O$11)</f>
        <v>0</v>
      </c>
      <c r="P93">
        <f>SUMIFS('Besi Balok'!$AA$23:$AA$7253,'Besi Balok'!$A$23:$A$7253,$A93,'Besi Balok'!$B$23:$B$7253,$B93,'Besi Balok'!$F$23:$F$7253,'REKAP Balok'!P$11)</f>
        <v>94.17673728000001</v>
      </c>
      <c r="Q93">
        <f>SUMIFS('Besi Balok'!$AA$23:$AA$7253,'Besi Balok'!$A$23:$A$7253,$A93,'Besi Balok'!$B$23:$B$7253,$B93,'Besi Balok'!$F$23:$F$7253,'REKAP Balok'!Q$11)</f>
        <v>0</v>
      </c>
      <c r="R93">
        <f>SUMIFS('Besi Balok'!$AA$23:$AA$7253,'Besi Balok'!$A$23:$A$7253,$A93,'Besi Balok'!$B$23:$B$7253,$B93,'Besi Balok'!$F$23:$F$7253,'REKAP Balok'!R$11)</f>
        <v>0</v>
      </c>
      <c r="S93">
        <f>SUMIFS('Besi Balok'!$AA$23:$AA$7253,'Besi Balok'!$A$23:$A$7253,$A93,'Besi Balok'!$B$23:$B$7253,$B93,'Besi Balok'!$F$23:$F$7253,'REKAP Balok'!S$11)</f>
        <v>0</v>
      </c>
      <c r="T93">
        <f>SUMIFS('Besi Balok'!$AA$23:$AA$7253,'Besi Balok'!$A$23:$A$7253,$A93,'Besi Balok'!$B$23:$B$7253,$B93,'Besi Balok'!$F$23:$F$7253,'REKAP Balok'!T$11)</f>
        <v>0</v>
      </c>
      <c r="U93">
        <f>SUM(L93:T93)</f>
        <v>136.56111228000003</v>
      </c>
      <c r="V93">
        <f>(D93*(F93-H93)*G93*K93)/1000000000</f>
        <v>0.49525</v>
      </c>
      <c r="W93">
        <f>(((F93-H93)*2)*(G93)*K93)/1000000</f>
        <v>4.9525</v>
      </c>
      <c r="X93">
        <v>0</v>
      </c>
      <c r="Y93">
        <f>K93*(D93+2*$F$5)*G93*$F$6/1000000000</f>
        <v>0.1415</v>
      </c>
      <c r="Z93">
        <f>K93*(D93+2*$F$5)*($F$4-J93+($F$6+$F$7)/1000)*G93/1000000</f>
        <v>1.5565000000000002</v>
      </c>
      <c r="AC93">
        <f>(D93+2*$F$5)*F93*G93/1000000000</f>
        <v>1.415</v>
      </c>
    </row>
    <row r="94">
      <c r="A94" t="str">
        <f>'Data Panjang Balok'!A90</f>
        <v>Lantai 1</v>
      </c>
      <c r="B94">
        <f>'Data Panjang Balok'!B90</f>
        <v>79</v>
      </c>
      <c r="C94" t="str">
        <f>'Data Panjang Balok'!D90</f>
        <v>B24-2</v>
      </c>
      <c r="D94">
        <f>IF(C94&gt;0,VLOOKUP(C94,'Detail Balok'!$C$11:$AU$140,2,FALSE),0)</f>
        <v>200</v>
      </c>
      <c r="E94" t="str">
        <v>x</v>
      </c>
      <c r="F94">
        <f>IF(C94&gt;0,VLOOKUP(C94,'Detail Balok'!$C$11:$AU$140,3,FALSE),0)</f>
        <v>400</v>
      </c>
      <c r="G94">
        <f>'Data Panjang Balok'!I90</f>
        <v>1130</v>
      </c>
      <c r="H94">
        <f>'Data Panjang Balok'!J90</f>
        <v>150</v>
      </c>
      <c r="I94">
        <v>-3.5</v>
      </c>
      <c r="J94">
        <f>I94-F94/1000</f>
        <v>-3.9</v>
      </c>
      <c r="K94">
        <f>'Data Panjang Balok'!E90</f>
        <v>1</v>
      </c>
      <c r="L94">
        <f>SUMIFS('Besi Balok'!$AA$23:$AA$7253,'Besi Balok'!$A$23:$A$7253,$A94,'Besi Balok'!$B$23:$B$7253,$B94,'Besi Balok'!$F$23:$F$7253,'REKAP Balok'!L$11)</f>
        <v>0</v>
      </c>
      <c r="M94">
        <f>SUMIFS('Besi Balok'!$AA$23:$AA$7253,'Besi Balok'!$A$23:$A$7253,$A94,'Besi Balok'!$B$23:$B$7253,$B94,'Besi Balok'!$F$23:$F$7253,'REKAP Balok'!M$11)</f>
        <v>0</v>
      </c>
      <c r="N94">
        <f>SUMIFS('Besi Balok'!$AA$23:$AA$7253,'Besi Balok'!$A$23:$A$7253,$A94,'Besi Balok'!$B$23:$B$7253,$B94,'Besi Balok'!$F$23:$F$7253,'REKAP Balok'!N$11)</f>
        <v>7.6199400000000015</v>
      </c>
      <c r="O94">
        <f>SUMIFS('Besi Balok'!$AA$23:$AA$7253,'Besi Balok'!$A$23:$A$7253,$A94,'Besi Balok'!$B$23:$B$7253,$B94,'Besi Balok'!$F$23:$F$7253,'REKAP Balok'!O$11)</f>
        <v>0</v>
      </c>
      <c r="P94">
        <f>SUMIFS('Besi Balok'!$AA$23:$AA$7253,'Besi Balok'!$A$23:$A$7253,$A94,'Besi Balok'!$B$23:$B$7253,$B94,'Besi Balok'!$F$23:$F$7253,'REKAP Balok'!P$11)</f>
        <v>14.33673216</v>
      </c>
      <c r="Q94">
        <f>SUMIFS('Besi Balok'!$AA$23:$AA$7253,'Besi Balok'!$A$23:$A$7253,$A94,'Besi Balok'!$B$23:$B$7253,$B94,'Besi Balok'!$F$23:$F$7253,'REKAP Balok'!Q$11)</f>
        <v>0</v>
      </c>
      <c r="R94">
        <f>SUMIFS('Besi Balok'!$AA$23:$AA$7253,'Besi Balok'!$A$23:$A$7253,$A94,'Besi Balok'!$B$23:$B$7253,$B94,'Besi Balok'!$F$23:$F$7253,'REKAP Balok'!R$11)</f>
        <v>0</v>
      </c>
      <c r="S94">
        <f>SUMIFS('Besi Balok'!$AA$23:$AA$7253,'Besi Balok'!$A$23:$A$7253,$A94,'Besi Balok'!$B$23:$B$7253,$B94,'Besi Balok'!$F$23:$F$7253,'REKAP Balok'!S$11)</f>
        <v>0</v>
      </c>
      <c r="T94">
        <f>SUMIFS('Besi Balok'!$AA$23:$AA$7253,'Besi Balok'!$A$23:$A$7253,$A94,'Besi Balok'!$B$23:$B$7253,$B94,'Besi Balok'!$F$23:$F$7253,'REKAP Balok'!T$11)</f>
        <v>0</v>
      </c>
      <c r="U94">
        <f>SUM(L94:T94)</f>
        <v>21.956672160000004</v>
      </c>
      <c r="V94">
        <f>(D94*(F94-H94)*G94*K94)/1000000000</f>
        <v>0.0565</v>
      </c>
      <c r="W94">
        <f>(((F94-H94)*2)*(G94)*K94)/1000000</f>
        <v>0.565</v>
      </c>
      <c r="X94">
        <v>0</v>
      </c>
      <c r="Y94">
        <f>K94*(D94+2*$F$5)*G94*$F$6/1000000000</f>
        <v>0.0226</v>
      </c>
      <c r="Z94">
        <f>K94*(D94+2*$F$5)*($F$4-J94+($F$6+$F$7)/1000)*G94/1000000</f>
        <v>0.20339999999999997</v>
      </c>
      <c r="AC94">
        <f>(D94+2*$F$5)*F94*G94/1000000000</f>
        <v>0.1808</v>
      </c>
    </row>
    <row r="95">
      <c r="A95" t="str">
        <f>'Data Panjang Balok'!A91</f>
        <v>Lantai 1</v>
      </c>
      <c r="B95">
        <f>'Data Panjang Balok'!B91</f>
        <v>80</v>
      </c>
      <c r="C95" t="str">
        <f>'Data Panjang Balok'!D91</f>
        <v>B24-1</v>
      </c>
      <c r="D95">
        <f>IF(C95&gt;0,VLOOKUP(C95,'Detail Balok'!$C$11:$AU$140,2,FALSE),0)</f>
        <v>200</v>
      </c>
      <c r="E95" t="str">
        <v>x</v>
      </c>
      <c r="F95">
        <f>IF(C95&gt;0,VLOOKUP(C95,'Detail Balok'!$C$11:$AU$140,3,FALSE),0)</f>
        <v>400</v>
      </c>
      <c r="G95">
        <f>'Data Panjang Balok'!I91</f>
        <v>3090</v>
      </c>
      <c r="H95">
        <f>'Data Panjang Balok'!J91</f>
        <v>150</v>
      </c>
      <c r="I95">
        <v>-3.5</v>
      </c>
      <c r="J95">
        <f>I95-F95/1000</f>
        <v>-3.9</v>
      </c>
      <c r="K95">
        <f>'Data Panjang Balok'!E91</f>
        <v>1</v>
      </c>
      <c r="L95">
        <f>SUMIFS('Besi Balok'!$AA$23:$AA$7253,'Besi Balok'!$A$23:$A$7253,$A95,'Besi Balok'!$B$23:$B$7253,$B95,'Besi Balok'!$F$23:$F$7253,'REKAP Balok'!L$11)</f>
        <v>0</v>
      </c>
      <c r="M95">
        <f>SUMIFS('Besi Balok'!$AA$23:$AA$7253,'Besi Balok'!$A$23:$A$7253,$A95,'Besi Balok'!$B$23:$B$7253,$B95,'Besi Balok'!$F$23:$F$7253,'REKAP Balok'!M$11)</f>
        <v>0</v>
      </c>
      <c r="N95">
        <f>SUMIFS('Besi Balok'!$AA$23:$AA$7253,'Besi Balok'!$A$23:$A$7253,$A95,'Besi Balok'!$B$23:$B$7253,$B95,'Besi Balok'!$F$23:$F$7253,'REKAP Balok'!N$11)</f>
        <v>15.874875000000003</v>
      </c>
      <c r="O95">
        <f>SUMIFS('Besi Balok'!$AA$23:$AA$7253,'Besi Balok'!$A$23:$A$7253,$A95,'Besi Balok'!$B$23:$B$7253,$B95,'Besi Balok'!$F$23:$F$7253,'REKAP Balok'!O$11)</f>
        <v>21.266956620000002</v>
      </c>
      <c r="P95">
        <f>SUMIFS('Besi Balok'!$AA$23:$AA$7253,'Besi Balok'!$A$23:$A$7253,$A95,'Besi Balok'!$B$23:$B$7253,$B95,'Besi Balok'!$F$23:$F$7253,'REKAP Balok'!P$11)</f>
        <v>0</v>
      </c>
      <c r="Q95">
        <f>SUMIFS('Besi Balok'!$AA$23:$AA$7253,'Besi Balok'!$A$23:$A$7253,$A95,'Besi Balok'!$B$23:$B$7253,$B95,'Besi Balok'!$F$23:$F$7253,'REKAP Balok'!Q$11)</f>
        <v>0</v>
      </c>
      <c r="R95">
        <f>SUMIFS('Besi Balok'!$AA$23:$AA$7253,'Besi Balok'!$A$23:$A$7253,$A95,'Besi Balok'!$B$23:$B$7253,$B95,'Besi Balok'!$F$23:$F$7253,'REKAP Balok'!R$11)</f>
        <v>0</v>
      </c>
      <c r="S95">
        <f>SUMIFS('Besi Balok'!$AA$23:$AA$7253,'Besi Balok'!$A$23:$A$7253,$A95,'Besi Balok'!$B$23:$B$7253,$B95,'Besi Balok'!$F$23:$F$7253,'REKAP Balok'!S$11)</f>
        <v>0</v>
      </c>
      <c r="T95">
        <f>SUMIFS('Besi Balok'!$AA$23:$AA$7253,'Besi Balok'!$A$23:$A$7253,$A95,'Besi Balok'!$B$23:$B$7253,$B95,'Besi Balok'!$F$23:$F$7253,'REKAP Balok'!T$11)</f>
        <v>0</v>
      </c>
      <c r="U95">
        <f>SUM(L95:T95)</f>
        <v>37.141831620000005</v>
      </c>
      <c r="V95">
        <f>(D95*(F95-H95)*G95*K95)/1000000000</f>
        <v>0.1545</v>
      </c>
      <c r="W95">
        <f>(((F95-H95)*2)*(G95)*K95)/1000000</f>
        <v>1.545</v>
      </c>
      <c r="X95">
        <v>0</v>
      </c>
      <c r="Y95">
        <f>K95*(D95+2*$F$5)*G95*$F$6/1000000000</f>
        <v>0.0618</v>
      </c>
      <c r="Z95">
        <f>K95*(D95+2*$F$5)*($F$4-J95+($F$6+$F$7)/1000)*G95/1000000</f>
        <v>0.5561999999999999</v>
      </c>
      <c r="AC95">
        <f>(D95+2*$F$5)*F95*G95/1000000000</f>
        <v>0.4944</v>
      </c>
    </row>
    <row r="96">
      <c r="A96" t="str">
        <f>'Data Panjang Balok'!A92</f>
        <v>Lantai 1</v>
      </c>
      <c r="B96">
        <f>'Data Panjang Balok'!B92</f>
        <v>81</v>
      </c>
      <c r="C96" t="str">
        <f>'Data Panjang Balok'!D92</f>
        <v>B25-1</v>
      </c>
      <c r="D96">
        <f>IF(C96&gt;0,VLOOKUP(C96,'Detail Balok'!$C$11:$AU$140,2,FALSE),0)</f>
        <v>200</v>
      </c>
      <c r="E96" t="str">
        <v>x</v>
      </c>
      <c r="F96">
        <f>IF(C96&gt;0,VLOOKUP(C96,'Detail Balok'!$C$11:$AU$140,3,FALSE),0)</f>
        <v>500</v>
      </c>
      <c r="G96">
        <f>'Data Panjang Balok'!I92</f>
        <v>6030</v>
      </c>
      <c r="H96">
        <f>'Data Panjang Balok'!J92</f>
        <v>150</v>
      </c>
      <c r="I96">
        <v>-3.5</v>
      </c>
      <c r="J96">
        <f>I96-F96/1000</f>
        <v>-4</v>
      </c>
      <c r="K96">
        <f>'Data Panjang Balok'!E92</f>
        <v>1</v>
      </c>
      <c r="L96">
        <f>SUMIFS('Besi Balok'!$AA$23:$AA$7253,'Besi Balok'!$A$23:$A$7253,$A96,'Besi Balok'!$B$23:$B$7253,$B96,'Besi Balok'!$F$23:$F$7253,'REKAP Balok'!L$11)</f>
        <v>0</v>
      </c>
      <c r="M96">
        <f>SUMIFS('Besi Balok'!$AA$23:$AA$7253,'Besi Balok'!$A$23:$A$7253,$A96,'Besi Balok'!$B$23:$B$7253,$B96,'Besi Balok'!$F$23:$F$7253,'REKAP Balok'!M$11)</f>
        <v>0</v>
      </c>
      <c r="N96">
        <f>SUMIFS('Besi Balok'!$AA$23:$AA$7253,'Besi Balok'!$A$23:$A$7253,$A96,'Besi Balok'!$B$23:$B$7253,$B96,'Besi Balok'!$F$23:$F$7253,'REKAP Balok'!N$11)</f>
        <v>35.787825000000005</v>
      </c>
      <c r="O96">
        <f>SUMIFS('Besi Balok'!$AA$23:$AA$7253,'Besi Balok'!$A$23:$A$7253,$A96,'Besi Balok'!$B$23:$B$7253,$B96,'Besi Balok'!$F$23:$F$7253,'REKAP Balok'!O$11)</f>
        <v>0</v>
      </c>
      <c r="P96">
        <f>SUMIFS('Besi Balok'!$AA$23:$AA$7253,'Besi Balok'!$A$23:$A$7253,$A96,'Besi Balok'!$B$23:$B$7253,$B96,'Besi Balok'!$F$23:$F$7253,'REKAP Balok'!P$11)</f>
        <v>80.98265088</v>
      </c>
      <c r="Q96">
        <f>SUMIFS('Besi Balok'!$AA$23:$AA$7253,'Besi Balok'!$A$23:$A$7253,$A96,'Besi Balok'!$B$23:$B$7253,$B96,'Besi Balok'!$F$23:$F$7253,'REKAP Balok'!Q$11)</f>
        <v>0</v>
      </c>
      <c r="R96">
        <f>SUMIFS('Besi Balok'!$AA$23:$AA$7253,'Besi Balok'!$A$23:$A$7253,$A96,'Besi Balok'!$B$23:$B$7253,$B96,'Besi Balok'!$F$23:$F$7253,'REKAP Balok'!R$11)</f>
        <v>0</v>
      </c>
      <c r="S96">
        <f>SUMIFS('Besi Balok'!$AA$23:$AA$7253,'Besi Balok'!$A$23:$A$7253,$A96,'Besi Balok'!$B$23:$B$7253,$B96,'Besi Balok'!$F$23:$F$7253,'REKAP Balok'!S$11)</f>
        <v>0</v>
      </c>
      <c r="T96">
        <f>SUMIFS('Besi Balok'!$AA$23:$AA$7253,'Besi Balok'!$A$23:$A$7253,$A96,'Besi Balok'!$B$23:$B$7253,$B96,'Besi Balok'!$F$23:$F$7253,'REKAP Balok'!T$11)</f>
        <v>0</v>
      </c>
      <c r="U96">
        <f>SUM(L96:T96)</f>
        <v>116.77047587999999</v>
      </c>
      <c r="V96">
        <f>(D96*(F96-H96)*G96*K96)/1000000000</f>
        <v>0.4221</v>
      </c>
      <c r="W96">
        <f>(((F96-H96)*2)*(G96)*K96)/1000000</f>
        <v>4.221</v>
      </c>
      <c r="X96">
        <v>0</v>
      </c>
      <c r="Y96">
        <f>K96*(D96+2*$F$5)*G96*$F$6/1000000000</f>
        <v>0.1206</v>
      </c>
      <c r="Z96">
        <f>K96*(D96+2*$F$5)*($F$4-J96+($F$6+$F$7)/1000)*G96/1000000</f>
        <v>1.3266000000000002</v>
      </c>
      <c r="AC96">
        <f>(D96+2*$F$5)*F96*G96/1000000000</f>
        <v>1.206</v>
      </c>
    </row>
    <row r="97">
      <c r="A97" t="str">
        <f>'Data Panjang Balok'!A93</f>
        <v>Lantai 1</v>
      </c>
      <c r="B97">
        <f>'Data Panjang Balok'!B93</f>
        <v>82</v>
      </c>
      <c r="C97" t="str">
        <f>'Data Panjang Balok'!D93</f>
        <v>B25-1</v>
      </c>
      <c r="D97">
        <f>IF(C97&gt;0,VLOOKUP(C97,'Detail Balok'!$C$11:$AU$140,2,FALSE),0)</f>
        <v>200</v>
      </c>
      <c r="E97" t="str">
        <v>x</v>
      </c>
      <c r="F97">
        <f>IF(C97&gt;0,VLOOKUP(C97,'Detail Balok'!$C$11:$AU$140,3,FALSE),0)</f>
        <v>500</v>
      </c>
      <c r="G97">
        <f>'Data Panjang Balok'!I93</f>
        <v>6035</v>
      </c>
      <c r="H97">
        <f>'Data Panjang Balok'!J93</f>
        <v>150</v>
      </c>
      <c r="I97">
        <v>-3.5</v>
      </c>
      <c r="J97">
        <f>I97-F97/1000</f>
        <v>-4</v>
      </c>
      <c r="K97">
        <f>'Data Panjang Balok'!E93</f>
        <v>1</v>
      </c>
      <c r="L97">
        <f>SUMIFS('Besi Balok'!$AA$23:$AA$7253,'Besi Balok'!$A$23:$A$7253,$A97,'Besi Balok'!$B$23:$B$7253,$B97,'Besi Balok'!$F$23:$F$7253,'REKAP Balok'!L$11)</f>
        <v>0</v>
      </c>
      <c r="M97">
        <f>SUMIFS('Besi Balok'!$AA$23:$AA$7253,'Besi Balok'!$A$23:$A$7253,$A97,'Besi Balok'!$B$23:$B$7253,$B97,'Besi Balok'!$F$23:$F$7253,'REKAP Balok'!M$11)</f>
        <v>0</v>
      </c>
      <c r="N97">
        <f>SUMIFS('Besi Balok'!$AA$23:$AA$7253,'Besi Balok'!$A$23:$A$7253,$A97,'Besi Balok'!$B$23:$B$7253,$B97,'Besi Balok'!$F$23:$F$7253,'REKAP Balok'!N$11)</f>
        <v>35.79399</v>
      </c>
      <c r="O97">
        <f>SUMIFS('Besi Balok'!$AA$23:$AA$7253,'Besi Balok'!$A$23:$A$7253,$A97,'Besi Balok'!$B$23:$B$7253,$B97,'Besi Balok'!$F$23:$F$7253,'REKAP Balok'!O$11)</f>
        <v>0</v>
      </c>
      <c r="P97">
        <f>SUMIFS('Besi Balok'!$AA$23:$AA$7253,'Besi Balok'!$A$23:$A$7253,$A97,'Besi Balok'!$B$23:$B$7253,$B97,'Besi Balok'!$F$23:$F$7253,'REKAP Balok'!P$11)</f>
        <v>81.04578048</v>
      </c>
      <c r="Q97">
        <f>SUMIFS('Besi Balok'!$AA$23:$AA$7253,'Besi Balok'!$A$23:$A$7253,$A97,'Besi Balok'!$B$23:$B$7253,$B97,'Besi Balok'!$F$23:$F$7253,'REKAP Balok'!Q$11)</f>
        <v>0</v>
      </c>
      <c r="R97">
        <f>SUMIFS('Besi Balok'!$AA$23:$AA$7253,'Besi Balok'!$A$23:$A$7253,$A97,'Besi Balok'!$B$23:$B$7253,$B97,'Besi Balok'!$F$23:$F$7253,'REKAP Balok'!R$11)</f>
        <v>0</v>
      </c>
      <c r="S97">
        <f>SUMIFS('Besi Balok'!$AA$23:$AA$7253,'Besi Balok'!$A$23:$A$7253,$A97,'Besi Balok'!$B$23:$B$7253,$B97,'Besi Balok'!$F$23:$F$7253,'REKAP Balok'!S$11)</f>
        <v>0</v>
      </c>
      <c r="T97">
        <f>SUMIFS('Besi Balok'!$AA$23:$AA$7253,'Besi Balok'!$A$23:$A$7253,$A97,'Besi Balok'!$B$23:$B$7253,$B97,'Besi Balok'!$F$23:$F$7253,'REKAP Balok'!T$11)</f>
        <v>0</v>
      </c>
      <c r="U97">
        <f>SUM(L97:T97)</f>
        <v>116.83977048</v>
      </c>
      <c r="V97">
        <f>(D97*(F97-H97)*G97*K97)/1000000000</f>
        <v>0.42245</v>
      </c>
      <c r="W97">
        <f>(((F97-H97)*2)*(G97)*K97)/1000000</f>
        <v>4.2245</v>
      </c>
      <c r="X97">
        <v>0</v>
      </c>
      <c r="Y97">
        <f>K97*(D97+2*$F$5)*G97*$F$6/1000000000</f>
        <v>0.1207</v>
      </c>
      <c r="Z97">
        <f>K97*(D97+2*$F$5)*($F$4-J97+($F$6+$F$7)/1000)*G97/1000000</f>
        <v>1.3277000000000003</v>
      </c>
      <c r="AC97">
        <f>(D97+2*$F$5)*F97*G97/1000000000</f>
        <v>1.207</v>
      </c>
    </row>
    <row r="98">
      <c r="A98" t="str">
        <f>'Data Panjang Balok'!A94</f>
        <v>Lantai 1</v>
      </c>
      <c r="B98">
        <f>'Data Panjang Balok'!B94</f>
        <v>83</v>
      </c>
      <c r="C98" t="str">
        <f>'Data Panjang Balok'!D94</f>
        <v>B24-1</v>
      </c>
      <c r="D98">
        <f>IF(C98&gt;0,VLOOKUP(C98,'Detail Balok'!$C$11:$AU$140,2,FALSE),0)</f>
        <v>200</v>
      </c>
      <c r="E98" t="str">
        <v>x</v>
      </c>
      <c r="F98">
        <f>IF(C98&gt;0,VLOOKUP(C98,'Detail Balok'!$C$11:$AU$140,3,FALSE),0)</f>
        <v>400</v>
      </c>
      <c r="G98">
        <f>'Data Panjang Balok'!I94</f>
        <v>3090</v>
      </c>
      <c r="H98">
        <f>'Data Panjang Balok'!J94</f>
        <v>150</v>
      </c>
      <c r="I98">
        <v>-3.5</v>
      </c>
      <c r="J98">
        <f>I98-F98/1000</f>
        <v>-3.9</v>
      </c>
      <c r="K98">
        <f>'Data Panjang Balok'!E94</f>
        <v>1</v>
      </c>
      <c r="L98">
        <f>SUMIFS('Besi Balok'!$AA$23:$AA$7253,'Besi Balok'!$A$23:$A$7253,$A98,'Besi Balok'!$B$23:$B$7253,$B98,'Besi Balok'!$F$23:$F$7253,'REKAP Balok'!L$11)</f>
        <v>0</v>
      </c>
      <c r="M98">
        <f>SUMIFS('Besi Balok'!$AA$23:$AA$7253,'Besi Balok'!$A$23:$A$7253,$A98,'Besi Balok'!$B$23:$B$7253,$B98,'Besi Balok'!$F$23:$F$7253,'REKAP Balok'!M$11)</f>
        <v>0</v>
      </c>
      <c r="N98">
        <f>SUMIFS('Besi Balok'!$AA$23:$AA$7253,'Besi Balok'!$A$23:$A$7253,$A98,'Besi Balok'!$B$23:$B$7253,$B98,'Besi Balok'!$F$23:$F$7253,'REKAP Balok'!N$11)</f>
        <v>15.874875000000003</v>
      </c>
      <c r="O98">
        <f>SUMIFS('Besi Balok'!$AA$23:$AA$7253,'Besi Balok'!$A$23:$A$7253,$A98,'Besi Balok'!$B$23:$B$7253,$B98,'Besi Balok'!$F$23:$F$7253,'REKAP Balok'!O$11)</f>
        <v>21.266956620000002</v>
      </c>
      <c r="P98">
        <f>SUMIFS('Besi Balok'!$AA$23:$AA$7253,'Besi Balok'!$A$23:$A$7253,$A98,'Besi Balok'!$B$23:$B$7253,$B98,'Besi Balok'!$F$23:$F$7253,'REKAP Balok'!P$11)</f>
        <v>0</v>
      </c>
      <c r="Q98">
        <f>SUMIFS('Besi Balok'!$AA$23:$AA$7253,'Besi Balok'!$A$23:$A$7253,$A98,'Besi Balok'!$B$23:$B$7253,$B98,'Besi Balok'!$F$23:$F$7253,'REKAP Balok'!Q$11)</f>
        <v>0</v>
      </c>
      <c r="R98">
        <f>SUMIFS('Besi Balok'!$AA$23:$AA$7253,'Besi Balok'!$A$23:$A$7253,$A98,'Besi Balok'!$B$23:$B$7253,$B98,'Besi Balok'!$F$23:$F$7253,'REKAP Balok'!R$11)</f>
        <v>0</v>
      </c>
      <c r="S98">
        <f>SUMIFS('Besi Balok'!$AA$23:$AA$7253,'Besi Balok'!$A$23:$A$7253,$A98,'Besi Balok'!$B$23:$B$7253,$B98,'Besi Balok'!$F$23:$F$7253,'REKAP Balok'!S$11)</f>
        <v>0</v>
      </c>
      <c r="T98">
        <f>SUMIFS('Besi Balok'!$AA$23:$AA$7253,'Besi Balok'!$A$23:$A$7253,$A98,'Besi Balok'!$B$23:$B$7253,$B98,'Besi Balok'!$F$23:$F$7253,'REKAP Balok'!T$11)</f>
        <v>0</v>
      </c>
      <c r="U98">
        <f>SUM(L98:T98)</f>
        <v>37.141831620000005</v>
      </c>
      <c r="V98">
        <f>(D98*(F98-H98)*G98*K98)/1000000000</f>
        <v>0.1545</v>
      </c>
      <c r="W98">
        <f>(((F98-H98)*2)*(G98)*K98)/1000000</f>
        <v>1.545</v>
      </c>
      <c r="X98">
        <v>0</v>
      </c>
      <c r="Y98">
        <f>K98*(D98+2*$F$5)*G98*$F$6/1000000000</f>
        <v>0.0618</v>
      </c>
      <c r="Z98">
        <f>K98*(D98+2*$F$5)*($F$4-J98+($F$6+$F$7)/1000)*G98/1000000</f>
        <v>0.5561999999999999</v>
      </c>
      <c r="AC98">
        <f>(D98+2*$F$5)*F98*G98/1000000000</f>
        <v>0.4944</v>
      </c>
    </row>
    <row r="99">
      <c r="A99" t="str">
        <f>'Data Panjang Balok'!A95</f>
        <v>Lantai 1</v>
      </c>
      <c r="B99">
        <f>'Data Panjang Balok'!B95</f>
        <v>84</v>
      </c>
      <c r="C99" t="str">
        <f>'Data Panjang Balok'!D95</f>
        <v>B25-1</v>
      </c>
      <c r="D99">
        <f>IF(C99&gt;0,VLOOKUP(C99,'Detail Balok'!$C$11:$AU$140,2,FALSE),0)</f>
        <v>200</v>
      </c>
      <c r="E99" t="str">
        <v>x</v>
      </c>
      <c r="F99">
        <f>IF(C99&gt;0,VLOOKUP(C99,'Detail Balok'!$C$11:$AU$140,3,FALSE),0)</f>
        <v>500</v>
      </c>
      <c r="G99">
        <f>'Data Panjang Balok'!I95</f>
        <v>6170</v>
      </c>
      <c r="H99">
        <f>'Data Panjang Balok'!J95</f>
        <v>150</v>
      </c>
      <c r="I99">
        <v>-3.5</v>
      </c>
      <c r="J99">
        <f>I99-F99/1000</f>
        <v>-4</v>
      </c>
      <c r="K99">
        <f>'Data Panjang Balok'!E95</f>
        <v>1</v>
      </c>
      <c r="L99">
        <f>SUMIFS('Besi Balok'!$AA$23:$AA$7253,'Besi Balok'!$A$23:$A$7253,$A99,'Besi Balok'!$B$23:$B$7253,$B99,'Besi Balok'!$F$23:$F$7253,'REKAP Balok'!L$11)</f>
        <v>0</v>
      </c>
      <c r="M99">
        <f>SUMIFS('Besi Balok'!$AA$23:$AA$7253,'Besi Balok'!$A$23:$A$7253,$A99,'Besi Balok'!$B$23:$B$7253,$B99,'Besi Balok'!$F$23:$F$7253,'REKAP Balok'!M$11)</f>
        <v>0</v>
      </c>
      <c r="N99">
        <f>SUMIFS('Besi Balok'!$AA$23:$AA$7253,'Besi Balok'!$A$23:$A$7253,$A99,'Besi Balok'!$B$23:$B$7253,$B99,'Besi Balok'!$F$23:$F$7253,'REKAP Balok'!N$11)</f>
        <v>35.960445</v>
      </c>
      <c r="O99">
        <f>SUMIFS('Besi Balok'!$AA$23:$AA$7253,'Besi Balok'!$A$23:$A$7253,$A99,'Besi Balok'!$B$23:$B$7253,$B99,'Besi Balok'!$F$23:$F$7253,'REKAP Balok'!O$11)</f>
        <v>0</v>
      </c>
      <c r="P99">
        <f>SUMIFS('Besi Balok'!$AA$23:$AA$7253,'Besi Balok'!$A$23:$A$7253,$A99,'Besi Balok'!$B$23:$B$7253,$B99,'Besi Balok'!$F$23:$F$7253,'REKAP Balok'!P$11)</f>
        <v>82.75027967999999</v>
      </c>
      <c r="Q99">
        <f>SUMIFS('Besi Balok'!$AA$23:$AA$7253,'Besi Balok'!$A$23:$A$7253,$A99,'Besi Balok'!$B$23:$B$7253,$B99,'Besi Balok'!$F$23:$F$7253,'REKAP Balok'!Q$11)</f>
        <v>0</v>
      </c>
      <c r="R99">
        <f>SUMIFS('Besi Balok'!$AA$23:$AA$7253,'Besi Balok'!$A$23:$A$7253,$A99,'Besi Balok'!$B$23:$B$7253,$B99,'Besi Balok'!$F$23:$F$7253,'REKAP Balok'!R$11)</f>
        <v>0</v>
      </c>
      <c r="S99">
        <f>SUMIFS('Besi Balok'!$AA$23:$AA$7253,'Besi Balok'!$A$23:$A$7253,$A99,'Besi Balok'!$B$23:$B$7253,$B99,'Besi Balok'!$F$23:$F$7253,'REKAP Balok'!S$11)</f>
        <v>0</v>
      </c>
      <c r="T99">
        <f>SUMIFS('Besi Balok'!$AA$23:$AA$7253,'Besi Balok'!$A$23:$A$7253,$A99,'Besi Balok'!$B$23:$B$7253,$B99,'Besi Balok'!$F$23:$F$7253,'REKAP Balok'!T$11)</f>
        <v>0</v>
      </c>
      <c r="U99">
        <f>SUM(L99:T99)</f>
        <v>118.71072468</v>
      </c>
      <c r="V99">
        <f>(D99*(F99-H99)*G99*K99)/1000000000</f>
        <v>0.4319</v>
      </c>
      <c r="W99">
        <f>(((F99-H99)*2)*(G99)*K99)/1000000</f>
        <v>4.319</v>
      </c>
      <c r="X99">
        <v>0</v>
      </c>
      <c r="Y99">
        <f>K99*(D99+2*$F$5)*G99*$F$6/1000000000</f>
        <v>0.1234</v>
      </c>
      <c r="Z99">
        <f>K99*(D99+2*$F$5)*($F$4-J99+($F$6+$F$7)/1000)*G99/1000000</f>
        <v>1.3574000000000002</v>
      </c>
      <c r="AC99">
        <f>(D99+2*$F$5)*F99*G99/1000000000</f>
        <v>1.234</v>
      </c>
    </row>
    <row r="100">
      <c r="A100" t="str">
        <f>'Data Panjang Balok'!A96</f>
        <v>Lantai 1</v>
      </c>
      <c r="B100">
        <f>'Data Panjang Balok'!B96</f>
        <v>85</v>
      </c>
      <c r="C100" t="str">
        <f>'Data Panjang Balok'!D96</f>
        <v>B25-1</v>
      </c>
      <c r="D100">
        <f>IF(C100&gt;0,VLOOKUP(C100,'Detail Balok'!$C$11:$AU$140,2,FALSE),0)</f>
        <v>200</v>
      </c>
      <c r="E100" t="str">
        <v>x</v>
      </c>
      <c r="F100">
        <f>IF(C100&gt;0,VLOOKUP(C100,'Detail Balok'!$C$11:$AU$140,3,FALSE),0)</f>
        <v>500</v>
      </c>
      <c r="G100">
        <f>'Data Panjang Balok'!I96</f>
        <v>8435</v>
      </c>
      <c r="H100">
        <f>'Data Panjang Balok'!J96</f>
        <v>150</v>
      </c>
      <c r="I100">
        <v>-3.5</v>
      </c>
      <c r="J100">
        <f>I100-F100/1000</f>
        <v>-4</v>
      </c>
      <c r="K100">
        <f>'Data Panjang Balok'!E96</f>
        <v>1</v>
      </c>
      <c r="L100">
        <f>SUMIFS('Besi Balok'!$AA$23:$AA$7253,'Besi Balok'!$A$23:$A$7253,$A100,'Besi Balok'!$B$23:$B$7253,$B100,'Besi Balok'!$F$23:$F$7253,'REKAP Balok'!L$11)</f>
        <v>0</v>
      </c>
      <c r="M100">
        <f>SUMIFS('Besi Balok'!$AA$23:$AA$7253,'Besi Balok'!$A$23:$A$7253,$A100,'Besi Balok'!$B$23:$B$7253,$B100,'Besi Balok'!$F$23:$F$7253,'REKAP Balok'!M$11)</f>
        <v>0</v>
      </c>
      <c r="N100">
        <f>SUMIFS('Besi Balok'!$AA$23:$AA$7253,'Besi Balok'!$A$23:$A$7253,$A100,'Besi Balok'!$B$23:$B$7253,$B100,'Besi Balok'!$F$23:$F$7253,'REKAP Balok'!N$11)</f>
        <v>49.36932</v>
      </c>
      <c r="O100">
        <f>SUMIFS('Besi Balok'!$AA$23:$AA$7253,'Besi Balok'!$A$23:$A$7253,$A100,'Besi Balok'!$B$23:$B$7253,$B100,'Besi Balok'!$F$23:$F$7253,'REKAP Balok'!O$11)</f>
        <v>0</v>
      </c>
      <c r="P100">
        <f>SUMIFS('Besi Balok'!$AA$23:$AA$7253,'Besi Balok'!$A$23:$A$7253,$A100,'Besi Balok'!$B$23:$B$7253,$B100,'Besi Balok'!$F$23:$F$7253,'REKAP Balok'!P$11)</f>
        <v>111.34798848000001</v>
      </c>
      <c r="Q100">
        <f>SUMIFS('Besi Balok'!$AA$23:$AA$7253,'Besi Balok'!$A$23:$A$7253,$A100,'Besi Balok'!$B$23:$B$7253,$B100,'Besi Balok'!$F$23:$F$7253,'REKAP Balok'!Q$11)</f>
        <v>0</v>
      </c>
      <c r="R100">
        <f>SUMIFS('Besi Balok'!$AA$23:$AA$7253,'Besi Balok'!$A$23:$A$7253,$A100,'Besi Balok'!$B$23:$B$7253,$B100,'Besi Balok'!$F$23:$F$7253,'REKAP Balok'!R$11)</f>
        <v>0</v>
      </c>
      <c r="S100">
        <f>SUMIFS('Besi Balok'!$AA$23:$AA$7253,'Besi Balok'!$A$23:$A$7253,$A100,'Besi Balok'!$B$23:$B$7253,$B100,'Besi Balok'!$F$23:$F$7253,'REKAP Balok'!S$11)</f>
        <v>0</v>
      </c>
      <c r="T100">
        <f>SUMIFS('Besi Balok'!$AA$23:$AA$7253,'Besi Balok'!$A$23:$A$7253,$A100,'Besi Balok'!$B$23:$B$7253,$B100,'Besi Balok'!$F$23:$F$7253,'REKAP Balok'!T$11)</f>
        <v>0</v>
      </c>
      <c r="U100">
        <f>SUM(L100:T100)</f>
        <v>160.71730848</v>
      </c>
      <c r="V100">
        <f>(D100*(F100-H100)*G100*K100)/1000000000</f>
        <v>0.59045</v>
      </c>
      <c r="W100">
        <f>(((F100-H100)*2)*(G100)*K100)/1000000</f>
        <v>5.9045</v>
      </c>
      <c r="X100">
        <v>0</v>
      </c>
      <c r="Y100">
        <f>K100*(D100+2*$F$5)*G100*$F$6/1000000000</f>
        <v>0.1687</v>
      </c>
      <c r="Z100">
        <f>K100*(D100+2*$F$5)*($F$4-J100+($F$6+$F$7)/1000)*G100/1000000</f>
        <v>1.8557000000000001</v>
      </c>
      <c r="AC100">
        <f>(D100+2*$F$5)*F100*G100/1000000000</f>
        <v>1.687</v>
      </c>
    </row>
    <row r="102">
      <c r="A102" t="str">
        <f>'Data Panjang Balok'!A98</f>
        <v>Lantai 2</v>
      </c>
      <c r="B102">
        <f>'Data Panjang Balok'!B98</f>
        <v>1</v>
      </c>
      <c r="C102" t="str">
        <f>'Data Panjang Balok'!D98</f>
        <v>B26-1</v>
      </c>
      <c r="D102">
        <f>IF(C102&gt;0,VLOOKUP(C102,'Detail Balok'!$C$11:$AU$140,2,FALSE),0)</f>
        <v>200</v>
      </c>
      <c r="E102" t="str">
        <v>x</v>
      </c>
      <c r="F102">
        <f>IF(C102&gt;0,VLOOKUP(C102,'Detail Balok'!$C$11:$AU$140,3,FALSE),0)</f>
        <v>600</v>
      </c>
      <c r="G102">
        <f>'Data Panjang Balok'!I98</f>
        <v>4825</v>
      </c>
      <c r="H102">
        <f>'Data Panjang Balok'!J98</f>
        <v>150</v>
      </c>
      <c r="I102">
        <v>0</v>
      </c>
      <c r="J102">
        <f>I102-F102/1000</f>
        <v>-0.6</v>
      </c>
      <c r="K102">
        <f>'Data Panjang Balok'!E98</f>
        <v>1</v>
      </c>
      <c r="L102">
        <f>SUMIFS('Besi Balok'!$AA$23:$AA$7253,'Besi Balok'!$A$23:$A$7253,$A102,'Besi Balok'!$B$23:$B$7253,$B102,'Besi Balok'!$F$23:$F$7253,'REKAP Balok'!L$11)</f>
        <v>0</v>
      </c>
      <c r="M102">
        <f>SUMIFS('Besi Balok'!$AA$23:$AA$7253,'Besi Balok'!$A$23:$A$7253,$A102,'Besi Balok'!$B$23:$B$7253,$B102,'Besi Balok'!$F$23:$F$7253,'REKAP Balok'!M$11)</f>
        <v>0</v>
      </c>
      <c r="N102">
        <f>SUMIFS('Besi Balok'!$AA$23:$AA$7253,'Besi Balok'!$A$23:$A$7253,$A102,'Besi Balok'!$B$23:$B$7253,$B102,'Besi Balok'!$F$23:$F$7253,'REKAP Balok'!N$11)</f>
        <v>43.272135</v>
      </c>
      <c r="O102">
        <f>SUMIFS('Besi Balok'!$AA$23:$AA$7253,'Besi Balok'!$A$23:$A$7253,$A102,'Besi Balok'!$B$23:$B$7253,$B102,'Besi Balok'!$F$23:$F$7253,'REKAP Balok'!O$11)</f>
        <v>0</v>
      </c>
      <c r="P102">
        <f>SUMIFS('Besi Balok'!$AA$23:$AA$7253,'Besi Balok'!$A$23:$A$7253,$A102,'Besi Balok'!$B$23:$B$7253,$B102,'Besi Balok'!$F$23:$F$7253,'REKAP Balok'!P$11)</f>
        <v>59.82792192</v>
      </c>
      <c r="Q102">
        <f>SUMIFS('Besi Balok'!$AA$23:$AA$7253,'Besi Balok'!$A$23:$A$7253,$A102,'Besi Balok'!$B$23:$B$7253,$B102,'Besi Balok'!$F$23:$F$7253,'REKAP Balok'!Q$11)</f>
        <v>0</v>
      </c>
      <c r="R102">
        <f>SUMIFS('Besi Balok'!$AA$23:$AA$7253,'Besi Balok'!$A$23:$A$7253,$A102,'Besi Balok'!$B$23:$B$7253,$B102,'Besi Balok'!$F$23:$F$7253,'REKAP Balok'!R$11)</f>
        <v>0</v>
      </c>
      <c r="S102">
        <f>SUMIFS('Besi Balok'!$AA$23:$AA$7253,'Besi Balok'!$A$23:$A$7253,$A102,'Besi Balok'!$B$23:$B$7253,$B102,'Besi Balok'!$F$23:$F$7253,'REKAP Balok'!S$11)</f>
        <v>0</v>
      </c>
      <c r="T102">
        <f>SUMIFS('Besi Balok'!$AA$23:$AA$7253,'Besi Balok'!$A$23:$A$7253,$A102,'Besi Balok'!$B$23:$B$7253,$B102,'Besi Balok'!$F$23:$F$7253,'REKAP Balok'!T$11)</f>
        <v>0</v>
      </c>
      <c r="U102">
        <f>SUM(L102:T102)</f>
        <v>103.10005692</v>
      </c>
      <c r="V102">
        <f>(D102*(F102-H102)*G102*K102)/1000000000</f>
        <v>0.43425</v>
      </c>
      <c r="W102">
        <f>(((F102-H102)*2+IF(H102&gt;0,0,D102))*(G102)*K102)/1000000</f>
        <v>4.3425</v>
      </c>
      <c r="AC102">
        <f>(D102+2*$F$5)*F102*G102/1000000000</f>
        <v>1.158</v>
      </c>
    </row>
    <row r="103">
      <c r="A103" t="str">
        <f>'Data Panjang Balok'!A99</f>
        <v>Lantai 2</v>
      </c>
      <c r="B103">
        <f>'Data Panjang Balok'!B99</f>
        <v>2</v>
      </c>
      <c r="C103" t="str">
        <f>'Data Panjang Balok'!D99</f>
        <v>B26-1</v>
      </c>
      <c r="D103">
        <f>IF(C103&gt;0,VLOOKUP(C103,'Detail Balok'!$C$11:$AU$140,2,FALSE),0)</f>
        <v>200</v>
      </c>
      <c r="E103" t="str">
        <v>x</v>
      </c>
      <c r="F103">
        <f>IF(C103&gt;0,VLOOKUP(C103,'Detail Balok'!$C$11:$AU$140,3,FALSE),0)</f>
        <v>600</v>
      </c>
      <c r="G103">
        <f>'Data Panjang Balok'!I99</f>
        <v>4175</v>
      </c>
      <c r="H103">
        <f>'Data Panjang Balok'!J99</f>
        <v>150</v>
      </c>
      <c r="I103">
        <v>0</v>
      </c>
      <c r="J103">
        <f>I103-F103/1000</f>
        <v>-0.6</v>
      </c>
      <c r="K103">
        <f>'Data Panjang Balok'!E99</f>
        <v>1</v>
      </c>
      <c r="L103">
        <f>SUMIFS('Besi Balok'!$AA$23:$AA$7253,'Besi Balok'!$A$23:$A$7253,$A103,'Besi Balok'!$B$23:$B$7253,$B103,'Besi Balok'!$F$23:$F$7253,'REKAP Balok'!L$11)</f>
        <v>0</v>
      </c>
      <c r="M103">
        <f>SUMIFS('Besi Balok'!$AA$23:$AA$7253,'Besi Balok'!$A$23:$A$7253,$A103,'Besi Balok'!$B$23:$B$7253,$B103,'Besi Balok'!$F$23:$F$7253,'REKAP Balok'!M$11)</f>
        <v>0</v>
      </c>
      <c r="N103">
        <f>SUMIFS('Besi Balok'!$AA$23:$AA$7253,'Besi Balok'!$A$23:$A$7253,$A103,'Besi Balok'!$B$23:$B$7253,$B103,'Besi Balok'!$F$23:$F$7253,'REKAP Balok'!N$11)</f>
        <v>38.944305</v>
      </c>
      <c r="O103">
        <f>SUMIFS('Besi Balok'!$AA$23:$AA$7253,'Besi Balok'!$A$23:$A$7253,$A103,'Besi Balok'!$B$23:$B$7253,$B103,'Besi Balok'!$F$23:$F$7253,'REKAP Balok'!O$11)</f>
        <v>0</v>
      </c>
      <c r="P103">
        <f>SUMIFS('Besi Balok'!$AA$23:$AA$7253,'Besi Balok'!$A$23:$A$7253,$A103,'Besi Balok'!$B$23:$B$7253,$B103,'Besi Balok'!$F$23:$F$7253,'REKAP Balok'!P$11)</f>
        <v>52.441758719999996</v>
      </c>
      <c r="Q103">
        <f>SUMIFS('Besi Balok'!$AA$23:$AA$7253,'Besi Balok'!$A$23:$A$7253,$A103,'Besi Balok'!$B$23:$B$7253,$B103,'Besi Balok'!$F$23:$F$7253,'REKAP Balok'!Q$11)</f>
        <v>0</v>
      </c>
      <c r="R103">
        <f>SUMIFS('Besi Balok'!$AA$23:$AA$7253,'Besi Balok'!$A$23:$A$7253,$A103,'Besi Balok'!$B$23:$B$7253,$B103,'Besi Balok'!$F$23:$F$7253,'REKAP Balok'!R$11)</f>
        <v>0</v>
      </c>
      <c r="S103">
        <f>SUMIFS('Besi Balok'!$AA$23:$AA$7253,'Besi Balok'!$A$23:$A$7253,$A103,'Besi Balok'!$B$23:$B$7253,$B103,'Besi Balok'!$F$23:$F$7253,'REKAP Balok'!S$11)</f>
        <v>0</v>
      </c>
      <c r="T103">
        <f>SUMIFS('Besi Balok'!$AA$23:$AA$7253,'Besi Balok'!$A$23:$A$7253,$A103,'Besi Balok'!$B$23:$B$7253,$B103,'Besi Balok'!$F$23:$F$7253,'REKAP Balok'!T$11)</f>
        <v>0</v>
      </c>
      <c r="U103">
        <f>SUM(L103:T103)</f>
        <v>91.38606372</v>
      </c>
      <c r="V103">
        <f>(D103*(F103-H103)*G103*K103)/1000000000</f>
        <v>0.37575</v>
      </c>
      <c r="W103">
        <f>(((F103-H103)*2+IF(H103&gt;0,0,D103))*(G103)*K103)/1000000</f>
        <v>3.7575</v>
      </c>
      <c r="AC103">
        <f>(D103+2*$F$5)*F103*G103/1000000000</f>
        <v>1.002</v>
      </c>
    </row>
    <row r="104">
      <c r="A104" t="str">
        <f>'Data Panjang Balok'!A100</f>
        <v>Lantai 2</v>
      </c>
      <c r="B104">
        <f>'Data Panjang Balok'!B100</f>
        <v>3</v>
      </c>
      <c r="C104" t="str">
        <f>'Data Panjang Balok'!D100</f>
        <v>B4-1</v>
      </c>
      <c r="D104">
        <f>IF(C104&gt;0,VLOOKUP(C104,'Detail Balok'!$C$11:$AU$140,2,FALSE),0)</f>
        <v>130</v>
      </c>
      <c r="E104" t="str">
        <v>x</v>
      </c>
      <c r="F104">
        <f>IF(C104&gt;0,VLOOKUP(C104,'Detail Balok'!$C$11:$AU$140,3,FALSE),0)</f>
        <v>400</v>
      </c>
      <c r="G104">
        <f>'Data Panjang Balok'!I100</f>
        <v>11000</v>
      </c>
      <c r="H104">
        <f>'Data Panjang Balok'!J100</f>
        <v>0</v>
      </c>
      <c r="I104">
        <v>0</v>
      </c>
      <c r="J104">
        <f>I104-F104/1000</f>
        <v>-0.4</v>
      </c>
      <c r="K104">
        <f>'Data Panjang Balok'!E100</f>
        <v>1</v>
      </c>
      <c r="L104">
        <f>SUMIFS('Besi Balok'!$AA$23:$AA$7253,'Besi Balok'!$A$23:$A$7253,$A104,'Besi Balok'!$B$23:$B$7253,$B104,'Besi Balok'!$F$23:$F$7253,'REKAP Balok'!L$11)</f>
        <v>0</v>
      </c>
      <c r="M104">
        <f>SUMIFS('Besi Balok'!$AA$23:$AA$7253,'Besi Balok'!$A$23:$A$7253,$A104,'Besi Balok'!$B$23:$B$7253,$B104,'Besi Balok'!$F$23:$F$7253,'REKAP Balok'!M$11)</f>
        <v>23.176454400000004</v>
      </c>
      <c r="N104">
        <f>SUMIFS('Besi Balok'!$AA$23:$AA$7253,'Besi Balok'!$A$23:$A$7253,$A104,'Besi Balok'!$B$23:$B$7253,$B104,'Besi Balok'!$F$23:$F$7253,'REKAP Balok'!N$11)</f>
        <v>0</v>
      </c>
      <c r="O104">
        <f>SUMIFS('Besi Balok'!$AA$23:$AA$7253,'Besi Balok'!$A$23:$A$7253,$A104,'Besi Balok'!$B$23:$B$7253,$B104,'Besi Balok'!$F$23:$F$7253,'REKAP Balok'!O$11)</f>
        <v>47.14321248</v>
      </c>
      <c r="P104">
        <f>SUMIFS('Besi Balok'!$AA$23:$AA$7253,'Besi Balok'!$A$23:$A$7253,$A104,'Besi Balok'!$B$23:$B$7253,$B104,'Besi Balok'!$F$23:$F$7253,'REKAP Balok'!P$11)</f>
        <v>0</v>
      </c>
      <c r="Q104">
        <f>SUMIFS('Besi Balok'!$AA$23:$AA$7253,'Besi Balok'!$A$23:$A$7253,$A104,'Besi Balok'!$B$23:$B$7253,$B104,'Besi Balok'!$F$23:$F$7253,'REKAP Balok'!Q$11)</f>
        <v>0</v>
      </c>
      <c r="R104">
        <f>SUMIFS('Besi Balok'!$AA$23:$AA$7253,'Besi Balok'!$A$23:$A$7253,$A104,'Besi Balok'!$B$23:$B$7253,$B104,'Besi Balok'!$F$23:$F$7253,'REKAP Balok'!R$11)</f>
        <v>0</v>
      </c>
      <c r="S104">
        <f>SUMIFS('Besi Balok'!$AA$23:$AA$7253,'Besi Balok'!$A$23:$A$7253,$A104,'Besi Balok'!$B$23:$B$7253,$B104,'Besi Balok'!$F$23:$F$7253,'REKAP Balok'!S$11)</f>
        <v>0</v>
      </c>
      <c r="T104">
        <f>SUMIFS('Besi Balok'!$AA$23:$AA$7253,'Besi Balok'!$A$23:$A$7253,$A104,'Besi Balok'!$B$23:$B$7253,$B104,'Besi Balok'!$F$23:$F$7253,'REKAP Balok'!T$11)</f>
        <v>0</v>
      </c>
      <c r="U104">
        <f>SUM(L104:T104)</f>
        <v>70.31966688</v>
      </c>
      <c r="V104">
        <f>(D104*(F104-H104)*G104*K104)/1000000000</f>
        <v>0.572</v>
      </c>
      <c r="W104">
        <f>(((F104-H104)*2+IF(H104&gt;0,0,D104))*(G104)*K104)/1000000</f>
        <v>10.23</v>
      </c>
      <c r="AC104">
        <f>(D104+2*$F$5)*F104*G104/1000000000</f>
        <v>1.452</v>
      </c>
    </row>
    <row r="105">
      <c r="A105" t="str">
        <f>'Data Panjang Balok'!A101</f>
        <v>Lantai 2</v>
      </c>
      <c r="B105">
        <f>'Data Panjang Balok'!B101</f>
        <v>4</v>
      </c>
      <c r="C105" t="str">
        <f>'Data Panjang Balok'!D101</f>
        <v>B25-1</v>
      </c>
      <c r="D105">
        <f>IF(C105&gt;0,VLOOKUP(C105,'Detail Balok'!$C$11:$AU$140,2,FALSE),0)</f>
        <v>200</v>
      </c>
      <c r="E105" t="str">
        <v>x</v>
      </c>
      <c r="F105">
        <f>IF(C105&gt;0,VLOOKUP(C105,'Detail Balok'!$C$11:$AU$140,3,FALSE),0)</f>
        <v>500</v>
      </c>
      <c r="G105">
        <f>'Data Panjang Balok'!I101</f>
        <v>9075</v>
      </c>
      <c r="H105">
        <f>'Data Panjang Balok'!J101</f>
        <v>150</v>
      </c>
      <c r="I105">
        <v>0</v>
      </c>
      <c r="J105">
        <f>I105-F105/1000</f>
        <v>-0.5</v>
      </c>
      <c r="K105">
        <f>'Data Panjang Balok'!E101</f>
        <v>1</v>
      </c>
      <c r="L105">
        <f>SUMIFS('Besi Balok'!$AA$23:$AA$7253,'Besi Balok'!$A$23:$A$7253,$A105,'Besi Balok'!$B$23:$B$7253,$B105,'Besi Balok'!$F$23:$F$7253,'REKAP Balok'!L$11)</f>
        <v>0</v>
      </c>
      <c r="M105">
        <f>SUMIFS('Besi Balok'!$AA$23:$AA$7253,'Besi Balok'!$A$23:$A$7253,$A105,'Besi Balok'!$B$23:$B$7253,$B105,'Besi Balok'!$F$23:$F$7253,'REKAP Balok'!M$11)</f>
        <v>0</v>
      </c>
      <c r="N105">
        <f>SUMIFS('Besi Balok'!$AA$23:$AA$7253,'Besi Balok'!$A$23:$A$7253,$A105,'Besi Balok'!$B$23:$B$7253,$B105,'Besi Balok'!$F$23:$F$7253,'REKAP Balok'!N$11)</f>
        <v>53.19162000000001</v>
      </c>
      <c r="O105">
        <f>SUMIFS('Besi Balok'!$AA$23:$AA$7253,'Besi Balok'!$A$23:$A$7253,$A105,'Besi Balok'!$B$23:$B$7253,$B105,'Besi Balok'!$F$23:$F$7253,'REKAP Balok'!O$11)</f>
        <v>0</v>
      </c>
      <c r="P105">
        <f>SUMIFS('Besi Balok'!$AA$23:$AA$7253,'Besi Balok'!$A$23:$A$7253,$A105,'Besi Balok'!$B$23:$B$7253,$B105,'Besi Balok'!$F$23:$F$7253,'REKAP Balok'!P$11)</f>
        <v>119.42857728</v>
      </c>
      <c r="Q105">
        <f>SUMIFS('Besi Balok'!$AA$23:$AA$7253,'Besi Balok'!$A$23:$A$7253,$A105,'Besi Balok'!$B$23:$B$7253,$B105,'Besi Balok'!$F$23:$F$7253,'REKAP Balok'!Q$11)</f>
        <v>0</v>
      </c>
      <c r="R105">
        <f>SUMIFS('Besi Balok'!$AA$23:$AA$7253,'Besi Balok'!$A$23:$A$7253,$A105,'Besi Balok'!$B$23:$B$7253,$B105,'Besi Balok'!$F$23:$F$7253,'REKAP Balok'!R$11)</f>
        <v>0</v>
      </c>
      <c r="S105">
        <f>SUMIFS('Besi Balok'!$AA$23:$AA$7253,'Besi Balok'!$A$23:$A$7253,$A105,'Besi Balok'!$B$23:$B$7253,$B105,'Besi Balok'!$F$23:$F$7253,'REKAP Balok'!S$11)</f>
        <v>0</v>
      </c>
      <c r="T105">
        <f>SUMIFS('Besi Balok'!$AA$23:$AA$7253,'Besi Balok'!$A$23:$A$7253,$A105,'Besi Balok'!$B$23:$B$7253,$B105,'Besi Balok'!$F$23:$F$7253,'REKAP Balok'!T$11)</f>
        <v>0</v>
      </c>
      <c r="U105">
        <f>SUM(L105:T105)</f>
        <v>172.62019728</v>
      </c>
      <c r="V105">
        <f>(D105*(F105-H105)*G105*K105)/1000000000</f>
        <v>0.63525</v>
      </c>
      <c r="W105">
        <f>(((F105-H105)*2+IF(H105&gt;0,0,D105))*(G105)*K105)/1000000</f>
        <v>6.3525</v>
      </c>
      <c r="AC105">
        <f>(D105+2*$F$5)*F105*G105/1000000000</f>
        <v>1.815</v>
      </c>
    </row>
    <row r="106">
      <c r="A106" t="str">
        <f>'Data Panjang Balok'!A102</f>
        <v>Lantai 2</v>
      </c>
      <c r="B106">
        <f>'Data Panjang Balok'!B102</f>
        <v>5</v>
      </c>
      <c r="C106" t="str">
        <f>'Data Panjang Balok'!D102</f>
        <v>CL24-1</v>
      </c>
      <c r="D106">
        <f>IF(C106&gt;0,VLOOKUP(C106,'Detail Balok'!$C$11:$AU$140,2,FALSE),0)</f>
        <v>200</v>
      </c>
      <c r="E106" t="str">
        <v>x</v>
      </c>
      <c r="F106">
        <f>IF(C106&gt;0,VLOOKUP(C106,'Detail Balok'!$C$11:$AU$140,3,FALSE),0)</f>
        <v>400</v>
      </c>
      <c r="G106">
        <f>'Data Panjang Balok'!I102</f>
        <v>2475</v>
      </c>
      <c r="H106">
        <f>'Data Panjang Balok'!J102</f>
        <v>150</v>
      </c>
      <c r="I106">
        <v>0</v>
      </c>
      <c r="J106">
        <f>I106-F106/1000</f>
        <v>-0.4</v>
      </c>
      <c r="K106">
        <f>'Data Panjang Balok'!E102</f>
        <v>1</v>
      </c>
      <c r="L106">
        <f>SUMIFS('Besi Balok'!$AA$23:$AA$7253,'Besi Balok'!$A$23:$A$7253,$A106,'Besi Balok'!$B$23:$B$7253,$B106,'Besi Balok'!$F$23:$F$7253,'REKAP Balok'!L$11)</f>
        <v>0</v>
      </c>
      <c r="M106">
        <f>SUMIFS('Besi Balok'!$AA$23:$AA$7253,'Besi Balok'!$A$23:$A$7253,$A106,'Besi Balok'!$B$23:$B$7253,$B106,'Besi Balok'!$F$23:$F$7253,'REKAP Balok'!M$11)</f>
        <v>0</v>
      </c>
      <c r="N106">
        <f>SUMIFS('Besi Balok'!$AA$23:$AA$7253,'Besi Balok'!$A$23:$A$7253,$A106,'Besi Balok'!$B$23:$B$7253,$B106,'Besi Balok'!$F$23:$F$7253,'REKAP Balok'!N$11)</f>
        <v>17.144865000000003</v>
      </c>
      <c r="O106">
        <f>SUMIFS('Besi Balok'!$AA$23:$AA$7253,'Besi Balok'!$A$23:$A$7253,$A106,'Besi Balok'!$B$23:$B$7253,$B106,'Besi Balok'!$F$23:$F$7253,'REKAP Balok'!O$11)</f>
        <v>0</v>
      </c>
      <c r="P106">
        <f>SUMIFS('Besi Balok'!$AA$23:$AA$7253,'Besi Balok'!$A$23:$A$7253,$A106,'Besi Balok'!$B$23:$B$7253,$B106,'Besi Balok'!$F$23:$F$7253,'REKAP Balok'!P$11)</f>
        <v>27.073128960000005</v>
      </c>
      <c r="Q106">
        <f>SUMIFS('Besi Balok'!$AA$23:$AA$7253,'Besi Balok'!$A$23:$A$7253,$A106,'Besi Balok'!$B$23:$B$7253,$B106,'Besi Balok'!$F$23:$F$7253,'REKAP Balok'!Q$11)</f>
        <v>0</v>
      </c>
      <c r="R106">
        <f>SUMIFS('Besi Balok'!$AA$23:$AA$7253,'Besi Balok'!$A$23:$A$7253,$A106,'Besi Balok'!$B$23:$B$7253,$B106,'Besi Balok'!$F$23:$F$7253,'REKAP Balok'!R$11)</f>
        <v>0</v>
      </c>
      <c r="S106">
        <f>SUMIFS('Besi Balok'!$AA$23:$AA$7253,'Besi Balok'!$A$23:$A$7253,$A106,'Besi Balok'!$B$23:$B$7253,$B106,'Besi Balok'!$F$23:$F$7253,'REKAP Balok'!S$11)</f>
        <v>0</v>
      </c>
      <c r="T106">
        <f>SUMIFS('Besi Balok'!$AA$23:$AA$7253,'Besi Balok'!$A$23:$A$7253,$A106,'Besi Balok'!$B$23:$B$7253,$B106,'Besi Balok'!$F$23:$F$7253,'REKAP Balok'!T$11)</f>
        <v>0</v>
      </c>
      <c r="U106">
        <f>SUM(L106:T106)</f>
        <v>44.21799396000001</v>
      </c>
      <c r="V106">
        <f>(D106*(F106-H106)*G106*K106)/1000000000</f>
        <v>0.12375</v>
      </c>
      <c r="W106">
        <f>(((F106-H106)*2+IF(H106&gt;0,0,D106))*(G106)*K106)/1000000</f>
        <v>1.2375</v>
      </c>
      <c r="AC106">
        <f>(D106+2*$F$5)*F106*G106/1000000000</f>
        <v>0.396</v>
      </c>
    </row>
    <row r="107">
      <c r="A107" t="str">
        <f>'Data Panjang Balok'!A103</f>
        <v>Lantai 2</v>
      </c>
      <c r="B107">
        <f>'Data Panjang Balok'!B103</f>
        <v>6</v>
      </c>
      <c r="C107" t="str">
        <f>'Data Panjang Balok'!D103</f>
        <v>B36-1</v>
      </c>
      <c r="D107">
        <f>IF(C107&gt;0,VLOOKUP(C107,'Detail Balok'!$C$11:$AU$140,2,FALSE),0)</f>
        <v>300</v>
      </c>
      <c r="E107" t="str">
        <v>x</v>
      </c>
      <c r="F107">
        <f>IF(C107&gt;0,VLOOKUP(C107,'Detail Balok'!$C$11:$AU$140,3,FALSE),0)</f>
        <v>600</v>
      </c>
      <c r="G107">
        <f>'Data Panjang Balok'!I103</f>
        <v>9000</v>
      </c>
      <c r="H107">
        <f>'Data Panjang Balok'!J103</f>
        <v>150</v>
      </c>
      <c r="I107">
        <v>0</v>
      </c>
      <c r="J107">
        <f>I107-F107/1000</f>
        <v>-0.6</v>
      </c>
      <c r="K107">
        <f>'Data Panjang Balok'!E103</f>
        <v>1</v>
      </c>
      <c r="L107">
        <f>SUMIFS('Besi Balok'!$AA$23:$AA$7253,'Besi Balok'!$A$23:$A$7253,$A107,'Besi Balok'!$B$23:$B$7253,$B107,'Besi Balok'!$F$23:$F$7253,'REKAP Balok'!L$11)</f>
        <v>0</v>
      </c>
      <c r="M107">
        <f>SUMIFS('Besi Balok'!$AA$23:$AA$7253,'Besi Balok'!$A$23:$A$7253,$A107,'Besi Balok'!$B$23:$B$7253,$B107,'Besi Balok'!$F$23:$F$7253,'REKAP Balok'!M$11)</f>
        <v>0</v>
      </c>
      <c r="N107">
        <f>SUMIFS('Besi Balok'!$AA$23:$AA$7253,'Besi Balok'!$A$23:$A$7253,$A107,'Besi Balok'!$B$23:$B$7253,$B107,'Besi Balok'!$F$23:$F$7253,'REKAP Balok'!N$11)</f>
        <v>89.77473</v>
      </c>
      <c r="O107">
        <f>SUMIFS('Besi Balok'!$AA$23:$AA$7253,'Besi Balok'!$A$23:$A$7253,$A107,'Besi Balok'!$B$23:$B$7253,$B107,'Besi Balok'!$F$23:$F$7253,'REKAP Balok'!O$11)</f>
        <v>0</v>
      </c>
      <c r="P107">
        <f>SUMIFS('Besi Balok'!$AA$23:$AA$7253,'Besi Balok'!$A$23:$A$7253,$A107,'Besi Balok'!$B$23:$B$7253,$B107,'Besi Balok'!$F$23:$F$7253,'REKAP Balok'!P$11)</f>
        <v>148.1020416</v>
      </c>
      <c r="Q107">
        <f>SUMIFS('Besi Balok'!$AA$23:$AA$7253,'Besi Balok'!$A$23:$A$7253,$A107,'Besi Balok'!$B$23:$B$7253,$B107,'Besi Balok'!$F$23:$F$7253,'REKAP Balok'!Q$11)</f>
        <v>0</v>
      </c>
      <c r="R107">
        <f>SUMIFS('Besi Balok'!$AA$23:$AA$7253,'Besi Balok'!$A$23:$A$7253,$A107,'Besi Balok'!$B$23:$B$7253,$B107,'Besi Balok'!$F$23:$F$7253,'REKAP Balok'!R$11)</f>
        <v>0</v>
      </c>
      <c r="S107">
        <f>SUMIFS('Besi Balok'!$AA$23:$AA$7253,'Besi Balok'!$A$23:$A$7253,$A107,'Besi Balok'!$B$23:$B$7253,$B107,'Besi Balok'!$F$23:$F$7253,'REKAP Balok'!S$11)</f>
        <v>0</v>
      </c>
      <c r="T107">
        <f>SUMIFS('Besi Balok'!$AA$23:$AA$7253,'Besi Balok'!$A$23:$A$7253,$A107,'Besi Balok'!$B$23:$B$7253,$B107,'Besi Balok'!$F$23:$F$7253,'REKAP Balok'!T$11)</f>
        <v>0</v>
      </c>
      <c r="U107">
        <f>SUM(L107:T107)</f>
        <v>237.8767716</v>
      </c>
      <c r="V107">
        <f>(D107*(F107-H107)*G107*K107)/1000000000</f>
        <v>1.215</v>
      </c>
      <c r="W107">
        <f>(((F107-H107)*2+IF(H107&gt;0,0,D107))*(G107)*K107)/1000000</f>
        <v>8.1</v>
      </c>
      <c r="AC107">
        <f>(D107+2*$F$5)*F107*G107/1000000000</f>
        <v>2.7</v>
      </c>
    </row>
    <row r="108">
      <c r="A108" t="str">
        <f>'Data Panjang Balok'!A104</f>
        <v>Lantai 2</v>
      </c>
      <c r="B108">
        <f>'Data Panjang Balok'!B104</f>
        <v>7</v>
      </c>
      <c r="C108" t="str">
        <f>'Data Panjang Balok'!D104</f>
        <v>B24-2</v>
      </c>
      <c r="D108">
        <f>IF(C108&gt;0,VLOOKUP(C108,'Detail Balok'!$C$11:$AU$140,2,FALSE),0)</f>
        <v>200</v>
      </c>
      <c r="E108" t="str">
        <v>x</v>
      </c>
      <c r="F108">
        <f>IF(C108&gt;0,VLOOKUP(C108,'Detail Balok'!$C$11:$AU$140,3,FALSE),0)</f>
        <v>400</v>
      </c>
      <c r="G108">
        <f>'Data Panjang Balok'!I104</f>
        <v>2475</v>
      </c>
      <c r="H108">
        <f>'Data Panjang Balok'!J104</f>
        <v>150</v>
      </c>
      <c r="I108">
        <v>0</v>
      </c>
      <c r="J108">
        <f>I108-F108/1000</f>
        <v>-0.4</v>
      </c>
      <c r="K108">
        <f>'Data Panjang Balok'!E104</f>
        <v>1</v>
      </c>
      <c r="L108">
        <f>SUMIFS('Besi Balok'!$AA$23:$AA$7253,'Besi Balok'!$A$23:$A$7253,$A108,'Besi Balok'!$B$23:$B$7253,$B108,'Besi Balok'!$F$23:$F$7253,'REKAP Balok'!L$11)</f>
        <v>0</v>
      </c>
      <c r="M108">
        <f>SUMIFS('Besi Balok'!$AA$23:$AA$7253,'Besi Balok'!$A$23:$A$7253,$A108,'Besi Balok'!$B$23:$B$7253,$B108,'Besi Balok'!$F$23:$F$7253,'REKAP Balok'!M$11)</f>
        <v>0</v>
      </c>
      <c r="N108">
        <f>SUMIFS('Besi Balok'!$AA$23:$AA$7253,'Besi Balok'!$A$23:$A$7253,$A108,'Besi Balok'!$B$23:$B$7253,$B108,'Besi Balok'!$F$23:$F$7253,'REKAP Balok'!N$11)</f>
        <v>13.969890000000003</v>
      </c>
      <c r="O108">
        <f>SUMIFS('Besi Balok'!$AA$23:$AA$7253,'Besi Balok'!$A$23:$A$7253,$A108,'Besi Balok'!$B$23:$B$7253,$B108,'Besi Balok'!$F$23:$F$7253,'REKAP Balok'!O$11)</f>
        <v>0</v>
      </c>
      <c r="P108">
        <f>SUMIFS('Besi Balok'!$AA$23:$AA$7253,'Besi Balok'!$A$23:$A$7253,$A108,'Besi Balok'!$B$23:$B$7253,$B108,'Besi Balok'!$F$23:$F$7253,'REKAP Balok'!P$11)</f>
        <v>27.073128960000005</v>
      </c>
      <c r="Q108">
        <f>SUMIFS('Besi Balok'!$AA$23:$AA$7253,'Besi Balok'!$A$23:$A$7253,$A108,'Besi Balok'!$B$23:$B$7253,$B108,'Besi Balok'!$F$23:$F$7253,'REKAP Balok'!Q$11)</f>
        <v>0</v>
      </c>
      <c r="R108">
        <f>SUMIFS('Besi Balok'!$AA$23:$AA$7253,'Besi Balok'!$A$23:$A$7253,$A108,'Besi Balok'!$B$23:$B$7253,$B108,'Besi Balok'!$F$23:$F$7253,'REKAP Balok'!R$11)</f>
        <v>0</v>
      </c>
      <c r="S108">
        <f>SUMIFS('Besi Balok'!$AA$23:$AA$7253,'Besi Balok'!$A$23:$A$7253,$A108,'Besi Balok'!$B$23:$B$7253,$B108,'Besi Balok'!$F$23:$F$7253,'REKAP Balok'!S$11)</f>
        <v>0</v>
      </c>
      <c r="T108">
        <f>SUMIFS('Besi Balok'!$AA$23:$AA$7253,'Besi Balok'!$A$23:$A$7253,$A108,'Besi Balok'!$B$23:$B$7253,$B108,'Besi Balok'!$F$23:$F$7253,'REKAP Balok'!T$11)</f>
        <v>0</v>
      </c>
      <c r="U108">
        <f>SUM(L108:T108)</f>
        <v>41.04301896000001</v>
      </c>
      <c r="V108">
        <f>(D108*(F108-H108)*G108*K108)/1000000000</f>
        <v>0.12375</v>
      </c>
      <c r="W108">
        <f>(((F108-H108)*2+IF(H108&gt;0,0,D108))*(G108)*K108)/1000000</f>
        <v>1.2375</v>
      </c>
      <c r="AC108">
        <f>(D108+2*$F$5)*F108*G108/1000000000</f>
        <v>0.396</v>
      </c>
    </row>
    <row r="109">
      <c r="A109" t="str">
        <f>'Data Panjang Balok'!A105</f>
        <v>Lantai 2</v>
      </c>
      <c r="B109">
        <f>'Data Panjang Balok'!B105</f>
        <v>8</v>
      </c>
      <c r="C109" t="str">
        <f>'Data Panjang Balok'!D105</f>
        <v>B25-1</v>
      </c>
      <c r="D109">
        <f>IF(C109&gt;0,VLOOKUP(C109,'Detail Balok'!$C$11:$AU$140,2,FALSE),0)</f>
        <v>200</v>
      </c>
      <c r="E109" t="str">
        <v>x</v>
      </c>
      <c r="F109">
        <f>IF(C109&gt;0,VLOOKUP(C109,'Detail Balok'!$C$11:$AU$140,3,FALSE),0)</f>
        <v>500</v>
      </c>
      <c r="G109">
        <f>'Data Panjang Balok'!I105</f>
        <v>6075</v>
      </c>
      <c r="H109">
        <f>'Data Panjang Balok'!J105</f>
        <v>0</v>
      </c>
      <c r="I109">
        <v>0</v>
      </c>
      <c r="J109">
        <f>I109-F109/1000</f>
        <v>-0.5</v>
      </c>
      <c r="K109">
        <f>'Data Panjang Balok'!E105</f>
        <v>1</v>
      </c>
      <c r="L109">
        <f>SUMIFS('Besi Balok'!$AA$23:$AA$7253,'Besi Balok'!$A$23:$A$7253,$A109,'Besi Balok'!$B$23:$B$7253,$B109,'Besi Balok'!$F$23:$F$7253,'REKAP Balok'!L$11)</f>
        <v>0</v>
      </c>
      <c r="M109">
        <f>SUMIFS('Besi Balok'!$AA$23:$AA$7253,'Besi Balok'!$A$23:$A$7253,$A109,'Besi Balok'!$B$23:$B$7253,$B109,'Besi Balok'!$F$23:$F$7253,'REKAP Balok'!M$11)</f>
        <v>0</v>
      </c>
      <c r="N109">
        <f>SUMIFS('Besi Balok'!$AA$23:$AA$7253,'Besi Balok'!$A$23:$A$7253,$A109,'Besi Balok'!$B$23:$B$7253,$B109,'Besi Balok'!$F$23:$F$7253,'REKAP Balok'!N$11)</f>
        <v>35.84331</v>
      </c>
      <c r="O109">
        <f>SUMIFS('Besi Balok'!$AA$23:$AA$7253,'Besi Balok'!$A$23:$A$7253,$A109,'Besi Balok'!$B$23:$B$7253,$B109,'Besi Balok'!$F$23:$F$7253,'REKAP Balok'!O$11)</f>
        <v>0</v>
      </c>
      <c r="P109">
        <f>SUMIFS('Besi Balok'!$AA$23:$AA$7253,'Besi Balok'!$A$23:$A$7253,$A109,'Besi Balok'!$B$23:$B$7253,$B109,'Besi Balok'!$F$23:$F$7253,'REKAP Balok'!P$11)</f>
        <v>81.55081728</v>
      </c>
      <c r="Q109">
        <f>SUMIFS('Besi Balok'!$AA$23:$AA$7253,'Besi Balok'!$A$23:$A$7253,$A109,'Besi Balok'!$B$23:$B$7253,$B109,'Besi Balok'!$F$23:$F$7253,'REKAP Balok'!Q$11)</f>
        <v>0</v>
      </c>
      <c r="R109">
        <f>SUMIFS('Besi Balok'!$AA$23:$AA$7253,'Besi Balok'!$A$23:$A$7253,$A109,'Besi Balok'!$B$23:$B$7253,$B109,'Besi Balok'!$F$23:$F$7253,'REKAP Balok'!R$11)</f>
        <v>0</v>
      </c>
      <c r="S109">
        <f>SUMIFS('Besi Balok'!$AA$23:$AA$7253,'Besi Balok'!$A$23:$A$7253,$A109,'Besi Balok'!$B$23:$B$7253,$B109,'Besi Balok'!$F$23:$F$7253,'REKAP Balok'!S$11)</f>
        <v>0</v>
      </c>
      <c r="T109">
        <f>SUMIFS('Besi Balok'!$AA$23:$AA$7253,'Besi Balok'!$A$23:$A$7253,$A109,'Besi Balok'!$B$23:$B$7253,$B109,'Besi Balok'!$F$23:$F$7253,'REKAP Balok'!T$11)</f>
        <v>0</v>
      </c>
      <c r="U109">
        <f>SUM(L109:T109)</f>
        <v>117.39412728</v>
      </c>
      <c r="V109">
        <f>(D109*(F109-H109)*G109*K109)/1000000000</f>
        <v>0.6075</v>
      </c>
      <c r="W109">
        <f>(((F109-H109)*2+IF(H109&gt;0,0,D109))*(G109)*K109)/1000000</f>
        <v>7.29</v>
      </c>
      <c r="AC109">
        <f>(D109+2*$F$5)*F109*G109/1000000000</f>
        <v>1.215</v>
      </c>
    </row>
    <row r="110">
      <c r="A110" t="str">
        <f>'Data Panjang Balok'!A106</f>
        <v>Lantai 2</v>
      </c>
      <c r="B110">
        <f>'Data Panjang Balok'!B106</f>
        <v>9</v>
      </c>
      <c r="C110" t="str">
        <f>'Data Panjang Balok'!D106</f>
        <v>B24-1</v>
      </c>
      <c r="D110">
        <f>IF(C110&gt;0,VLOOKUP(C110,'Detail Balok'!$C$11:$AU$140,2,FALSE),0)</f>
        <v>200</v>
      </c>
      <c r="E110" t="str">
        <v>x</v>
      </c>
      <c r="F110">
        <f>IF(C110&gt;0,VLOOKUP(C110,'Detail Balok'!$C$11:$AU$140,3,FALSE),0)</f>
        <v>400</v>
      </c>
      <c r="G110">
        <f>'Data Panjang Balok'!I106</f>
        <v>4075</v>
      </c>
      <c r="H110">
        <f>'Data Panjang Balok'!J106</f>
        <v>150</v>
      </c>
      <c r="I110">
        <v>0</v>
      </c>
      <c r="J110">
        <f>I110-F110/1000</f>
        <v>-0.4</v>
      </c>
      <c r="K110">
        <f>'Data Panjang Balok'!E106</f>
        <v>1</v>
      </c>
      <c r="L110">
        <f>SUMIFS('Besi Balok'!$AA$23:$AA$7253,'Besi Balok'!$A$23:$A$7253,$A110,'Besi Balok'!$B$23:$B$7253,$B110,'Besi Balok'!$F$23:$F$7253,'REKAP Balok'!L$11)</f>
        <v>0</v>
      </c>
      <c r="M110">
        <f>SUMIFS('Besi Balok'!$AA$23:$AA$7253,'Besi Balok'!$A$23:$A$7253,$A110,'Besi Balok'!$B$23:$B$7253,$B110,'Besi Balok'!$F$23:$F$7253,'REKAP Balok'!M$11)</f>
        <v>0</v>
      </c>
      <c r="N110">
        <f>SUMIFS('Besi Balok'!$AA$23:$AA$7253,'Besi Balok'!$A$23:$A$7253,$A110,'Besi Balok'!$B$23:$B$7253,$B110,'Besi Balok'!$F$23:$F$7253,'REKAP Balok'!N$11)</f>
        <v>20.319840000000003</v>
      </c>
      <c r="O110">
        <f>SUMIFS('Besi Balok'!$AA$23:$AA$7253,'Besi Balok'!$A$23:$A$7253,$A110,'Besi Balok'!$B$23:$B$7253,$B110,'Besi Balok'!$F$23:$F$7253,'REKAP Balok'!O$11)</f>
        <v>27.42449697</v>
      </c>
      <c r="P110">
        <f>SUMIFS('Besi Balok'!$AA$23:$AA$7253,'Besi Balok'!$A$23:$A$7253,$A110,'Besi Balok'!$B$23:$B$7253,$B110,'Besi Balok'!$F$23:$F$7253,'REKAP Balok'!P$11)</f>
        <v>0</v>
      </c>
      <c r="Q110">
        <f>SUMIFS('Besi Balok'!$AA$23:$AA$7253,'Besi Balok'!$A$23:$A$7253,$A110,'Besi Balok'!$B$23:$B$7253,$B110,'Besi Balok'!$F$23:$F$7253,'REKAP Balok'!Q$11)</f>
        <v>0</v>
      </c>
      <c r="R110">
        <f>SUMIFS('Besi Balok'!$AA$23:$AA$7253,'Besi Balok'!$A$23:$A$7253,$A110,'Besi Balok'!$B$23:$B$7253,$B110,'Besi Balok'!$F$23:$F$7253,'REKAP Balok'!R$11)</f>
        <v>0</v>
      </c>
      <c r="S110">
        <f>SUMIFS('Besi Balok'!$AA$23:$AA$7253,'Besi Balok'!$A$23:$A$7253,$A110,'Besi Balok'!$B$23:$B$7253,$B110,'Besi Balok'!$F$23:$F$7253,'REKAP Balok'!S$11)</f>
        <v>0</v>
      </c>
      <c r="T110">
        <f>SUMIFS('Besi Balok'!$AA$23:$AA$7253,'Besi Balok'!$A$23:$A$7253,$A110,'Besi Balok'!$B$23:$B$7253,$B110,'Besi Balok'!$F$23:$F$7253,'REKAP Balok'!T$11)</f>
        <v>0</v>
      </c>
      <c r="U110">
        <f>SUM(L110:T110)</f>
        <v>47.744336970000006</v>
      </c>
      <c r="V110">
        <f>(D110*(F110-H110)*G110*K110)/1000000000</f>
        <v>0.20375</v>
      </c>
      <c r="W110">
        <f>(((F110-H110)*2+IF(H110&gt;0,0,D110))*(G110)*K110)/1000000</f>
        <v>2.0375</v>
      </c>
      <c r="AC110">
        <f>(D110+2*$F$5)*F110*G110/1000000000</f>
        <v>0.652</v>
      </c>
    </row>
    <row r="111">
      <c r="A111" t="str">
        <f>'Data Panjang Balok'!A107</f>
        <v>Lantai 2</v>
      </c>
      <c r="B111">
        <f>'Data Panjang Balok'!B107</f>
        <v>10</v>
      </c>
      <c r="C111" t="str">
        <f>'Data Panjang Balok'!D107</f>
        <v>B26-1</v>
      </c>
      <c r="D111">
        <f>IF(C111&gt;0,VLOOKUP(C111,'Detail Balok'!$C$11:$AU$140,2,FALSE),0)</f>
        <v>200</v>
      </c>
      <c r="E111" t="str">
        <v>x</v>
      </c>
      <c r="F111">
        <f>IF(C111&gt;0,VLOOKUP(C111,'Detail Balok'!$C$11:$AU$140,3,FALSE),0)</f>
        <v>600</v>
      </c>
      <c r="G111">
        <f>'Data Panjang Balok'!I107</f>
        <v>4000</v>
      </c>
      <c r="H111">
        <f>'Data Panjang Balok'!J107</f>
        <v>150</v>
      </c>
      <c r="I111">
        <v>0</v>
      </c>
      <c r="J111">
        <f>I111-F111/1000</f>
        <v>-0.6</v>
      </c>
      <c r="K111">
        <f>'Data Panjang Balok'!E107</f>
        <v>1</v>
      </c>
      <c r="L111">
        <f>SUMIFS('Besi Balok'!$AA$23:$AA$7253,'Besi Balok'!$A$23:$A$7253,$A111,'Besi Balok'!$B$23:$B$7253,$B111,'Besi Balok'!$F$23:$F$7253,'REKAP Balok'!L$11)</f>
        <v>0</v>
      </c>
      <c r="M111">
        <f>SUMIFS('Besi Balok'!$AA$23:$AA$7253,'Besi Balok'!$A$23:$A$7253,$A111,'Besi Balok'!$B$23:$B$7253,$B111,'Besi Balok'!$F$23:$F$7253,'REKAP Balok'!M$11)</f>
        <v>0</v>
      </c>
      <c r="N111">
        <f>SUMIFS('Besi Balok'!$AA$23:$AA$7253,'Besi Balok'!$A$23:$A$7253,$A111,'Besi Balok'!$B$23:$B$7253,$B111,'Besi Balok'!$F$23:$F$7253,'REKAP Balok'!N$11)</f>
        <v>37.846935</v>
      </c>
      <c r="O111">
        <f>SUMIFS('Besi Balok'!$AA$23:$AA$7253,'Besi Balok'!$A$23:$A$7253,$A111,'Besi Balok'!$B$23:$B$7253,$B111,'Besi Balok'!$F$23:$F$7253,'REKAP Balok'!O$11)</f>
        <v>0</v>
      </c>
      <c r="P111">
        <f>SUMIFS('Besi Balok'!$AA$23:$AA$7253,'Besi Balok'!$A$23:$A$7253,$A111,'Besi Balok'!$B$23:$B$7253,$B111,'Besi Balok'!$F$23:$F$7253,'REKAP Balok'!P$11)</f>
        <v>50.45317632</v>
      </c>
      <c r="Q111">
        <f>SUMIFS('Besi Balok'!$AA$23:$AA$7253,'Besi Balok'!$A$23:$A$7253,$A111,'Besi Balok'!$B$23:$B$7253,$B111,'Besi Balok'!$F$23:$F$7253,'REKAP Balok'!Q$11)</f>
        <v>0</v>
      </c>
      <c r="R111">
        <f>SUMIFS('Besi Balok'!$AA$23:$AA$7253,'Besi Balok'!$A$23:$A$7253,$A111,'Besi Balok'!$B$23:$B$7253,$B111,'Besi Balok'!$F$23:$F$7253,'REKAP Balok'!R$11)</f>
        <v>0</v>
      </c>
      <c r="S111">
        <f>SUMIFS('Besi Balok'!$AA$23:$AA$7253,'Besi Balok'!$A$23:$A$7253,$A111,'Besi Balok'!$B$23:$B$7253,$B111,'Besi Balok'!$F$23:$F$7253,'REKAP Balok'!S$11)</f>
        <v>0</v>
      </c>
      <c r="T111">
        <f>SUMIFS('Besi Balok'!$AA$23:$AA$7253,'Besi Balok'!$A$23:$A$7253,$A111,'Besi Balok'!$B$23:$B$7253,$B111,'Besi Balok'!$F$23:$F$7253,'REKAP Balok'!T$11)</f>
        <v>0</v>
      </c>
      <c r="U111">
        <f>SUM(L111:T111)</f>
        <v>88.30011132</v>
      </c>
      <c r="V111">
        <f>(D111*(F111-H111)*G111*K111)/1000000000</f>
        <v>0.36</v>
      </c>
      <c r="W111">
        <f>(((F111-H111)*2+IF(H111&gt;0,0,D111))*(G111)*K111)/1000000</f>
        <v>3.6</v>
      </c>
      <c r="AC111">
        <f>(D111+2*$F$5)*F111*G111/1000000000</f>
        <v>0.96</v>
      </c>
    </row>
    <row r="112">
      <c r="A112" t="str">
        <f>'Data Panjang Balok'!A108</f>
        <v>Lantai 2</v>
      </c>
      <c r="B112">
        <f>'Data Panjang Balok'!B108</f>
        <v>11</v>
      </c>
      <c r="C112" t="str">
        <f>'Data Panjang Balok'!D108</f>
        <v>B26-1</v>
      </c>
      <c r="D112">
        <f>IF(C112&gt;0,VLOOKUP(C112,'Detail Balok'!$C$11:$AU$140,2,FALSE),0)</f>
        <v>200</v>
      </c>
      <c r="E112" t="str">
        <v>x</v>
      </c>
      <c r="F112">
        <f>IF(C112&gt;0,VLOOKUP(C112,'Detail Balok'!$C$11:$AU$140,3,FALSE),0)</f>
        <v>600</v>
      </c>
      <c r="G112">
        <f>'Data Panjang Balok'!I108</f>
        <v>5175</v>
      </c>
      <c r="H112">
        <f>'Data Panjang Balok'!J108</f>
        <v>150</v>
      </c>
      <c r="I112">
        <v>0</v>
      </c>
      <c r="J112">
        <f>I112-F112/1000</f>
        <v>-0.6</v>
      </c>
      <c r="K112">
        <f>'Data Panjang Balok'!E108</f>
        <v>1</v>
      </c>
      <c r="L112">
        <f>SUMIFS('Besi Balok'!$AA$23:$AA$7253,'Besi Balok'!$A$23:$A$7253,$A112,'Besi Balok'!$B$23:$B$7253,$B112,'Besi Balok'!$F$23:$F$7253,'REKAP Balok'!L$11)</f>
        <v>0</v>
      </c>
      <c r="M112">
        <f>SUMIFS('Besi Balok'!$AA$23:$AA$7253,'Besi Balok'!$A$23:$A$7253,$A112,'Besi Balok'!$B$23:$B$7253,$B112,'Besi Balok'!$F$23:$F$7253,'REKAP Balok'!M$11)</f>
        <v>0</v>
      </c>
      <c r="N112">
        <f>SUMIFS('Besi Balok'!$AA$23:$AA$7253,'Besi Balok'!$A$23:$A$7253,$A112,'Besi Balok'!$B$23:$B$7253,$B112,'Besi Balok'!$F$23:$F$7253,'REKAP Balok'!N$11)</f>
        <v>46.348470000000006</v>
      </c>
      <c r="O112">
        <f>SUMIFS('Besi Balok'!$AA$23:$AA$7253,'Besi Balok'!$A$23:$A$7253,$A112,'Besi Balok'!$B$23:$B$7253,$B112,'Besi Balok'!$F$23:$F$7253,'REKAP Balok'!O$11)</f>
        <v>0</v>
      </c>
      <c r="P112">
        <f>SUMIFS('Besi Balok'!$AA$23:$AA$7253,'Besi Balok'!$A$23:$A$7253,$A112,'Besi Balok'!$B$23:$B$7253,$B112,'Besi Balok'!$F$23:$F$7253,'REKAP Balok'!P$11)</f>
        <v>63.80508672</v>
      </c>
      <c r="Q112">
        <f>SUMIFS('Besi Balok'!$AA$23:$AA$7253,'Besi Balok'!$A$23:$A$7253,$A112,'Besi Balok'!$B$23:$B$7253,$B112,'Besi Balok'!$F$23:$F$7253,'REKAP Balok'!Q$11)</f>
        <v>0</v>
      </c>
      <c r="R112">
        <f>SUMIFS('Besi Balok'!$AA$23:$AA$7253,'Besi Balok'!$A$23:$A$7253,$A112,'Besi Balok'!$B$23:$B$7253,$B112,'Besi Balok'!$F$23:$F$7253,'REKAP Balok'!R$11)</f>
        <v>0</v>
      </c>
      <c r="S112">
        <f>SUMIFS('Besi Balok'!$AA$23:$AA$7253,'Besi Balok'!$A$23:$A$7253,$A112,'Besi Balok'!$B$23:$B$7253,$B112,'Besi Balok'!$F$23:$F$7253,'REKAP Balok'!S$11)</f>
        <v>0</v>
      </c>
      <c r="T112">
        <f>SUMIFS('Besi Balok'!$AA$23:$AA$7253,'Besi Balok'!$A$23:$A$7253,$A112,'Besi Balok'!$B$23:$B$7253,$B112,'Besi Balok'!$F$23:$F$7253,'REKAP Balok'!T$11)</f>
        <v>0</v>
      </c>
      <c r="U112">
        <f>SUM(L112:T112)</f>
        <v>110.15355672000001</v>
      </c>
      <c r="V112">
        <f>(D112*(F112-H112)*G112*K112)/1000000000</f>
        <v>0.46575</v>
      </c>
      <c r="W112">
        <f>(((F112-H112)*2+IF(H112&gt;0,0,D112))*(G112)*K112)/1000000</f>
        <v>4.6575</v>
      </c>
      <c r="AC112">
        <f>(D112+2*$F$5)*F112*G112/1000000000</f>
        <v>1.242</v>
      </c>
    </row>
    <row r="113">
      <c r="A113" t="str">
        <f>'Data Panjang Balok'!A109</f>
        <v>Lantai 2</v>
      </c>
      <c r="B113">
        <f>'Data Panjang Balok'!B109</f>
        <v>12</v>
      </c>
      <c r="C113" t="str">
        <f>'Data Panjang Balok'!D109</f>
        <v>B26-1</v>
      </c>
      <c r="D113">
        <f>IF(C113&gt;0,VLOOKUP(C113,'Detail Balok'!$C$11:$AU$140,2,FALSE),0)</f>
        <v>200</v>
      </c>
      <c r="E113" t="str">
        <v>x</v>
      </c>
      <c r="F113">
        <f>IF(C113&gt;0,VLOOKUP(C113,'Detail Balok'!$C$11:$AU$140,3,FALSE),0)</f>
        <v>600</v>
      </c>
      <c r="G113">
        <f>'Data Panjang Balok'!I109</f>
        <v>5900</v>
      </c>
      <c r="H113">
        <f>'Data Panjang Balok'!J109</f>
        <v>150</v>
      </c>
      <c r="I113">
        <v>0</v>
      </c>
      <c r="J113">
        <f>I113-F113/1000</f>
        <v>-0.6</v>
      </c>
      <c r="K113">
        <f>'Data Panjang Balok'!E109</f>
        <v>1</v>
      </c>
      <c r="L113">
        <f>SUMIFS('Besi Balok'!$AA$23:$AA$7253,'Besi Balok'!$A$23:$A$7253,$A113,'Besi Balok'!$B$23:$B$7253,$B113,'Besi Balok'!$F$23:$F$7253,'REKAP Balok'!L$11)</f>
        <v>0</v>
      </c>
      <c r="M113">
        <f>SUMIFS('Besi Balok'!$AA$23:$AA$7253,'Besi Balok'!$A$23:$A$7253,$A113,'Besi Balok'!$B$23:$B$7253,$B113,'Besi Balok'!$F$23:$F$7253,'REKAP Balok'!M$11)</f>
        <v>0</v>
      </c>
      <c r="N113">
        <f>SUMIFS('Besi Balok'!$AA$23:$AA$7253,'Besi Balok'!$A$23:$A$7253,$A113,'Besi Balok'!$B$23:$B$7253,$B113,'Besi Balok'!$F$23:$F$7253,'REKAP Balok'!N$11)</f>
        <v>53.413560000000004</v>
      </c>
      <c r="O113">
        <f>SUMIFS('Besi Balok'!$AA$23:$AA$7253,'Besi Balok'!$A$23:$A$7253,$A113,'Besi Balok'!$B$23:$B$7253,$B113,'Besi Balok'!$F$23:$F$7253,'REKAP Balok'!O$11)</f>
        <v>0</v>
      </c>
      <c r="P113">
        <f>SUMIFS('Besi Balok'!$AA$23:$AA$7253,'Besi Balok'!$A$23:$A$7253,$A113,'Besi Balok'!$B$23:$B$7253,$B113,'Besi Balok'!$F$23:$F$7253,'REKAP Balok'!P$11)</f>
        <v>72.04349952</v>
      </c>
      <c r="Q113">
        <f>SUMIFS('Besi Balok'!$AA$23:$AA$7253,'Besi Balok'!$A$23:$A$7253,$A113,'Besi Balok'!$B$23:$B$7253,$B113,'Besi Balok'!$F$23:$F$7253,'REKAP Balok'!Q$11)</f>
        <v>0</v>
      </c>
      <c r="R113">
        <f>SUMIFS('Besi Balok'!$AA$23:$AA$7253,'Besi Balok'!$A$23:$A$7253,$A113,'Besi Balok'!$B$23:$B$7253,$B113,'Besi Balok'!$F$23:$F$7253,'REKAP Balok'!R$11)</f>
        <v>0</v>
      </c>
      <c r="S113">
        <f>SUMIFS('Besi Balok'!$AA$23:$AA$7253,'Besi Balok'!$A$23:$A$7253,$A113,'Besi Balok'!$B$23:$B$7253,$B113,'Besi Balok'!$F$23:$F$7253,'REKAP Balok'!S$11)</f>
        <v>0</v>
      </c>
      <c r="T113">
        <f>SUMIFS('Besi Balok'!$AA$23:$AA$7253,'Besi Balok'!$A$23:$A$7253,$A113,'Besi Balok'!$B$23:$B$7253,$B113,'Besi Balok'!$F$23:$F$7253,'REKAP Balok'!T$11)</f>
        <v>0</v>
      </c>
      <c r="U113">
        <f>SUM(L113:T113)</f>
        <v>125.45705952</v>
      </c>
      <c r="V113">
        <f>(D113*(F113-H113)*G113*K113)/1000000000</f>
        <v>0.531</v>
      </c>
      <c r="W113">
        <f>(((F113-H113)*2+IF(H113&gt;0,0,D113))*(G113)*K113)/1000000</f>
        <v>5.31</v>
      </c>
      <c r="AC113">
        <f>(D113+2*$F$5)*F113*G113/1000000000</f>
        <v>1.416</v>
      </c>
    </row>
    <row r="114">
      <c r="A114" t="str">
        <f>'Data Panjang Balok'!A110</f>
        <v>Lantai 2</v>
      </c>
      <c r="B114">
        <f>'Data Panjang Balok'!B110</f>
        <v>13</v>
      </c>
      <c r="C114" t="str">
        <f>'Data Panjang Balok'!D110</f>
        <v>B23-1</v>
      </c>
      <c r="D114">
        <f>IF(C114&gt;0,VLOOKUP(C114,'Detail Balok'!$C$11:$AU$140,2,FALSE),0)</f>
        <v>200</v>
      </c>
      <c r="E114" t="str">
        <v>x</v>
      </c>
      <c r="F114">
        <f>IF(C114&gt;0,VLOOKUP(C114,'Detail Balok'!$C$11:$AU$140,3,FALSE),0)</f>
        <v>300</v>
      </c>
      <c r="G114">
        <f>'Data Panjang Balok'!I110</f>
        <v>2040</v>
      </c>
      <c r="H114">
        <f>'Data Panjang Balok'!J110</f>
        <v>150</v>
      </c>
      <c r="I114">
        <v>0</v>
      </c>
      <c r="J114">
        <f>I114-F114/1000</f>
        <v>-0.3</v>
      </c>
      <c r="K114">
        <f>'Data Panjang Balok'!E110</f>
        <v>1</v>
      </c>
      <c r="L114">
        <f>SUMIFS('Besi Balok'!$AA$23:$AA$7253,'Besi Balok'!$A$23:$A$7253,$A114,'Besi Balok'!$B$23:$B$7253,$B114,'Besi Balok'!$F$23:$F$7253,'REKAP Balok'!L$11)</f>
        <v>0</v>
      </c>
      <c r="M114">
        <f>SUMIFS('Besi Balok'!$AA$23:$AA$7253,'Besi Balok'!$A$23:$A$7253,$A114,'Besi Balok'!$B$23:$B$7253,$B114,'Besi Balok'!$F$23:$F$7253,'REKAP Balok'!M$11)</f>
        <v>0</v>
      </c>
      <c r="N114">
        <f>SUMIFS('Besi Balok'!$AA$23:$AA$7253,'Besi Balok'!$A$23:$A$7253,$A114,'Besi Balok'!$B$23:$B$7253,$B114,'Besi Balok'!$F$23:$F$7253,'REKAP Balok'!N$11)</f>
        <v>9.210510000000003</v>
      </c>
      <c r="O114">
        <f>SUMIFS('Besi Balok'!$AA$23:$AA$7253,'Besi Balok'!$A$23:$A$7253,$A114,'Besi Balok'!$B$23:$B$7253,$B114,'Besi Balok'!$F$23:$F$7253,'REKAP Balok'!O$11)</f>
        <v>14.70308112</v>
      </c>
      <c r="P114">
        <f>SUMIFS('Besi Balok'!$AA$23:$AA$7253,'Besi Balok'!$A$23:$A$7253,$A114,'Besi Balok'!$B$23:$B$7253,$B114,'Besi Balok'!$F$23:$F$7253,'REKAP Balok'!P$11)</f>
        <v>0</v>
      </c>
      <c r="Q114">
        <f>SUMIFS('Besi Balok'!$AA$23:$AA$7253,'Besi Balok'!$A$23:$A$7253,$A114,'Besi Balok'!$B$23:$B$7253,$B114,'Besi Balok'!$F$23:$F$7253,'REKAP Balok'!Q$11)</f>
        <v>0</v>
      </c>
      <c r="R114">
        <f>SUMIFS('Besi Balok'!$AA$23:$AA$7253,'Besi Balok'!$A$23:$A$7253,$A114,'Besi Balok'!$B$23:$B$7253,$B114,'Besi Balok'!$F$23:$F$7253,'REKAP Balok'!R$11)</f>
        <v>0</v>
      </c>
      <c r="S114">
        <f>SUMIFS('Besi Balok'!$AA$23:$AA$7253,'Besi Balok'!$A$23:$A$7253,$A114,'Besi Balok'!$B$23:$B$7253,$B114,'Besi Balok'!$F$23:$F$7253,'REKAP Balok'!S$11)</f>
        <v>0</v>
      </c>
      <c r="T114">
        <f>SUMIFS('Besi Balok'!$AA$23:$AA$7253,'Besi Balok'!$A$23:$A$7253,$A114,'Besi Balok'!$B$23:$B$7253,$B114,'Besi Balok'!$F$23:$F$7253,'REKAP Balok'!T$11)</f>
        <v>0</v>
      </c>
      <c r="U114">
        <f>SUM(L114:T114)</f>
        <v>23.913591120000003</v>
      </c>
      <c r="V114">
        <f>(D114*(F114-H114)*G114*K114)/1000000000</f>
        <v>0.0612</v>
      </c>
      <c r="W114">
        <f>(((F114-H114)*2+IF(H114&gt;0,0,D114))*(G114)*K114)/1000000</f>
        <v>0.612</v>
      </c>
      <c r="AC114">
        <f>(D114+2*$F$5)*F114*G114/1000000000</f>
        <v>0.2448</v>
      </c>
    </row>
    <row r="115">
      <c r="A115" t="str">
        <f>'Data Panjang Balok'!A111</f>
        <v>Lantai 2</v>
      </c>
      <c r="B115">
        <f>'Data Panjang Balok'!B111</f>
        <v>14</v>
      </c>
      <c r="C115" t="str">
        <f>'Data Panjang Balok'!D111</f>
        <v>B25-1</v>
      </c>
      <c r="D115">
        <f>IF(C115&gt;0,VLOOKUP(C115,'Detail Balok'!$C$11:$AU$140,2,FALSE),0)</f>
        <v>200</v>
      </c>
      <c r="E115" t="str">
        <v>x</v>
      </c>
      <c r="F115">
        <f>IF(C115&gt;0,VLOOKUP(C115,'Detail Balok'!$C$11:$AU$140,3,FALSE),0)</f>
        <v>500</v>
      </c>
      <c r="G115">
        <f>'Data Panjang Balok'!I111</f>
        <v>4000</v>
      </c>
      <c r="H115">
        <f>'Data Panjang Balok'!J111</f>
        <v>150</v>
      </c>
      <c r="I115">
        <v>0</v>
      </c>
      <c r="J115">
        <f>I115-F115/1000</f>
        <v>-0.5</v>
      </c>
      <c r="K115">
        <f>'Data Panjang Balok'!E111</f>
        <v>1</v>
      </c>
      <c r="L115">
        <f>SUMIFS('Besi Balok'!$AA$23:$AA$7253,'Besi Balok'!$A$23:$A$7253,$A115,'Besi Balok'!$B$23:$B$7253,$B115,'Besi Balok'!$F$23:$F$7253,'REKAP Balok'!L$11)</f>
        <v>0</v>
      </c>
      <c r="M115">
        <f>SUMIFS('Besi Balok'!$AA$23:$AA$7253,'Besi Balok'!$A$23:$A$7253,$A115,'Besi Balok'!$B$23:$B$7253,$B115,'Besi Balok'!$F$23:$F$7253,'REKAP Balok'!M$11)</f>
        <v>0</v>
      </c>
      <c r="N115">
        <f>SUMIFS('Besi Balok'!$AA$23:$AA$7253,'Besi Balok'!$A$23:$A$7253,$A115,'Besi Balok'!$B$23:$B$7253,$B115,'Besi Balok'!$F$23:$F$7253,'REKAP Balok'!N$11)</f>
        <v>24.94359</v>
      </c>
      <c r="O115">
        <f>SUMIFS('Besi Balok'!$AA$23:$AA$7253,'Besi Balok'!$A$23:$A$7253,$A115,'Besi Balok'!$B$23:$B$7253,$B115,'Besi Balok'!$F$23:$F$7253,'REKAP Balok'!O$11)</f>
        <v>0</v>
      </c>
      <c r="P115">
        <f>SUMIFS('Besi Balok'!$AA$23:$AA$7253,'Besi Balok'!$A$23:$A$7253,$A115,'Besi Balok'!$B$23:$B$7253,$B115,'Besi Balok'!$F$23:$F$7253,'REKAP Balok'!P$11)</f>
        <v>55.35203328000001</v>
      </c>
      <c r="Q115">
        <f>SUMIFS('Besi Balok'!$AA$23:$AA$7253,'Besi Balok'!$A$23:$A$7253,$A115,'Besi Balok'!$B$23:$B$7253,$B115,'Besi Balok'!$F$23:$F$7253,'REKAP Balok'!Q$11)</f>
        <v>0</v>
      </c>
      <c r="R115">
        <f>SUMIFS('Besi Balok'!$AA$23:$AA$7253,'Besi Balok'!$A$23:$A$7253,$A115,'Besi Balok'!$B$23:$B$7253,$B115,'Besi Balok'!$F$23:$F$7253,'REKAP Balok'!R$11)</f>
        <v>0</v>
      </c>
      <c r="S115">
        <f>SUMIFS('Besi Balok'!$AA$23:$AA$7253,'Besi Balok'!$A$23:$A$7253,$A115,'Besi Balok'!$B$23:$B$7253,$B115,'Besi Balok'!$F$23:$F$7253,'REKAP Balok'!S$11)</f>
        <v>0</v>
      </c>
      <c r="T115">
        <f>SUMIFS('Besi Balok'!$AA$23:$AA$7253,'Besi Balok'!$A$23:$A$7253,$A115,'Besi Balok'!$B$23:$B$7253,$B115,'Besi Balok'!$F$23:$F$7253,'REKAP Balok'!T$11)</f>
        <v>0</v>
      </c>
      <c r="U115">
        <f>SUM(L115:T115)</f>
        <v>80.29562328</v>
      </c>
      <c r="V115">
        <f>(D115*(F115-H115)*G115*K115)/1000000000</f>
        <v>0.28</v>
      </c>
      <c r="W115">
        <f>(((F115-H115)*2+IF(H115&gt;0,0,D115))*(G115)*K115)/1000000</f>
        <v>2.8</v>
      </c>
      <c r="AC115">
        <f>(D115+2*$F$5)*F115*G115/1000000000</f>
        <v>0.8</v>
      </c>
    </row>
    <row r="116">
      <c r="A116" t="str">
        <f>'Data Panjang Balok'!A112</f>
        <v>Lantai 2</v>
      </c>
      <c r="B116">
        <f>'Data Panjang Balok'!B112</f>
        <v>15</v>
      </c>
      <c r="C116" t="str">
        <f>'Data Panjang Balok'!D112</f>
        <v>B25-1</v>
      </c>
      <c r="D116">
        <f>IF(C116&gt;0,VLOOKUP(C116,'Detail Balok'!$C$11:$AU$140,2,FALSE),0)</f>
        <v>200</v>
      </c>
      <c r="E116" t="str">
        <v>x</v>
      </c>
      <c r="F116">
        <f>IF(C116&gt;0,VLOOKUP(C116,'Detail Balok'!$C$11:$AU$140,3,FALSE),0)</f>
        <v>500</v>
      </c>
      <c r="G116">
        <f>'Data Panjang Balok'!I112</f>
        <v>5000</v>
      </c>
      <c r="H116">
        <f>'Data Panjang Balok'!J112</f>
        <v>150</v>
      </c>
      <c r="I116">
        <v>0</v>
      </c>
      <c r="J116">
        <f>I116-F116/1000</f>
        <v>-0.5</v>
      </c>
      <c r="K116">
        <f>'Data Panjang Balok'!E112</f>
        <v>1</v>
      </c>
      <c r="L116">
        <f>SUMIFS('Besi Balok'!$AA$23:$AA$7253,'Besi Balok'!$A$23:$A$7253,$A116,'Besi Balok'!$B$23:$B$7253,$B116,'Besi Balok'!$F$23:$F$7253,'REKAP Balok'!L$11)</f>
        <v>0</v>
      </c>
      <c r="M116">
        <f>SUMIFS('Besi Balok'!$AA$23:$AA$7253,'Besi Balok'!$A$23:$A$7253,$A116,'Besi Balok'!$B$23:$B$7253,$B116,'Besi Balok'!$F$23:$F$7253,'REKAP Balok'!M$11)</f>
        <v>0</v>
      </c>
      <c r="N116">
        <f>SUMIFS('Besi Balok'!$AA$23:$AA$7253,'Besi Balok'!$A$23:$A$7253,$A116,'Besi Balok'!$B$23:$B$7253,$B116,'Besi Balok'!$F$23:$F$7253,'REKAP Balok'!N$11)</f>
        <v>29.968065000000003</v>
      </c>
      <c r="O116">
        <f>SUMIFS('Besi Balok'!$AA$23:$AA$7253,'Besi Balok'!$A$23:$A$7253,$A116,'Besi Balok'!$B$23:$B$7253,$B116,'Besi Balok'!$F$23:$F$7253,'REKAP Balok'!O$11)</f>
        <v>0</v>
      </c>
      <c r="P116">
        <f>SUMIFS('Besi Balok'!$AA$23:$AA$7253,'Besi Balok'!$A$23:$A$7253,$A116,'Besi Balok'!$B$23:$B$7253,$B116,'Besi Balok'!$F$23:$F$7253,'REKAP Balok'!P$11)</f>
        <v>67.97795328000001</v>
      </c>
      <c r="Q116">
        <f>SUMIFS('Besi Balok'!$AA$23:$AA$7253,'Besi Balok'!$A$23:$A$7253,$A116,'Besi Balok'!$B$23:$B$7253,$B116,'Besi Balok'!$F$23:$F$7253,'REKAP Balok'!Q$11)</f>
        <v>0</v>
      </c>
      <c r="R116">
        <f>SUMIFS('Besi Balok'!$AA$23:$AA$7253,'Besi Balok'!$A$23:$A$7253,$A116,'Besi Balok'!$B$23:$B$7253,$B116,'Besi Balok'!$F$23:$F$7253,'REKAP Balok'!R$11)</f>
        <v>0</v>
      </c>
      <c r="S116">
        <f>SUMIFS('Besi Balok'!$AA$23:$AA$7253,'Besi Balok'!$A$23:$A$7253,$A116,'Besi Balok'!$B$23:$B$7253,$B116,'Besi Balok'!$F$23:$F$7253,'REKAP Balok'!S$11)</f>
        <v>0</v>
      </c>
      <c r="T116">
        <f>SUMIFS('Besi Balok'!$AA$23:$AA$7253,'Besi Balok'!$A$23:$A$7253,$A116,'Besi Balok'!$B$23:$B$7253,$B116,'Besi Balok'!$F$23:$F$7253,'REKAP Balok'!T$11)</f>
        <v>0</v>
      </c>
      <c r="U116">
        <f>SUM(L116:T116)</f>
        <v>97.94601828</v>
      </c>
      <c r="V116">
        <f>(D116*(F116-H116)*G116*K116)/1000000000</f>
        <v>0.35</v>
      </c>
      <c r="W116">
        <f>(((F116-H116)*2+IF(H116&gt;0,0,D116))*(G116)*K116)/1000000</f>
        <v>3.5</v>
      </c>
      <c r="AC116">
        <f>(D116+2*$F$5)*F116*G116/1000000000</f>
        <v>1</v>
      </c>
    </row>
    <row r="117">
      <c r="A117" t="str">
        <f>'Data Panjang Balok'!A113</f>
        <v>Lantai 2</v>
      </c>
      <c r="B117">
        <f>'Data Panjang Balok'!B113</f>
        <v>16</v>
      </c>
      <c r="C117" t="str">
        <f>'Data Panjang Balok'!D113</f>
        <v>B36-1</v>
      </c>
      <c r="D117">
        <f>IF(C117&gt;0,VLOOKUP(C117,'Detail Balok'!$C$11:$AU$140,2,FALSE),0)</f>
        <v>300</v>
      </c>
      <c r="E117" t="str">
        <v>x</v>
      </c>
      <c r="F117">
        <f>IF(C117&gt;0,VLOOKUP(C117,'Detail Balok'!$C$11:$AU$140,3,FALSE),0)</f>
        <v>600</v>
      </c>
      <c r="G117">
        <f>'Data Panjang Balok'!I113</f>
        <v>6075</v>
      </c>
      <c r="H117">
        <f>'Data Panjang Balok'!J113</f>
        <v>150</v>
      </c>
      <c r="I117">
        <v>0</v>
      </c>
      <c r="J117">
        <f>I117-F117/1000</f>
        <v>-0.6</v>
      </c>
      <c r="K117">
        <f>'Data Panjang Balok'!E113</f>
        <v>1</v>
      </c>
      <c r="L117">
        <f>SUMIFS('Besi Balok'!$AA$23:$AA$7253,'Besi Balok'!$A$23:$A$7253,$A117,'Besi Balok'!$B$23:$B$7253,$B117,'Besi Balok'!$F$23:$F$7253,'REKAP Balok'!L$11)</f>
        <v>0</v>
      </c>
      <c r="M117">
        <f>SUMIFS('Besi Balok'!$AA$23:$AA$7253,'Besi Balok'!$A$23:$A$7253,$A117,'Besi Balok'!$B$23:$B$7253,$B117,'Besi Balok'!$F$23:$F$7253,'REKAP Balok'!M$11)</f>
        <v>0</v>
      </c>
      <c r="N117">
        <f>SUMIFS('Besi Balok'!$AA$23:$AA$7253,'Besi Balok'!$A$23:$A$7253,$A117,'Besi Balok'!$B$23:$B$7253,$B117,'Besi Balok'!$F$23:$F$7253,'REKAP Balok'!N$11)</f>
        <v>60.040935000000005</v>
      </c>
      <c r="O117">
        <f>SUMIFS('Besi Balok'!$AA$23:$AA$7253,'Besi Balok'!$A$23:$A$7253,$A117,'Besi Balok'!$B$23:$B$7253,$B117,'Besi Balok'!$F$23:$F$7253,'REKAP Balok'!O$11)</f>
        <v>0</v>
      </c>
      <c r="P117">
        <f>SUMIFS('Besi Balok'!$AA$23:$AA$7253,'Besi Balok'!$A$23:$A$7253,$A117,'Besi Balok'!$B$23:$B$7253,$B117,'Besi Balok'!$F$23:$F$7253,'REKAP Balok'!P$11)</f>
        <v>101.9385216</v>
      </c>
      <c r="Q117">
        <f>SUMIFS('Besi Balok'!$AA$23:$AA$7253,'Besi Balok'!$A$23:$A$7253,$A117,'Besi Balok'!$B$23:$B$7253,$B117,'Besi Balok'!$F$23:$F$7253,'REKAP Balok'!Q$11)</f>
        <v>0</v>
      </c>
      <c r="R117">
        <f>SUMIFS('Besi Balok'!$AA$23:$AA$7253,'Besi Balok'!$A$23:$A$7253,$A117,'Besi Balok'!$B$23:$B$7253,$B117,'Besi Balok'!$F$23:$F$7253,'REKAP Balok'!R$11)</f>
        <v>0</v>
      </c>
      <c r="S117">
        <f>SUMIFS('Besi Balok'!$AA$23:$AA$7253,'Besi Balok'!$A$23:$A$7253,$A117,'Besi Balok'!$B$23:$B$7253,$B117,'Besi Balok'!$F$23:$F$7253,'REKAP Balok'!S$11)</f>
        <v>0</v>
      </c>
      <c r="T117">
        <f>SUMIFS('Besi Balok'!$AA$23:$AA$7253,'Besi Balok'!$A$23:$A$7253,$A117,'Besi Balok'!$B$23:$B$7253,$B117,'Besi Balok'!$F$23:$F$7253,'REKAP Balok'!T$11)</f>
        <v>0</v>
      </c>
      <c r="U117">
        <f>SUM(L117:T117)</f>
        <v>161.9794566</v>
      </c>
      <c r="V117">
        <f>(D117*(F117-H117)*G117*K117)/1000000000</f>
        <v>0.820125</v>
      </c>
      <c r="W117">
        <f>(((F117-H117)*2+IF(H117&gt;0,0,D117))*(G117)*K117)/1000000</f>
        <v>5.4675</v>
      </c>
      <c r="AC117">
        <f>(D117+2*$F$5)*F117*G117/1000000000</f>
        <v>1.8225</v>
      </c>
    </row>
    <row r="118">
      <c r="A118" t="str">
        <f>'Data Panjang Balok'!A114</f>
        <v>Lantai 2</v>
      </c>
      <c r="B118">
        <f>'Data Panjang Balok'!B114</f>
        <v>17</v>
      </c>
      <c r="C118" t="str">
        <f>'Data Panjang Balok'!D114</f>
        <v>B24-2</v>
      </c>
      <c r="D118">
        <f>IF(C118&gt;0,VLOOKUP(C118,'Detail Balok'!$C$11:$AU$140,2,FALSE),0)</f>
        <v>200</v>
      </c>
      <c r="E118" t="str">
        <v>x</v>
      </c>
      <c r="F118">
        <f>IF(C118&gt;0,VLOOKUP(C118,'Detail Balok'!$C$11:$AU$140,3,FALSE),0)</f>
        <v>400</v>
      </c>
      <c r="G118">
        <f>'Data Panjang Balok'!I114</f>
        <v>4065</v>
      </c>
      <c r="H118">
        <f>'Data Panjang Balok'!J114</f>
        <v>150</v>
      </c>
      <c r="I118">
        <v>0</v>
      </c>
      <c r="J118">
        <f>I118-F118/1000</f>
        <v>-0.4</v>
      </c>
      <c r="K118">
        <f>'Data Panjang Balok'!E114</f>
        <v>1</v>
      </c>
      <c r="L118">
        <f>SUMIFS('Besi Balok'!$AA$23:$AA$7253,'Besi Balok'!$A$23:$A$7253,$A118,'Besi Balok'!$B$23:$B$7253,$B118,'Besi Balok'!$F$23:$F$7253,'REKAP Balok'!L$11)</f>
        <v>0</v>
      </c>
      <c r="M118">
        <f>SUMIFS('Besi Balok'!$AA$23:$AA$7253,'Besi Balok'!$A$23:$A$7253,$A118,'Besi Balok'!$B$23:$B$7253,$B118,'Besi Balok'!$F$23:$F$7253,'REKAP Balok'!M$11)</f>
        <v>0</v>
      </c>
      <c r="N118">
        <f>SUMIFS('Besi Balok'!$AA$23:$AA$7253,'Besi Balok'!$A$23:$A$7253,$A118,'Besi Balok'!$B$23:$B$7253,$B118,'Besi Balok'!$F$23:$F$7253,'REKAP Balok'!N$11)</f>
        <v>20.319840000000003</v>
      </c>
      <c r="O118">
        <f>SUMIFS('Besi Balok'!$AA$23:$AA$7253,'Besi Balok'!$A$23:$A$7253,$A118,'Besi Balok'!$B$23:$B$7253,$B118,'Besi Balok'!$F$23:$F$7253,'REKAP Balok'!O$11)</f>
        <v>0</v>
      </c>
      <c r="P118">
        <f>SUMIFS('Besi Balok'!$AA$23:$AA$7253,'Besi Balok'!$A$23:$A$7253,$A118,'Besi Balok'!$B$23:$B$7253,$B118,'Besi Balok'!$F$23:$F$7253,'REKAP Balok'!P$11)</f>
        <v>42.12953856</v>
      </c>
      <c r="Q118">
        <f>SUMIFS('Besi Balok'!$AA$23:$AA$7253,'Besi Balok'!$A$23:$A$7253,$A118,'Besi Balok'!$B$23:$B$7253,$B118,'Besi Balok'!$F$23:$F$7253,'REKAP Balok'!Q$11)</f>
        <v>0</v>
      </c>
      <c r="R118">
        <f>SUMIFS('Besi Balok'!$AA$23:$AA$7253,'Besi Balok'!$A$23:$A$7253,$A118,'Besi Balok'!$B$23:$B$7253,$B118,'Besi Balok'!$F$23:$F$7253,'REKAP Balok'!R$11)</f>
        <v>0</v>
      </c>
      <c r="S118">
        <f>SUMIFS('Besi Balok'!$AA$23:$AA$7253,'Besi Balok'!$A$23:$A$7253,$A118,'Besi Balok'!$B$23:$B$7253,$B118,'Besi Balok'!$F$23:$F$7253,'REKAP Balok'!S$11)</f>
        <v>0</v>
      </c>
      <c r="T118">
        <f>SUMIFS('Besi Balok'!$AA$23:$AA$7253,'Besi Balok'!$A$23:$A$7253,$A118,'Besi Balok'!$B$23:$B$7253,$B118,'Besi Balok'!$F$23:$F$7253,'REKAP Balok'!T$11)</f>
        <v>0</v>
      </c>
      <c r="U118">
        <f>SUM(L118:T118)</f>
        <v>62.44937856</v>
      </c>
      <c r="V118">
        <f>(D118*(F118-H118)*G118*K118)/1000000000</f>
        <v>0.20325</v>
      </c>
      <c r="W118">
        <f>(((F118-H118)*2+IF(H118&gt;0,0,D118))*(G118)*K118)/1000000</f>
        <v>2.0325</v>
      </c>
      <c r="AC118">
        <f>(D118+2*$F$5)*F118*G118/1000000000</f>
        <v>0.6504</v>
      </c>
    </row>
    <row r="119">
      <c r="A119" t="str">
        <f>'Data Panjang Balok'!A115</f>
        <v>Lantai 2</v>
      </c>
      <c r="B119">
        <f>'Data Panjang Balok'!B115</f>
        <v>18</v>
      </c>
      <c r="C119" t="str">
        <f>'Data Panjang Balok'!D115</f>
        <v>B24-1</v>
      </c>
      <c r="D119">
        <f>IF(C119&gt;0,VLOOKUP(C119,'Detail Balok'!$C$11:$AU$140,2,FALSE),0)</f>
        <v>200</v>
      </c>
      <c r="E119" t="str">
        <v>x</v>
      </c>
      <c r="F119">
        <f>IF(C119&gt;0,VLOOKUP(C119,'Detail Balok'!$C$11:$AU$140,3,FALSE),0)</f>
        <v>400</v>
      </c>
      <c r="G119">
        <f>'Data Panjang Balok'!I115</f>
        <v>1855</v>
      </c>
      <c r="H119">
        <f>'Data Panjang Balok'!J115</f>
        <v>0</v>
      </c>
      <c r="I119">
        <v>0</v>
      </c>
      <c r="J119">
        <f>I119-F119/1000</f>
        <v>-0.4</v>
      </c>
      <c r="K119">
        <f>'Data Panjang Balok'!E115</f>
        <v>1</v>
      </c>
      <c r="L119">
        <f>SUMIFS('Besi Balok'!$AA$23:$AA$7253,'Besi Balok'!$A$23:$A$7253,$A119,'Besi Balok'!$B$23:$B$7253,$B119,'Besi Balok'!$F$23:$F$7253,'REKAP Balok'!L$11)</f>
        <v>0</v>
      </c>
      <c r="M119">
        <f>SUMIFS('Besi Balok'!$AA$23:$AA$7253,'Besi Balok'!$A$23:$A$7253,$A119,'Besi Balok'!$B$23:$B$7253,$B119,'Besi Balok'!$F$23:$F$7253,'REKAP Balok'!M$11)</f>
        <v>0</v>
      </c>
      <c r="N119">
        <f>SUMIFS('Besi Balok'!$AA$23:$AA$7253,'Besi Balok'!$A$23:$A$7253,$A119,'Besi Balok'!$B$23:$B$7253,$B119,'Besi Balok'!$F$23:$F$7253,'REKAP Balok'!N$11)</f>
        <v>12.064905000000001</v>
      </c>
      <c r="O119">
        <f>SUMIFS('Besi Balok'!$AA$23:$AA$7253,'Besi Balok'!$A$23:$A$7253,$A119,'Besi Balok'!$B$23:$B$7253,$B119,'Besi Balok'!$F$23:$F$7253,'REKAP Balok'!O$11)</f>
        <v>13.546588769999996</v>
      </c>
      <c r="P119">
        <f>SUMIFS('Besi Balok'!$AA$23:$AA$7253,'Besi Balok'!$A$23:$A$7253,$A119,'Besi Balok'!$B$23:$B$7253,$B119,'Besi Balok'!$F$23:$F$7253,'REKAP Balok'!P$11)</f>
        <v>0</v>
      </c>
      <c r="Q119">
        <f>SUMIFS('Besi Balok'!$AA$23:$AA$7253,'Besi Balok'!$A$23:$A$7253,$A119,'Besi Balok'!$B$23:$B$7253,$B119,'Besi Balok'!$F$23:$F$7253,'REKAP Balok'!Q$11)</f>
        <v>0</v>
      </c>
      <c r="R119">
        <f>SUMIFS('Besi Balok'!$AA$23:$AA$7253,'Besi Balok'!$A$23:$A$7253,$A119,'Besi Balok'!$B$23:$B$7253,$B119,'Besi Balok'!$F$23:$F$7253,'REKAP Balok'!R$11)</f>
        <v>0</v>
      </c>
      <c r="S119">
        <f>SUMIFS('Besi Balok'!$AA$23:$AA$7253,'Besi Balok'!$A$23:$A$7253,$A119,'Besi Balok'!$B$23:$B$7253,$B119,'Besi Balok'!$F$23:$F$7253,'REKAP Balok'!S$11)</f>
        <v>0</v>
      </c>
      <c r="T119">
        <f>SUMIFS('Besi Balok'!$AA$23:$AA$7253,'Besi Balok'!$A$23:$A$7253,$A119,'Besi Balok'!$B$23:$B$7253,$B119,'Besi Balok'!$F$23:$F$7253,'REKAP Balok'!T$11)</f>
        <v>0</v>
      </c>
      <c r="U119">
        <f>SUM(L119:T119)</f>
        <v>25.611493769999996</v>
      </c>
      <c r="V119">
        <f>(D119*(F119-H119)*G119*K119)/1000000000</f>
        <v>0.1484</v>
      </c>
      <c r="W119">
        <f>(((F119-H119)*2+IF(H119&gt;0,0,D119))*(G119)*K119)/1000000</f>
        <v>1.855</v>
      </c>
      <c r="AC119">
        <f>(D119+2*$F$5)*F119*G119/1000000000</f>
        <v>0.2968</v>
      </c>
    </row>
    <row r="120">
      <c r="A120" t="str">
        <f>'Data Panjang Balok'!A116</f>
        <v>Lantai 2</v>
      </c>
      <c r="B120">
        <f>'Data Panjang Balok'!B116</f>
        <v>19</v>
      </c>
      <c r="C120" t="str">
        <f>'Data Panjang Balok'!D116</f>
        <v>B23-1</v>
      </c>
      <c r="D120">
        <f>IF(C120&gt;0,VLOOKUP(C120,'Detail Balok'!$C$11:$AU$140,2,FALSE),0)</f>
        <v>200</v>
      </c>
      <c r="E120" t="str">
        <v>x</v>
      </c>
      <c r="F120">
        <f>IF(C120&gt;0,VLOOKUP(C120,'Detail Balok'!$C$11:$AU$140,3,FALSE),0)</f>
        <v>300</v>
      </c>
      <c r="G120">
        <f>'Data Panjang Balok'!I116</f>
        <v>2075</v>
      </c>
      <c r="H120">
        <f>'Data Panjang Balok'!J116</f>
        <v>150</v>
      </c>
      <c r="I120">
        <v>0</v>
      </c>
      <c r="J120">
        <f>I120-F120/1000</f>
        <v>-0.3</v>
      </c>
      <c r="K120">
        <f>'Data Panjang Balok'!E116</f>
        <v>1</v>
      </c>
      <c r="L120">
        <f>SUMIFS('Besi Balok'!$AA$23:$AA$7253,'Besi Balok'!$A$23:$A$7253,$A120,'Besi Balok'!$B$23:$B$7253,$B120,'Besi Balok'!$F$23:$F$7253,'REKAP Balok'!L$11)</f>
        <v>0</v>
      </c>
      <c r="M120">
        <f>SUMIFS('Besi Balok'!$AA$23:$AA$7253,'Besi Balok'!$A$23:$A$7253,$A120,'Besi Balok'!$B$23:$B$7253,$B120,'Besi Balok'!$F$23:$F$7253,'REKAP Balok'!M$11)</f>
        <v>0</v>
      </c>
      <c r="N120">
        <f>SUMIFS('Besi Balok'!$AA$23:$AA$7253,'Besi Balok'!$A$23:$A$7253,$A120,'Besi Balok'!$B$23:$B$7253,$B120,'Besi Balok'!$F$23:$F$7253,'REKAP Balok'!N$11)</f>
        <v>9.210510000000003</v>
      </c>
      <c r="O120">
        <f>SUMIFS('Besi Balok'!$AA$23:$AA$7253,'Besi Balok'!$A$23:$A$7253,$A120,'Besi Balok'!$B$23:$B$7253,$B120,'Besi Balok'!$F$23:$F$7253,'REKAP Balok'!O$11)</f>
        <v>14.92187697</v>
      </c>
      <c r="P120">
        <f>SUMIFS('Besi Balok'!$AA$23:$AA$7253,'Besi Balok'!$A$23:$A$7253,$A120,'Besi Balok'!$B$23:$B$7253,$B120,'Besi Balok'!$F$23:$F$7253,'REKAP Balok'!P$11)</f>
        <v>0</v>
      </c>
      <c r="Q120">
        <f>SUMIFS('Besi Balok'!$AA$23:$AA$7253,'Besi Balok'!$A$23:$A$7253,$A120,'Besi Balok'!$B$23:$B$7253,$B120,'Besi Balok'!$F$23:$F$7253,'REKAP Balok'!Q$11)</f>
        <v>0</v>
      </c>
      <c r="R120">
        <f>SUMIFS('Besi Balok'!$AA$23:$AA$7253,'Besi Balok'!$A$23:$A$7253,$A120,'Besi Balok'!$B$23:$B$7253,$B120,'Besi Balok'!$F$23:$F$7253,'REKAP Balok'!R$11)</f>
        <v>0</v>
      </c>
      <c r="S120">
        <f>SUMIFS('Besi Balok'!$AA$23:$AA$7253,'Besi Balok'!$A$23:$A$7253,$A120,'Besi Balok'!$B$23:$B$7253,$B120,'Besi Balok'!$F$23:$F$7253,'REKAP Balok'!S$11)</f>
        <v>0</v>
      </c>
      <c r="T120">
        <f>SUMIFS('Besi Balok'!$AA$23:$AA$7253,'Besi Balok'!$A$23:$A$7253,$A120,'Besi Balok'!$B$23:$B$7253,$B120,'Besi Balok'!$F$23:$F$7253,'REKAP Balok'!T$11)</f>
        <v>0</v>
      </c>
      <c r="U120">
        <f>SUM(L120:T120)</f>
        <v>24.132386970000002</v>
      </c>
      <c r="V120">
        <f>(D120*(F120-H120)*G120*K120)/1000000000</f>
        <v>0.06225</v>
      </c>
      <c r="W120">
        <f>(((F120-H120)*2+IF(H120&gt;0,0,D120))*(G120)*K120)/1000000</f>
        <v>0.6225</v>
      </c>
      <c r="AC120">
        <f>(D120+2*$F$5)*F120*G120/1000000000</f>
        <v>0.249</v>
      </c>
    </row>
    <row r="121">
      <c r="A121" t="str">
        <f>'Data Panjang Balok'!A117</f>
        <v>Lantai 2</v>
      </c>
      <c r="B121">
        <f>'Data Panjang Balok'!B117</f>
        <v>20</v>
      </c>
      <c r="C121" t="str">
        <f>'Data Panjang Balok'!D117</f>
        <v>B24-2</v>
      </c>
      <c r="D121">
        <f>IF(C121&gt;0,VLOOKUP(C121,'Detail Balok'!$C$11:$AU$140,2,FALSE),0)</f>
        <v>200</v>
      </c>
      <c r="E121" t="str">
        <v>x</v>
      </c>
      <c r="F121">
        <f>IF(C121&gt;0,VLOOKUP(C121,'Detail Balok'!$C$11:$AU$140,3,FALSE),0)</f>
        <v>400</v>
      </c>
      <c r="G121">
        <f>'Data Panjang Balok'!I117</f>
        <v>3010</v>
      </c>
      <c r="H121">
        <f>'Data Panjang Balok'!J117</f>
        <v>150</v>
      </c>
      <c r="I121">
        <v>0</v>
      </c>
      <c r="J121">
        <f>I121-F121/1000</f>
        <v>-0.4</v>
      </c>
      <c r="K121">
        <f>'Data Panjang Balok'!E117</f>
        <v>1</v>
      </c>
      <c r="L121">
        <f>SUMIFS('Besi Balok'!$AA$23:$AA$7253,'Besi Balok'!$A$23:$A$7253,$A121,'Besi Balok'!$B$23:$B$7253,$B121,'Besi Balok'!$F$23:$F$7253,'REKAP Balok'!L$11)</f>
        <v>0</v>
      </c>
      <c r="M121">
        <f>SUMIFS('Besi Balok'!$AA$23:$AA$7253,'Besi Balok'!$A$23:$A$7253,$A121,'Besi Balok'!$B$23:$B$7253,$B121,'Besi Balok'!$F$23:$F$7253,'REKAP Balok'!M$11)</f>
        <v>0</v>
      </c>
      <c r="N121">
        <f>SUMIFS('Besi Balok'!$AA$23:$AA$7253,'Besi Balok'!$A$23:$A$7253,$A121,'Besi Balok'!$B$23:$B$7253,$B121,'Besi Balok'!$F$23:$F$7253,'REKAP Balok'!N$11)</f>
        <v>15.874875000000003</v>
      </c>
      <c r="O121">
        <f>SUMIFS('Besi Balok'!$AA$23:$AA$7253,'Besi Balok'!$A$23:$A$7253,$A121,'Besi Balok'!$B$23:$B$7253,$B121,'Besi Balok'!$F$23:$F$7253,'REKAP Balok'!O$11)</f>
        <v>0</v>
      </c>
      <c r="P121">
        <f>SUMIFS('Besi Balok'!$AA$23:$AA$7253,'Besi Balok'!$A$23:$A$7253,$A121,'Besi Balok'!$B$23:$B$7253,$B121,'Besi Balok'!$F$23:$F$7253,'REKAP Balok'!P$11)</f>
        <v>32.139279359999996</v>
      </c>
      <c r="Q121">
        <f>SUMIFS('Besi Balok'!$AA$23:$AA$7253,'Besi Balok'!$A$23:$A$7253,$A121,'Besi Balok'!$B$23:$B$7253,$B121,'Besi Balok'!$F$23:$F$7253,'REKAP Balok'!Q$11)</f>
        <v>0</v>
      </c>
      <c r="R121">
        <f>SUMIFS('Besi Balok'!$AA$23:$AA$7253,'Besi Balok'!$A$23:$A$7253,$A121,'Besi Balok'!$B$23:$B$7253,$B121,'Besi Balok'!$F$23:$F$7253,'REKAP Balok'!R$11)</f>
        <v>0</v>
      </c>
      <c r="S121">
        <f>SUMIFS('Besi Balok'!$AA$23:$AA$7253,'Besi Balok'!$A$23:$A$7253,$A121,'Besi Balok'!$B$23:$B$7253,$B121,'Besi Balok'!$F$23:$F$7253,'REKAP Balok'!S$11)</f>
        <v>0</v>
      </c>
      <c r="T121">
        <f>SUMIFS('Besi Balok'!$AA$23:$AA$7253,'Besi Balok'!$A$23:$A$7253,$A121,'Besi Balok'!$B$23:$B$7253,$B121,'Besi Balok'!$F$23:$F$7253,'REKAP Balok'!T$11)</f>
        <v>0</v>
      </c>
      <c r="U121">
        <f>SUM(L121:T121)</f>
        <v>48.01415436</v>
      </c>
      <c r="V121">
        <f>(D121*(F121-H121)*G121*K121)/1000000000</f>
        <v>0.1505</v>
      </c>
      <c r="W121">
        <f>(((F121-H121)*2+IF(H121&gt;0,0,D121))*(G121)*K121)/1000000</f>
        <v>1.505</v>
      </c>
      <c r="AC121">
        <f>(D121+2*$F$5)*F121*G121/1000000000</f>
        <v>0.4816</v>
      </c>
    </row>
    <row r="122">
      <c r="A122" t="str">
        <f>'Data Panjang Balok'!A118</f>
        <v>Lantai 2</v>
      </c>
      <c r="B122">
        <f>'Data Panjang Balok'!B118</f>
        <v>21</v>
      </c>
      <c r="C122" t="str">
        <f>'Data Panjang Balok'!D118</f>
        <v>B25-1</v>
      </c>
      <c r="D122">
        <f>IF(C122&gt;0,VLOOKUP(C122,'Detail Balok'!$C$11:$AU$140,2,FALSE),0)</f>
        <v>200</v>
      </c>
      <c r="E122" t="str">
        <v>x</v>
      </c>
      <c r="F122">
        <f>IF(C122&gt;0,VLOOKUP(C122,'Detail Balok'!$C$11:$AU$140,3,FALSE),0)</f>
        <v>500</v>
      </c>
      <c r="G122">
        <f>'Data Panjang Balok'!I118</f>
        <v>4075</v>
      </c>
      <c r="H122">
        <f>'Data Panjang Balok'!J118</f>
        <v>150</v>
      </c>
      <c r="I122">
        <v>0</v>
      </c>
      <c r="J122">
        <f>I122-F122/1000</f>
        <v>-0.5</v>
      </c>
      <c r="K122">
        <f>'Data Panjang Balok'!E118</f>
        <v>1</v>
      </c>
      <c r="L122">
        <f>SUMIFS('Besi Balok'!$AA$23:$AA$7253,'Besi Balok'!$A$23:$A$7253,$A122,'Besi Balok'!$B$23:$B$7253,$B122,'Besi Balok'!$F$23:$F$7253,'REKAP Balok'!L$11)</f>
        <v>0</v>
      </c>
      <c r="M122">
        <f>SUMIFS('Besi Balok'!$AA$23:$AA$7253,'Besi Balok'!$A$23:$A$7253,$A122,'Besi Balok'!$B$23:$B$7253,$B122,'Besi Balok'!$F$23:$F$7253,'REKAP Balok'!M$11)</f>
        <v>0</v>
      </c>
      <c r="N122">
        <f>SUMIFS('Besi Balok'!$AA$23:$AA$7253,'Besi Balok'!$A$23:$A$7253,$A122,'Besi Balok'!$B$23:$B$7253,$B122,'Besi Balok'!$F$23:$F$7253,'REKAP Balok'!N$11)</f>
        <v>25.036065</v>
      </c>
      <c r="O122">
        <f>SUMIFS('Besi Balok'!$AA$23:$AA$7253,'Besi Balok'!$A$23:$A$7253,$A122,'Besi Balok'!$B$23:$B$7253,$B122,'Besi Balok'!$F$23:$F$7253,'REKAP Balok'!O$11)</f>
        <v>0</v>
      </c>
      <c r="P122">
        <f>SUMIFS('Besi Balok'!$AA$23:$AA$7253,'Besi Balok'!$A$23:$A$7253,$A122,'Besi Balok'!$B$23:$B$7253,$B122,'Besi Balok'!$F$23:$F$7253,'REKAP Balok'!P$11)</f>
        <v>56.298977279999995</v>
      </c>
      <c r="Q122">
        <f>SUMIFS('Besi Balok'!$AA$23:$AA$7253,'Besi Balok'!$A$23:$A$7253,$A122,'Besi Balok'!$B$23:$B$7253,$B122,'Besi Balok'!$F$23:$F$7253,'REKAP Balok'!Q$11)</f>
        <v>0</v>
      </c>
      <c r="R122">
        <f>SUMIFS('Besi Balok'!$AA$23:$AA$7253,'Besi Balok'!$A$23:$A$7253,$A122,'Besi Balok'!$B$23:$B$7253,$B122,'Besi Balok'!$F$23:$F$7253,'REKAP Balok'!R$11)</f>
        <v>0</v>
      </c>
      <c r="S122">
        <f>SUMIFS('Besi Balok'!$AA$23:$AA$7253,'Besi Balok'!$A$23:$A$7253,$A122,'Besi Balok'!$B$23:$B$7253,$B122,'Besi Balok'!$F$23:$F$7253,'REKAP Balok'!S$11)</f>
        <v>0</v>
      </c>
      <c r="T122">
        <f>SUMIFS('Besi Balok'!$AA$23:$AA$7253,'Besi Balok'!$A$23:$A$7253,$A122,'Besi Balok'!$B$23:$B$7253,$B122,'Besi Balok'!$F$23:$F$7253,'REKAP Balok'!T$11)</f>
        <v>0</v>
      </c>
      <c r="U122">
        <f>SUM(L122:T122)</f>
        <v>81.33504228</v>
      </c>
      <c r="V122">
        <f>(D122*(F122-H122)*G122*K122)/1000000000</f>
        <v>0.28525</v>
      </c>
      <c r="W122">
        <f>(((F122-H122)*2+IF(H122&gt;0,0,D122))*(G122)*K122)/1000000</f>
        <v>2.8525</v>
      </c>
      <c r="AC122">
        <f>(D122+2*$F$5)*F122*G122/1000000000</f>
        <v>0.815</v>
      </c>
    </row>
    <row r="123">
      <c r="A123" t="str">
        <f>'Data Panjang Balok'!A119</f>
        <v>Lantai 2</v>
      </c>
      <c r="B123">
        <f>'Data Panjang Balok'!B119</f>
        <v>22</v>
      </c>
      <c r="C123" t="str">
        <f>'Data Panjang Balok'!D119</f>
        <v>B24-1</v>
      </c>
      <c r="D123">
        <f>IF(C123&gt;0,VLOOKUP(C123,'Detail Balok'!$C$11:$AU$140,2,FALSE),0)</f>
        <v>200</v>
      </c>
      <c r="E123" t="str">
        <v>x</v>
      </c>
      <c r="F123">
        <f>IF(C123&gt;0,VLOOKUP(C123,'Detail Balok'!$C$11:$AU$140,3,FALSE),0)</f>
        <v>400</v>
      </c>
      <c r="G123">
        <f>'Data Panjang Balok'!I119</f>
        <v>1760</v>
      </c>
      <c r="H123">
        <f>'Data Panjang Balok'!J119</f>
        <v>0</v>
      </c>
      <c r="I123">
        <v>0</v>
      </c>
      <c r="J123">
        <f>I123-F123/1000</f>
        <v>-0.4</v>
      </c>
      <c r="K123">
        <f>'Data Panjang Balok'!E119</f>
        <v>1</v>
      </c>
      <c r="L123">
        <f>SUMIFS('Besi Balok'!$AA$23:$AA$7253,'Besi Balok'!$A$23:$A$7253,$A123,'Besi Balok'!$B$23:$B$7253,$B123,'Besi Balok'!$F$23:$F$7253,'REKAP Balok'!L$11)</f>
        <v>0</v>
      </c>
      <c r="M123">
        <f>SUMIFS('Besi Balok'!$AA$23:$AA$7253,'Besi Balok'!$A$23:$A$7253,$A123,'Besi Balok'!$B$23:$B$7253,$B123,'Besi Balok'!$F$23:$F$7253,'REKAP Balok'!M$11)</f>
        <v>0</v>
      </c>
      <c r="N123">
        <f>SUMIFS('Besi Balok'!$AA$23:$AA$7253,'Besi Balok'!$A$23:$A$7253,$A123,'Besi Balok'!$B$23:$B$7253,$B123,'Besi Balok'!$F$23:$F$7253,'REKAP Balok'!N$11)</f>
        <v>12.064905000000001</v>
      </c>
      <c r="O123">
        <f>SUMIFS('Besi Balok'!$AA$23:$AA$7253,'Besi Balok'!$A$23:$A$7253,$A123,'Besi Balok'!$B$23:$B$7253,$B123,'Besi Balok'!$F$23:$F$7253,'REKAP Balok'!O$11)</f>
        <v>12.95271432</v>
      </c>
      <c r="P123">
        <f>SUMIFS('Besi Balok'!$AA$23:$AA$7253,'Besi Balok'!$A$23:$A$7253,$A123,'Besi Balok'!$B$23:$B$7253,$B123,'Besi Balok'!$F$23:$F$7253,'REKAP Balok'!P$11)</f>
        <v>0</v>
      </c>
      <c r="Q123">
        <f>SUMIFS('Besi Balok'!$AA$23:$AA$7253,'Besi Balok'!$A$23:$A$7253,$A123,'Besi Balok'!$B$23:$B$7253,$B123,'Besi Balok'!$F$23:$F$7253,'REKAP Balok'!Q$11)</f>
        <v>0</v>
      </c>
      <c r="R123">
        <f>SUMIFS('Besi Balok'!$AA$23:$AA$7253,'Besi Balok'!$A$23:$A$7253,$A123,'Besi Balok'!$B$23:$B$7253,$B123,'Besi Balok'!$F$23:$F$7253,'REKAP Balok'!R$11)</f>
        <v>0</v>
      </c>
      <c r="S123">
        <f>SUMIFS('Besi Balok'!$AA$23:$AA$7253,'Besi Balok'!$A$23:$A$7253,$A123,'Besi Balok'!$B$23:$B$7253,$B123,'Besi Balok'!$F$23:$F$7253,'REKAP Balok'!S$11)</f>
        <v>0</v>
      </c>
      <c r="T123">
        <f>SUMIFS('Besi Balok'!$AA$23:$AA$7253,'Besi Balok'!$A$23:$A$7253,$A123,'Besi Balok'!$B$23:$B$7253,$B123,'Besi Balok'!$F$23:$F$7253,'REKAP Balok'!T$11)</f>
        <v>0</v>
      </c>
      <c r="U123">
        <f>SUM(L123:T123)</f>
        <v>25.01761932</v>
      </c>
      <c r="V123">
        <f>(D123*(F123-H123)*G123*K123)/1000000000</f>
        <v>0.1408</v>
      </c>
      <c r="W123">
        <f>(((F123-H123)*2+IF(H123&gt;0,0,D123))*(G123)*K123)/1000000</f>
        <v>1.76</v>
      </c>
      <c r="AC123">
        <f>(D123+2*$F$5)*F123*G123/1000000000</f>
        <v>0.2816</v>
      </c>
    </row>
    <row r="124">
      <c r="A124" t="str">
        <f>'Data Panjang Balok'!A120</f>
        <v>Lantai 2</v>
      </c>
      <c r="B124">
        <f>'Data Panjang Balok'!B120</f>
        <v>23</v>
      </c>
      <c r="C124" t="str">
        <f>'Data Panjang Balok'!D120</f>
        <v>CL24-1</v>
      </c>
      <c r="D124">
        <f>IF(C124&gt;0,VLOOKUP(C124,'Detail Balok'!$C$11:$AU$140,2,FALSE),0)</f>
        <v>200</v>
      </c>
      <c r="E124" t="str">
        <v>x</v>
      </c>
      <c r="F124">
        <f>IF(C124&gt;0,VLOOKUP(C124,'Detail Balok'!$C$11:$AU$140,3,FALSE),0)</f>
        <v>400</v>
      </c>
      <c r="G124">
        <f>'Data Panjang Balok'!I120</f>
        <v>3010</v>
      </c>
      <c r="H124">
        <f>'Data Panjang Balok'!J120</f>
        <v>150</v>
      </c>
      <c r="I124">
        <v>0</v>
      </c>
      <c r="J124">
        <f>I124-F124/1000</f>
        <v>-0.4</v>
      </c>
      <c r="K124">
        <f>'Data Panjang Balok'!E120</f>
        <v>1</v>
      </c>
      <c r="L124">
        <f>SUMIFS('Besi Balok'!$AA$23:$AA$7253,'Besi Balok'!$A$23:$A$7253,$A124,'Besi Balok'!$B$23:$B$7253,$B124,'Besi Balok'!$F$23:$F$7253,'REKAP Balok'!L$11)</f>
        <v>0</v>
      </c>
      <c r="M124">
        <f>SUMIFS('Besi Balok'!$AA$23:$AA$7253,'Besi Balok'!$A$23:$A$7253,$A124,'Besi Balok'!$B$23:$B$7253,$B124,'Besi Balok'!$F$23:$F$7253,'REKAP Balok'!M$11)</f>
        <v>0</v>
      </c>
      <c r="N124">
        <f>SUMIFS('Besi Balok'!$AA$23:$AA$7253,'Besi Balok'!$A$23:$A$7253,$A124,'Besi Balok'!$B$23:$B$7253,$B124,'Besi Balok'!$F$23:$F$7253,'REKAP Balok'!N$11)</f>
        <v>20.319840000000003</v>
      </c>
      <c r="O124">
        <f>SUMIFS('Besi Balok'!$AA$23:$AA$7253,'Besi Balok'!$A$23:$A$7253,$A124,'Besi Balok'!$B$23:$B$7253,$B124,'Besi Balok'!$F$23:$F$7253,'REKAP Balok'!O$11)</f>
        <v>0</v>
      </c>
      <c r="P124">
        <f>SUMIFS('Besi Balok'!$AA$23:$AA$7253,'Besi Balok'!$A$23:$A$7253,$A124,'Besi Balok'!$B$23:$B$7253,$B124,'Besi Balok'!$F$23:$F$7253,'REKAP Balok'!P$11)</f>
        <v>32.139279359999996</v>
      </c>
      <c r="Q124">
        <f>SUMIFS('Besi Balok'!$AA$23:$AA$7253,'Besi Balok'!$A$23:$A$7253,$A124,'Besi Balok'!$B$23:$B$7253,$B124,'Besi Balok'!$F$23:$F$7253,'REKAP Balok'!Q$11)</f>
        <v>0</v>
      </c>
      <c r="R124">
        <f>SUMIFS('Besi Balok'!$AA$23:$AA$7253,'Besi Balok'!$A$23:$A$7253,$A124,'Besi Balok'!$B$23:$B$7253,$B124,'Besi Balok'!$F$23:$F$7253,'REKAP Balok'!R$11)</f>
        <v>0</v>
      </c>
      <c r="S124">
        <f>SUMIFS('Besi Balok'!$AA$23:$AA$7253,'Besi Balok'!$A$23:$A$7253,$A124,'Besi Balok'!$B$23:$B$7253,$B124,'Besi Balok'!$F$23:$F$7253,'REKAP Balok'!S$11)</f>
        <v>0</v>
      </c>
      <c r="T124">
        <f>SUMIFS('Besi Balok'!$AA$23:$AA$7253,'Besi Balok'!$A$23:$A$7253,$A124,'Besi Balok'!$B$23:$B$7253,$B124,'Besi Balok'!$F$23:$F$7253,'REKAP Balok'!T$11)</f>
        <v>0</v>
      </c>
      <c r="U124">
        <f>SUM(L124:T124)</f>
        <v>52.45911936</v>
      </c>
      <c r="V124">
        <f>(D124*(F124-H124)*G124*K124)/1000000000</f>
        <v>0.1505</v>
      </c>
      <c r="W124">
        <f>(((F124-H124)*2+IF(H124&gt;0,0,D124))*(G124)*K124)/1000000</f>
        <v>1.505</v>
      </c>
      <c r="AC124">
        <f>(D124+2*$F$5)*F124*G124/1000000000</f>
        <v>0.4816</v>
      </c>
    </row>
    <row r="125">
      <c r="A125" t="str">
        <f>'Data Panjang Balok'!A121</f>
        <v>Lantai 2</v>
      </c>
      <c r="B125">
        <f>'Data Panjang Balok'!B121</f>
        <v>24</v>
      </c>
      <c r="C125" t="str">
        <f>'Data Panjang Balok'!D121</f>
        <v>B24-1</v>
      </c>
      <c r="D125">
        <f>IF(C125&gt;0,VLOOKUP(C125,'Detail Balok'!$C$11:$AU$140,2,FALSE),0)</f>
        <v>200</v>
      </c>
      <c r="E125" t="str">
        <v>x</v>
      </c>
      <c r="F125">
        <f>IF(C125&gt;0,VLOOKUP(C125,'Detail Balok'!$C$11:$AU$140,3,FALSE),0)</f>
        <v>400</v>
      </c>
      <c r="G125">
        <f>'Data Panjang Balok'!I121</f>
        <v>2800</v>
      </c>
      <c r="H125">
        <f>'Data Panjang Balok'!J121</f>
        <v>150</v>
      </c>
      <c r="I125">
        <v>0</v>
      </c>
      <c r="J125">
        <f>I125-F125/1000</f>
        <v>-0.4</v>
      </c>
      <c r="K125">
        <f>'Data Panjang Balok'!E121</f>
        <v>1</v>
      </c>
      <c r="L125">
        <f>SUMIFS('Besi Balok'!$AA$23:$AA$7253,'Besi Balok'!$A$23:$A$7253,$A125,'Besi Balok'!$B$23:$B$7253,$B125,'Besi Balok'!$F$23:$F$7253,'REKAP Balok'!L$11)</f>
        <v>0</v>
      </c>
      <c r="M125">
        <f>SUMIFS('Besi Balok'!$AA$23:$AA$7253,'Besi Balok'!$A$23:$A$7253,$A125,'Besi Balok'!$B$23:$B$7253,$B125,'Besi Balok'!$F$23:$F$7253,'REKAP Balok'!M$11)</f>
        <v>0</v>
      </c>
      <c r="N125">
        <f>SUMIFS('Besi Balok'!$AA$23:$AA$7253,'Besi Balok'!$A$23:$A$7253,$A125,'Besi Balok'!$B$23:$B$7253,$B125,'Besi Balok'!$F$23:$F$7253,'REKAP Balok'!N$11)</f>
        <v>15.239880000000003</v>
      </c>
      <c r="O125">
        <f>SUMIFS('Besi Balok'!$AA$23:$AA$7253,'Besi Balok'!$A$23:$A$7253,$A125,'Besi Balok'!$B$23:$B$7253,$B125,'Besi Balok'!$F$23:$F$7253,'REKAP Balok'!O$11)</f>
        <v>19.454076719999996</v>
      </c>
      <c r="P125">
        <f>SUMIFS('Besi Balok'!$AA$23:$AA$7253,'Besi Balok'!$A$23:$A$7253,$A125,'Besi Balok'!$B$23:$B$7253,$B125,'Besi Balok'!$F$23:$F$7253,'REKAP Balok'!P$11)</f>
        <v>0</v>
      </c>
      <c r="Q125">
        <f>SUMIFS('Besi Balok'!$AA$23:$AA$7253,'Besi Balok'!$A$23:$A$7253,$A125,'Besi Balok'!$B$23:$B$7253,$B125,'Besi Balok'!$F$23:$F$7253,'REKAP Balok'!Q$11)</f>
        <v>0</v>
      </c>
      <c r="R125">
        <f>SUMIFS('Besi Balok'!$AA$23:$AA$7253,'Besi Balok'!$A$23:$A$7253,$A125,'Besi Balok'!$B$23:$B$7253,$B125,'Besi Balok'!$F$23:$F$7253,'REKAP Balok'!R$11)</f>
        <v>0</v>
      </c>
      <c r="S125">
        <f>SUMIFS('Besi Balok'!$AA$23:$AA$7253,'Besi Balok'!$A$23:$A$7253,$A125,'Besi Balok'!$B$23:$B$7253,$B125,'Besi Balok'!$F$23:$F$7253,'REKAP Balok'!S$11)</f>
        <v>0</v>
      </c>
      <c r="T125">
        <f>SUMIFS('Besi Balok'!$AA$23:$AA$7253,'Besi Balok'!$A$23:$A$7253,$A125,'Besi Balok'!$B$23:$B$7253,$B125,'Besi Balok'!$F$23:$F$7253,'REKAP Balok'!T$11)</f>
        <v>0</v>
      </c>
      <c r="U125">
        <f>SUM(L125:T125)</f>
        <v>34.69395672</v>
      </c>
      <c r="V125">
        <f>(D125*(F125-H125)*G125*K125)/1000000000</f>
        <v>0.14</v>
      </c>
      <c r="W125">
        <f>(((F125-H125)*2+IF(H125&gt;0,0,D125))*(G125)*K125)/1000000</f>
        <v>1.4</v>
      </c>
      <c r="AC125">
        <f>(D125+2*$F$5)*F125*G125/1000000000</f>
        <v>0.448</v>
      </c>
    </row>
    <row r="126">
      <c r="A126" t="str">
        <f>'Data Panjang Balok'!A122</f>
        <v>Lantai 2</v>
      </c>
      <c r="B126">
        <f>'Data Panjang Balok'!B122</f>
        <v>25</v>
      </c>
      <c r="C126" t="str">
        <f>'Data Panjang Balok'!D122</f>
        <v>B24-1</v>
      </c>
      <c r="D126">
        <f>IF(C126&gt;0,VLOOKUP(C126,'Detail Balok'!$C$11:$AU$140,2,FALSE),0)</f>
        <v>200</v>
      </c>
      <c r="E126" t="str">
        <v>x</v>
      </c>
      <c r="F126">
        <f>IF(C126&gt;0,VLOOKUP(C126,'Detail Balok'!$C$11:$AU$140,3,FALSE),0)</f>
        <v>400</v>
      </c>
      <c r="G126">
        <f>'Data Panjang Balok'!I122</f>
        <v>5150</v>
      </c>
      <c r="H126">
        <f>'Data Panjang Balok'!J122</f>
        <v>0</v>
      </c>
      <c r="I126">
        <v>0</v>
      </c>
      <c r="J126">
        <f>I126-F126/1000</f>
        <v>-0.4</v>
      </c>
      <c r="K126">
        <f>'Data Panjang Balok'!E122</f>
        <v>1</v>
      </c>
      <c r="L126">
        <f>SUMIFS('Besi Balok'!$AA$23:$AA$7253,'Besi Balok'!$A$23:$A$7253,$A126,'Besi Balok'!$B$23:$B$7253,$B126,'Besi Balok'!$F$23:$F$7253,'REKAP Balok'!L$11)</f>
        <v>0</v>
      </c>
      <c r="M126">
        <f>SUMIFS('Besi Balok'!$AA$23:$AA$7253,'Besi Balok'!$A$23:$A$7253,$A126,'Besi Balok'!$B$23:$B$7253,$B126,'Besi Balok'!$F$23:$F$7253,'REKAP Balok'!M$11)</f>
        <v>0</v>
      </c>
      <c r="N126">
        <f>SUMIFS('Besi Balok'!$AA$23:$AA$7253,'Besi Balok'!$A$23:$A$7253,$A126,'Besi Balok'!$B$23:$B$7253,$B126,'Besi Balok'!$F$23:$F$7253,'REKAP Balok'!N$11)</f>
        <v>26.034795000000003</v>
      </c>
      <c r="O126">
        <f>SUMIFS('Besi Balok'!$AA$23:$AA$7253,'Besi Balok'!$A$23:$A$7253,$A126,'Besi Balok'!$B$23:$B$7253,$B126,'Besi Balok'!$F$23:$F$7253,'REKAP Balok'!O$11)</f>
        <v>34.144655220000004</v>
      </c>
      <c r="P126">
        <f>SUMIFS('Besi Balok'!$AA$23:$AA$7253,'Besi Balok'!$A$23:$A$7253,$A126,'Besi Balok'!$B$23:$B$7253,$B126,'Besi Balok'!$F$23:$F$7253,'REKAP Balok'!P$11)</f>
        <v>0</v>
      </c>
      <c r="Q126">
        <f>SUMIFS('Besi Balok'!$AA$23:$AA$7253,'Besi Balok'!$A$23:$A$7253,$A126,'Besi Balok'!$B$23:$B$7253,$B126,'Besi Balok'!$F$23:$F$7253,'REKAP Balok'!Q$11)</f>
        <v>0</v>
      </c>
      <c r="R126">
        <f>SUMIFS('Besi Balok'!$AA$23:$AA$7253,'Besi Balok'!$A$23:$A$7253,$A126,'Besi Balok'!$B$23:$B$7253,$B126,'Besi Balok'!$F$23:$F$7253,'REKAP Balok'!R$11)</f>
        <v>0</v>
      </c>
      <c r="S126">
        <f>SUMIFS('Besi Balok'!$AA$23:$AA$7253,'Besi Balok'!$A$23:$A$7253,$A126,'Besi Balok'!$B$23:$B$7253,$B126,'Besi Balok'!$F$23:$F$7253,'REKAP Balok'!S$11)</f>
        <v>0</v>
      </c>
      <c r="T126">
        <f>SUMIFS('Besi Balok'!$AA$23:$AA$7253,'Besi Balok'!$A$23:$A$7253,$A126,'Besi Balok'!$B$23:$B$7253,$B126,'Besi Balok'!$F$23:$F$7253,'REKAP Balok'!T$11)</f>
        <v>0</v>
      </c>
      <c r="U126">
        <f>SUM(L126:T126)</f>
        <v>60.17945022000001</v>
      </c>
      <c r="V126">
        <f>(D126*(F126-H126)*G126*K126)/1000000000</f>
        <v>0.412</v>
      </c>
      <c r="W126">
        <f>(((F126-H126)*2+IF(H126&gt;0,0,D126))*(G126)*K126)/1000000</f>
        <v>5.15</v>
      </c>
      <c r="AC126">
        <f>(D126+2*$F$5)*F126*G126/1000000000</f>
        <v>0.824</v>
      </c>
    </row>
    <row r="127">
      <c r="A127" t="str">
        <f>'Data Panjang Balok'!A123</f>
        <v>Lantai 2</v>
      </c>
      <c r="B127">
        <f>'Data Panjang Balok'!B123</f>
        <v>26</v>
      </c>
      <c r="C127" t="str">
        <f>'Data Panjang Balok'!D123</f>
        <v>B26-1</v>
      </c>
      <c r="D127">
        <f>IF(C127&gt;0,VLOOKUP(C127,'Detail Balok'!$C$11:$AU$140,2,FALSE),0)</f>
        <v>200</v>
      </c>
      <c r="E127" t="str">
        <v>x</v>
      </c>
      <c r="F127">
        <f>IF(C127&gt;0,VLOOKUP(C127,'Detail Balok'!$C$11:$AU$140,3,FALSE),0)</f>
        <v>600</v>
      </c>
      <c r="G127">
        <f>'Data Panjang Balok'!I123</f>
        <v>6150</v>
      </c>
      <c r="H127">
        <f>'Data Panjang Balok'!J123</f>
        <v>150</v>
      </c>
      <c r="I127">
        <v>0</v>
      </c>
      <c r="J127">
        <f>I127-F127/1000</f>
        <v>-0.6</v>
      </c>
      <c r="K127">
        <f>'Data Panjang Balok'!E123</f>
        <v>1</v>
      </c>
      <c r="L127">
        <f>SUMIFS('Besi Balok'!$AA$23:$AA$7253,'Besi Balok'!$A$23:$A$7253,$A127,'Besi Balok'!$B$23:$B$7253,$B127,'Besi Balok'!$F$23:$F$7253,'REKAP Balok'!L$11)</f>
        <v>0</v>
      </c>
      <c r="M127">
        <f>SUMIFS('Besi Balok'!$AA$23:$AA$7253,'Besi Balok'!$A$23:$A$7253,$A127,'Besi Balok'!$B$23:$B$7253,$B127,'Besi Balok'!$F$23:$F$7253,'REKAP Balok'!M$11)</f>
        <v>0</v>
      </c>
      <c r="N127">
        <f>SUMIFS('Besi Balok'!$AA$23:$AA$7253,'Besi Balok'!$A$23:$A$7253,$A127,'Besi Balok'!$B$23:$B$7253,$B127,'Besi Balok'!$F$23:$F$7253,'REKAP Balok'!N$11)</f>
        <v>54.603404999999995</v>
      </c>
      <c r="O127">
        <f>SUMIFS('Besi Balok'!$AA$23:$AA$7253,'Besi Balok'!$A$23:$A$7253,$A127,'Besi Balok'!$B$23:$B$7253,$B127,'Besi Balok'!$F$23:$F$7253,'REKAP Balok'!O$11)</f>
        <v>0</v>
      </c>
      <c r="P127">
        <f>SUMIFS('Besi Balok'!$AA$23:$AA$7253,'Besi Balok'!$A$23:$A$7253,$A127,'Besi Balok'!$B$23:$B$7253,$B127,'Besi Balok'!$F$23:$F$7253,'REKAP Balok'!P$11)</f>
        <v>74.88433152000002</v>
      </c>
      <c r="Q127">
        <f>SUMIFS('Besi Balok'!$AA$23:$AA$7253,'Besi Balok'!$A$23:$A$7253,$A127,'Besi Balok'!$B$23:$B$7253,$B127,'Besi Balok'!$F$23:$F$7253,'REKAP Balok'!Q$11)</f>
        <v>0</v>
      </c>
      <c r="R127">
        <f>SUMIFS('Besi Balok'!$AA$23:$AA$7253,'Besi Balok'!$A$23:$A$7253,$A127,'Besi Balok'!$B$23:$B$7253,$B127,'Besi Balok'!$F$23:$F$7253,'REKAP Balok'!R$11)</f>
        <v>0</v>
      </c>
      <c r="S127">
        <f>SUMIFS('Besi Balok'!$AA$23:$AA$7253,'Besi Balok'!$A$23:$A$7253,$A127,'Besi Balok'!$B$23:$B$7253,$B127,'Besi Balok'!$F$23:$F$7253,'REKAP Balok'!S$11)</f>
        <v>0</v>
      </c>
      <c r="T127">
        <f>SUMIFS('Besi Balok'!$AA$23:$AA$7253,'Besi Balok'!$A$23:$A$7253,$A127,'Besi Balok'!$B$23:$B$7253,$B127,'Besi Balok'!$F$23:$F$7253,'REKAP Balok'!T$11)</f>
        <v>0</v>
      </c>
      <c r="U127">
        <f>SUM(L127:T127)</f>
        <v>129.48773652</v>
      </c>
      <c r="V127">
        <f>(D127*(F127-H127)*G127*K127)/1000000000</f>
        <v>0.5535</v>
      </c>
      <c r="W127">
        <f>(((F127-H127)*2+IF(H127&gt;0,0,D127))*(G127)*K127)/1000000</f>
        <v>5.535</v>
      </c>
      <c r="AC127">
        <f>(D127+2*$F$5)*F127*G127/1000000000</f>
        <v>1.476</v>
      </c>
    </row>
    <row r="128">
      <c r="A128" t="str">
        <f>'Data Panjang Balok'!A124</f>
        <v>Lantai 2</v>
      </c>
      <c r="B128">
        <f>'Data Panjang Balok'!B124</f>
        <v>27</v>
      </c>
      <c r="C128" t="str">
        <f>'Data Panjang Balok'!D124</f>
        <v>B24-1</v>
      </c>
      <c r="D128">
        <f>IF(C128&gt;0,VLOOKUP(C128,'Detail Balok'!$C$11:$AU$140,2,FALSE),0)</f>
        <v>200</v>
      </c>
      <c r="E128" t="str">
        <v>x</v>
      </c>
      <c r="F128">
        <f>IF(C128&gt;0,VLOOKUP(C128,'Detail Balok'!$C$11:$AU$140,3,FALSE),0)</f>
        <v>400</v>
      </c>
      <c r="G128">
        <f>'Data Panjang Balok'!I124</f>
        <v>5050</v>
      </c>
      <c r="H128">
        <f>'Data Panjang Balok'!J124</f>
        <v>150</v>
      </c>
      <c r="I128">
        <v>0</v>
      </c>
      <c r="J128">
        <f>I128-F128/1000</f>
        <v>-0.4</v>
      </c>
      <c r="K128">
        <f>'Data Panjang Balok'!E124</f>
        <v>1</v>
      </c>
      <c r="L128">
        <f>SUMIFS('Besi Balok'!$AA$23:$AA$7253,'Besi Balok'!$A$23:$A$7253,$A128,'Besi Balok'!$B$23:$B$7253,$B128,'Besi Balok'!$F$23:$F$7253,'REKAP Balok'!L$11)</f>
        <v>0</v>
      </c>
      <c r="M128">
        <f>SUMIFS('Besi Balok'!$AA$23:$AA$7253,'Besi Balok'!$A$23:$A$7253,$A128,'Besi Balok'!$B$23:$B$7253,$B128,'Besi Balok'!$F$23:$F$7253,'REKAP Balok'!M$11)</f>
        <v>0</v>
      </c>
      <c r="N128">
        <f>SUMIFS('Besi Balok'!$AA$23:$AA$7253,'Besi Balok'!$A$23:$A$7253,$A128,'Besi Balok'!$B$23:$B$7253,$B128,'Besi Balok'!$F$23:$F$7253,'REKAP Balok'!N$11)</f>
        <v>26.034795000000003</v>
      </c>
      <c r="O128">
        <f>SUMIFS('Besi Balok'!$AA$23:$AA$7253,'Besi Balok'!$A$23:$A$7253,$A128,'Besi Balok'!$B$23:$B$7253,$B128,'Besi Balok'!$F$23:$F$7253,'REKAP Balok'!O$11)</f>
        <v>33.51952422</v>
      </c>
      <c r="P128">
        <f>SUMIFS('Besi Balok'!$AA$23:$AA$7253,'Besi Balok'!$A$23:$A$7253,$A128,'Besi Balok'!$B$23:$B$7253,$B128,'Besi Balok'!$F$23:$F$7253,'REKAP Balok'!P$11)</f>
        <v>0</v>
      </c>
      <c r="Q128">
        <f>SUMIFS('Besi Balok'!$AA$23:$AA$7253,'Besi Balok'!$A$23:$A$7253,$A128,'Besi Balok'!$B$23:$B$7253,$B128,'Besi Balok'!$F$23:$F$7253,'REKAP Balok'!Q$11)</f>
        <v>0</v>
      </c>
      <c r="R128">
        <f>SUMIFS('Besi Balok'!$AA$23:$AA$7253,'Besi Balok'!$A$23:$A$7253,$A128,'Besi Balok'!$B$23:$B$7253,$B128,'Besi Balok'!$F$23:$F$7253,'REKAP Balok'!R$11)</f>
        <v>0</v>
      </c>
      <c r="S128">
        <f>SUMIFS('Besi Balok'!$AA$23:$AA$7253,'Besi Balok'!$A$23:$A$7253,$A128,'Besi Balok'!$B$23:$B$7253,$B128,'Besi Balok'!$F$23:$F$7253,'REKAP Balok'!S$11)</f>
        <v>0</v>
      </c>
      <c r="T128">
        <f>SUMIFS('Besi Balok'!$AA$23:$AA$7253,'Besi Balok'!$A$23:$A$7253,$A128,'Besi Balok'!$B$23:$B$7253,$B128,'Besi Balok'!$F$23:$F$7253,'REKAP Balok'!T$11)</f>
        <v>0</v>
      </c>
      <c r="U128">
        <f>SUM(L128:T128)</f>
        <v>59.554319220000004</v>
      </c>
      <c r="V128">
        <f>(D128*(F128-H128)*G128*K128)/1000000000</f>
        <v>0.2525</v>
      </c>
      <c r="W128">
        <f>(((F128-H128)*2+IF(H128&gt;0,0,D128))*(G128)*K128)/1000000</f>
        <v>2.525</v>
      </c>
      <c r="AC128">
        <f>(D128+2*$F$5)*F128*G128/1000000000</f>
        <v>0.808</v>
      </c>
    </row>
    <row r="129">
      <c r="A129" t="str">
        <f>'Data Panjang Balok'!A125</f>
        <v>Lantai 2</v>
      </c>
      <c r="B129">
        <f>'Data Panjang Balok'!B125</f>
        <v>28</v>
      </c>
      <c r="C129" t="str">
        <f>'Data Panjang Balok'!D125</f>
        <v>B24-1</v>
      </c>
      <c r="D129">
        <f>IF(C129&gt;0,VLOOKUP(C129,'Detail Balok'!$C$11:$AU$140,2,FALSE),0)</f>
        <v>200</v>
      </c>
      <c r="E129" t="str">
        <v>x</v>
      </c>
      <c r="F129">
        <f>IF(C129&gt;0,VLOOKUP(C129,'Detail Balok'!$C$11:$AU$140,3,FALSE),0)</f>
        <v>400</v>
      </c>
      <c r="G129">
        <f>'Data Panjang Balok'!I125</f>
        <v>5050</v>
      </c>
      <c r="H129">
        <f>'Data Panjang Balok'!J125</f>
        <v>150</v>
      </c>
      <c r="I129">
        <v>0</v>
      </c>
      <c r="J129">
        <f>I129-F129/1000</f>
        <v>-0.4</v>
      </c>
      <c r="K129">
        <f>'Data Panjang Balok'!E125</f>
        <v>1</v>
      </c>
      <c r="L129">
        <f>SUMIFS('Besi Balok'!$AA$23:$AA$7253,'Besi Balok'!$A$23:$A$7253,$A129,'Besi Balok'!$B$23:$B$7253,$B129,'Besi Balok'!$F$23:$F$7253,'REKAP Balok'!L$11)</f>
        <v>0</v>
      </c>
      <c r="M129">
        <f>SUMIFS('Besi Balok'!$AA$23:$AA$7253,'Besi Balok'!$A$23:$A$7253,$A129,'Besi Balok'!$B$23:$B$7253,$B129,'Besi Balok'!$F$23:$F$7253,'REKAP Balok'!M$11)</f>
        <v>0</v>
      </c>
      <c r="N129">
        <f>SUMIFS('Besi Balok'!$AA$23:$AA$7253,'Besi Balok'!$A$23:$A$7253,$A129,'Besi Balok'!$B$23:$B$7253,$B129,'Besi Balok'!$F$23:$F$7253,'REKAP Balok'!N$11)</f>
        <v>26.034795000000003</v>
      </c>
      <c r="O129">
        <f>SUMIFS('Besi Balok'!$AA$23:$AA$7253,'Besi Balok'!$A$23:$A$7253,$A129,'Besi Balok'!$B$23:$B$7253,$B129,'Besi Balok'!$F$23:$F$7253,'REKAP Balok'!O$11)</f>
        <v>33.51952422</v>
      </c>
      <c r="P129">
        <f>SUMIFS('Besi Balok'!$AA$23:$AA$7253,'Besi Balok'!$A$23:$A$7253,$A129,'Besi Balok'!$B$23:$B$7253,$B129,'Besi Balok'!$F$23:$F$7253,'REKAP Balok'!P$11)</f>
        <v>0</v>
      </c>
      <c r="Q129">
        <f>SUMIFS('Besi Balok'!$AA$23:$AA$7253,'Besi Balok'!$A$23:$A$7253,$A129,'Besi Balok'!$B$23:$B$7253,$B129,'Besi Balok'!$F$23:$F$7253,'REKAP Balok'!Q$11)</f>
        <v>0</v>
      </c>
      <c r="R129">
        <f>SUMIFS('Besi Balok'!$AA$23:$AA$7253,'Besi Balok'!$A$23:$A$7253,$A129,'Besi Balok'!$B$23:$B$7253,$B129,'Besi Balok'!$F$23:$F$7253,'REKAP Balok'!R$11)</f>
        <v>0</v>
      </c>
      <c r="S129">
        <f>SUMIFS('Besi Balok'!$AA$23:$AA$7253,'Besi Balok'!$A$23:$A$7253,$A129,'Besi Balok'!$B$23:$B$7253,$B129,'Besi Balok'!$F$23:$F$7253,'REKAP Balok'!S$11)</f>
        <v>0</v>
      </c>
      <c r="T129">
        <f>SUMIFS('Besi Balok'!$AA$23:$AA$7253,'Besi Balok'!$A$23:$A$7253,$A129,'Besi Balok'!$B$23:$B$7253,$B129,'Besi Balok'!$F$23:$F$7253,'REKAP Balok'!T$11)</f>
        <v>0</v>
      </c>
      <c r="U129">
        <f>SUM(L129:T129)</f>
        <v>59.554319220000004</v>
      </c>
      <c r="V129">
        <f>(D129*(F129-H129)*G129*K129)/1000000000</f>
        <v>0.2525</v>
      </c>
      <c r="W129">
        <f>(((F129-H129)*2+IF(H129&gt;0,0,D129))*(G129)*K129)/1000000</f>
        <v>2.525</v>
      </c>
      <c r="AC129">
        <f>(D129+2*$F$5)*F129*G129/1000000000</f>
        <v>0.808</v>
      </c>
    </row>
    <row r="130">
      <c r="A130" t="str">
        <f>'Data Panjang Balok'!A126</f>
        <v>Lantai 2</v>
      </c>
      <c r="B130">
        <f>'Data Panjang Balok'!B126</f>
        <v>29</v>
      </c>
      <c r="C130" t="str">
        <f>'Data Panjang Balok'!D126</f>
        <v>B23-1</v>
      </c>
      <c r="D130">
        <f>IF(C130&gt;0,VLOOKUP(C130,'Detail Balok'!$C$11:$AU$140,2,FALSE),0)</f>
        <v>200</v>
      </c>
      <c r="E130" t="str">
        <v>x</v>
      </c>
      <c r="F130">
        <f>IF(C130&gt;0,VLOOKUP(C130,'Detail Balok'!$C$11:$AU$140,3,FALSE),0)</f>
        <v>300</v>
      </c>
      <c r="G130">
        <f>'Data Panjang Balok'!I126</f>
        <v>3075</v>
      </c>
      <c r="H130">
        <f>'Data Panjang Balok'!J126</f>
        <v>150</v>
      </c>
      <c r="I130">
        <v>0</v>
      </c>
      <c r="J130">
        <f>I130-F130/1000</f>
        <v>-0.3</v>
      </c>
      <c r="K130">
        <f>'Data Panjang Balok'!E126</f>
        <v>1</v>
      </c>
      <c r="L130">
        <f>SUMIFS('Besi Balok'!$AA$23:$AA$7253,'Besi Balok'!$A$23:$A$7253,$A130,'Besi Balok'!$B$23:$B$7253,$B130,'Besi Balok'!$F$23:$F$7253,'REKAP Balok'!L$11)</f>
        <v>0</v>
      </c>
      <c r="M130">
        <f>SUMIFS('Besi Balok'!$AA$23:$AA$7253,'Besi Balok'!$A$23:$A$7253,$A130,'Besi Balok'!$B$23:$B$7253,$B130,'Besi Balok'!$F$23:$F$7253,'REKAP Balok'!M$11)</f>
        <v>0</v>
      </c>
      <c r="N130">
        <f>SUMIFS('Besi Balok'!$AA$23:$AA$7253,'Besi Balok'!$A$23:$A$7253,$A130,'Besi Balok'!$B$23:$B$7253,$B130,'Besi Balok'!$F$23:$F$7253,'REKAP Balok'!N$11)</f>
        <v>13.304070000000005</v>
      </c>
      <c r="O130">
        <f>SUMIFS('Besi Balok'!$AA$23:$AA$7253,'Besi Balok'!$A$23:$A$7253,$A130,'Besi Balok'!$B$23:$B$7253,$B130,'Besi Balok'!$F$23:$F$7253,'REKAP Balok'!O$11)</f>
        <v>21.173186969999996</v>
      </c>
      <c r="P130">
        <f>SUMIFS('Besi Balok'!$AA$23:$AA$7253,'Besi Balok'!$A$23:$A$7253,$A130,'Besi Balok'!$B$23:$B$7253,$B130,'Besi Balok'!$F$23:$F$7253,'REKAP Balok'!P$11)</f>
        <v>0</v>
      </c>
      <c r="Q130">
        <f>SUMIFS('Besi Balok'!$AA$23:$AA$7253,'Besi Balok'!$A$23:$A$7253,$A130,'Besi Balok'!$B$23:$B$7253,$B130,'Besi Balok'!$F$23:$F$7253,'REKAP Balok'!Q$11)</f>
        <v>0</v>
      </c>
      <c r="R130">
        <f>SUMIFS('Besi Balok'!$AA$23:$AA$7253,'Besi Balok'!$A$23:$A$7253,$A130,'Besi Balok'!$B$23:$B$7253,$B130,'Besi Balok'!$F$23:$F$7253,'REKAP Balok'!R$11)</f>
        <v>0</v>
      </c>
      <c r="S130">
        <f>SUMIFS('Besi Balok'!$AA$23:$AA$7253,'Besi Balok'!$A$23:$A$7253,$A130,'Besi Balok'!$B$23:$B$7253,$B130,'Besi Balok'!$F$23:$F$7253,'REKAP Balok'!S$11)</f>
        <v>0</v>
      </c>
      <c r="T130">
        <f>SUMIFS('Besi Balok'!$AA$23:$AA$7253,'Besi Balok'!$A$23:$A$7253,$A130,'Besi Balok'!$B$23:$B$7253,$B130,'Besi Balok'!$F$23:$F$7253,'REKAP Balok'!T$11)</f>
        <v>0</v>
      </c>
      <c r="U130">
        <f>SUM(L130:T130)</f>
        <v>34.47725697</v>
      </c>
      <c r="V130">
        <f>(D130*(F130-H130)*G130*K130)/1000000000</f>
        <v>0.09225</v>
      </c>
      <c r="W130">
        <f>(((F130-H130)*2+IF(H130&gt;0,0,D130))*(G130)*K130)/1000000</f>
        <v>0.9225</v>
      </c>
      <c r="AC130">
        <f>(D130+2*$F$5)*F130*G130/1000000000</f>
        <v>0.369</v>
      </c>
    </row>
    <row r="131">
      <c r="A131" t="str">
        <f>'Data Panjang Balok'!A127</f>
        <v>Lantai 2</v>
      </c>
      <c r="B131">
        <f>'Data Panjang Balok'!B127</f>
        <v>30</v>
      </c>
      <c r="C131" t="str">
        <f>'Data Panjang Balok'!D127</f>
        <v>B36-1</v>
      </c>
      <c r="D131">
        <f>IF(C131&gt;0,VLOOKUP(C131,'Detail Balok'!$C$11:$AU$140,2,FALSE),0)</f>
        <v>300</v>
      </c>
      <c r="E131" t="str">
        <v>x</v>
      </c>
      <c r="F131">
        <f>IF(C131&gt;0,VLOOKUP(C131,'Detail Balok'!$C$11:$AU$140,3,FALSE),0)</f>
        <v>600</v>
      </c>
      <c r="G131">
        <f>'Data Panjang Balok'!I127</f>
        <v>5585</v>
      </c>
      <c r="H131">
        <f>'Data Panjang Balok'!J127</f>
        <v>150</v>
      </c>
      <c r="I131">
        <v>0</v>
      </c>
      <c r="J131">
        <f>I131-F131/1000</f>
        <v>-0.6</v>
      </c>
      <c r="K131">
        <f>'Data Panjang Balok'!E127</f>
        <v>1</v>
      </c>
      <c r="L131">
        <f>SUMIFS('Besi Balok'!$AA$23:$AA$7253,'Besi Balok'!$A$23:$A$7253,$A131,'Besi Balok'!$B$23:$B$7253,$B131,'Besi Balok'!$F$23:$F$7253,'REKAP Balok'!L$11)</f>
        <v>0</v>
      </c>
      <c r="M131">
        <f>SUMIFS('Besi Balok'!$AA$23:$AA$7253,'Besi Balok'!$A$23:$A$7253,$A131,'Besi Balok'!$B$23:$B$7253,$B131,'Besi Balok'!$F$23:$F$7253,'REKAP Balok'!M$11)</f>
        <v>0</v>
      </c>
      <c r="N131">
        <f>SUMIFS('Besi Balok'!$AA$23:$AA$7253,'Besi Balok'!$A$23:$A$7253,$A131,'Besi Balok'!$B$23:$B$7253,$B131,'Besi Balok'!$F$23:$F$7253,'REKAP Balok'!N$11)</f>
        <v>56.42208000000001</v>
      </c>
      <c r="O131">
        <f>SUMIFS('Besi Balok'!$AA$23:$AA$7253,'Besi Balok'!$A$23:$A$7253,$A131,'Besi Balok'!$B$23:$B$7253,$B131,'Besi Balok'!$F$23:$F$7253,'REKAP Balok'!O$11)</f>
        <v>0</v>
      </c>
      <c r="P131">
        <f>SUMIFS('Besi Balok'!$AA$23:$AA$7253,'Besi Balok'!$A$23:$A$7253,$A131,'Besi Balok'!$B$23:$B$7253,$B131,'Besi Balok'!$F$23:$F$7253,'REKAP Balok'!P$11)</f>
        <v>94.2051456</v>
      </c>
      <c r="Q131">
        <f>SUMIFS('Besi Balok'!$AA$23:$AA$7253,'Besi Balok'!$A$23:$A$7253,$A131,'Besi Balok'!$B$23:$B$7253,$B131,'Besi Balok'!$F$23:$F$7253,'REKAP Balok'!Q$11)</f>
        <v>0</v>
      </c>
      <c r="R131">
        <f>SUMIFS('Besi Balok'!$AA$23:$AA$7253,'Besi Balok'!$A$23:$A$7253,$A131,'Besi Balok'!$B$23:$B$7253,$B131,'Besi Balok'!$F$23:$F$7253,'REKAP Balok'!R$11)</f>
        <v>0</v>
      </c>
      <c r="S131">
        <f>SUMIFS('Besi Balok'!$AA$23:$AA$7253,'Besi Balok'!$A$23:$A$7253,$A131,'Besi Balok'!$B$23:$B$7253,$B131,'Besi Balok'!$F$23:$F$7253,'REKAP Balok'!S$11)</f>
        <v>0</v>
      </c>
      <c r="T131">
        <f>SUMIFS('Besi Balok'!$AA$23:$AA$7253,'Besi Balok'!$A$23:$A$7253,$A131,'Besi Balok'!$B$23:$B$7253,$B131,'Besi Balok'!$F$23:$F$7253,'REKAP Balok'!T$11)</f>
        <v>0</v>
      </c>
      <c r="U131">
        <f>SUM(L131:T131)</f>
        <v>150.6272256</v>
      </c>
      <c r="V131">
        <f>(D131*(F131-H131)*G131*K131)/1000000000</f>
        <v>0.753975</v>
      </c>
      <c r="W131">
        <f>(((F131-H131)*2+IF(H131&gt;0,0,D131))*(G131)*K131)/1000000</f>
        <v>5.0265</v>
      </c>
      <c r="AC131">
        <f>(D131+2*$F$5)*F131*G131/1000000000</f>
        <v>1.6755</v>
      </c>
    </row>
    <row r="132">
      <c r="A132" t="str">
        <f>'Data Panjang Balok'!A128</f>
        <v>Lantai 2</v>
      </c>
      <c r="B132">
        <f>'Data Panjang Balok'!B128</f>
        <v>31</v>
      </c>
      <c r="C132" t="str">
        <f>'Data Panjang Balok'!D128</f>
        <v>B23-1</v>
      </c>
      <c r="D132">
        <f>IF(C132&gt;0,VLOOKUP(C132,'Detail Balok'!$C$11:$AU$140,2,FALSE),0)</f>
        <v>200</v>
      </c>
      <c r="E132" t="str">
        <v>x</v>
      </c>
      <c r="F132">
        <f>IF(C132&gt;0,VLOOKUP(C132,'Detail Balok'!$C$11:$AU$140,3,FALSE),0)</f>
        <v>300</v>
      </c>
      <c r="G132">
        <f>'Data Panjang Balok'!I128</f>
        <v>2650</v>
      </c>
      <c r="H132">
        <f>'Data Panjang Balok'!J128</f>
        <v>150</v>
      </c>
      <c r="I132">
        <v>0</v>
      </c>
      <c r="J132">
        <f>I132-F132/1000</f>
        <v>-0.3</v>
      </c>
      <c r="K132">
        <f>'Data Panjang Balok'!E128</f>
        <v>1</v>
      </c>
      <c r="L132">
        <f>SUMIFS('Besi Balok'!$AA$23:$AA$7253,'Besi Balok'!$A$23:$A$7253,$A132,'Besi Balok'!$B$23:$B$7253,$B132,'Besi Balok'!$F$23:$F$7253,'REKAP Balok'!L$11)</f>
        <v>0</v>
      </c>
      <c r="M132">
        <f>SUMIFS('Besi Balok'!$AA$23:$AA$7253,'Besi Balok'!$A$23:$A$7253,$A132,'Besi Balok'!$B$23:$B$7253,$B132,'Besi Balok'!$F$23:$F$7253,'REKAP Balok'!M$11)</f>
        <v>0</v>
      </c>
      <c r="N132">
        <f>SUMIFS('Besi Balok'!$AA$23:$AA$7253,'Besi Balok'!$A$23:$A$7253,$A132,'Besi Balok'!$B$23:$B$7253,$B132,'Besi Balok'!$F$23:$F$7253,'REKAP Balok'!N$11)</f>
        <v>11.768985000000004</v>
      </c>
      <c r="O132">
        <f>SUMIFS('Besi Balok'!$AA$23:$AA$7253,'Besi Balok'!$A$23:$A$7253,$A132,'Besi Balok'!$B$23:$B$7253,$B132,'Besi Balok'!$F$23:$F$7253,'REKAP Balok'!O$11)</f>
        <v>18.51638022</v>
      </c>
      <c r="P132">
        <f>SUMIFS('Besi Balok'!$AA$23:$AA$7253,'Besi Balok'!$A$23:$A$7253,$A132,'Besi Balok'!$B$23:$B$7253,$B132,'Besi Balok'!$F$23:$F$7253,'REKAP Balok'!P$11)</f>
        <v>0</v>
      </c>
      <c r="Q132">
        <f>SUMIFS('Besi Balok'!$AA$23:$AA$7253,'Besi Balok'!$A$23:$A$7253,$A132,'Besi Balok'!$B$23:$B$7253,$B132,'Besi Balok'!$F$23:$F$7253,'REKAP Balok'!Q$11)</f>
        <v>0</v>
      </c>
      <c r="R132">
        <f>SUMIFS('Besi Balok'!$AA$23:$AA$7253,'Besi Balok'!$A$23:$A$7253,$A132,'Besi Balok'!$B$23:$B$7253,$B132,'Besi Balok'!$F$23:$F$7253,'REKAP Balok'!R$11)</f>
        <v>0</v>
      </c>
      <c r="S132">
        <f>SUMIFS('Besi Balok'!$AA$23:$AA$7253,'Besi Balok'!$A$23:$A$7253,$A132,'Besi Balok'!$B$23:$B$7253,$B132,'Besi Balok'!$F$23:$F$7253,'REKAP Balok'!S$11)</f>
        <v>0</v>
      </c>
      <c r="T132">
        <f>SUMIFS('Besi Balok'!$AA$23:$AA$7253,'Besi Balok'!$A$23:$A$7253,$A132,'Besi Balok'!$B$23:$B$7253,$B132,'Besi Balok'!$F$23:$F$7253,'REKAP Balok'!T$11)</f>
        <v>0</v>
      </c>
      <c r="U132">
        <f>SUM(L132:T132)</f>
        <v>30.285365220000003</v>
      </c>
      <c r="V132">
        <f>(D132*(F132-H132)*G132*K132)/1000000000</f>
        <v>0.0795</v>
      </c>
      <c r="W132">
        <f>(((F132-H132)*2+IF(H132&gt;0,0,D132))*(G132)*K132)/1000000</f>
        <v>0.795</v>
      </c>
      <c r="AC132">
        <f>(D132+2*$F$5)*F132*G132/1000000000</f>
        <v>0.318</v>
      </c>
    </row>
    <row r="133">
      <c r="A133" t="str">
        <f>'Data Panjang Balok'!A129</f>
        <v>Lantai 2</v>
      </c>
      <c r="B133">
        <f>'Data Panjang Balok'!B129</f>
        <v>32</v>
      </c>
      <c r="C133" t="str">
        <f>'Data Panjang Balok'!D129</f>
        <v>B36-1</v>
      </c>
      <c r="D133">
        <f>IF(C133&gt;0,VLOOKUP(C133,'Detail Balok'!$C$11:$AU$140,2,FALSE),0)</f>
        <v>300</v>
      </c>
      <c r="E133" t="str">
        <v>x</v>
      </c>
      <c r="F133">
        <f>IF(C133&gt;0,VLOOKUP(C133,'Detail Balok'!$C$11:$AU$140,3,FALSE),0)</f>
        <v>600</v>
      </c>
      <c r="G133">
        <f>'Data Panjang Balok'!I129</f>
        <v>5325</v>
      </c>
      <c r="H133">
        <f>'Data Panjang Balok'!J129</f>
        <v>150</v>
      </c>
      <c r="I133">
        <v>0</v>
      </c>
      <c r="J133">
        <f>I133-F133/1000</f>
        <v>-0.6</v>
      </c>
      <c r="K133">
        <f>'Data Panjang Balok'!E129</f>
        <v>1</v>
      </c>
      <c r="L133">
        <f>SUMIFS('Besi Balok'!$AA$23:$AA$7253,'Besi Balok'!$A$23:$A$7253,$A133,'Besi Balok'!$B$23:$B$7253,$B133,'Besi Balok'!$F$23:$F$7253,'REKAP Balok'!L$11)</f>
        <v>0</v>
      </c>
      <c r="M133">
        <f>SUMIFS('Besi Balok'!$AA$23:$AA$7253,'Besi Balok'!$A$23:$A$7253,$A133,'Besi Balok'!$B$23:$B$7253,$B133,'Besi Balok'!$F$23:$F$7253,'REKAP Balok'!M$11)</f>
        <v>0</v>
      </c>
      <c r="N133">
        <f>SUMIFS('Besi Balok'!$AA$23:$AA$7253,'Besi Balok'!$A$23:$A$7253,$A133,'Besi Balok'!$B$23:$B$7253,$B133,'Besi Balok'!$F$23:$F$7253,'REKAP Balok'!N$11)</f>
        <v>53.08681500000001</v>
      </c>
      <c r="O133">
        <f>SUMIFS('Besi Balok'!$AA$23:$AA$7253,'Besi Balok'!$A$23:$A$7253,$A133,'Besi Balok'!$B$23:$B$7253,$B133,'Besi Balok'!$F$23:$F$7253,'REKAP Balok'!O$11)</f>
        <v>0</v>
      </c>
      <c r="P133">
        <f>SUMIFS('Besi Balok'!$AA$23:$AA$7253,'Besi Balok'!$A$23:$A$7253,$A133,'Besi Balok'!$B$23:$B$7253,$B133,'Besi Balok'!$F$23:$F$7253,'REKAP Balok'!P$11)</f>
        <v>90.10172160000002</v>
      </c>
      <c r="Q133">
        <f>SUMIFS('Besi Balok'!$AA$23:$AA$7253,'Besi Balok'!$A$23:$A$7253,$A133,'Besi Balok'!$B$23:$B$7253,$B133,'Besi Balok'!$F$23:$F$7253,'REKAP Balok'!Q$11)</f>
        <v>0</v>
      </c>
      <c r="R133">
        <f>SUMIFS('Besi Balok'!$AA$23:$AA$7253,'Besi Balok'!$A$23:$A$7253,$A133,'Besi Balok'!$B$23:$B$7253,$B133,'Besi Balok'!$F$23:$F$7253,'REKAP Balok'!R$11)</f>
        <v>0</v>
      </c>
      <c r="S133">
        <f>SUMIFS('Besi Balok'!$AA$23:$AA$7253,'Besi Balok'!$A$23:$A$7253,$A133,'Besi Balok'!$B$23:$B$7253,$B133,'Besi Balok'!$F$23:$F$7253,'REKAP Balok'!S$11)</f>
        <v>0</v>
      </c>
      <c r="T133">
        <f>SUMIFS('Besi Balok'!$AA$23:$AA$7253,'Besi Balok'!$A$23:$A$7253,$A133,'Besi Balok'!$B$23:$B$7253,$B133,'Besi Balok'!$F$23:$F$7253,'REKAP Balok'!T$11)</f>
        <v>0</v>
      </c>
      <c r="U133">
        <f>SUM(L133:T133)</f>
        <v>143.18853660000002</v>
      </c>
      <c r="V133">
        <f>(D133*(F133-H133)*G133*K133)/1000000000</f>
        <v>0.718875</v>
      </c>
      <c r="W133">
        <f>(((F133-H133)*2+IF(H133&gt;0,0,D133))*(G133)*K133)/1000000</f>
        <v>4.7925</v>
      </c>
      <c r="AC133">
        <f>(D133+2*$F$5)*F133*G133/1000000000</f>
        <v>1.5975</v>
      </c>
    </row>
    <row r="134">
      <c r="A134" t="str">
        <f>'Data Panjang Balok'!A130</f>
        <v>Lantai 2</v>
      </c>
      <c r="B134">
        <f>'Data Panjang Balok'!B130</f>
        <v>33</v>
      </c>
      <c r="C134" t="str">
        <f>'Data Panjang Balok'!D130</f>
        <v>B24-1</v>
      </c>
      <c r="D134">
        <f>IF(C134&gt;0,VLOOKUP(C134,'Detail Balok'!$C$11:$AU$140,2,FALSE),0)</f>
        <v>200</v>
      </c>
      <c r="E134" t="str">
        <v>x</v>
      </c>
      <c r="F134">
        <f>IF(C134&gt;0,VLOOKUP(C134,'Detail Balok'!$C$11:$AU$140,3,FALSE),0)</f>
        <v>400</v>
      </c>
      <c r="G134">
        <f>'Data Panjang Balok'!I130</f>
        <v>3645</v>
      </c>
      <c r="H134">
        <f>'Data Panjang Balok'!J130</f>
        <v>150</v>
      </c>
      <c r="I134">
        <v>0</v>
      </c>
      <c r="J134">
        <f>I134-F134/1000</f>
        <v>-0.4</v>
      </c>
      <c r="K134">
        <f>'Data Panjang Balok'!E130</f>
        <v>1</v>
      </c>
      <c r="L134">
        <f>SUMIFS('Besi Balok'!$AA$23:$AA$7253,'Besi Balok'!$A$23:$A$7253,$A134,'Besi Balok'!$B$23:$B$7253,$B134,'Besi Balok'!$F$23:$F$7253,'REKAP Balok'!L$11)</f>
        <v>0</v>
      </c>
      <c r="M134">
        <f>SUMIFS('Besi Balok'!$AA$23:$AA$7253,'Besi Balok'!$A$23:$A$7253,$A134,'Besi Balok'!$B$23:$B$7253,$B134,'Besi Balok'!$F$23:$F$7253,'REKAP Balok'!M$11)</f>
        <v>0</v>
      </c>
      <c r="N134">
        <f>SUMIFS('Besi Balok'!$AA$23:$AA$7253,'Besi Balok'!$A$23:$A$7253,$A134,'Besi Balok'!$B$23:$B$7253,$B134,'Besi Balok'!$F$23:$F$7253,'REKAP Balok'!N$11)</f>
        <v>18.414855000000003</v>
      </c>
      <c r="O134">
        <f>SUMIFS('Besi Balok'!$AA$23:$AA$7253,'Besi Balok'!$A$23:$A$7253,$A134,'Besi Balok'!$B$23:$B$7253,$B134,'Besi Balok'!$F$23:$F$7253,'REKAP Balok'!O$11)</f>
        <v>24.73643367</v>
      </c>
      <c r="P134">
        <f>SUMIFS('Besi Balok'!$AA$23:$AA$7253,'Besi Balok'!$A$23:$A$7253,$A134,'Besi Balok'!$B$23:$B$7253,$B134,'Besi Balok'!$F$23:$F$7253,'REKAP Balok'!P$11)</f>
        <v>0</v>
      </c>
      <c r="Q134">
        <f>SUMIFS('Besi Balok'!$AA$23:$AA$7253,'Besi Balok'!$A$23:$A$7253,$A134,'Besi Balok'!$B$23:$B$7253,$B134,'Besi Balok'!$F$23:$F$7253,'REKAP Balok'!Q$11)</f>
        <v>0</v>
      </c>
      <c r="R134">
        <f>SUMIFS('Besi Balok'!$AA$23:$AA$7253,'Besi Balok'!$A$23:$A$7253,$A134,'Besi Balok'!$B$23:$B$7253,$B134,'Besi Balok'!$F$23:$F$7253,'REKAP Balok'!R$11)</f>
        <v>0</v>
      </c>
      <c r="S134">
        <f>SUMIFS('Besi Balok'!$AA$23:$AA$7253,'Besi Balok'!$A$23:$A$7253,$A134,'Besi Balok'!$B$23:$B$7253,$B134,'Besi Balok'!$F$23:$F$7253,'REKAP Balok'!S$11)</f>
        <v>0</v>
      </c>
      <c r="T134">
        <f>SUMIFS('Besi Balok'!$AA$23:$AA$7253,'Besi Balok'!$A$23:$A$7253,$A134,'Besi Balok'!$B$23:$B$7253,$B134,'Besi Balok'!$F$23:$F$7253,'REKAP Balok'!T$11)</f>
        <v>0</v>
      </c>
      <c r="U134">
        <f>SUM(L134:T134)</f>
        <v>43.15128867</v>
      </c>
      <c r="V134">
        <f>(D134*(F134-H134)*G134*K134)/1000000000</f>
        <v>0.18225</v>
      </c>
      <c r="W134">
        <f>(((F134-H134)*2+IF(H134&gt;0,0,D134))*(G134)*K134)/1000000</f>
        <v>1.8225</v>
      </c>
      <c r="AC134">
        <f>(D134+2*$F$5)*F134*G134/1000000000</f>
        <v>0.5832</v>
      </c>
    </row>
    <row r="135">
      <c r="A135" t="str">
        <f>'Data Panjang Balok'!A131</f>
        <v>Lantai 2</v>
      </c>
      <c r="B135">
        <f>'Data Panjang Balok'!B131</f>
        <v>34</v>
      </c>
      <c r="C135" t="str">
        <f>'Data Panjang Balok'!D131</f>
        <v>B24-1</v>
      </c>
      <c r="D135">
        <f>IF(C135&gt;0,VLOOKUP(C135,'Detail Balok'!$C$11:$AU$140,2,FALSE),0)</f>
        <v>200</v>
      </c>
      <c r="E135" t="str">
        <v>x</v>
      </c>
      <c r="F135">
        <f>IF(C135&gt;0,VLOOKUP(C135,'Detail Balok'!$C$11:$AU$140,3,FALSE),0)</f>
        <v>400</v>
      </c>
      <c r="G135">
        <f>'Data Panjang Balok'!I131</f>
        <v>3965</v>
      </c>
      <c r="H135">
        <f>'Data Panjang Balok'!J131</f>
        <v>150</v>
      </c>
      <c r="I135">
        <v>0</v>
      </c>
      <c r="J135">
        <f>I135-F135/1000</f>
        <v>-0.4</v>
      </c>
      <c r="K135">
        <f>'Data Panjang Balok'!E131</f>
        <v>1</v>
      </c>
      <c r="L135">
        <f>SUMIFS('Besi Balok'!$AA$23:$AA$7253,'Besi Balok'!$A$23:$A$7253,$A135,'Besi Balok'!$B$23:$B$7253,$B135,'Besi Balok'!$F$23:$F$7253,'REKAP Balok'!L$11)</f>
        <v>0</v>
      </c>
      <c r="M135">
        <f>SUMIFS('Besi Balok'!$AA$23:$AA$7253,'Besi Balok'!$A$23:$A$7253,$A135,'Besi Balok'!$B$23:$B$7253,$B135,'Besi Balok'!$F$23:$F$7253,'REKAP Balok'!M$11)</f>
        <v>0</v>
      </c>
      <c r="N135">
        <f>SUMIFS('Besi Balok'!$AA$23:$AA$7253,'Besi Balok'!$A$23:$A$7253,$A135,'Besi Balok'!$B$23:$B$7253,$B135,'Besi Balok'!$F$23:$F$7253,'REKAP Balok'!N$11)</f>
        <v>20.319840000000003</v>
      </c>
      <c r="O135">
        <f>SUMIFS('Besi Balok'!$AA$23:$AA$7253,'Besi Balok'!$A$23:$A$7253,$A135,'Besi Balok'!$B$23:$B$7253,$B135,'Besi Balok'!$F$23:$F$7253,'REKAP Balok'!O$11)</f>
        <v>26.736852869999996</v>
      </c>
      <c r="P135">
        <f>SUMIFS('Besi Balok'!$AA$23:$AA$7253,'Besi Balok'!$A$23:$A$7253,$A135,'Besi Balok'!$B$23:$B$7253,$B135,'Besi Balok'!$F$23:$F$7253,'REKAP Balok'!P$11)</f>
        <v>0</v>
      </c>
      <c r="Q135">
        <f>SUMIFS('Besi Balok'!$AA$23:$AA$7253,'Besi Balok'!$A$23:$A$7253,$A135,'Besi Balok'!$B$23:$B$7253,$B135,'Besi Balok'!$F$23:$F$7253,'REKAP Balok'!Q$11)</f>
        <v>0</v>
      </c>
      <c r="R135">
        <f>SUMIFS('Besi Balok'!$AA$23:$AA$7253,'Besi Balok'!$A$23:$A$7253,$A135,'Besi Balok'!$B$23:$B$7253,$B135,'Besi Balok'!$F$23:$F$7253,'REKAP Balok'!R$11)</f>
        <v>0</v>
      </c>
      <c r="S135">
        <f>SUMIFS('Besi Balok'!$AA$23:$AA$7253,'Besi Balok'!$A$23:$A$7253,$A135,'Besi Balok'!$B$23:$B$7253,$B135,'Besi Balok'!$F$23:$F$7253,'REKAP Balok'!S$11)</f>
        <v>0</v>
      </c>
      <c r="T135">
        <f>SUMIFS('Besi Balok'!$AA$23:$AA$7253,'Besi Balok'!$A$23:$A$7253,$A135,'Besi Balok'!$B$23:$B$7253,$B135,'Besi Balok'!$F$23:$F$7253,'REKAP Balok'!T$11)</f>
        <v>0</v>
      </c>
      <c r="U135">
        <f>SUM(L135:T135)</f>
        <v>47.05669287</v>
      </c>
      <c r="V135">
        <f>(D135*(F135-H135)*G135*K135)/1000000000</f>
        <v>0.19825</v>
      </c>
      <c r="W135">
        <f>(((F135-H135)*2+IF(H135&gt;0,0,D135))*(G135)*K135)/1000000</f>
        <v>1.9825</v>
      </c>
      <c r="AC135">
        <f>(D135+2*$F$5)*F135*G135/1000000000</f>
        <v>0.6344</v>
      </c>
    </row>
    <row r="136">
      <c r="A136" t="str">
        <f>'Data Panjang Balok'!A132</f>
        <v>Lantai 2</v>
      </c>
      <c r="B136">
        <f>'Data Panjang Balok'!B132</f>
        <v>35</v>
      </c>
      <c r="C136" t="str">
        <f>'Data Panjang Balok'!D132</f>
        <v>B25-1</v>
      </c>
      <c r="D136">
        <f>IF(C136&gt;0,VLOOKUP(C136,'Detail Balok'!$C$11:$AU$140,2,FALSE),0)</f>
        <v>200</v>
      </c>
      <c r="E136" t="str">
        <v>x</v>
      </c>
      <c r="F136">
        <f>IF(C136&gt;0,VLOOKUP(C136,'Detail Balok'!$C$11:$AU$140,3,FALSE),0)</f>
        <v>500</v>
      </c>
      <c r="G136">
        <f>'Data Panjang Balok'!I132</f>
        <v>4075</v>
      </c>
      <c r="H136">
        <f>'Data Panjang Balok'!J132</f>
        <v>150</v>
      </c>
      <c r="I136">
        <v>0</v>
      </c>
      <c r="J136">
        <f>I136-F136/1000</f>
        <v>-0.5</v>
      </c>
      <c r="K136">
        <f>'Data Panjang Balok'!E132</f>
        <v>1</v>
      </c>
      <c r="L136">
        <f>SUMIFS('Besi Balok'!$AA$23:$AA$7253,'Besi Balok'!$A$23:$A$7253,$A136,'Besi Balok'!$B$23:$B$7253,$B136,'Besi Balok'!$F$23:$F$7253,'REKAP Balok'!L$11)</f>
        <v>0</v>
      </c>
      <c r="M136">
        <f>SUMIFS('Besi Balok'!$AA$23:$AA$7253,'Besi Balok'!$A$23:$A$7253,$A136,'Besi Balok'!$B$23:$B$7253,$B136,'Besi Balok'!$F$23:$F$7253,'REKAP Balok'!M$11)</f>
        <v>0</v>
      </c>
      <c r="N136">
        <f>SUMIFS('Besi Balok'!$AA$23:$AA$7253,'Besi Balok'!$A$23:$A$7253,$A136,'Besi Balok'!$B$23:$B$7253,$B136,'Besi Balok'!$F$23:$F$7253,'REKAP Balok'!N$11)</f>
        <v>25.036065</v>
      </c>
      <c r="O136">
        <f>SUMIFS('Besi Balok'!$AA$23:$AA$7253,'Besi Balok'!$A$23:$A$7253,$A136,'Besi Balok'!$B$23:$B$7253,$B136,'Besi Balok'!$F$23:$F$7253,'REKAP Balok'!O$11)</f>
        <v>0</v>
      </c>
      <c r="P136">
        <f>SUMIFS('Besi Balok'!$AA$23:$AA$7253,'Besi Balok'!$A$23:$A$7253,$A136,'Besi Balok'!$B$23:$B$7253,$B136,'Besi Balok'!$F$23:$F$7253,'REKAP Balok'!P$11)</f>
        <v>56.298977279999995</v>
      </c>
      <c r="Q136">
        <f>SUMIFS('Besi Balok'!$AA$23:$AA$7253,'Besi Balok'!$A$23:$A$7253,$A136,'Besi Balok'!$B$23:$B$7253,$B136,'Besi Balok'!$F$23:$F$7253,'REKAP Balok'!Q$11)</f>
        <v>0</v>
      </c>
      <c r="R136">
        <f>SUMIFS('Besi Balok'!$AA$23:$AA$7253,'Besi Balok'!$A$23:$A$7253,$A136,'Besi Balok'!$B$23:$B$7253,$B136,'Besi Balok'!$F$23:$F$7253,'REKAP Balok'!R$11)</f>
        <v>0</v>
      </c>
      <c r="S136">
        <f>SUMIFS('Besi Balok'!$AA$23:$AA$7253,'Besi Balok'!$A$23:$A$7253,$A136,'Besi Balok'!$B$23:$B$7253,$B136,'Besi Balok'!$F$23:$F$7253,'REKAP Balok'!S$11)</f>
        <v>0</v>
      </c>
      <c r="T136">
        <f>SUMIFS('Besi Balok'!$AA$23:$AA$7253,'Besi Balok'!$A$23:$A$7253,$A136,'Besi Balok'!$B$23:$B$7253,$B136,'Besi Balok'!$F$23:$F$7253,'REKAP Balok'!T$11)</f>
        <v>0</v>
      </c>
      <c r="U136">
        <f>SUM(L136:T136)</f>
        <v>81.33504228</v>
      </c>
      <c r="V136">
        <f>(D136*(F136-H136)*G136*K136)/1000000000</f>
        <v>0.28525</v>
      </c>
      <c r="W136">
        <f>(((F136-H136)*2+IF(H136&gt;0,0,D136))*(G136)*K136)/1000000</f>
        <v>2.8525</v>
      </c>
      <c r="AC136">
        <f>(D136+2*$F$5)*F136*G136/1000000000</f>
        <v>0.815</v>
      </c>
    </row>
    <row r="137">
      <c r="A137" t="str">
        <f>'Data Panjang Balok'!A133</f>
        <v>Lantai 2</v>
      </c>
      <c r="B137">
        <f>'Data Panjang Balok'!B133</f>
        <v>36</v>
      </c>
      <c r="C137" t="str">
        <f>'Data Panjang Balok'!D133</f>
        <v>B24-1</v>
      </c>
      <c r="D137">
        <f>IF(C137&gt;0,VLOOKUP(C137,'Detail Balok'!$C$11:$AU$140,2,FALSE),0)</f>
        <v>200</v>
      </c>
      <c r="E137" t="str">
        <v>x</v>
      </c>
      <c r="F137">
        <f>IF(C137&gt;0,VLOOKUP(C137,'Detail Balok'!$C$11:$AU$140,3,FALSE),0)</f>
        <v>400</v>
      </c>
      <c r="G137">
        <f>'Data Panjang Balok'!I133</f>
        <v>4000</v>
      </c>
      <c r="H137">
        <f>'Data Panjang Balok'!J133</f>
        <v>150</v>
      </c>
      <c r="I137">
        <v>0</v>
      </c>
      <c r="J137">
        <f>I137-F137/1000</f>
        <v>-0.4</v>
      </c>
      <c r="K137">
        <f>'Data Panjang Balok'!E133</f>
        <v>1</v>
      </c>
      <c r="L137">
        <f>SUMIFS('Besi Balok'!$AA$23:$AA$7253,'Besi Balok'!$A$23:$A$7253,$A137,'Besi Balok'!$B$23:$B$7253,$B137,'Besi Balok'!$F$23:$F$7253,'REKAP Balok'!L$11)</f>
        <v>0</v>
      </c>
      <c r="M137">
        <f>SUMIFS('Besi Balok'!$AA$23:$AA$7253,'Besi Balok'!$A$23:$A$7253,$A137,'Besi Balok'!$B$23:$B$7253,$B137,'Besi Balok'!$F$23:$F$7253,'REKAP Balok'!M$11)</f>
        <v>0</v>
      </c>
      <c r="N137">
        <f>SUMIFS('Besi Balok'!$AA$23:$AA$7253,'Besi Balok'!$A$23:$A$7253,$A137,'Besi Balok'!$B$23:$B$7253,$B137,'Besi Balok'!$F$23:$F$7253,'REKAP Balok'!N$11)</f>
        <v>20.319840000000003</v>
      </c>
      <c r="O137">
        <f>SUMIFS('Besi Balok'!$AA$23:$AA$7253,'Besi Balok'!$A$23:$A$7253,$A137,'Besi Balok'!$B$23:$B$7253,$B137,'Besi Balok'!$F$23:$F$7253,'REKAP Balok'!O$11)</f>
        <v>26.955648719999992</v>
      </c>
      <c r="P137">
        <f>SUMIFS('Besi Balok'!$AA$23:$AA$7253,'Besi Balok'!$A$23:$A$7253,$A137,'Besi Balok'!$B$23:$B$7253,$B137,'Besi Balok'!$F$23:$F$7253,'REKAP Balok'!P$11)</f>
        <v>0</v>
      </c>
      <c r="Q137">
        <f>SUMIFS('Besi Balok'!$AA$23:$AA$7253,'Besi Balok'!$A$23:$A$7253,$A137,'Besi Balok'!$B$23:$B$7253,$B137,'Besi Balok'!$F$23:$F$7253,'REKAP Balok'!Q$11)</f>
        <v>0</v>
      </c>
      <c r="R137">
        <f>SUMIFS('Besi Balok'!$AA$23:$AA$7253,'Besi Balok'!$A$23:$A$7253,$A137,'Besi Balok'!$B$23:$B$7253,$B137,'Besi Balok'!$F$23:$F$7253,'REKAP Balok'!R$11)</f>
        <v>0</v>
      </c>
      <c r="S137">
        <f>SUMIFS('Besi Balok'!$AA$23:$AA$7253,'Besi Balok'!$A$23:$A$7253,$A137,'Besi Balok'!$B$23:$B$7253,$B137,'Besi Balok'!$F$23:$F$7253,'REKAP Balok'!S$11)</f>
        <v>0</v>
      </c>
      <c r="T137">
        <f>SUMIFS('Besi Balok'!$AA$23:$AA$7253,'Besi Balok'!$A$23:$A$7253,$A137,'Besi Balok'!$B$23:$B$7253,$B137,'Besi Balok'!$F$23:$F$7253,'REKAP Balok'!T$11)</f>
        <v>0</v>
      </c>
      <c r="U137">
        <f>SUM(L137:T137)</f>
        <v>47.27548872</v>
      </c>
      <c r="V137">
        <f>(D137*(F137-H137)*G137*K137)/1000000000</f>
        <v>0.2</v>
      </c>
      <c r="W137">
        <f>(((F137-H137)*2+IF(H137&gt;0,0,D137))*(G137)*K137)/1000000</f>
        <v>2</v>
      </c>
      <c r="AC137">
        <f>(D137+2*$F$5)*F137*G137/1000000000</f>
        <v>0.64</v>
      </c>
    </row>
    <row r="138">
      <c r="A138" t="str">
        <f>'Data Panjang Balok'!A134</f>
        <v>Lantai 2</v>
      </c>
      <c r="B138">
        <f>'Data Panjang Balok'!B134</f>
        <v>37</v>
      </c>
      <c r="C138" t="str">
        <f>'Data Panjang Balok'!D134</f>
        <v>B24-2</v>
      </c>
      <c r="D138">
        <f>IF(C138&gt;0,VLOOKUP(C138,'Detail Balok'!$C$11:$AU$140,2,FALSE),0)</f>
        <v>200</v>
      </c>
      <c r="E138" t="str">
        <v>x</v>
      </c>
      <c r="F138">
        <f>IF(C138&gt;0,VLOOKUP(C138,'Detail Balok'!$C$11:$AU$140,3,FALSE),0)</f>
        <v>400</v>
      </c>
      <c r="G138">
        <f>'Data Panjang Balok'!I134</f>
        <v>11275</v>
      </c>
      <c r="H138">
        <f>'Data Panjang Balok'!J134</f>
        <v>150</v>
      </c>
      <c r="I138">
        <v>0</v>
      </c>
      <c r="J138">
        <f>I138-F138/1000</f>
        <v>-0.4</v>
      </c>
      <c r="K138">
        <f>'Data Panjang Balok'!E134</f>
        <v>1</v>
      </c>
      <c r="L138">
        <f>SUMIFS('Besi Balok'!$AA$23:$AA$7253,'Besi Balok'!$A$23:$A$7253,$A138,'Besi Balok'!$B$23:$B$7253,$B138,'Besi Balok'!$F$23:$F$7253,'REKAP Balok'!L$11)</f>
        <v>0</v>
      </c>
      <c r="M138">
        <f>SUMIFS('Besi Balok'!$AA$23:$AA$7253,'Besi Balok'!$A$23:$A$7253,$A138,'Besi Balok'!$B$23:$B$7253,$B138,'Besi Balok'!$F$23:$F$7253,'REKAP Balok'!M$11)</f>
        <v>0</v>
      </c>
      <c r="N138">
        <f>SUMIFS('Besi Balok'!$AA$23:$AA$7253,'Besi Balok'!$A$23:$A$7253,$A138,'Besi Balok'!$B$23:$B$7253,$B138,'Besi Balok'!$F$23:$F$7253,'REKAP Balok'!N$11)</f>
        <v>54.609570000000005</v>
      </c>
      <c r="O138">
        <f>SUMIFS('Besi Balok'!$AA$23:$AA$7253,'Besi Balok'!$A$23:$A$7253,$A138,'Besi Balok'!$B$23:$B$7253,$B138,'Besi Balok'!$F$23:$F$7253,'REKAP Balok'!O$11)</f>
        <v>0</v>
      </c>
      <c r="P138">
        <f>SUMIFS('Besi Balok'!$AA$23:$AA$7253,'Besi Balok'!$A$23:$A$7253,$A138,'Besi Balok'!$B$23:$B$7253,$B138,'Besi Balok'!$F$23:$F$7253,'REKAP Balok'!P$11)</f>
        <v>110.40420096000003</v>
      </c>
      <c r="Q138">
        <f>SUMIFS('Besi Balok'!$AA$23:$AA$7253,'Besi Balok'!$A$23:$A$7253,$A138,'Besi Balok'!$B$23:$B$7253,$B138,'Besi Balok'!$F$23:$F$7253,'REKAP Balok'!Q$11)</f>
        <v>0</v>
      </c>
      <c r="R138">
        <f>SUMIFS('Besi Balok'!$AA$23:$AA$7253,'Besi Balok'!$A$23:$A$7253,$A138,'Besi Balok'!$B$23:$B$7253,$B138,'Besi Balok'!$F$23:$F$7253,'REKAP Balok'!R$11)</f>
        <v>0</v>
      </c>
      <c r="S138">
        <f>SUMIFS('Besi Balok'!$AA$23:$AA$7253,'Besi Balok'!$A$23:$A$7253,$A138,'Besi Balok'!$B$23:$B$7253,$B138,'Besi Balok'!$F$23:$F$7253,'REKAP Balok'!S$11)</f>
        <v>0</v>
      </c>
      <c r="T138">
        <f>SUMIFS('Besi Balok'!$AA$23:$AA$7253,'Besi Balok'!$A$23:$A$7253,$A138,'Besi Balok'!$B$23:$B$7253,$B138,'Besi Balok'!$F$23:$F$7253,'REKAP Balok'!T$11)</f>
        <v>0</v>
      </c>
      <c r="U138">
        <f>SUM(L138:T138)</f>
        <v>165.01377096000004</v>
      </c>
      <c r="V138">
        <f>(D138*(F138-H138)*G138*K138)/1000000000</f>
        <v>0.56375</v>
      </c>
      <c r="W138">
        <f>(((F138-H138)*2+IF(H138&gt;0,0,D138))*(G138)*K138)/1000000</f>
        <v>5.6375</v>
      </c>
      <c r="AC138">
        <f>(D138+2*$F$5)*F138*G138/1000000000</f>
        <v>1.804</v>
      </c>
    </row>
    <row r="139">
      <c r="A139" t="str">
        <f>'Data Panjang Balok'!A135</f>
        <v>Lantai 2</v>
      </c>
      <c r="B139">
        <f>'Data Panjang Balok'!B135</f>
        <v>38</v>
      </c>
      <c r="C139" t="str">
        <f>'Data Panjang Balok'!D135</f>
        <v>B36-1</v>
      </c>
      <c r="D139">
        <f>IF(C139&gt;0,VLOOKUP(C139,'Detail Balok'!$C$11:$AU$140,2,FALSE),0)</f>
        <v>300</v>
      </c>
      <c r="E139" t="str">
        <v>x</v>
      </c>
      <c r="F139">
        <f>IF(C139&gt;0,VLOOKUP(C139,'Detail Balok'!$C$11:$AU$140,3,FALSE),0)</f>
        <v>600</v>
      </c>
      <c r="G139">
        <f>'Data Panjang Balok'!I135</f>
        <v>5950</v>
      </c>
      <c r="H139">
        <f>'Data Panjang Balok'!J135</f>
        <v>150</v>
      </c>
      <c r="I139">
        <v>0</v>
      </c>
      <c r="J139">
        <f>I139-F139/1000</f>
        <v>-0.6</v>
      </c>
      <c r="K139">
        <f>'Data Panjang Balok'!E135</f>
        <v>1</v>
      </c>
      <c r="L139">
        <f>SUMIFS('Besi Balok'!$AA$23:$AA$7253,'Besi Balok'!$A$23:$A$7253,$A139,'Besi Balok'!$B$23:$B$7253,$B139,'Besi Balok'!$F$23:$F$7253,'REKAP Balok'!L$11)</f>
        <v>0</v>
      </c>
      <c r="M139">
        <f>SUMIFS('Besi Balok'!$AA$23:$AA$7253,'Besi Balok'!$A$23:$A$7253,$A139,'Besi Balok'!$B$23:$B$7253,$B139,'Besi Balok'!$F$23:$F$7253,'REKAP Balok'!M$11)</f>
        <v>0</v>
      </c>
      <c r="N139">
        <f>SUMIFS('Besi Balok'!$AA$23:$AA$7253,'Besi Balok'!$A$23:$A$7253,$A139,'Besi Balok'!$B$23:$B$7253,$B139,'Besi Balok'!$F$23:$F$7253,'REKAP Balok'!N$11)</f>
        <v>59.88681000000001</v>
      </c>
      <c r="O139">
        <f>SUMIFS('Besi Balok'!$AA$23:$AA$7253,'Besi Balok'!$A$23:$A$7253,$A139,'Besi Balok'!$B$23:$B$7253,$B139,'Besi Balok'!$F$23:$F$7253,'REKAP Balok'!O$11)</f>
        <v>0</v>
      </c>
      <c r="P139">
        <f>SUMIFS('Besi Balok'!$AA$23:$AA$7253,'Besi Balok'!$A$23:$A$7253,$A139,'Besi Balok'!$B$23:$B$7253,$B139,'Besi Balok'!$F$23:$F$7253,'REKAP Balok'!P$11)</f>
        <v>99.96572160000001</v>
      </c>
      <c r="Q139">
        <f>SUMIFS('Besi Balok'!$AA$23:$AA$7253,'Besi Balok'!$A$23:$A$7253,$A139,'Besi Balok'!$B$23:$B$7253,$B139,'Besi Balok'!$F$23:$F$7253,'REKAP Balok'!Q$11)</f>
        <v>0</v>
      </c>
      <c r="R139">
        <f>SUMIFS('Besi Balok'!$AA$23:$AA$7253,'Besi Balok'!$A$23:$A$7253,$A139,'Besi Balok'!$B$23:$B$7253,$B139,'Besi Balok'!$F$23:$F$7253,'REKAP Balok'!R$11)</f>
        <v>0</v>
      </c>
      <c r="S139">
        <f>SUMIFS('Besi Balok'!$AA$23:$AA$7253,'Besi Balok'!$A$23:$A$7253,$A139,'Besi Balok'!$B$23:$B$7253,$B139,'Besi Balok'!$F$23:$F$7253,'REKAP Balok'!S$11)</f>
        <v>0</v>
      </c>
      <c r="T139">
        <f>SUMIFS('Besi Balok'!$AA$23:$AA$7253,'Besi Balok'!$A$23:$A$7253,$A139,'Besi Balok'!$B$23:$B$7253,$B139,'Besi Balok'!$F$23:$F$7253,'REKAP Balok'!T$11)</f>
        <v>0</v>
      </c>
      <c r="U139">
        <f>SUM(L139:T139)</f>
        <v>159.85253160000002</v>
      </c>
      <c r="V139">
        <f>(D139*(F139-H139)*G139*K139)/1000000000</f>
        <v>0.80325</v>
      </c>
      <c r="W139">
        <f>(((F139-H139)*2+IF(H139&gt;0,0,D139))*(G139)*K139)/1000000</f>
        <v>5.355</v>
      </c>
      <c r="AC139">
        <f>(D139+2*$F$5)*F139*G139/1000000000</f>
        <v>1.785</v>
      </c>
    </row>
    <row r="140">
      <c r="A140" t="str">
        <f>'Data Panjang Balok'!A136</f>
        <v>Lantai 2</v>
      </c>
      <c r="B140">
        <f>'Data Panjang Balok'!B136</f>
        <v>39</v>
      </c>
      <c r="C140" t="str">
        <f>'Data Panjang Balok'!D136</f>
        <v>B25-1</v>
      </c>
      <c r="D140">
        <f>IF(C140&gt;0,VLOOKUP(C140,'Detail Balok'!$C$11:$AU$140,2,FALSE),0)</f>
        <v>200</v>
      </c>
      <c r="E140" t="str">
        <v>x</v>
      </c>
      <c r="F140">
        <f>IF(C140&gt;0,VLOOKUP(C140,'Detail Balok'!$C$11:$AU$140,3,FALSE),0)</f>
        <v>500</v>
      </c>
      <c r="G140">
        <f>'Data Panjang Balok'!I136</f>
        <v>4250</v>
      </c>
      <c r="H140">
        <f>'Data Panjang Balok'!J136</f>
        <v>0</v>
      </c>
      <c r="I140">
        <v>0</v>
      </c>
      <c r="J140">
        <f>I140-F140/1000</f>
        <v>-0.5</v>
      </c>
      <c r="K140">
        <f>'Data Panjang Balok'!E136</f>
        <v>1</v>
      </c>
      <c r="L140">
        <f>SUMIFS('Besi Balok'!$AA$23:$AA$7253,'Besi Balok'!$A$23:$A$7253,$A140,'Besi Balok'!$B$23:$B$7253,$B140,'Besi Balok'!$F$23:$F$7253,'REKAP Balok'!L$11)</f>
        <v>0</v>
      </c>
      <c r="M140">
        <f>SUMIFS('Besi Balok'!$AA$23:$AA$7253,'Besi Balok'!$A$23:$A$7253,$A140,'Besi Balok'!$B$23:$B$7253,$B140,'Besi Balok'!$F$23:$F$7253,'REKAP Balok'!M$11)</f>
        <v>0</v>
      </c>
      <c r="N140">
        <f>SUMIFS('Besi Balok'!$AA$23:$AA$7253,'Besi Balok'!$A$23:$A$7253,$A140,'Besi Balok'!$B$23:$B$7253,$B140,'Besi Balok'!$F$23:$F$7253,'REKAP Balok'!N$11)</f>
        <v>26.010135000000002</v>
      </c>
      <c r="O140">
        <f>SUMIFS('Besi Balok'!$AA$23:$AA$7253,'Besi Balok'!$A$23:$A$7253,$A140,'Besi Balok'!$B$23:$B$7253,$B140,'Besi Balok'!$F$23:$F$7253,'REKAP Balok'!O$11)</f>
        <v>0</v>
      </c>
      <c r="P140">
        <f>SUMIFS('Besi Balok'!$AA$23:$AA$7253,'Besi Balok'!$A$23:$A$7253,$A140,'Besi Balok'!$B$23:$B$7253,$B140,'Besi Balok'!$F$23:$F$7253,'REKAP Balok'!P$11)</f>
        <v>58.50851328000001</v>
      </c>
      <c r="Q140">
        <f>SUMIFS('Besi Balok'!$AA$23:$AA$7253,'Besi Balok'!$A$23:$A$7253,$A140,'Besi Balok'!$B$23:$B$7253,$B140,'Besi Balok'!$F$23:$F$7253,'REKAP Balok'!Q$11)</f>
        <v>0</v>
      </c>
      <c r="R140">
        <f>SUMIFS('Besi Balok'!$AA$23:$AA$7253,'Besi Balok'!$A$23:$A$7253,$A140,'Besi Balok'!$B$23:$B$7253,$B140,'Besi Balok'!$F$23:$F$7253,'REKAP Balok'!R$11)</f>
        <v>0</v>
      </c>
      <c r="S140">
        <f>SUMIFS('Besi Balok'!$AA$23:$AA$7253,'Besi Balok'!$A$23:$A$7253,$A140,'Besi Balok'!$B$23:$B$7253,$B140,'Besi Balok'!$F$23:$F$7253,'REKAP Balok'!S$11)</f>
        <v>0</v>
      </c>
      <c r="T140">
        <f>SUMIFS('Besi Balok'!$AA$23:$AA$7253,'Besi Balok'!$A$23:$A$7253,$A140,'Besi Balok'!$B$23:$B$7253,$B140,'Besi Balok'!$F$23:$F$7253,'REKAP Balok'!T$11)</f>
        <v>0</v>
      </c>
      <c r="U140">
        <f>SUM(L140:T140)</f>
        <v>84.51864828000001</v>
      </c>
      <c r="V140">
        <f>(D140*(F140-H140)*G140*K140)/1000000000</f>
        <v>0.425</v>
      </c>
      <c r="W140">
        <f>(((F140-H140)*2+IF(H140&gt;0,0,D140))*(G140)*K140)/1000000</f>
        <v>5.1</v>
      </c>
      <c r="AC140">
        <f>(D140+2*$F$5)*F140*G140/1000000000</f>
        <v>0.85</v>
      </c>
    </row>
    <row r="141">
      <c r="A141" t="str">
        <f>'Data Panjang Balok'!A137</f>
        <v>Lantai 2</v>
      </c>
      <c r="B141">
        <f>'Data Panjang Balok'!B137</f>
        <v>40</v>
      </c>
      <c r="C141" t="str">
        <f>'Data Panjang Balok'!D137</f>
        <v>B25-1</v>
      </c>
      <c r="D141">
        <f>IF(C141&gt;0,VLOOKUP(C141,'Detail Balok'!$C$11:$AU$140,2,FALSE),0)</f>
        <v>200</v>
      </c>
      <c r="E141" t="str">
        <v>x</v>
      </c>
      <c r="F141">
        <f>IF(C141&gt;0,VLOOKUP(C141,'Detail Balok'!$C$11:$AU$140,3,FALSE),0)</f>
        <v>500</v>
      </c>
      <c r="G141">
        <f>'Data Panjang Balok'!I137</f>
        <v>1600</v>
      </c>
      <c r="H141">
        <f>'Data Panjang Balok'!J137</f>
        <v>150</v>
      </c>
      <c r="I141">
        <v>0</v>
      </c>
      <c r="J141">
        <f>I141-F141/1000</f>
        <v>-0.5</v>
      </c>
      <c r="K141">
        <f>'Data Panjang Balok'!E137</f>
        <v>1</v>
      </c>
      <c r="L141">
        <f>SUMIFS('Besi Balok'!$AA$23:$AA$7253,'Besi Balok'!$A$23:$A$7253,$A141,'Besi Balok'!$B$23:$B$7253,$B141,'Besi Balok'!$F$23:$F$7253,'REKAP Balok'!L$11)</f>
        <v>0</v>
      </c>
      <c r="M141">
        <f>SUMIFS('Besi Balok'!$AA$23:$AA$7253,'Besi Balok'!$A$23:$A$7253,$A141,'Besi Balok'!$B$23:$B$7253,$B141,'Besi Balok'!$F$23:$F$7253,'REKAP Balok'!M$11)</f>
        <v>0</v>
      </c>
      <c r="N141">
        <f>SUMIFS('Besi Balok'!$AA$23:$AA$7253,'Besi Balok'!$A$23:$A$7253,$A141,'Besi Balok'!$B$23:$B$7253,$B141,'Besi Balok'!$F$23:$F$7253,'REKAP Balok'!N$11)</f>
        <v>11.368260000000001</v>
      </c>
      <c r="O141">
        <f>SUMIFS('Besi Balok'!$AA$23:$AA$7253,'Besi Balok'!$A$23:$A$7253,$A141,'Besi Balok'!$B$23:$B$7253,$B141,'Besi Balok'!$F$23:$F$7253,'REKAP Balok'!O$11)</f>
        <v>0</v>
      </c>
      <c r="P141">
        <f>SUMIFS('Besi Balok'!$AA$23:$AA$7253,'Besi Balok'!$A$23:$A$7253,$A141,'Besi Balok'!$B$23:$B$7253,$B141,'Besi Balok'!$F$23:$F$7253,'REKAP Balok'!P$11)</f>
        <v>25.049825280000004</v>
      </c>
      <c r="Q141">
        <f>SUMIFS('Besi Balok'!$AA$23:$AA$7253,'Besi Balok'!$A$23:$A$7253,$A141,'Besi Balok'!$B$23:$B$7253,$B141,'Besi Balok'!$F$23:$F$7253,'REKAP Balok'!Q$11)</f>
        <v>0</v>
      </c>
      <c r="R141">
        <f>SUMIFS('Besi Balok'!$AA$23:$AA$7253,'Besi Balok'!$A$23:$A$7253,$A141,'Besi Balok'!$B$23:$B$7253,$B141,'Besi Balok'!$F$23:$F$7253,'REKAP Balok'!R$11)</f>
        <v>0</v>
      </c>
      <c r="S141">
        <f>SUMIFS('Besi Balok'!$AA$23:$AA$7253,'Besi Balok'!$A$23:$A$7253,$A141,'Besi Balok'!$B$23:$B$7253,$B141,'Besi Balok'!$F$23:$F$7253,'REKAP Balok'!S$11)</f>
        <v>0</v>
      </c>
      <c r="T141">
        <f>SUMIFS('Besi Balok'!$AA$23:$AA$7253,'Besi Balok'!$A$23:$A$7253,$A141,'Besi Balok'!$B$23:$B$7253,$B141,'Besi Balok'!$F$23:$F$7253,'REKAP Balok'!T$11)</f>
        <v>0</v>
      </c>
      <c r="U141">
        <f>SUM(L141:T141)</f>
        <v>36.41808528000001</v>
      </c>
      <c r="V141">
        <f>(D141*(F141-H141)*G141*K141)/1000000000</f>
        <v>0.112</v>
      </c>
      <c r="W141">
        <f>(((F141-H141)*2+IF(H141&gt;0,0,D141))*(G141)*K141)/1000000</f>
        <v>1.12</v>
      </c>
      <c r="AC141">
        <f>(D141+2*$F$5)*F141*G141/1000000000</f>
        <v>0.32</v>
      </c>
    </row>
    <row r="142">
      <c r="A142" t="str">
        <f>'Data Panjang Balok'!A138</f>
        <v>Lantai 2</v>
      </c>
      <c r="B142">
        <f>'Data Panjang Balok'!B138</f>
        <v>41</v>
      </c>
      <c r="C142" t="str">
        <f>'Data Panjang Balok'!D138</f>
        <v>B25-1</v>
      </c>
      <c r="D142">
        <f>IF(C142&gt;0,VLOOKUP(C142,'Detail Balok'!$C$11:$AU$140,2,FALSE),0)</f>
        <v>200</v>
      </c>
      <c r="E142" t="str">
        <v>x</v>
      </c>
      <c r="F142">
        <f>IF(C142&gt;0,VLOOKUP(C142,'Detail Balok'!$C$11:$AU$140,3,FALSE),0)</f>
        <v>500</v>
      </c>
      <c r="G142">
        <f>'Data Panjang Balok'!I138</f>
        <v>22000</v>
      </c>
      <c r="H142">
        <f>'Data Panjang Balok'!J138</f>
        <v>100</v>
      </c>
      <c r="I142">
        <v>0</v>
      </c>
      <c r="J142">
        <f>I142-F142/1000</f>
        <v>-0.5</v>
      </c>
      <c r="K142">
        <f>'Data Panjang Balok'!E138</f>
        <v>1</v>
      </c>
      <c r="L142">
        <f>SUMIFS('Besi Balok'!$AA$23:$AA$7253,'Besi Balok'!$A$23:$A$7253,$A142,'Besi Balok'!$B$23:$B$7253,$B142,'Besi Balok'!$F$23:$F$7253,'REKAP Balok'!L$11)</f>
        <v>0</v>
      </c>
      <c r="M142">
        <f>SUMIFS('Besi Balok'!$AA$23:$AA$7253,'Besi Balok'!$A$23:$A$7253,$A142,'Besi Balok'!$B$23:$B$7253,$B142,'Besi Balok'!$F$23:$F$7253,'REKAP Balok'!M$11)</f>
        <v>0</v>
      </c>
      <c r="N142">
        <f>SUMIFS('Besi Balok'!$AA$23:$AA$7253,'Besi Balok'!$A$23:$A$7253,$A142,'Besi Balok'!$B$23:$B$7253,$B142,'Besi Balok'!$F$23:$F$7253,'REKAP Balok'!N$11)</f>
        <v>126.7593048</v>
      </c>
      <c r="O142">
        <f>SUMIFS('Besi Balok'!$AA$23:$AA$7253,'Besi Balok'!$A$23:$A$7253,$A142,'Besi Balok'!$B$23:$B$7253,$B142,'Besi Balok'!$F$23:$F$7253,'REKAP Balok'!O$11)</f>
        <v>0</v>
      </c>
      <c r="P142">
        <f>SUMIFS('Besi Balok'!$AA$23:$AA$7253,'Besi Balok'!$A$23:$A$7253,$A142,'Besi Balok'!$B$23:$B$7253,$B142,'Besi Balok'!$F$23:$F$7253,'REKAP Balok'!P$11)</f>
        <v>282.62869401600005</v>
      </c>
      <c r="Q142">
        <f>SUMIFS('Besi Balok'!$AA$23:$AA$7253,'Besi Balok'!$A$23:$A$7253,$A142,'Besi Balok'!$B$23:$B$7253,$B142,'Besi Balok'!$F$23:$F$7253,'REKAP Balok'!Q$11)</f>
        <v>0</v>
      </c>
      <c r="R142">
        <f>SUMIFS('Besi Balok'!$AA$23:$AA$7253,'Besi Balok'!$A$23:$A$7253,$A142,'Besi Balok'!$B$23:$B$7253,$B142,'Besi Balok'!$F$23:$F$7253,'REKAP Balok'!R$11)</f>
        <v>0</v>
      </c>
      <c r="S142">
        <f>SUMIFS('Besi Balok'!$AA$23:$AA$7253,'Besi Balok'!$A$23:$A$7253,$A142,'Besi Balok'!$B$23:$B$7253,$B142,'Besi Balok'!$F$23:$F$7253,'REKAP Balok'!S$11)</f>
        <v>0</v>
      </c>
      <c r="T142">
        <f>SUMIFS('Besi Balok'!$AA$23:$AA$7253,'Besi Balok'!$A$23:$A$7253,$A142,'Besi Balok'!$B$23:$B$7253,$B142,'Besi Balok'!$F$23:$F$7253,'REKAP Balok'!T$11)</f>
        <v>0</v>
      </c>
      <c r="U142">
        <f>SUM(L142:T142)</f>
        <v>409.38799881600005</v>
      </c>
      <c r="V142">
        <f>(D142*(F142-H142)*G142*K142)/1000000000</f>
        <v>1.76</v>
      </c>
      <c r="W142">
        <f>(((F142-H142)*2+IF(H142&gt;0,0,D142))*(G142)*K142)/1000000</f>
        <v>17.6</v>
      </c>
      <c r="AC142">
        <f>(D142+2*$F$5)*F142*G142/1000000000</f>
        <v>4.4</v>
      </c>
    </row>
    <row r="143">
      <c r="A143" t="str">
        <f>'Data Panjang Balok'!A139</f>
        <v>Lantai 2</v>
      </c>
      <c r="B143">
        <f>'Data Panjang Balok'!B139</f>
        <v>42</v>
      </c>
      <c r="C143" t="str">
        <f>'Data Panjang Balok'!D139</f>
        <v>CL24-1</v>
      </c>
      <c r="D143">
        <f>IF(C143&gt;0,VLOOKUP(C143,'Detail Balok'!$C$11:$AU$140,2,FALSE),0)</f>
        <v>200</v>
      </c>
      <c r="E143" t="str">
        <v>x</v>
      </c>
      <c r="F143">
        <f>IF(C143&gt;0,VLOOKUP(C143,'Detail Balok'!$C$11:$AU$140,3,FALSE),0)</f>
        <v>400</v>
      </c>
      <c r="G143">
        <f>'Data Panjang Balok'!I139</f>
        <v>3090</v>
      </c>
      <c r="H143">
        <f>'Data Panjang Balok'!J139</f>
        <v>150</v>
      </c>
      <c r="I143">
        <v>0</v>
      </c>
      <c r="J143">
        <f>I143-F143/1000</f>
        <v>-0.4</v>
      </c>
      <c r="K143">
        <f>'Data Panjang Balok'!E139</f>
        <v>1</v>
      </c>
      <c r="L143">
        <f>SUMIFS('Besi Balok'!$AA$23:$AA$7253,'Besi Balok'!$A$23:$A$7253,$A143,'Besi Balok'!$B$23:$B$7253,$B143,'Besi Balok'!$F$23:$F$7253,'REKAP Balok'!L$11)</f>
        <v>0</v>
      </c>
      <c r="M143">
        <f>SUMIFS('Besi Balok'!$AA$23:$AA$7253,'Besi Balok'!$A$23:$A$7253,$A143,'Besi Balok'!$B$23:$B$7253,$B143,'Besi Balok'!$F$23:$F$7253,'REKAP Balok'!M$11)</f>
        <v>0</v>
      </c>
      <c r="N143">
        <f>SUMIFS('Besi Balok'!$AA$23:$AA$7253,'Besi Balok'!$A$23:$A$7253,$A143,'Besi Balok'!$B$23:$B$7253,$B143,'Besi Balok'!$F$23:$F$7253,'REKAP Balok'!N$11)</f>
        <v>20.954835000000003</v>
      </c>
      <c r="O143">
        <f>SUMIFS('Besi Balok'!$AA$23:$AA$7253,'Besi Balok'!$A$23:$A$7253,$A143,'Besi Balok'!$B$23:$B$7253,$B143,'Besi Balok'!$F$23:$F$7253,'REKAP Balok'!O$11)</f>
        <v>0</v>
      </c>
      <c r="P143">
        <f>SUMIFS('Besi Balok'!$AA$23:$AA$7253,'Besi Balok'!$A$23:$A$7253,$A143,'Besi Balok'!$B$23:$B$7253,$B143,'Besi Balok'!$F$23:$F$7253,'REKAP Balok'!P$11)</f>
        <v>32.89683456</v>
      </c>
      <c r="Q143">
        <f>SUMIFS('Besi Balok'!$AA$23:$AA$7253,'Besi Balok'!$A$23:$A$7253,$A143,'Besi Balok'!$B$23:$B$7253,$B143,'Besi Balok'!$F$23:$F$7253,'REKAP Balok'!Q$11)</f>
        <v>0</v>
      </c>
      <c r="R143">
        <f>SUMIFS('Besi Balok'!$AA$23:$AA$7253,'Besi Balok'!$A$23:$A$7253,$A143,'Besi Balok'!$B$23:$B$7253,$B143,'Besi Balok'!$F$23:$F$7253,'REKAP Balok'!R$11)</f>
        <v>0</v>
      </c>
      <c r="S143">
        <f>SUMIFS('Besi Balok'!$AA$23:$AA$7253,'Besi Balok'!$A$23:$A$7253,$A143,'Besi Balok'!$B$23:$B$7253,$B143,'Besi Balok'!$F$23:$F$7253,'REKAP Balok'!S$11)</f>
        <v>0</v>
      </c>
      <c r="T143">
        <f>SUMIFS('Besi Balok'!$AA$23:$AA$7253,'Besi Balok'!$A$23:$A$7253,$A143,'Besi Balok'!$B$23:$B$7253,$B143,'Besi Balok'!$F$23:$F$7253,'REKAP Balok'!T$11)</f>
        <v>0</v>
      </c>
      <c r="U143">
        <f>SUM(L143:T143)</f>
        <v>53.851669560000005</v>
      </c>
      <c r="V143">
        <f>(D143*(F143-H143)*G143*K143)/1000000000</f>
        <v>0.1545</v>
      </c>
      <c r="W143">
        <f>(((F143-H143)*2+IF(H143&gt;0,0,D143))*(G143)*K143)/1000000</f>
        <v>1.545</v>
      </c>
      <c r="AC143">
        <f>(D143+2*$F$5)*F143*G143/1000000000</f>
        <v>0.4944</v>
      </c>
    </row>
    <row r="144">
      <c r="A144" t="str">
        <f>'Data Panjang Balok'!A140</f>
        <v>Lantai 2</v>
      </c>
      <c r="B144">
        <f>'Data Panjang Balok'!B140</f>
        <v>43</v>
      </c>
      <c r="C144" t="str">
        <f>'Data Panjang Balok'!D140</f>
        <v>CL24-1</v>
      </c>
      <c r="D144">
        <f>IF(C144&gt;0,VLOOKUP(C144,'Detail Balok'!$C$11:$AU$140,2,FALSE),0)</f>
        <v>200</v>
      </c>
      <c r="E144" t="str">
        <v>x</v>
      </c>
      <c r="F144">
        <f>IF(C144&gt;0,VLOOKUP(C144,'Detail Balok'!$C$11:$AU$140,3,FALSE),0)</f>
        <v>400</v>
      </c>
      <c r="G144">
        <f>'Data Panjang Balok'!I140</f>
        <v>3090</v>
      </c>
      <c r="H144">
        <f>'Data Panjang Balok'!J140</f>
        <v>150</v>
      </c>
      <c r="I144">
        <v>0</v>
      </c>
      <c r="J144">
        <f>I144-F144/1000</f>
        <v>-0.4</v>
      </c>
      <c r="K144">
        <f>'Data Panjang Balok'!E140</f>
        <v>1</v>
      </c>
      <c r="L144">
        <f>SUMIFS('Besi Balok'!$AA$23:$AA$7253,'Besi Balok'!$A$23:$A$7253,$A144,'Besi Balok'!$B$23:$B$7253,$B144,'Besi Balok'!$F$23:$F$7253,'REKAP Balok'!L$11)</f>
        <v>0</v>
      </c>
      <c r="M144">
        <f>SUMIFS('Besi Balok'!$AA$23:$AA$7253,'Besi Balok'!$A$23:$A$7253,$A144,'Besi Balok'!$B$23:$B$7253,$B144,'Besi Balok'!$F$23:$F$7253,'REKAP Balok'!M$11)</f>
        <v>0</v>
      </c>
      <c r="N144">
        <f>SUMIFS('Besi Balok'!$AA$23:$AA$7253,'Besi Balok'!$A$23:$A$7253,$A144,'Besi Balok'!$B$23:$B$7253,$B144,'Besi Balok'!$F$23:$F$7253,'REKAP Balok'!N$11)</f>
        <v>20.954835000000003</v>
      </c>
      <c r="O144">
        <f>SUMIFS('Besi Balok'!$AA$23:$AA$7253,'Besi Balok'!$A$23:$A$7253,$A144,'Besi Balok'!$B$23:$B$7253,$B144,'Besi Balok'!$F$23:$F$7253,'REKAP Balok'!O$11)</f>
        <v>0</v>
      </c>
      <c r="P144">
        <f>SUMIFS('Besi Balok'!$AA$23:$AA$7253,'Besi Balok'!$A$23:$A$7253,$A144,'Besi Balok'!$B$23:$B$7253,$B144,'Besi Balok'!$F$23:$F$7253,'REKAP Balok'!P$11)</f>
        <v>32.89683456</v>
      </c>
      <c r="Q144">
        <f>SUMIFS('Besi Balok'!$AA$23:$AA$7253,'Besi Balok'!$A$23:$A$7253,$A144,'Besi Balok'!$B$23:$B$7253,$B144,'Besi Balok'!$F$23:$F$7253,'REKAP Balok'!Q$11)</f>
        <v>0</v>
      </c>
      <c r="R144">
        <f>SUMIFS('Besi Balok'!$AA$23:$AA$7253,'Besi Balok'!$A$23:$A$7253,$A144,'Besi Balok'!$B$23:$B$7253,$B144,'Besi Balok'!$F$23:$F$7253,'REKAP Balok'!R$11)</f>
        <v>0</v>
      </c>
      <c r="S144">
        <f>SUMIFS('Besi Balok'!$AA$23:$AA$7253,'Besi Balok'!$A$23:$A$7253,$A144,'Besi Balok'!$B$23:$B$7253,$B144,'Besi Balok'!$F$23:$F$7253,'REKAP Balok'!S$11)</f>
        <v>0</v>
      </c>
      <c r="T144">
        <f>SUMIFS('Besi Balok'!$AA$23:$AA$7253,'Besi Balok'!$A$23:$A$7253,$A144,'Besi Balok'!$B$23:$B$7253,$B144,'Besi Balok'!$F$23:$F$7253,'REKAP Balok'!T$11)</f>
        <v>0</v>
      </c>
      <c r="U144">
        <f>SUM(L144:T144)</f>
        <v>53.851669560000005</v>
      </c>
      <c r="V144">
        <f>(D144*(F144-H144)*G144*K144)/1000000000</f>
        <v>0.1545</v>
      </c>
      <c r="W144">
        <f>(((F144-H144)*2+IF(H144&gt;0,0,D144))*(G144)*K144)/1000000</f>
        <v>1.545</v>
      </c>
      <c r="AC144">
        <f>(D144+2*$F$5)*F144*G144/1000000000</f>
        <v>0.4944</v>
      </c>
    </row>
    <row r="145">
      <c r="A145" t="str">
        <f>'Data Panjang Balok'!A141</f>
        <v>Lantai 2</v>
      </c>
      <c r="B145">
        <f>'Data Panjang Balok'!B141</f>
        <v>44</v>
      </c>
      <c r="C145" t="str">
        <f>'Data Panjang Balok'!D141</f>
        <v>B25-1</v>
      </c>
      <c r="D145">
        <f>IF(C145&gt;0,VLOOKUP(C145,'Detail Balok'!$C$11:$AU$140,2,FALSE),0)</f>
        <v>200</v>
      </c>
      <c r="E145" t="str">
        <v>x</v>
      </c>
      <c r="F145">
        <f>IF(C145&gt;0,VLOOKUP(C145,'Detail Balok'!$C$11:$AU$140,3,FALSE),0)</f>
        <v>500</v>
      </c>
      <c r="G145">
        <f>'Data Panjang Balok'!I141</f>
        <v>6080</v>
      </c>
      <c r="H145">
        <f>'Data Panjang Balok'!J141</f>
        <v>150</v>
      </c>
      <c r="I145">
        <v>0</v>
      </c>
      <c r="J145">
        <f>I145-F145/1000</f>
        <v>-0.5</v>
      </c>
      <c r="K145">
        <f>'Data Panjang Balok'!E141</f>
        <v>1</v>
      </c>
      <c r="L145">
        <f>SUMIFS('Besi Balok'!$AA$23:$AA$7253,'Besi Balok'!$A$23:$A$7253,$A145,'Besi Balok'!$B$23:$B$7253,$B145,'Besi Balok'!$F$23:$F$7253,'REKAP Balok'!L$11)</f>
        <v>0</v>
      </c>
      <c r="M145">
        <f>SUMIFS('Besi Balok'!$AA$23:$AA$7253,'Besi Balok'!$A$23:$A$7253,$A145,'Besi Balok'!$B$23:$B$7253,$B145,'Besi Balok'!$F$23:$F$7253,'REKAP Balok'!M$11)</f>
        <v>0</v>
      </c>
      <c r="N145">
        <f>SUMIFS('Besi Balok'!$AA$23:$AA$7253,'Besi Balok'!$A$23:$A$7253,$A145,'Besi Balok'!$B$23:$B$7253,$B145,'Besi Balok'!$F$23:$F$7253,'REKAP Balok'!N$11)</f>
        <v>35.849475000000005</v>
      </c>
      <c r="O145">
        <f>SUMIFS('Besi Balok'!$AA$23:$AA$7253,'Besi Balok'!$A$23:$A$7253,$A145,'Besi Balok'!$B$23:$B$7253,$B145,'Besi Balok'!$F$23:$F$7253,'REKAP Balok'!O$11)</f>
        <v>0</v>
      </c>
      <c r="P145">
        <f>SUMIFS('Besi Balok'!$AA$23:$AA$7253,'Besi Balok'!$A$23:$A$7253,$A145,'Besi Balok'!$B$23:$B$7253,$B145,'Besi Balok'!$F$23:$F$7253,'REKAP Balok'!P$11)</f>
        <v>81.61394688</v>
      </c>
      <c r="Q145">
        <f>SUMIFS('Besi Balok'!$AA$23:$AA$7253,'Besi Balok'!$A$23:$A$7253,$A145,'Besi Balok'!$B$23:$B$7253,$B145,'Besi Balok'!$F$23:$F$7253,'REKAP Balok'!Q$11)</f>
        <v>0</v>
      </c>
      <c r="R145">
        <f>SUMIFS('Besi Balok'!$AA$23:$AA$7253,'Besi Balok'!$A$23:$A$7253,$A145,'Besi Balok'!$B$23:$B$7253,$B145,'Besi Balok'!$F$23:$F$7253,'REKAP Balok'!R$11)</f>
        <v>0</v>
      </c>
      <c r="S145">
        <f>SUMIFS('Besi Balok'!$AA$23:$AA$7253,'Besi Balok'!$A$23:$A$7253,$A145,'Besi Balok'!$B$23:$B$7253,$B145,'Besi Balok'!$F$23:$F$7253,'REKAP Balok'!S$11)</f>
        <v>0</v>
      </c>
      <c r="T145">
        <f>SUMIFS('Besi Balok'!$AA$23:$AA$7253,'Besi Balok'!$A$23:$A$7253,$A145,'Besi Balok'!$B$23:$B$7253,$B145,'Besi Balok'!$F$23:$F$7253,'REKAP Balok'!T$11)</f>
        <v>0</v>
      </c>
      <c r="U145">
        <f>SUM(L145:T145)</f>
        <v>117.46342188</v>
      </c>
      <c r="V145">
        <f>(D145*(F145-H145)*G145*K145)/1000000000</f>
        <v>0.4256</v>
      </c>
      <c r="W145">
        <f>(((F145-H145)*2+IF(H145&gt;0,0,D145))*(G145)*K145)/1000000</f>
        <v>4.256</v>
      </c>
      <c r="AC145">
        <f>(D145+2*$F$5)*F145*G145/1000000000</f>
        <v>1.216</v>
      </c>
    </row>
    <row r="146">
      <c r="A146" t="str">
        <f>'Data Panjang Balok'!A142</f>
        <v>Lantai 2</v>
      </c>
      <c r="B146">
        <f>'Data Panjang Balok'!B142</f>
        <v>45</v>
      </c>
      <c r="C146" t="str">
        <f>'Data Panjang Balok'!D142</f>
        <v>B24-1</v>
      </c>
      <c r="D146">
        <f>IF(C146&gt;0,VLOOKUP(C146,'Detail Balok'!$C$11:$AU$140,2,FALSE),0)</f>
        <v>200</v>
      </c>
      <c r="E146" t="str">
        <v>x</v>
      </c>
      <c r="F146">
        <f>IF(C146&gt;0,VLOOKUP(C146,'Detail Balok'!$C$11:$AU$140,3,FALSE),0)</f>
        <v>400</v>
      </c>
      <c r="G146">
        <f>'Data Panjang Balok'!I142</f>
        <v>2125</v>
      </c>
      <c r="H146">
        <f>'Data Panjang Balok'!J142</f>
        <v>0</v>
      </c>
      <c r="I146">
        <v>0</v>
      </c>
      <c r="J146">
        <f>I146-F146/1000</f>
        <v>-0.4</v>
      </c>
      <c r="K146">
        <f>'Data Panjang Balok'!E142</f>
        <v>1</v>
      </c>
      <c r="L146">
        <f>SUMIFS('Besi Balok'!$AA$23:$AA$7253,'Besi Balok'!$A$23:$A$7253,$A146,'Besi Balok'!$B$23:$B$7253,$B146,'Besi Balok'!$F$23:$F$7253,'REKAP Balok'!L$11)</f>
        <v>0</v>
      </c>
      <c r="M146">
        <f>SUMIFS('Besi Balok'!$AA$23:$AA$7253,'Besi Balok'!$A$23:$A$7253,$A146,'Besi Balok'!$B$23:$B$7253,$B146,'Besi Balok'!$F$23:$F$7253,'REKAP Balok'!M$11)</f>
        <v>0</v>
      </c>
      <c r="N146">
        <f>SUMIFS('Besi Balok'!$AA$23:$AA$7253,'Besi Balok'!$A$23:$A$7253,$A146,'Besi Balok'!$B$23:$B$7253,$B146,'Besi Balok'!$F$23:$F$7253,'REKAP Balok'!N$11)</f>
        <v>13.334895000000003</v>
      </c>
      <c r="O146">
        <f>SUMIFS('Besi Balok'!$AA$23:$AA$7253,'Besi Balok'!$A$23:$A$7253,$A146,'Besi Balok'!$B$23:$B$7253,$B146,'Besi Balok'!$F$23:$F$7253,'REKAP Balok'!O$11)</f>
        <v>15.234442470000001</v>
      </c>
      <c r="P146">
        <f>SUMIFS('Besi Balok'!$AA$23:$AA$7253,'Besi Balok'!$A$23:$A$7253,$A146,'Besi Balok'!$B$23:$B$7253,$B146,'Besi Balok'!$F$23:$F$7253,'REKAP Balok'!P$11)</f>
        <v>0</v>
      </c>
      <c r="Q146">
        <f>SUMIFS('Besi Balok'!$AA$23:$AA$7253,'Besi Balok'!$A$23:$A$7253,$A146,'Besi Balok'!$B$23:$B$7253,$B146,'Besi Balok'!$F$23:$F$7253,'REKAP Balok'!Q$11)</f>
        <v>0</v>
      </c>
      <c r="R146">
        <f>SUMIFS('Besi Balok'!$AA$23:$AA$7253,'Besi Balok'!$A$23:$A$7253,$A146,'Besi Balok'!$B$23:$B$7253,$B146,'Besi Balok'!$F$23:$F$7253,'REKAP Balok'!R$11)</f>
        <v>0</v>
      </c>
      <c r="S146">
        <f>SUMIFS('Besi Balok'!$AA$23:$AA$7253,'Besi Balok'!$A$23:$A$7253,$A146,'Besi Balok'!$B$23:$B$7253,$B146,'Besi Balok'!$F$23:$F$7253,'REKAP Balok'!S$11)</f>
        <v>0</v>
      </c>
      <c r="T146">
        <f>SUMIFS('Besi Balok'!$AA$23:$AA$7253,'Besi Balok'!$A$23:$A$7253,$A146,'Besi Balok'!$B$23:$B$7253,$B146,'Besi Balok'!$F$23:$F$7253,'REKAP Balok'!T$11)</f>
        <v>0</v>
      </c>
      <c r="U146">
        <f>SUM(L146:T146)</f>
        <v>28.569337470000004</v>
      </c>
      <c r="V146">
        <f>(D146*(F146-H146)*G146*K146)/1000000000</f>
        <v>0.17</v>
      </c>
      <c r="W146">
        <f>(((F146-H146)*2+IF(H146&gt;0,0,D146))*(G146)*K146)/1000000</f>
        <v>2.125</v>
      </c>
      <c r="AC146">
        <f>(D146+2*$F$5)*F146*G146/1000000000</f>
        <v>0.34</v>
      </c>
    </row>
    <row r="147">
      <c r="A147" t="str">
        <f>'Data Panjang Balok'!A143</f>
        <v>Lantai 2</v>
      </c>
      <c r="B147">
        <f>'Data Panjang Balok'!B143</f>
        <v>46</v>
      </c>
      <c r="C147" t="str">
        <f>'Data Panjang Balok'!D143</f>
        <v>B24-1</v>
      </c>
      <c r="D147">
        <f>IF(C147&gt;0,VLOOKUP(C147,'Detail Balok'!$C$11:$AU$140,2,FALSE),0)</f>
        <v>200</v>
      </c>
      <c r="E147" t="str">
        <v>x</v>
      </c>
      <c r="F147">
        <f>IF(C147&gt;0,VLOOKUP(C147,'Detail Balok'!$C$11:$AU$140,3,FALSE),0)</f>
        <v>400</v>
      </c>
      <c r="G147">
        <f>'Data Panjang Balok'!I143</f>
        <v>900</v>
      </c>
      <c r="H147">
        <f>'Data Panjang Balok'!J143</f>
        <v>0</v>
      </c>
      <c r="I147">
        <v>0</v>
      </c>
      <c r="J147">
        <f>I147-F147/1000</f>
        <v>-0.4</v>
      </c>
      <c r="K147">
        <f>'Data Panjang Balok'!E143</f>
        <v>1</v>
      </c>
      <c r="L147">
        <f>SUMIFS('Besi Balok'!$AA$23:$AA$7253,'Besi Balok'!$A$23:$A$7253,$A147,'Besi Balok'!$B$23:$B$7253,$B147,'Besi Balok'!$F$23:$F$7253,'REKAP Balok'!L$11)</f>
        <v>0</v>
      </c>
      <c r="M147">
        <f>SUMIFS('Besi Balok'!$AA$23:$AA$7253,'Besi Balok'!$A$23:$A$7253,$A147,'Besi Balok'!$B$23:$B$7253,$B147,'Besi Balok'!$F$23:$F$7253,'REKAP Balok'!M$11)</f>
        <v>0</v>
      </c>
      <c r="N147">
        <f>SUMIFS('Besi Balok'!$AA$23:$AA$7253,'Besi Balok'!$A$23:$A$7253,$A147,'Besi Balok'!$B$23:$B$7253,$B147,'Besi Balok'!$F$23:$F$7253,'REKAP Balok'!N$11)</f>
        <v>6.349950000000001</v>
      </c>
      <c r="O147">
        <f>SUMIFS('Besi Balok'!$AA$23:$AA$7253,'Besi Balok'!$A$23:$A$7253,$A147,'Besi Balok'!$B$23:$B$7253,$B147,'Besi Balok'!$F$23:$F$7253,'REKAP Balok'!O$11)</f>
        <v>7.57658772</v>
      </c>
      <c r="P147">
        <f>SUMIFS('Besi Balok'!$AA$23:$AA$7253,'Besi Balok'!$A$23:$A$7253,$A147,'Besi Balok'!$B$23:$B$7253,$B147,'Besi Balok'!$F$23:$F$7253,'REKAP Balok'!P$11)</f>
        <v>0</v>
      </c>
      <c r="Q147">
        <f>SUMIFS('Besi Balok'!$AA$23:$AA$7253,'Besi Balok'!$A$23:$A$7253,$A147,'Besi Balok'!$B$23:$B$7253,$B147,'Besi Balok'!$F$23:$F$7253,'REKAP Balok'!Q$11)</f>
        <v>0</v>
      </c>
      <c r="R147">
        <f>SUMIFS('Besi Balok'!$AA$23:$AA$7253,'Besi Balok'!$A$23:$A$7253,$A147,'Besi Balok'!$B$23:$B$7253,$B147,'Besi Balok'!$F$23:$F$7253,'REKAP Balok'!R$11)</f>
        <v>0</v>
      </c>
      <c r="S147">
        <f>SUMIFS('Besi Balok'!$AA$23:$AA$7253,'Besi Balok'!$A$23:$A$7253,$A147,'Besi Balok'!$B$23:$B$7253,$B147,'Besi Balok'!$F$23:$F$7253,'REKAP Balok'!S$11)</f>
        <v>0</v>
      </c>
      <c r="T147">
        <f>SUMIFS('Besi Balok'!$AA$23:$AA$7253,'Besi Balok'!$A$23:$A$7253,$A147,'Besi Balok'!$B$23:$B$7253,$B147,'Besi Balok'!$F$23:$F$7253,'REKAP Balok'!T$11)</f>
        <v>0</v>
      </c>
      <c r="U147">
        <f>SUM(L147:T147)</f>
        <v>13.92653772</v>
      </c>
      <c r="V147">
        <f>(D147*(F147-H147)*G147*K147)/1000000000</f>
        <v>0.072</v>
      </c>
      <c r="W147">
        <f>(((F147-H147)*2+IF(H147&gt;0,0,D147))*(G147)*K147)/1000000</f>
        <v>0.9</v>
      </c>
      <c r="AC147">
        <f>(D147+2*$F$5)*F147*G147/1000000000</f>
        <v>0.144</v>
      </c>
    </row>
    <row r="148">
      <c r="A148" t="str">
        <f>'Data Panjang Balok'!A144</f>
        <v>Lantai 2</v>
      </c>
      <c r="B148">
        <f>'Data Panjang Balok'!B144</f>
        <v>47</v>
      </c>
      <c r="C148" t="str">
        <f>'Data Panjang Balok'!D144</f>
        <v>B24-1</v>
      </c>
      <c r="D148">
        <f>IF(C148&gt;0,VLOOKUP(C148,'Detail Balok'!$C$11:$AU$140,2,FALSE),0)</f>
        <v>200</v>
      </c>
      <c r="E148" t="str">
        <v>x</v>
      </c>
      <c r="F148">
        <f>IF(C148&gt;0,VLOOKUP(C148,'Detail Balok'!$C$11:$AU$140,3,FALSE),0)</f>
        <v>400</v>
      </c>
      <c r="G148">
        <f>'Data Panjang Balok'!I144</f>
        <v>2125</v>
      </c>
      <c r="H148">
        <f>'Data Panjang Balok'!J144</f>
        <v>0</v>
      </c>
      <c r="I148">
        <v>0</v>
      </c>
      <c r="J148">
        <f>I148-F148/1000</f>
        <v>-0.4</v>
      </c>
      <c r="K148">
        <f>'Data Panjang Balok'!E144</f>
        <v>1</v>
      </c>
      <c r="L148">
        <f>SUMIFS('Besi Balok'!$AA$23:$AA$7253,'Besi Balok'!$A$23:$A$7253,$A148,'Besi Balok'!$B$23:$B$7253,$B148,'Besi Balok'!$F$23:$F$7253,'REKAP Balok'!L$11)</f>
        <v>0</v>
      </c>
      <c r="M148">
        <f>SUMIFS('Besi Balok'!$AA$23:$AA$7253,'Besi Balok'!$A$23:$A$7253,$A148,'Besi Balok'!$B$23:$B$7253,$B148,'Besi Balok'!$F$23:$F$7253,'REKAP Balok'!M$11)</f>
        <v>0</v>
      </c>
      <c r="N148">
        <f>SUMIFS('Besi Balok'!$AA$23:$AA$7253,'Besi Balok'!$A$23:$A$7253,$A148,'Besi Balok'!$B$23:$B$7253,$B148,'Besi Balok'!$F$23:$F$7253,'REKAP Balok'!N$11)</f>
        <v>13.334895000000003</v>
      </c>
      <c r="O148">
        <f>SUMIFS('Besi Balok'!$AA$23:$AA$7253,'Besi Balok'!$A$23:$A$7253,$A148,'Besi Balok'!$B$23:$B$7253,$B148,'Besi Balok'!$F$23:$F$7253,'REKAP Balok'!O$11)</f>
        <v>15.234442470000001</v>
      </c>
      <c r="P148">
        <f>SUMIFS('Besi Balok'!$AA$23:$AA$7253,'Besi Balok'!$A$23:$A$7253,$A148,'Besi Balok'!$B$23:$B$7253,$B148,'Besi Balok'!$F$23:$F$7253,'REKAP Balok'!P$11)</f>
        <v>0</v>
      </c>
      <c r="Q148">
        <f>SUMIFS('Besi Balok'!$AA$23:$AA$7253,'Besi Balok'!$A$23:$A$7253,$A148,'Besi Balok'!$B$23:$B$7253,$B148,'Besi Balok'!$F$23:$F$7253,'REKAP Balok'!Q$11)</f>
        <v>0</v>
      </c>
      <c r="R148">
        <f>SUMIFS('Besi Balok'!$AA$23:$AA$7253,'Besi Balok'!$A$23:$A$7253,$A148,'Besi Balok'!$B$23:$B$7253,$B148,'Besi Balok'!$F$23:$F$7253,'REKAP Balok'!R$11)</f>
        <v>0</v>
      </c>
      <c r="S148">
        <f>SUMIFS('Besi Balok'!$AA$23:$AA$7253,'Besi Balok'!$A$23:$A$7253,$A148,'Besi Balok'!$B$23:$B$7253,$B148,'Besi Balok'!$F$23:$F$7253,'REKAP Balok'!S$11)</f>
        <v>0</v>
      </c>
      <c r="T148">
        <f>SUMIFS('Besi Balok'!$AA$23:$AA$7253,'Besi Balok'!$A$23:$A$7253,$A148,'Besi Balok'!$B$23:$B$7253,$B148,'Besi Balok'!$F$23:$F$7253,'REKAP Balok'!T$11)</f>
        <v>0</v>
      </c>
      <c r="U148">
        <f>SUM(L148:T148)</f>
        <v>28.569337470000004</v>
      </c>
      <c r="V148">
        <f>(D148*(F148-H148)*G148*K148)/1000000000</f>
        <v>0.17</v>
      </c>
      <c r="W148">
        <f>(((F148-H148)*2+IF(H148&gt;0,0,D148))*(G148)*K148)/1000000</f>
        <v>2.125</v>
      </c>
      <c r="AC148">
        <f>(D148+2*$F$5)*F148*G148/1000000000</f>
        <v>0.34</v>
      </c>
    </row>
    <row r="149">
      <c r="A149" t="str">
        <f>'Data Panjang Balok'!A145</f>
        <v>Lantai 2</v>
      </c>
      <c r="B149">
        <f>'Data Panjang Balok'!B145</f>
        <v>48</v>
      </c>
      <c r="C149" t="str">
        <f>'Data Panjang Balok'!D145</f>
        <v>B24-1</v>
      </c>
      <c r="D149">
        <f>IF(C149&gt;0,VLOOKUP(C149,'Detail Balok'!$C$11:$AU$140,2,FALSE),0)</f>
        <v>200</v>
      </c>
      <c r="E149" t="str">
        <v>x</v>
      </c>
      <c r="F149">
        <f>IF(C149&gt;0,VLOOKUP(C149,'Detail Balok'!$C$11:$AU$140,3,FALSE),0)</f>
        <v>400</v>
      </c>
      <c r="G149">
        <f>'Data Panjang Balok'!I145</f>
        <v>900</v>
      </c>
      <c r="H149">
        <f>'Data Panjang Balok'!J145</f>
        <v>0</v>
      </c>
      <c r="I149">
        <v>0</v>
      </c>
      <c r="J149">
        <f>I149-F149/1000</f>
        <v>-0.4</v>
      </c>
      <c r="K149">
        <f>'Data Panjang Balok'!E145</f>
        <v>1</v>
      </c>
      <c r="L149">
        <f>SUMIFS('Besi Balok'!$AA$23:$AA$7253,'Besi Balok'!$A$23:$A$7253,$A149,'Besi Balok'!$B$23:$B$7253,$B149,'Besi Balok'!$F$23:$F$7253,'REKAP Balok'!L$11)</f>
        <v>0</v>
      </c>
      <c r="M149">
        <f>SUMIFS('Besi Balok'!$AA$23:$AA$7253,'Besi Balok'!$A$23:$A$7253,$A149,'Besi Balok'!$B$23:$B$7253,$B149,'Besi Balok'!$F$23:$F$7253,'REKAP Balok'!M$11)</f>
        <v>0</v>
      </c>
      <c r="N149">
        <f>SUMIFS('Besi Balok'!$AA$23:$AA$7253,'Besi Balok'!$A$23:$A$7253,$A149,'Besi Balok'!$B$23:$B$7253,$B149,'Besi Balok'!$F$23:$F$7253,'REKAP Balok'!N$11)</f>
        <v>6.349950000000001</v>
      </c>
      <c r="O149">
        <f>SUMIFS('Besi Balok'!$AA$23:$AA$7253,'Besi Balok'!$A$23:$A$7253,$A149,'Besi Balok'!$B$23:$B$7253,$B149,'Besi Balok'!$F$23:$F$7253,'REKAP Balok'!O$11)</f>
        <v>7.57658772</v>
      </c>
      <c r="P149">
        <f>SUMIFS('Besi Balok'!$AA$23:$AA$7253,'Besi Balok'!$A$23:$A$7253,$A149,'Besi Balok'!$B$23:$B$7253,$B149,'Besi Balok'!$F$23:$F$7253,'REKAP Balok'!P$11)</f>
        <v>0</v>
      </c>
      <c r="Q149">
        <f>SUMIFS('Besi Balok'!$AA$23:$AA$7253,'Besi Balok'!$A$23:$A$7253,$A149,'Besi Balok'!$B$23:$B$7253,$B149,'Besi Balok'!$F$23:$F$7253,'REKAP Balok'!Q$11)</f>
        <v>0</v>
      </c>
      <c r="R149">
        <f>SUMIFS('Besi Balok'!$AA$23:$AA$7253,'Besi Balok'!$A$23:$A$7253,$A149,'Besi Balok'!$B$23:$B$7253,$B149,'Besi Balok'!$F$23:$F$7253,'REKAP Balok'!R$11)</f>
        <v>0</v>
      </c>
      <c r="S149">
        <f>SUMIFS('Besi Balok'!$AA$23:$AA$7253,'Besi Balok'!$A$23:$A$7253,$A149,'Besi Balok'!$B$23:$B$7253,$B149,'Besi Balok'!$F$23:$F$7253,'REKAP Balok'!S$11)</f>
        <v>0</v>
      </c>
      <c r="T149">
        <f>SUMIFS('Besi Balok'!$AA$23:$AA$7253,'Besi Balok'!$A$23:$A$7253,$A149,'Besi Balok'!$B$23:$B$7253,$B149,'Besi Balok'!$F$23:$F$7253,'REKAP Balok'!T$11)</f>
        <v>0</v>
      </c>
      <c r="U149">
        <f>SUM(L149:T149)</f>
        <v>13.92653772</v>
      </c>
      <c r="V149">
        <f>(D149*(F149-H149)*G149*K149)/1000000000</f>
        <v>0.072</v>
      </c>
      <c r="W149">
        <f>(((F149-H149)*2+IF(H149&gt;0,0,D149))*(G149)*K149)/1000000</f>
        <v>0.9</v>
      </c>
      <c r="AC149">
        <f>(D149+2*$F$5)*F149*G149/1000000000</f>
        <v>0.144</v>
      </c>
    </row>
    <row r="150">
      <c r="A150" t="str">
        <f>'Data Panjang Balok'!A146</f>
        <v>Lantai 2</v>
      </c>
      <c r="B150">
        <f>'Data Panjang Balok'!B146</f>
        <v>49</v>
      </c>
      <c r="C150" t="str">
        <f>'Data Panjang Balok'!D146</f>
        <v>B25-1</v>
      </c>
      <c r="D150">
        <f>IF(C150&gt;0,VLOOKUP(C150,'Detail Balok'!$C$11:$AU$140,2,FALSE),0)</f>
        <v>200</v>
      </c>
      <c r="E150" t="str">
        <v>x</v>
      </c>
      <c r="F150">
        <f>IF(C150&gt;0,VLOOKUP(C150,'Detail Balok'!$C$11:$AU$140,3,FALSE),0)</f>
        <v>500</v>
      </c>
      <c r="G150">
        <f>'Data Panjang Balok'!I146</f>
        <v>4805</v>
      </c>
      <c r="H150">
        <f>'Data Panjang Balok'!J146</f>
        <v>150</v>
      </c>
      <c r="I150">
        <v>0</v>
      </c>
      <c r="J150">
        <f>I150-F150/1000</f>
        <v>-0.5</v>
      </c>
      <c r="K150">
        <f>'Data Panjang Balok'!E146</f>
        <v>1</v>
      </c>
      <c r="L150">
        <f>SUMIFS('Besi Balok'!$AA$23:$AA$7253,'Besi Balok'!$A$23:$A$7253,$A150,'Besi Balok'!$B$23:$B$7253,$B150,'Besi Balok'!$F$23:$F$7253,'REKAP Balok'!L$11)</f>
        <v>0</v>
      </c>
      <c r="M150">
        <f>SUMIFS('Besi Balok'!$AA$23:$AA$7253,'Besi Balok'!$A$23:$A$7253,$A150,'Besi Balok'!$B$23:$B$7253,$B150,'Besi Balok'!$F$23:$F$7253,'REKAP Balok'!M$11)</f>
        <v>0</v>
      </c>
      <c r="N150">
        <f>SUMIFS('Besi Balok'!$AA$23:$AA$7253,'Besi Balok'!$A$23:$A$7253,$A150,'Besi Balok'!$B$23:$B$7253,$B150,'Besi Balok'!$F$23:$F$7253,'REKAP Balok'!N$11)</f>
        <v>28.969335</v>
      </c>
      <c r="O150">
        <f>SUMIFS('Besi Balok'!$AA$23:$AA$7253,'Besi Balok'!$A$23:$A$7253,$A150,'Besi Balok'!$B$23:$B$7253,$B150,'Besi Balok'!$F$23:$F$7253,'REKAP Balok'!O$11)</f>
        <v>0</v>
      </c>
      <c r="P150">
        <f>SUMIFS('Besi Balok'!$AA$23:$AA$7253,'Besi Balok'!$A$23:$A$7253,$A150,'Besi Balok'!$B$23:$B$7253,$B150,'Besi Balok'!$F$23:$F$7253,'REKAP Balok'!P$11)</f>
        <v>65.51589888000001</v>
      </c>
      <c r="Q150">
        <f>SUMIFS('Besi Balok'!$AA$23:$AA$7253,'Besi Balok'!$A$23:$A$7253,$A150,'Besi Balok'!$B$23:$B$7253,$B150,'Besi Balok'!$F$23:$F$7253,'REKAP Balok'!Q$11)</f>
        <v>0</v>
      </c>
      <c r="R150">
        <f>SUMIFS('Besi Balok'!$AA$23:$AA$7253,'Besi Balok'!$A$23:$A$7253,$A150,'Besi Balok'!$B$23:$B$7253,$B150,'Besi Balok'!$F$23:$F$7253,'REKAP Balok'!R$11)</f>
        <v>0</v>
      </c>
      <c r="S150">
        <f>SUMIFS('Besi Balok'!$AA$23:$AA$7253,'Besi Balok'!$A$23:$A$7253,$A150,'Besi Balok'!$B$23:$B$7253,$B150,'Besi Balok'!$F$23:$F$7253,'REKAP Balok'!S$11)</f>
        <v>0</v>
      </c>
      <c r="T150">
        <f>SUMIFS('Besi Balok'!$AA$23:$AA$7253,'Besi Balok'!$A$23:$A$7253,$A150,'Besi Balok'!$B$23:$B$7253,$B150,'Besi Balok'!$F$23:$F$7253,'REKAP Balok'!T$11)</f>
        <v>0</v>
      </c>
      <c r="U150">
        <f>SUM(L150:T150)</f>
        <v>94.48523388000001</v>
      </c>
      <c r="V150">
        <f>(D150*(F150-H150)*G150*K150)/1000000000</f>
        <v>0.33635</v>
      </c>
      <c r="W150">
        <f>(((F150-H150)*2+IF(H150&gt;0,0,D150))*(G150)*K150)/1000000</f>
        <v>3.3635</v>
      </c>
      <c r="AC150">
        <f>(D150+2*$F$5)*F150*G150/1000000000</f>
        <v>0.961</v>
      </c>
    </row>
    <row r="151">
      <c r="A151" t="str">
        <f>'Data Panjang Balok'!A147</f>
        <v>Lantai 2</v>
      </c>
      <c r="B151">
        <f>'Data Panjang Balok'!B147</f>
        <v>50</v>
      </c>
      <c r="C151" t="str">
        <f>'Data Panjang Balok'!D147</f>
        <v>B25-1</v>
      </c>
      <c r="D151">
        <f>IF(C151&gt;0,VLOOKUP(C151,'Detail Balok'!$C$11:$AU$140,2,FALSE),0)</f>
        <v>200</v>
      </c>
      <c r="E151" t="str">
        <v>x</v>
      </c>
      <c r="F151">
        <f>IF(C151&gt;0,VLOOKUP(C151,'Detail Balok'!$C$11:$AU$140,3,FALSE),0)</f>
        <v>500</v>
      </c>
      <c r="G151">
        <f>'Data Panjang Balok'!I147</f>
        <v>6650</v>
      </c>
      <c r="H151">
        <f>'Data Panjang Balok'!J147</f>
        <v>150</v>
      </c>
      <c r="I151">
        <v>0</v>
      </c>
      <c r="J151">
        <f>I151-F151/1000</f>
        <v>-0.5</v>
      </c>
      <c r="K151">
        <f>'Data Panjang Balok'!E147</f>
        <v>1</v>
      </c>
      <c r="L151">
        <f>SUMIFS('Besi Balok'!$AA$23:$AA$7253,'Besi Balok'!$A$23:$A$7253,$A151,'Besi Balok'!$B$23:$B$7253,$B151,'Besi Balok'!$F$23:$F$7253,'REKAP Balok'!L$11)</f>
        <v>0</v>
      </c>
      <c r="M151">
        <f>SUMIFS('Besi Balok'!$AA$23:$AA$7253,'Besi Balok'!$A$23:$A$7253,$A151,'Besi Balok'!$B$23:$B$7253,$B151,'Besi Balok'!$F$23:$F$7253,'REKAP Balok'!M$11)</f>
        <v>0</v>
      </c>
      <c r="N151">
        <f>SUMIFS('Besi Balok'!$AA$23:$AA$7253,'Besi Balok'!$A$23:$A$7253,$A151,'Besi Balok'!$B$23:$B$7253,$B151,'Besi Balok'!$F$23:$F$7253,'REKAP Balok'!N$11)</f>
        <v>39.585465</v>
      </c>
      <c r="O151">
        <f>SUMIFS('Besi Balok'!$AA$23:$AA$7253,'Besi Balok'!$A$23:$A$7253,$A151,'Besi Balok'!$B$23:$B$7253,$B151,'Besi Balok'!$F$23:$F$7253,'REKAP Balok'!O$11)</f>
        <v>0</v>
      </c>
      <c r="P151">
        <f>SUMIFS('Besi Balok'!$AA$23:$AA$7253,'Besi Balok'!$A$23:$A$7253,$A151,'Besi Balok'!$B$23:$B$7253,$B151,'Besi Balok'!$F$23:$F$7253,'REKAP Balok'!P$11)</f>
        <v>88.81072128</v>
      </c>
      <c r="Q151">
        <f>SUMIFS('Besi Balok'!$AA$23:$AA$7253,'Besi Balok'!$A$23:$A$7253,$A151,'Besi Balok'!$B$23:$B$7253,$B151,'Besi Balok'!$F$23:$F$7253,'REKAP Balok'!Q$11)</f>
        <v>0</v>
      </c>
      <c r="R151">
        <f>SUMIFS('Besi Balok'!$AA$23:$AA$7253,'Besi Balok'!$A$23:$A$7253,$A151,'Besi Balok'!$B$23:$B$7253,$B151,'Besi Balok'!$F$23:$F$7253,'REKAP Balok'!R$11)</f>
        <v>0</v>
      </c>
      <c r="S151">
        <f>SUMIFS('Besi Balok'!$AA$23:$AA$7253,'Besi Balok'!$A$23:$A$7253,$A151,'Besi Balok'!$B$23:$B$7253,$B151,'Besi Balok'!$F$23:$F$7253,'REKAP Balok'!S$11)</f>
        <v>0</v>
      </c>
      <c r="T151">
        <f>SUMIFS('Besi Balok'!$AA$23:$AA$7253,'Besi Balok'!$A$23:$A$7253,$A151,'Besi Balok'!$B$23:$B$7253,$B151,'Besi Balok'!$F$23:$F$7253,'REKAP Balok'!T$11)</f>
        <v>0</v>
      </c>
      <c r="U151">
        <f>SUM(L151:T151)</f>
        <v>128.39618628</v>
      </c>
      <c r="V151">
        <f>(D151*(F151-H151)*G151*K151)/1000000000</f>
        <v>0.4655</v>
      </c>
      <c r="W151">
        <f>(((F151-H151)*2+IF(H151&gt;0,0,D151))*(G151)*K151)/1000000</f>
        <v>4.655</v>
      </c>
      <c r="AC151">
        <f>(D151+2*$F$5)*F151*G151/1000000000</f>
        <v>1.33</v>
      </c>
    </row>
    <row r="152">
      <c r="A152" t="str">
        <f>'Data Panjang Balok'!A148</f>
        <v>Lantai 2</v>
      </c>
      <c r="B152">
        <f>'Data Panjang Balok'!B148</f>
        <v>51</v>
      </c>
      <c r="C152" t="str">
        <f>'Data Panjang Balok'!D148</f>
        <v>B25-1</v>
      </c>
      <c r="D152">
        <f>IF(C152&gt;0,VLOOKUP(C152,'Detail Balok'!$C$11:$AU$140,2,FALSE),0)</f>
        <v>200</v>
      </c>
      <c r="E152" t="str">
        <v>x</v>
      </c>
      <c r="F152">
        <f>IF(C152&gt;0,VLOOKUP(C152,'Detail Balok'!$C$11:$AU$140,3,FALSE),0)</f>
        <v>500</v>
      </c>
      <c r="G152">
        <f>'Data Panjang Balok'!I148</f>
        <v>6650</v>
      </c>
      <c r="H152">
        <f>'Data Panjang Balok'!J148</f>
        <v>150</v>
      </c>
      <c r="I152">
        <v>0</v>
      </c>
      <c r="J152">
        <f>I152-F152/1000</f>
        <v>-0.5</v>
      </c>
      <c r="K152">
        <f>'Data Panjang Balok'!E148</f>
        <v>1</v>
      </c>
      <c r="L152">
        <f>SUMIFS('Besi Balok'!$AA$23:$AA$7253,'Besi Balok'!$A$23:$A$7253,$A152,'Besi Balok'!$B$23:$B$7253,$B152,'Besi Balok'!$F$23:$F$7253,'REKAP Balok'!L$11)</f>
        <v>0</v>
      </c>
      <c r="M152">
        <f>SUMIFS('Besi Balok'!$AA$23:$AA$7253,'Besi Balok'!$A$23:$A$7253,$A152,'Besi Balok'!$B$23:$B$7253,$B152,'Besi Balok'!$F$23:$F$7253,'REKAP Balok'!M$11)</f>
        <v>0</v>
      </c>
      <c r="N152">
        <f>SUMIFS('Besi Balok'!$AA$23:$AA$7253,'Besi Balok'!$A$23:$A$7253,$A152,'Besi Balok'!$B$23:$B$7253,$B152,'Besi Balok'!$F$23:$F$7253,'REKAP Balok'!N$11)</f>
        <v>39.585465</v>
      </c>
      <c r="O152">
        <f>SUMIFS('Besi Balok'!$AA$23:$AA$7253,'Besi Balok'!$A$23:$A$7253,$A152,'Besi Balok'!$B$23:$B$7253,$B152,'Besi Balok'!$F$23:$F$7253,'REKAP Balok'!O$11)</f>
        <v>0</v>
      </c>
      <c r="P152">
        <f>SUMIFS('Besi Balok'!$AA$23:$AA$7253,'Besi Balok'!$A$23:$A$7253,$A152,'Besi Balok'!$B$23:$B$7253,$B152,'Besi Balok'!$F$23:$F$7253,'REKAP Balok'!P$11)</f>
        <v>88.81072128</v>
      </c>
      <c r="Q152">
        <f>SUMIFS('Besi Balok'!$AA$23:$AA$7253,'Besi Balok'!$A$23:$A$7253,$A152,'Besi Balok'!$B$23:$B$7253,$B152,'Besi Balok'!$F$23:$F$7253,'REKAP Balok'!Q$11)</f>
        <v>0</v>
      </c>
      <c r="R152">
        <f>SUMIFS('Besi Balok'!$AA$23:$AA$7253,'Besi Balok'!$A$23:$A$7253,$A152,'Besi Balok'!$B$23:$B$7253,$B152,'Besi Balok'!$F$23:$F$7253,'REKAP Balok'!R$11)</f>
        <v>0</v>
      </c>
      <c r="S152">
        <f>SUMIFS('Besi Balok'!$AA$23:$AA$7253,'Besi Balok'!$A$23:$A$7253,$A152,'Besi Balok'!$B$23:$B$7253,$B152,'Besi Balok'!$F$23:$F$7253,'REKAP Balok'!S$11)</f>
        <v>0</v>
      </c>
      <c r="T152">
        <f>SUMIFS('Besi Balok'!$AA$23:$AA$7253,'Besi Balok'!$A$23:$A$7253,$A152,'Besi Balok'!$B$23:$B$7253,$B152,'Besi Balok'!$F$23:$F$7253,'REKAP Balok'!T$11)</f>
        <v>0</v>
      </c>
      <c r="U152">
        <f>SUM(L152:T152)</f>
        <v>128.39618628</v>
      </c>
      <c r="V152">
        <f>(D152*(F152-H152)*G152*K152)/1000000000</f>
        <v>0.4655</v>
      </c>
      <c r="W152">
        <f>(((F152-H152)*2+IF(H152&gt;0,0,D152))*(G152)*K152)/1000000</f>
        <v>4.655</v>
      </c>
      <c r="AC152">
        <f>(D152+2*$F$5)*F152*G152/1000000000</f>
        <v>1.33</v>
      </c>
    </row>
    <row r="153">
      <c r="A153" t="str">
        <f>'Data Panjang Balok'!A149</f>
        <v>Lantai 2</v>
      </c>
      <c r="B153">
        <f>'Data Panjang Balok'!B149</f>
        <v>52</v>
      </c>
      <c r="C153" t="str">
        <f>'Data Panjang Balok'!D149</f>
        <v>B25-1</v>
      </c>
      <c r="D153">
        <f>IF(C153&gt;0,VLOOKUP(C153,'Detail Balok'!$C$11:$AU$140,2,FALSE),0)</f>
        <v>200</v>
      </c>
      <c r="E153" t="str">
        <v>x</v>
      </c>
      <c r="F153">
        <f>IF(C153&gt;0,VLOOKUP(C153,'Detail Balok'!$C$11:$AU$140,3,FALSE),0)</f>
        <v>500</v>
      </c>
      <c r="G153">
        <f>'Data Panjang Balok'!I149</f>
        <v>4805</v>
      </c>
      <c r="H153">
        <f>'Data Panjang Balok'!J149</f>
        <v>150</v>
      </c>
      <c r="I153">
        <v>0</v>
      </c>
      <c r="J153">
        <f>I153-F153/1000</f>
        <v>-0.5</v>
      </c>
      <c r="K153">
        <f>'Data Panjang Balok'!E149</f>
        <v>1</v>
      </c>
      <c r="L153">
        <f>SUMIFS('Besi Balok'!$AA$23:$AA$7253,'Besi Balok'!$A$23:$A$7253,$A153,'Besi Balok'!$B$23:$B$7253,$B153,'Besi Balok'!$F$23:$F$7253,'REKAP Balok'!L$11)</f>
        <v>0</v>
      </c>
      <c r="M153">
        <f>SUMIFS('Besi Balok'!$AA$23:$AA$7253,'Besi Balok'!$A$23:$A$7253,$A153,'Besi Balok'!$B$23:$B$7253,$B153,'Besi Balok'!$F$23:$F$7253,'REKAP Balok'!M$11)</f>
        <v>0</v>
      </c>
      <c r="N153">
        <f>SUMIFS('Besi Balok'!$AA$23:$AA$7253,'Besi Balok'!$A$23:$A$7253,$A153,'Besi Balok'!$B$23:$B$7253,$B153,'Besi Balok'!$F$23:$F$7253,'REKAP Balok'!N$11)</f>
        <v>28.969335</v>
      </c>
      <c r="O153">
        <f>SUMIFS('Besi Balok'!$AA$23:$AA$7253,'Besi Balok'!$A$23:$A$7253,$A153,'Besi Balok'!$B$23:$B$7253,$B153,'Besi Balok'!$F$23:$F$7253,'REKAP Balok'!O$11)</f>
        <v>0</v>
      </c>
      <c r="P153">
        <f>SUMIFS('Besi Balok'!$AA$23:$AA$7253,'Besi Balok'!$A$23:$A$7253,$A153,'Besi Balok'!$B$23:$B$7253,$B153,'Besi Balok'!$F$23:$F$7253,'REKAP Balok'!P$11)</f>
        <v>65.51589888000001</v>
      </c>
      <c r="Q153">
        <f>SUMIFS('Besi Balok'!$AA$23:$AA$7253,'Besi Balok'!$A$23:$A$7253,$A153,'Besi Balok'!$B$23:$B$7253,$B153,'Besi Balok'!$F$23:$F$7253,'REKAP Balok'!Q$11)</f>
        <v>0</v>
      </c>
      <c r="R153">
        <f>SUMIFS('Besi Balok'!$AA$23:$AA$7253,'Besi Balok'!$A$23:$A$7253,$A153,'Besi Balok'!$B$23:$B$7253,$B153,'Besi Balok'!$F$23:$F$7253,'REKAP Balok'!R$11)</f>
        <v>0</v>
      </c>
      <c r="S153">
        <f>SUMIFS('Besi Balok'!$AA$23:$AA$7253,'Besi Balok'!$A$23:$A$7253,$A153,'Besi Balok'!$B$23:$B$7253,$B153,'Besi Balok'!$F$23:$F$7253,'REKAP Balok'!S$11)</f>
        <v>0</v>
      </c>
      <c r="T153">
        <f>SUMIFS('Besi Balok'!$AA$23:$AA$7253,'Besi Balok'!$A$23:$A$7253,$A153,'Besi Balok'!$B$23:$B$7253,$B153,'Besi Balok'!$F$23:$F$7253,'REKAP Balok'!T$11)</f>
        <v>0</v>
      </c>
      <c r="U153">
        <f>SUM(L153:T153)</f>
        <v>94.48523388000001</v>
      </c>
      <c r="V153">
        <f>(D153*(F153-H153)*G153*K153)/1000000000</f>
        <v>0.33635</v>
      </c>
      <c r="W153">
        <f>(((F153-H153)*2+IF(H153&gt;0,0,D153))*(G153)*K153)/1000000</f>
        <v>3.3635</v>
      </c>
      <c r="AC153">
        <f>(D153+2*$F$5)*F153*G153/1000000000</f>
        <v>0.961</v>
      </c>
    </row>
    <row r="154">
      <c r="A154" t="str">
        <f>'Data Panjang Balok'!A150</f>
        <v>Lantai 2</v>
      </c>
      <c r="B154">
        <f>'Data Panjang Balok'!B150</f>
        <v>53</v>
      </c>
      <c r="C154" t="str">
        <f>'Data Panjang Balok'!D150</f>
        <v>B24-1</v>
      </c>
      <c r="D154">
        <f>IF(C154&gt;0,VLOOKUP(C154,'Detail Balok'!$C$11:$AU$140,2,FALSE),0)</f>
        <v>200</v>
      </c>
      <c r="E154" t="str">
        <v>x</v>
      </c>
      <c r="F154">
        <f>IF(C154&gt;0,VLOOKUP(C154,'Detail Balok'!$C$11:$AU$140,3,FALSE),0)</f>
        <v>400</v>
      </c>
      <c r="G154">
        <f>'Data Panjang Balok'!I150</f>
        <v>2755</v>
      </c>
      <c r="H154">
        <f>'Data Panjang Balok'!J150</f>
        <v>150</v>
      </c>
      <c r="I154">
        <v>0</v>
      </c>
      <c r="J154">
        <f>I154-F154/1000</f>
        <v>-0.4</v>
      </c>
      <c r="K154">
        <f>'Data Panjang Balok'!E150</f>
        <v>1</v>
      </c>
      <c r="L154">
        <f>SUMIFS('Besi Balok'!$AA$23:$AA$7253,'Besi Balok'!$A$23:$A$7253,$A154,'Besi Balok'!$B$23:$B$7253,$B154,'Besi Balok'!$F$23:$F$7253,'REKAP Balok'!L$11)</f>
        <v>0</v>
      </c>
      <c r="M154">
        <f>SUMIFS('Besi Balok'!$AA$23:$AA$7253,'Besi Balok'!$A$23:$A$7253,$A154,'Besi Balok'!$B$23:$B$7253,$B154,'Besi Balok'!$F$23:$F$7253,'REKAP Balok'!M$11)</f>
        <v>0</v>
      </c>
      <c r="N154">
        <f>SUMIFS('Besi Balok'!$AA$23:$AA$7253,'Besi Balok'!$A$23:$A$7253,$A154,'Besi Balok'!$B$23:$B$7253,$B154,'Besi Balok'!$F$23:$F$7253,'REKAP Balok'!N$11)</f>
        <v>15.239880000000003</v>
      </c>
      <c r="O154">
        <f>SUMIFS('Besi Balok'!$AA$23:$AA$7253,'Besi Balok'!$A$23:$A$7253,$A154,'Besi Balok'!$B$23:$B$7253,$B154,'Besi Balok'!$F$23:$F$7253,'REKAP Balok'!O$11)</f>
        <v>19.172767769999997</v>
      </c>
      <c r="P154">
        <f>SUMIFS('Besi Balok'!$AA$23:$AA$7253,'Besi Balok'!$A$23:$A$7253,$A154,'Besi Balok'!$B$23:$B$7253,$B154,'Besi Balok'!$F$23:$F$7253,'REKAP Balok'!P$11)</f>
        <v>0</v>
      </c>
      <c r="Q154">
        <f>SUMIFS('Besi Balok'!$AA$23:$AA$7253,'Besi Balok'!$A$23:$A$7253,$A154,'Besi Balok'!$B$23:$B$7253,$B154,'Besi Balok'!$F$23:$F$7253,'REKAP Balok'!Q$11)</f>
        <v>0</v>
      </c>
      <c r="R154">
        <f>SUMIFS('Besi Balok'!$AA$23:$AA$7253,'Besi Balok'!$A$23:$A$7253,$A154,'Besi Balok'!$B$23:$B$7253,$B154,'Besi Balok'!$F$23:$F$7253,'REKAP Balok'!R$11)</f>
        <v>0</v>
      </c>
      <c r="S154">
        <f>SUMIFS('Besi Balok'!$AA$23:$AA$7253,'Besi Balok'!$A$23:$A$7253,$A154,'Besi Balok'!$B$23:$B$7253,$B154,'Besi Balok'!$F$23:$F$7253,'REKAP Balok'!S$11)</f>
        <v>0</v>
      </c>
      <c r="T154">
        <f>SUMIFS('Besi Balok'!$AA$23:$AA$7253,'Besi Balok'!$A$23:$A$7253,$A154,'Besi Balok'!$B$23:$B$7253,$B154,'Besi Balok'!$F$23:$F$7253,'REKAP Balok'!T$11)</f>
        <v>0</v>
      </c>
      <c r="U154">
        <f>SUM(L154:T154)</f>
        <v>34.41264777</v>
      </c>
      <c r="V154">
        <f>(D154*(F154-H154)*G154*K154)/1000000000</f>
        <v>0.13775</v>
      </c>
      <c r="W154">
        <f>(((F154-H154)*2+IF(H154&gt;0,0,D154))*(G154)*K154)/1000000</f>
        <v>1.3775</v>
      </c>
      <c r="AC154">
        <f>(D154+2*$F$5)*F154*G154/1000000000</f>
        <v>0.4408</v>
      </c>
    </row>
    <row r="155">
      <c r="A155" t="str">
        <f>'Data Panjang Balok'!A151</f>
        <v>Lantai 2</v>
      </c>
      <c r="B155">
        <f>'Data Panjang Balok'!B151</f>
        <v>54</v>
      </c>
      <c r="C155" t="str">
        <f>'Data Panjang Balok'!D151</f>
        <v>CL24-1</v>
      </c>
      <c r="D155">
        <f>IF(C155&gt;0,VLOOKUP(C155,'Detail Balok'!$C$11:$AU$140,2,FALSE),0)</f>
        <v>200</v>
      </c>
      <c r="E155" t="str">
        <v>x</v>
      </c>
      <c r="F155">
        <f>IF(C155&gt;0,VLOOKUP(C155,'Detail Balok'!$C$11:$AU$140,3,FALSE),0)</f>
        <v>400</v>
      </c>
      <c r="G155">
        <f>'Data Panjang Balok'!I151</f>
        <v>2100</v>
      </c>
      <c r="H155">
        <f>'Data Panjang Balok'!J151</f>
        <v>150</v>
      </c>
      <c r="I155">
        <v>0</v>
      </c>
      <c r="J155">
        <f>I155-F155/1000</f>
        <v>-0.4</v>
      </c>
      <c r="K155">
        <f>'Data Panjang Balok'!E151</f>
        <v>1</v>
      </c>
      <c r="L155">
        <f>SUMIFS('Besi Balok'!$AA$23:$AA$7253,'Besi Balok'!$A$23:$A$7253,$A155,'Besi Balok'!$B$23:$B$7253,$B155,'Besi Balok'!$F$23:$F$7253,'REKAP Balok'!L$11)</f>
        <v>0</v>
      </c>
      <c r="M155">
        <f>SUMIFS('Besi Balok'!$AA$23:$AA$7253,'Besi Balok'!$A$23:$A$7253,$A155,'Besi Balok'!$B$23:$B$7253,$B155,'Besi Balok'!$F$23:$F$7253,'REKAP Balok'!M$11)</f>
        <v>0</v>
      </c>
      <c r="N155">
        <f>SUMIFS('Besi Balok'!$AA$23:$AA$7253,'Besi Balok'!$A$23:$A$7253,$A155,'Besi Balok'!$B$23:$B$7253,$B155,'Besi Balok'!$F$23:$F$7253,'REKAP Balok'!N$11)</f>
        <v>14.604885000000003</v>
      </c>
      <c r="O155">
        <f>SUMIFS('Besi Balok'!$AA$23:$AA$7253,'Besi Balok'!$A$23:$A$7253,$A155,'Besi Balok'!$B$23:$B$7253,$B155,'Besi Balok'!$F$23:$F$7253,'REKAP Balok'!O$11)</f>
        <v>0</v>
      </c>
      <c r="P155">
        <f>SUMIFS('Besi Balok'!$AA$23:$AA$7253,'Besi Balok'!$A$23:$A$7253,$A155,'Besi Balok'!$B$23:$B$7253,$B155,'Besi Balok'!$F$23:$F$7253,'REKAP Balok'!P$11)</f>
        <v>23.52208896</v>
      </c>
      <c r="Q155">
        <f>SUMIFS('Besi Balok'!$AA$23:$AA$7253,'Besi Balok'!$A$23:$A$7253,$A155,'Besi Balok'!$B$23:$B$7253,$B155,'Besi Balok'!$F$23:$F$7253,'REKAP Balok'!Q$11)</f>
        <v>0</v>
      </c>
      <c r="R155">
        <f>SUMIFS('Besi Balok'!$AA$23:$AA$7253,'Besi Balok'!$A$23:$A$7253,$A155,'Besi Balok'!$B$23:$B$7253,$B155,'Besi Balok'!$F$23:$F$7253,'REKAP Balok'!R$11)</f>
        <v>0</v>
      </c>
      <c r="S155">
        <f>SUMIFS('Besi Balok'!$AA$23:$AA$7253,'Besi Balok'!$A$23:$A$7253,$A155,'Besi Balok'!$B$23:$B$7253,$B155,'Besi Balok'!$F$23:$F$7253,'REKAP Balok'!S$11)</f>
        <v>0</v>
      </c>
      <c r="T155">
        <f>SUMIFS('Besi Balok'!$AA$23:$AA$7253,'Besi Balok'!$A$23:$A$7253,$A155,'Besi Balok'!$B$23:$B$7253,$B155,'Besi Balok'!$F$23:$F$7253,'REKAP Balok'!T$11)</f>
        <v>0</v>
      </c>
      <c r="U155">
        <f>SUM(L155:T155)</f>
        <v>38.12697396</v>
      </c>
      <c r="V155">
        <f>(D155*(F155-H155)*G155*K155)/1000000000</f>
        <v>0.105</v>
      </c>
      <c r="W155">
        <f>(((F155-H155)*2+IF(H155&gt;0,0,D155))*(G155)*K155)/1000000</f>
        <v>1.05</v>
      </c>
      <c r="AC155">
        <f>(D155+2*$F$5)*F155*G155/1000000000</f>
        <v>0.336</v>
      </c>
    </row>
    <row r="156">
      <c r="A156" t="str">
        <f>'Data Panjang Balok'!A152</f>
        <v>Lantai 2</v>
      </c>
      <c r="B156">
        <f>'Data Panjang Balok'!B152</f>
        <v>55</v>
      </c>
      <c r="C156" t="str">
        <f>'Data Panjang Balok'!D152</f>
        <v>CL24-1</v>
      </c>
      <c r="D156">
        <f>IF(C156&gt;0,VLOOKUP(C156,'Detail Balok'!$C$11:$AU$140,2,FALSE),0)</f>
        <v>200</v>
      </c>
      <c r="E156" t="str">
        <v>x</v>
      </c>
      <c r="F156">
        <f>IF(C156&gt;0,VLOOKUP(C156,'Detail Balok'!$C$11:$AU$140,3,FALSE),0)</f>
        <v>400</v>
      </c>
      <c r="G156">
        <f>'Data Panjang Balok'!I152</f>
        <v>2100</v>
      </c>
      <c r="H156">
        <f>'Data Panjang Balok'!J152</f>
        <v>150</v>
      </c>
      <c r="I156">
        <v>0</v>
      </c>
      <c r="J156">
        <f>I156-F156/1000</f>
        <v>-0.4</v>
      </c>
      <c r="K156">
        <f>'Data Panjang Balok'!E152</f>
        <v>1</v>
      </c>
      <c r="L156">
        <f>SUMIFS('Besi Balok'!$AA$23:$AA$7253,'Besi Balok'!$A$23:$A$7253,$A156,'Besi Balok'!$B$23:$B$7253,$B156,'Besi Balok'!$F$23:$F$7253,'REKAP Balok'!L$11)</f>
        <v>0</v>
      </c>
      <c r="M156">
        <f>SUMIFS('Besi Balok'!$AA$23:$AA$7253,'Besi Balok'!$A$23:$A$7253,$A156,'Besi Balok'!$B$23:$B$7253,$B156,'Besi Balok'!$F$23:$F$7253,'REKAP Balok'!M$11)</f>
        <v>0</v>
      </c>
      <c r="N156">
        <f>SUMIFS('Besi Balok'!$AA$23:$AA$7253,'Besi Balok'!$A$23:$A$7253,$A156,'Besi Balok'!$B$23:$B$7253,$B156,'Besi Balok'!$F$23:$F$7253,'REKAP Balok'!N$11)</f>
        <v>14.604885000000003</v>
      </c>
      <c r="O156">
        <f>SUMIFS('Besi Balok'!$AA$23:$AA$7253,'Besi Balok'!$A$23:$A$7253,$A156,'Besi Balok'!$B$23:$B$7253,$B156,'Besi Balok'!$F$23:$F$7253,'REKAP Balok'!O$11)</f>
        <v>0</v>
      </c>
      <c r="P156">
        <f>SUMIFS('Besi Balok'!$AA$23:$AA$7253,'Besi Balok'!$A$23:$A$7253,$A156,'Besi Balok'!$B$23:$B$7253,$B156,'Besi Balok'!$F$23:$F$7253,'REKAP Balok'!P$11)</f>
        <v>23.52208896</v>
      </c>
      <c r="Q156">
        <f>SUMIFS('Besi Balok'!$AA$23:$AA$7253,'Besi Balok'!$A$23:$A$7253,$A156,'Besi Balok'!$B$23:$B$7253,$B156,'Besi Balok'!$F$23:$F$7253,'REKAP Balok'!Q$11)</f>
        <v>0</v>
      </c>
      <c r="R156">
        <f>SUMIFS('Besi Balok'!$AA$23:$AA$7253,'Besi Balok'!$A$23:$A$7253,$A156,'Besi Balok'!$B$23:$B$7253,$B156,'Besi Balok'!$F$23:$F$7253,'REKAP Balok'!R$11)</f>
        <v>0</v>
      </c>
      <c r="S156">
        <f>SUMIFS('Besi Balok'!$AA$23:$AA$7253,'Besi Balok'!$A$23:$A$7253,$A156,'Besi Balok'!$B$23:$B$7253,$B156,'Besi Balok'!$F$23:$F$7253,'REKAP Balok'!S$11)</f>
        <v>0</v>
      </c>
      <c r="T156">
        <f>SUMIFS('Besi Balok'!$AA$23:$AA$7253,'Besi Balok'!$A$23:$A$7253,$A156,'Besi Balok'!$B$23:$B$7253,$B156,'Besi Balok'!$F$23:$F$7253,'REKAP Balok'!T$11)</f>
        <v>0</v>
      </c>
      <c r="U156">
        <f>SUM(L156:T156)</f>
        <v>38.12697396</v>
      </c>
      <c r="V156">
        <f>(D156*(F156-H156)*G156*K156)/1000000000</f>
        <v>0.105</v>
      </c>
      <c r="W156">
        <f>(((F156-H156)*2+IF(H156&gt;0,0,D156))*(G156)*K156)/1000000</f>
        <v>1.05</v>
      </c>
      <c r="AC156">
        <f>(D156+2*$F$5)*F156*G156/1000000000</f>
        <v>0.336</v>
      </c>
    </row>
    <row r="158">
      <c r="A158" t="str">
        <f>'Data Panjang Balok'!A154</f>
        <v>Lantai 3</v>
      </c>
      <c r="B158">
        <f>'Data Panjang Balok'!B154</f>
        <v>1</v>
      </c>
      <c r="C158" t="str">
        <f>'Data Panjang Balok'!D154</f>
        <v>B24-1</v>
      </c>
      <c r="D158">
        <f>IF(C158&gt;0,VLOOKUP(C158,'Detail Balok'!$C$11:$AU$140,2,FALSE),0)</f>
        <v>200</v>
      </c>
      <c r="E158" t="str">
        <v>x</v>
      </c>
      <c r="F158">
        <f>IF(C158&gt;0,VLOOKUP(C158,'Detail Balok'!$C$11:$AU$140,3,FALSE),0)</f>
        <v>400</v>
      </c>
      <c r="G158">
        <f>'Data Panjang Balok'!I154</f>
        <v>9250</v>
      </c>
      <c r="H158">
        <f>'Data Panjang Balok'!J154</f>
        <v>150</v>
      </c>
      <c r="I158">
        <v>0</v>
      </c>
      <c r="J158">
        <f>I158-F158/1000</f>
        <v>-0.4</v>
      </c>
      <c r="K158">
        <f>'Data Panjang Balok'!E154</f>
        <v>1</v>
      </c>
      <c r="L158">
        <f>SUMIFS('Besi Balok'!$AA$23:$AA$7253,'Besi Balok'!$A$23:$A$7253,$A158,'Besi Balok'!$B$23:$B$7253,$B158,'Besi Balok'!$F$23:$F$7253,'REKAP Balok'!L$11)</f>
        <v>0</v>
      </c>
      <c r="M158">
        <f>SUMIFS('Besi Balok'!$AA$23:$AA$7253,'Besi Balok'!$A$23:$A$7253,$A158,'Besi Balok'!$B$23:$B$7253,$B158,'Besi Balok'!$F$23:$F$7253,'REKAP Balok'!M$11)</f>
        <v>0</v>
      </c>
      <c r="N158">
        <f>SUMIFS('Besi Balok'!$AA$23:$AA$7253,'Besi Balok'!$A$23:$A$7253,$A158,'Besi Balok'!$B$23:$B$7253,$B158,'Besi Balok'!$F$23:$F$7253,'REKAP Balok'!N$11)</f>
        <v>45.08464500000001</v>
      </c>
      <c r="O158">
        <f>SUMIFS('Besi Balok'!$AA$23:$AA$7253,'Besi Balok'!$A$23:$A$7253,$A158,'Besi Balok'!$B$23:$B$7253,$B158,'Besi Balok'!$F$23:$F$7253,'REKAP Balok'!O$11)</f>
        <v>59.77502622000001</v>
      </c>
      <c r="P158">
        <f>SUMIFS('Besi Balok'!$AA$23:$AA$7253,'Besi Balok'!$A$23:$A$7253,$A158,'Besi Balok'!$B$23:$B$7253,$B158,'Besi Balok'!$F$23:$F$7253,'REKAP Balok'!P$11)</f>
        <v>0</v>
      </c>
      <c r="Q158">
        <f>SUMIFS('Besi Balok'!$AA$23:$AA$7253,'Besi Balok'!$A$23:$A$7253,$A158,'Besi Balok'!$B$23:$B$7253,$B158,'Besi Balok'!$F$23:$F$7253,'REKAP Balok'!Q$11)</f>
        <v>0</v>
      </c>
      <c r="R158">
        <f>SUMIFS('Besi Balok'!$AA$23:$AA$7253,'Besi Balok'!$A$23:$A$7253,$A158,'Besi Balok'!$B$23:$B$7253,$B158,'Besi Balok'!$F$23:$F$7253,'REKAP Balok'!R$11)</f>
        <v>0</v>
      </c>
      <c r="S158">
        <f>SUMIFS('Besi Balok'!$AA$23:$AA$7253,'Besi Balok'!$A$23:$A$7253,$A158,'Besi Balok'!$B$23:$B$7253,$B158,'Besi Balok'!$F$23:$F$7253,'REKAP Balok'!S$11)</f>
        <v>0</v>
      </c>
      <c r="T158">
        <f>SUMIFS('Besi Balok'!$AA$23:$AA$7253,'Besi Balok'!$A$23:$A$7253,$A158,'Besi Balok'!$B$23:$B$7253,$B158,'Besi Balok'!$F$23:$F$7253,'REKAP Balok'!T$11)</f>
        <v>0</v>
      </c>
      <c r="U158">
        <f>SUM(L158:T158)</f>
        <v>104.85967122000002</v>
      </c>
      <c r="V158">
        <f>(D158*(F158-H158)*G158*K158)/1000000000</f>
        <v>0.4625</v>
      </c>
      <c r="W158">
        <f>(((F158-H158)*2+IF(H158&gt;0,0,D158))*(G158)*K158)/1000000</f>
        <v>4.625</v>
      </c>
      <c r="AC158">
        <f>(D158+2*$F$5)*F158*G158/1000000000</f>
        <v>1.48</v>
      </c>
    </row>
    <row r="159">
      <c r="A159" t="str">
        <f>'Data Panjang Balok'!A155</f>
        <v>Lantai 3</v>
      </c>
      <c r="B159">
        <f>'Data Panjang Balok'!B155</f>
        <v>2</v>
      </c>
      <c r="C159" t="str">
        <f>'Data Panjang Balok'!D155</f>
        <v>B24-2</v>
      </c>
      <c r="D159">
        <f>IF(C159&gt;0,VLOOKUP(C159,'Detail Balok'!$C$11:$AU$140,2,FALSE),0)</f>
        <v>200</v>
      </c>
      <c r="E159" t="str">
        <v>x</v>
      </c>
      <c r="F159">
        <f>IF(C159&gt;0,VLOOKUP(C159,'Detail Balok'!$C$11:$AU$140,3,FALSE),0)</f>
        <v>400</v>
      </c>
      <c r="G159">
        <f>'Data Panjang Balok'!I155</f>
        <v>9000</v>
      </c>
      <c r="H159">
        <f>'Data Panjang Balok'!J155</f>
        <v>150</v>
      </c>
      <c r="I159">
        <v>0</v>
      </c>
      <c r="J159">
        <f>I159-F159/1000</f>
        <v>-0.4</v>
      </c>
      <c r="K159">
        <f>'Data Panjang Balok'!E155</f>
        <v>1</v>
      </c>
      <c r="L159">
        <f>SUMIFS('Besi Balok'!$AA$23:$AA$7253,'Besi Balok'!$A$23:$A$7253,$A159,'Besi Balok'!$B$23:$B$7253,$B159,'Besi Balok'!$F$23:$F$7253,'REKAP Balok'!L$11)</f>
        <v>0</v>
      </c>
      <c r="M159">
        <f>SUMIFS('Besi Balok'!$AA$23:$AA$7253,'Besi Balok'!$A$23:$A$7253,$A159,'Besi Balok'!$B$23:$B$7253,$B159,'Besi Balok'!$F$23:$F$7253,'REKAP Balok'!M$11)</f>
        <v>0</v>
      </c>
      <c r="N159">
        <f>SUMIFS('Besi Balok'!$AA$23:$AA$7253,'Besi Balok'!$A$23:$A$7253,$A159,'Besi Balok'!$B$23:$B$7253,$B159,'Besi Balok'!$F$23:$F$7253,'REKAP Balok'!N$11)</f>
        <v>45.08464500000001</v>
      </c>
      <c r="O159">
        <f>SUMIFS('Besi Balok'!$AA$23:$AA$7253,'Besi Balok'!$A$23:$A$7253,$A159,'Besi Balok'!$B$23:$B$7253,$B159,'Besi Balok'!$F$23:$F$7253,'REKAP Balok'!O$11)</f>
        <v>0</v>
      </c>
      <c r="P159">
        <f>SUMIFS('Besi Balok'!$AA$23:$AA$7253,'Besi Balok'!$A$23:$A$7253,$A159,'Besi Balok'!$B$23:$B$7253,$B159,'Besi Balok'!$F$23:$F$7253,'REKAP Balok'!P$11)</f>
        <v>88.86122496000002</v>
      </c>
      <c r="Q159">
        <f>SUMIFS('Besi Balok'!$AA$23:$AA$7253,'Besi Balok'!$A$23:$A$7253,$A159,'Besi Balok'!$B$23:$B$7253,$B159,'Besi Balok'!$F$23:$F$7253,'REKAP Balok'!Q$11)</f>
        <v>0</v>
      </c>
      <c r="R159">
        <f>SUMIFS('Besi Balok'!$AA$23:$AA$7253,'Besi Balok'!$A$23:$A$7253,$A159,'Besi Balok'!$B$23:$B$7253,$B159,'Besi Balok'!$F$23:$F$7253,'REKAP Balok'!R$11)</f>
        <v>0</v>
      </c>
      <c r="S159">
        <f>SUMIFS('Besi Balok'!$AA$23:$AA$7253,'Besi Balok'!$A$23:$A$7253,$A159,'Besi Balok'!$B$23:$B$7253,$B159,'Besi Balok'!$F$23:$F$7253,'REKAP Balok'!S$11)</f>
        <v>0</v>
      </c>
      <c r="T159">
        <f>SUMIFS('Besi Balok'!$AA$23:$AA$7253,'Besi Balok'!$A$23:$A$7253,$A159,'Besi Balok'!$B$23:$B$7253,$B159,'Besi Balok'!$F$23:$F$7253,'REKAP Balok'!T$11)</f>
        <v>0</v>
      </c>
      <c r="U159">
        <f>SUM(L159:T159)</f>
        <v>133.94586996000004</v>
      </c>
      <c r="V159">
        <f>(D159*(F159-H159)*G159*K159)/1000000000</f>
        <v>0.45</v>
      </c>
      <c r="W159">
        <f>(((F159-H159)*2+IF(H159&gt;0,0,D159))*(G159)*K159)/1000000</f>
        <v>4.5</v>
      </c>
      <c r="AC159">
        <f>(D159+2*$F$5)*F159*G159/1000000000</f>
        <v>1.44</v>
      </c>
    </row>
    <row r="160">
      <c r="A160" t="str">
        <f>'Data Panjang Balok'!A156</f>
        <v>Lantai 3</v>
      </c>
      <c r="B160">
        <f>'Data Panjang Balok'!B156</f>
        <v>3</v>
      </c>
      <c r="C160" t="str">
        <f>'Data Panjang Balok'!D156</f>
        <v>CL24-1</v>
      </c>
      <c r="D160">
        <f>IF(C160&gt;0,VLOOKUP(C160,'Detail Balok'!$C$11:$AU$140,2,FALSE),0)</f>
        <v>200</v>
      </c>
      <c r="E160" t="str">
        <v>x</v>
      </c>
      <c r="F160">
        <f>IF(C160&gt;0,VLOOKUP(C160,'Detail Balok'!$C$11:$AU$140,3,FALSE),0)</f>
        <v>400</v>
      </c>
      <c r="G160">
        <f>'Data Panjang Balok'!I156</f>
        <v>1075</v>
      </c>
      <c r="H160">
        <f>'Data Panjang Balok'!J156</f>
        <v>150</v>
      </c>
      <c r="I160">
        <v>0</v>
      </c>
      <c r="J160">
        <f>I160-F160/1000</f>
        <v>-0.4</v>
      </c>
      <c r="K160">
        <f>'Data Panjang Balok'!E156</f>
        <v>1</v>
      </c>
      <c r="L160">
        <f>SUMIFS('Besi Balok'!$AA$23:$AA$7253,'Besi Balok'!$A$23:$A$7253,$A160,'Besi Balok'!$B$23:$B$7253,$B160,'Besi Balok'!$F$23:$F$7253,'REKAP Balok'!L$11)</f>
        <v>0</v>
      </c>
      <c r="M160">
        <f>SUMIFS('Besi Balok'!$AA$23:$AA$7253,'Besi Balok'!$A$23:$A$7253,$A160,'Besi Balok'!$B$23:$B$7253,$B160,'Besi Balok'!$F$23:$F$7253,'REKAP Balok'!M$11)</f>
        <v>0</v>
      </c>
      <c r="N160">
        <f>SUMIFS('Besi Balok'!$AA$23:$AA$7253,'Besi Balok'!$A$23:$A$7253,$A160,'Besi Balok'!$B$23:$B$7253,$B160,'Besi Balok'!$F$23:$F$7253,'REKAP Balok'!N$11)</f>
        <v>7.6199400000000015</v>
      </c>
      <c r="O160">
        <f>SUMIFS('Besi Balok'!$AA$23:$AA$7253,'Besi Balok'!$A$23:$A$7253,$A160,'Besi Balok'!$B$23:$B$7253,$B160,'Besi Balok'!$F$23:$F$7253,'REKAP Balok'!O$11)</f>
        <v>0</v>
      </c>
      <c r="P160">
        <f>SUMIFS('Besi Balok'!$AA$23:$AA$7253,'Besi Balok'!$A$23:$A$7253,$A160,'Besi Balok'!$B$23:$B$7253,$B160,'Besi Balok'!$F$23:$F$7253,'REKAP Balok'!P$11)</f>
        <v>13.81591296</v>
      </c>
      <c r="Q160">
        <f>SUMIFS('Besi Balok'!$AA$23:$AA$7253,'Besi Balok'!$A$23:$A$7253,$A160,'Besi Balok'!$B$23:$B$7253,$B160,'Besi Balok'!$F$23:$F$7253,'REKAP Balok'!Q$11)</f>
        <v>0</v>
      </c>
      <c r="R160">
        <f>SUMIFS('Besi Balok'!$AA$23:$AA$7253,'Besi Balok'!$A$23:$A$7253,$A160,'Besi Balok'!$B$23:$B$7253,$B160,'Besi Balok'!$F$23:$F$7253,'REKAP Balok'!R$11)</f>
        <v>0</v>
      </c>
      <c r="S160">
        <f>SUMIFS('Besi Balok'!$AA$23:$AA$7253,'Besi Balok'!$A$23:$A$7253,$A160,'Besi Balok'!$B$23:$B$7253,$B160,'Besi Balok'!$F$23:$F$7253,'REKAP Balok'!S$11)</f>
        <v>0</v>
      </c>
      <c r="T160">
        <f>SUMIFS('Besi Balok'!$AA$23:$AA$7253,'Besi Balok'!$A$23:$A$7253,$A160,'Besi Balok'!$B$23:$B$7253,$B160,'Besi Balok'!$F$23:$F$7253,'REKAP Balok'!T$11)</f>
        <v>0</v>
      </c>
      <c r="U160">
        <f>SUM(L160:T160)</f>
        <v>21.435852960000002</v>
      </c>
      <c r="V160">
        <f>(D160*(F160-H160)*G160*K160)/1000000000</f>
        <v>0.05375</v>
      </c>
      <c r="W160">
        <f>(((F160-H160)*2+IF(H160&gt;0,0,D160))*(G160)*K160)/1000000</f>
        <v>0.5375</v>
      </c>
      <c r="AC160">
        <f>(D160+2*$F$5)*F160*G160/1000000000</f>
        <v>0.172</v>
      </c>
    </row>
    <row r="161">
      <c r="A161" t="str">
        <f>'Data Panjang Balok'!A157</f>
        <v>Lantai 3</v>
      </c>
      <c r="B161">
        <f>'Data Panjang Balok'!B157</f>
        <v>4</v>
      </c>
      <c r="C161" t="str">
        <f>'Data Panjang Balok'!D157</f>
        <v>CL24-1</v>
      </c>
      <c r="D161">
        <f>IF(C161&gt;0,VLOOKUP(C161,'Detail Balok'!$C$11:$AU$140,2,FALSE),0)</f>
        <v>200</v>
      </c>
      <c r="E161" t="str">
        <v>x</v>
      </c>
      <c r="F161">
        <f>IF(C161&gt;0,VLOOKUP(C161,'Detail Balok'!$C$11:$AU$140,3,FALSE),0)</f>
        <v>400</v>
      </c>
      <c r="G161">
        <f>'Data Panjang Balok'!I157</f>
        <v>1075</v>
      </c>
      <c r="H161">
        <f>'Data Panjang Balok'!J157</f>
        <v>150</v>
      </c>
      <c r="I161">
        <v>0</v>
      </c>
      <c r="J161">
        <f>I161-F161/1000</f>
        <v>-0.4</v>
      </c>
      <c r="K161">
        <f>'Data Panjang Balok'!E157</f>
        <v>1</v>
      </c>
      <c r="L161">
        <f>SUMIFS('Besi Balok'!$AA$23:$AA$7253,'Besi Balok'!$A$23:$A$7253,$A161,'Besi Balok'!$B$23:$B$7253,$B161,'Besi Balok'!$F$23:$F$7253,'REKAP Balok'!L$11)</f>
        <v>0</v>
      </c>
      <c r="M161">
        <f>SUMIFS('Besi Balok'!$AA$23:$AA$7253,'Besi Balok'!$A$23:$A$7253,$A161,'Besi Balok'!$B$23:$B$7253,$B161,'Besi Balok'!$F$23:$F$7253,'REKAP Balok'!M$11)</f>
        <v>0</v>
      </c>
      <c r="N161">
        <f>SUMIFS('Besi Balok'!$AA$23:$AA$7253,'Besi Balok'!$A$23:$A$7253,$A161,'Besi Balok'!$B$23:$B$7253,$B161,'Besi Balok'!$F$23:$F$7253,'REKAP Balok'!N$11)</f>
        <v>7.6199400000000015</v>
      </c>
      <c r="O161">
        <f>SUMIFS('Besi Balok'!$AA$23:$AA$7253,'Besi Balok'!$A$23:$A$7253,$A161,'Besi Balok'!$B$23:$B$7253,$B161,'Besi Balok'!$F$23:$F$7253,'REKAP Balok'!O$11)</f>
        <v>0</v>
      </c>
      <c r="P161">
        <f>SUMIFS('Besi Balok'!$AA$23:$AA$7253,'Besi Balok'!$A$23:$A$7253,$A161,'Besi Balok'!$B$23:$B$7253,$B161,'Besi Balok'!$F$23:$F$7253,'REKAP Balok'!P$11)</f>
        <v>13.81591296</v>
      </c>
      <c r="Q161">
        <f>SUMIFS('Besi Balok'!$AA$23:$AA$7253,'Besi Balok'!$A$23:$A$7253,$A161,'Besi Balok'!$B$23:$B$7253,$B161,'Besi Balok'!$F$23:$F$7253,'REKAP Balok'!Q$11)</f>
        <v>0</v>
      </c>
      <c r="R161">
        <f>SUMIFS('Besi Balok'!$AA$23:$AA$7253,'Besi Balok'!$A$23:$A$7253,$A161,'Besi Balok'!$B$23:$B$7253,$B161,'Besi Balok'!$F$23:$F$7253,'REKAP Balok'!R$11)</f>
        <v>0</v>
      </c>
      <c r="S161">
        <f>SUMIFS('Besi Balok'!$AA$23:$AA$7253,'Besi Balok'!$A$23:$A$7253,$A161,'Besi Balok'!$B$23:$B$7253,$B161,'Besi Balok'!$F$23:$F$7253,'REKAP Balok'!S$11)</f>
        <v>0</v>
      </c>
      <c r="T161">
        <f>SUMIFS('Besi Balok'!$AA$23:$AA$7253,'Besi Balok'!$A$23:$A$7253,$A161,'Besi Balok'!$B$23:$B$7253,$B161,'Besi Balok'!$F$23:$F$7253,'REKAP Balok'!T$11)</f>
        <v>0</v>
      </c>
      <c r="U161">
        <f>SUM(L161:T161)</f>
        <v>21.435852960000002</v>
      </c>
      <c r="V161">
        <f>(D161*(F161-H161)*G161*K161)/1000000000</f>
        <v>0.05375</v>
      </c>
      <c r="W161">
        <f>(((F161-H161)*2+IF(H161&gt;0,0,D161))*(G161)*K161)/1000000</f>
        <v>0.5375</v>
      </c>
      <c r="AC161">
        <f>(D161+2*$F$5)*F161*G161/1000000000</f>
        <v>0.172</v>
      </c>
    </row>
    <row r="162">
      <c r="A162" t="str">
        <f>'Data Panjang Balok'!A158</f>
        <v>Lantai 3</v>
      </c>
      <c r="B162">
        <f>'Data Panjang Balok'!B158</f>
        <v>5</v>
      </c>
      <c r="C162" t="str">
        <f>'Data Panjang Balok'!D158</f>
        <v>B24-2</v>
      </c>
      <c r="D162">
        <f>IF(C162&gt;0,VLOOKUP(C162,'Detail Balok'!$C$11:$AU$140,2,FALSE),0)</f>
        <v>200</v>
      </c>
      <c r="E162" t="str">
        <v>x</v>
      </c>
      <c r="F162">
        <f>IF(C162&gt;0,VLOOKUP(C162,'Detail Balok'!$C$11:$AU$140,3,FALSE),0)</f>
        <v>400</v>
      </c>
      <c r="G162">
        <f>'Data Panjang Balok'!I158</f>
        <v>9075</v>
      </c>
      <c r="H162">
        <f>'Data Panjang Balok'!J158</f>
        <v>150</v>
      </c>
      <c r="I162">
        <v>0</v>
      </c>
      <c r="J162">
        <f>I162-F162/1000</f>
        <v>-0.4</v>
      </c>
      <c r="K162">
        <f>'Data Panjang Balok'!E158</f>
        <v>1</v>
      </c>
      <c r="L162">
        <f>SUMIFS('Besi Balok'!$AA$23:$AA$7253,'Besi Balok'!$A$23:$A$7253,$A162,'Besi Balok'!$B$23:$B$7253,$B162,'Besi Balok'!$F$23:$F$7253,'REKAP Balok'!L$11)</f>
        <v>0</v>
      </c>
      <c r="M162">
        <f>SUMIFS('Besi Balok'!$AA$23:$AA$7253,'Besi Balok'!$A$23:$A$7253,$A162,'Besi Balok'!$B$23:$B$7253,$B162,'Besi Balok'!$F$23:$F$7253,'REKAP Balok'!M$11)</f>
        <v>0</v>
      </c>
      <c r="N162">
        <f>SUMIFS('Besi Balok'!$AA$23:$AA$7253,'Besi Balok'!$A$23:$A$7253,$A162,'Besi Balok'!$B$23:$B$7253,$B162,'Besi Balok'!$F$23:$F$7253,'REKAP Balok'!N$11)</f>
        <v>45.08464500000001</v>
      </c>
      <c r="O162">
        <f>SUMIFS('Besi Balok'!$AA$23:$AA$7253,'Besi Balok'!$A$23:$A$7253,$A162,'Besi Balok'!$B$23:$B$7253,$B162,'Besi Balok'!$F$23:$F$7253,'REKAP Balok'!O$11)</f>
        <v>0</v>
      </c>
      <c r="P162">
        <f>SUMIFS('Besi Balok'!$AA$23:$AA$7253,'Besi Balok'!$A$23:$A$7253,$A162,'Besi Balok'!$B$23:$B$7253,$B162,'Besi Balok'!$F$23:$F$7253,'REKAP Balok'!P$11)</f>
        <v>89.57143296</v>
      </c>
      <c r="Q162">
        <f>SUMIFS('Besi Balok'!$AA$23:$AA$7253,'Besi Balok'!$A$23:$A$7253,$A162,'Besi Balok'!$B$23:$B$7253,$B162,'Besi Balok'!$F$23:$F$7253,'REKAP Balok'!Q$11)</f>
        <v>0</v>
      </c>
      <c r="R162">
        <f>SUMIFS('Besi Balok'!$AA$23:$AA$7253,'Besi Balok'!$A$23:$A$7253,$A162,'Besi Balok'!$B$23:$B$7253,$B162,'Besi Balok'!$F$23:$F$7253,'REKAP Balok'!R$11)</f>
        <v>0</v>
      </c>
      <c r="S162">
        <f>SUMIFS('Besi Balok'!$AA$23:$AA$7253,'Besi Balok'!$A$23:$A$7253,$A162,'Besi Balok'!$B$23:$B$7253,$B162,'Besi Balok'!$F$23:$F$7253,'REKAP Balok'!S$11)</f>
        <v>0</v>
      </c>
      <c r="T162">
        <f>SUMIFS('Besi Balok'!$AA$23:$AA$7253,'Besi Balok'!$A$23:$A$7253,$A162,'Besi Balok'!$B$23:$B$7253,$B162,'Besi Balok'!$F$23:$F$7253,'REKAP Balok'!T$11)</f>
        <v>0</v>
      </c>
      <c r="U162">
        <f>SUM(L162:T162)</f>
        <v>134.65607796</v>
      </c>
      <c r="V162">
        <f>(D162*(F162-H162)*G162*K162)/1000000000</f>
        <v>0.45375</v>
      </c>
      <c r="W162">
        <f>(((F162-H162)*2+IF(H162&gt;0,0,D162))*(G162)*K162)/1000000</f>
        <v>4.5375</v>
      </c>
      <c r="AC162">
        <f>(D162+2*$F$5)*F162*G162/1000000000</f>
        <v>1.452</v>
      </c>
    </row>
    <row r="163">
      <c r="A163" t="str">
        <f>'Data Panjang Balok'!A159</f>
        <v>Lantai 3</v>
      </c>
      <c r="B163">
        <f>'Data Panjang Balok'!B159</f>
        <v>6</v>
      </c>
      <c r="C163" t="str">
        <f>'Data Panjang Balok'!D159</f>
        <v>B26-1</v>
      </c>
      <c r="D163">
        <f>IF(C163&gt;0,VLOOKUP(C163,'Detail Balok'!$C$11:$AU$140,2,FALSE),0)</f>
        <v>200</v>
      </c>
      <c r="E163" t="str">
        <v>x</v>
      </c>
      <c r="F163">
        <f>IF(C163&gt;0,VLOOKUP(C163,'Detail Balok'!$C$11:$AU$140,3,FALSE),0)</f>
        <v>600</v>
      </c>
      <c r="G163">
        <f>'Data Panjang Balok'!I159</f>
        <v>9000</v>
      </c>
      <c r="H163">
        <f>'Data Panjang Balok'!J159</f>
        <v>150</v>
      </c>
      <c r="I163">
        <v>0</v>
      </c>
      <c r="J163">
        <f>I163-F163/1000</f>
        <v>-0.6</v>
      </c>
      <c r="K163">
        <f>'Data Panjang Balok'!E159</f>
        <v>1</v>
      </c>
      <c r="L163">
        <f>SUMIFS('Besi Balok'!$AA$23:$AA$7253,'Besi Balok'!$A$23:$A$7253,$A163,'Besi Balok'!$B$23:$B$7253,$B163,'Besi Balok'!$F$23:$F$7253,'REKAP Balok'!L$11)</f>
        <v>0</v>
      </c>
      <c r="M163">
        <f>SUMIFS('Besi Balok'!$AA$23:$AA$7253,'Besi Balok'!$A$23:$A$7253,$A163,'Besi Balok'!$B$23:$B$7253,$B163,'Besi Balok'!$F$23:$F$7253,'REKAP Balok'!M$11)</f>
        <v>0</v>
      </c>
      <c r="N163">
        <f>SUMIFS('Besi Balok'!$AA$23:$AA$7253,'Besi Balok'!$A$23:$A$7253,$A163,'Besi Balok'!$B$23:$B$7253,$B163,'Besi Balok'!$F$23:$F$7253,'REKAP Balok'!N$11)</f>
        <v>80.15733</v>
      </c>
      <c r="O163">
        <f>SUMIFS('Besi Balok'!$AA$23:$AA$7253,'Besi Balok'!$A$23:$A$7253,$A163,'Besi Balok'!$B$23:$B$7253,$B163,'Besi Balok'!$F$23:$F$7253,'REKAP Balok'!O$11)</f>
        <v>0</v>
      </c>
      <c r="P163">
        <f>SUMIFS('Besi Balok'!$AA$23:$AA$7253,'Besi Balok'!$A$23:$A$7253,$A163,'Besi Balok'!$B$23:$B$7253,$B163,'Besi Balok'!$F$23:$F$7253,'REKAP Balok'!P$11)</f>
        <v>107.26981632</v>
      </c>
      <c r="Q163">
        <f>SUMIFS('Besi Balok'!$AA$23:$AA$7253,'Besi Balok'!$A$23:$A$7253,$A163,'Besi Balok'!$B$23:$B$7253,$B163,'Besi Balok'!$F$23:$F$7253,'REKAP Balok'!Q$11)</f>
        <v>0</v>
      </c>
      <c r="R163">
        <f>SUMIFS('Besi Balok'!$AA$23:$AA$7253,'Besi Balok'!$A$23:$A$7253,$A163,'Besi Balok'!$B$23:$B$7253,$B163,'Besi Balok'!$F$23:$F$7253,'REKAP Balok'!R$11)</f>
        <v>0</v>
      </c>
      <c r="S163">
        <f>SUMIFS('Besi Balok'!$AA$23:$AA$7253,'Besi Balok'!$A$23:$A$7253,$A163,'Besi Balok'!$B$23:$B$7253,$B163,'Besi Balok'!$F$23:$F$7253,'REKAP Balok'!S$11)</f>
        <v>0</v>
      </c>
      <c r="T163">
        <f>SUMIFS('Besi Balok'!$AA$23:$AA$7253,'Besi Balok'!$A$23:$A$7253,$A163,'Besi Balok'!$B$23:$B$7253,$B163,'Besi Balok'!$F$23:$F$7253,'REKAP Balok'!T$11)</f>
        <v>0</v>
      </c>
      <c r="U163">
        <f>SUM(L163:T163)</f>
        <v>187.42714632000002</v>
      </c>
      <c r="V163">
        <f>(D163*(F163-H163)*G163*K163)/1000000000</f>
        <v>0.81</v>
      </c>
      <c r="W163">
        <f>(((F163-H163)*2+IF(H163&gt;0,0,D163))*(G163)*K163)/1000000</f>
        <v>8.1</v>
      </c>
      <c r="AC163">
        <f>(D163+2*$F$5)*F163*G163/1000000000</f>
        <v>2.16</v>
      </c>
    </row>
    <row r="164">
      <c r="A164" t="str">
        <f>'Data Panjang Balok'!A160</f>
        <v>Lantai 3</v>
      </c>
      <c r="B164">
        <f>'Data Panjang Balok'!B160</f>
        <v>7</v>
      </c>
      <c r="C164" t="str">
        <f>'Data Panjang Balok'!D160</f>
        <v>CL24-1</v>
      </c>
      <c r="D164">
        <f>IF(C164&gt;0,VLOOKUP(C164,'Detail Balok'!$C$11:$AU$140,2,FALSE),0)</f>
        <v>200</v>
      </c>
      <c r="E164" t="str">
        <v>x</v>
      </c>
      <c r="F164">
        <f>IF(C164&gt;0,VLOOKUP(C164,'Detail Balok'!$C$11:$AU$140,3,FALSE),0)</f>
        <v>400</v>
      </c>
      <c r="G164">
        <f>'Data Panjang Balok'!I160</f>
        <v>7150</v>
      </c>
      <c r="H164">
        <f>'Data Panjang Balok'!J160</f>
        <v>150</v>
      </c>
      <c r="I164">
        <v>0</v>
      </c>
      <c r="J164">
        <f>I164-F164/1000</f>
        <v>-0.4</v>
      </c>
      <c r="K164">
        <f>'Data Panjang Balok'!E160</f>
        <v>1</v>
      </c>
      <c r="L164">
        <f>SUMIFS('Besi Balok'!$AA$23:$AA$7253,'Besi Balok'!$A$23:$A$7253,$A164,'Besi Balok'!$B$23:$B$7253,$B164,'Besi Balok'!$F$23:$F$7253,'REKAP Balok'!L$11)</f>
        <v>0</v>
      </c>
      <c r="M164">
        <f>SUMIFS('Besi Balok'!$AA$23:$AA$7253,'Besi Balok'!$A$23:$A$7253,$A164,'Besi Balok'!$B$23:$B$7253,$B164,'Besi Balok'!$F$23:$F$7253,'REKAP Balok'!M$11)</f>
        <v>0</v>
      </c>
      <c r="N164">
        <f>SUMIFS('Besi Balok'!$AA$23:$AA$7253,'Besi Balok'!$A$23:$A$7253,$A164,'Besi Balok'!$B$23:$B$7253,$B164,'Besi Balok'!$F$23:$F$7253,'REKAP Balok'!N$11)</f>
        <v>46.989630000000005</v>
      </c>
      <c r="O164">
        <f>SUMIFS('Besi Balok'!$AA$23:$AA$7253,'Besi Balok'!$A$23:$A$7253,$A164,'Besi Balok'!$B$23:$B$7253,$B164,'Besi Balok'!$F$23:$F$7253,'REKAP Balok'!O$11)</f>
        <v>0</v>
      </c>
      <c r="P164">
        <f>SUMIFS('Besi Balok'!$AA$23:$AA$7253,'Besi Balok'!$A$23:$A$7253,$A164,'Besi Balok'!$B$23:$B$7253,$B164,'Besi Balok'!$F$23:$F$7253,'REKAP Balok'!P$11)</f>
        <v>71.34276095999999</v>
      </c>
      <c r="Q164">
        <f>SUMIFS('Besi Balok'!$AA$23:$AA$7253,'Besi Balok'!$A$23:$A$7253,$A164,'Besi Balok'!$B$23:$B$7253,$B164,'Besi Balok'!$F$23:$F$7253,'REKAP Balok'!Q$11)</f>
        <v>0</v>
      </c>
      <c r="R164">
        <f>SUMIFS('Besi Balok'!$AA$23:$AA$7253,'Besi Balok'!$A$23:$A$7253,$A164,'Besi Balok'!$B$23:$B$7253,$B164,'Besi Balok'!$F$23:$F$7253,'REKAP Balok'!R$11)</f>
        <v>0</v>
      </c>
      <c r="S164">
        <f>SUMIFS('Besi Balok'!$AA$23:$AA$7253,'Besi Balok'!$A$23:$A$7253,$A164,'Besi Balok'!$B$23:$B$7253,$B164,'Besi Balok'!$F$23:$F$7253,'REKAP Balok'!S$11)</f>
        <v>0</v>
      </c>
      <c r="T164">
        <f>SUMIFS('Besi Balok'!$AA$23:$AA$7253,'Besi Balok'!$A$23:$A$7253,$A164,'Besi Balok'!$B$23:$B$7253,$B164,'Besi Balok'!$F$23:$F$7253,'REKAP Balok'!T$11)</f>
        <v>0</v>
      </c>
      <c r="U164">
        <f>SUM(L164:T164)</f>
        <v>118.33239096</v>
      </c>
      <c r="V164">
        <f>(D164*(F164-H164)*G164*K164)/1000000000</f>
        <v>0.3575</v>
      </c>
      <c r="W164">
        <f>(((F164-H164)*2+IF(H164&gt;0,0,D164))*(G164)*K164)/1000000</f>
        <v>3.575</v>
      </c>
      <c r="AC164">
        <f>(D164+2*$F$5)*F164*G164/1000000000</f>
        <v>1.144</v>
      </c>
    </row>
    <row r="165">
      <c r="A165" t="str">
        <f>'Data Panjang Balok'!A161</f>
        <v>Lantai 3</v>
      </c>
      <c r="B165">
        <f>'Data Panjang Balok'!B161</f>
        <v>8</v>
      </c>
      <c r="C165" t="str">
        <f>'Data Panjang Balok'!D161</f>
        <v>B26-1</v>
      </c>
      <c r="D165">
        <f>IF(C165&gt;0,VLOOKUP(C165,'Detail Balok'!$C$11:$AU$140,2,FALSE),0)</f>
        <v>200</v>
      </c>
      <c r="E165" t="str">
        <v>x</v>
      </c>
      <c r="F165">
        <f>IF(C165&gt;0,VLOOKUP(C165,'Detail Balok'!$C$11:$AU$140,3,FALSE),0)</f>
        <v>600</v>
      </c>
      <c r="G165">
        <f>'Data Panjang Balok'!I161</f>
        <v>6075</v>
      </c>
      <c r="H165">
        <f>'Data Panjang Balok'!J161</f>
        <v>150</v>
      </c>
      <c r="I165">
        <v>0</v>
      </c>
      <c r="J165">
        <f>I165-F165/1000</f>
        <v>-0.6</v>
      </c>
      <c r="K165">
        <f>'Data Panjang Balok'!E161</f>
        <v>1</v>
      </c>
      <c r="L165">
        <f>SUMIFS('Besi Balok'!$AA$23:$AA$7253,'Besi Balok'!$A$23:$A$7253,$A165,'Besi Balok'!$B$23:$B$7253,$B165,'Besi Balok'!$F$23:$F$7253,'REKAP Balok'!L$11)</f>
        <v>0</v>
      </c>
      <c r="M165">
        <f>SUMIFS('Besi Balok'!$AA$23:$AA$7253,'Besi Balok'!$A$23:$A$7253,$A165,'Besi Balok'!$B$23:$B$7253,$B165,'Besi Balok'!$F$23:$F$7253,'REKAP Balok'!M$11)</f>
        <v>0</v>
      </c>
      <c r="N165">
        <f>SUMIFS('Besi Balok'!$AA$23:$AA$7253,'Besi Balok'!$A$23:$A$7253,$A165,'Besi Balok'!$B$23:$B$7253,$B165,'Besi Balok'!$F$23:$F$7253,'REKAP Balok'!N$11)</f>
        <v>53.629335</v>
      </c>
      <c r="O165">
        <f>SUMIFS('Besi Balok'!$AA$23:$AA$7253,'Besi Balok'!$A$23:$A$7253,$A165,'Besi Balok'!$B$23:$B$7253,$B165,'Besi Balok'!$F$23:$F$7253,'REKAP Balok'!O$11)</f>
        <v>0</v>
      </c>
      <c r="P165">
        <f>SUMIFS('Besi Balok'!$AA$23:$AA$7253,'Besi Balok'!$A$23:$A$7253,$A165,'Besi Balok'!$B$23:$B$7253,$B165,'Besi Balok'!$F$23:$F$7253,'REKAP Balok'!P$11)</f>
        <v>74.03208192</v>
      </c>
      <c r="Q165">
        <f>SUMIFS('Besi Balok'!$AA$23:$AA$7253,'Besi Balok'!$A$23:$A$7253,$A165,'Besi Balok'!$B$23:$B$7253,$B165,'Besi Balok'!$F$23:$F$7253,'REKAP Balok'!Q$11)</f>
        <v>0</v>
      </c>
      <c r="R165">
        <f>SUMIFS('Besi Balok'!$AA$23:$AA$7253,'Besi Balok'!$A$23:$A$7253,$A165,'Besi Balok'!$B$23:$B$7253,$B165,'Besi Balok'!$F$23:$F$7253,'REKAP Balok'!R$11)</f>
        <v>0</v>
      </c>
      <c r="S165">
        <f>SUMIFS('Besi Balok'!$AA$23:$AA$7253,'Besi Balok'!$A$23:$A$7253,$A165,'Besi Balok'!$B$23:$B$7253,$B165,'Besi Balok'!$F$23:$F$7253,'REKAP Balok'!S$11)</f>
        <v>0</v>
      </c>
      <c r="T165">
        <f>SUMIFS('Besi Balok'!$AA$23:$AA$7253,'Besi Balok'!$A$23:$A$7253,$A165,'Besi Balok'!$B$23:$B$7253,$B165,'Besi Balok'!$F$23:$F$7253,'REKAP Balok'!T$11)</f>
        <v>0</v>
      </c>
      <c r="U165">
        <f>SUM(L165:T165)</f>
        <v>127.66141692</v>
      </c>
      <c r="V165">
        <f>(D165*(F165-H165)*G165*K165)/1000000000</f>
        <v>0.54675</v>
      </c>
      <c r="W165">
        <f>(((F165-H165)*2+IF(H165&gt;0,0,D165))*(G165)*K165)/1000000</f>
        <v>5.4675</v>
      </c>
      <c r="AC165">
        <f>(D165+2*$F$5)*F165*G165/1000000000</f>
        <v>1.458</v>
      </c>
    </row>
    <row r="166">
      <c r="A166" t="str">
        <f>'Data Panjang Balok'!A162</f>
        <v>Lantai 3</v>
      </c>
      <c r="B166">
        <f>'Data Panjang Balok'!B162</f>
        <v>9</v>
      </c>
      <c r="C166" t="str">
        <f>'Data Panjang Balok'!D162</f>
        <v>CL24-1</v>
      </c>
      <c r="D166">
        <f>IF(C166&gt;0,VLOOKUP(C166,'Detail Balok'!$C$11:$AU$140,2,FALSE),0)</f>
        <v>200</v>
      </c>
      <c r="E166" t="str">
        <v>x</v>
      </c>
      <c r="F166">
        <f>IF(C166&gt;0,VLOOKUP(C166,'Detail Balok'!$C$11:$AU$140,3,FALSE),0)</f>
        <v>400</v>
      </c>
      <c r="G166">
        <f>'Data Panjang Balok'!I162</f>
        <v>1000</v>
      </c>
      <c r="H166">
        <f>'Data Panjang Balok'!J162</f>
        <v>150</v>
      </c>
      <c r="I166">
        <v>0</v>
      </c>
      <c r="J166">
        <f>I166-F166/1000</f>
        <v>-0.4</v>
      </c>
      <c r="K166">
        <f>'Data Panjang Balok'!E162</f>
        <v>1</v>
      </c>
      <c r="L166">
        <f>SUMIFS('Besi Balok'!$AA$23:$AA$7253,'Besi Balok'!$A$23:$A$7253,$A166,'Besi Balok'!$B$23:$B$7253,$B166,'Besi Balok'!$F$23:$F$7253,'REKAP Balok'!L$11)</f>
        <v>0</v>
      </c>
      <c r="M166">
        <f>SUMIFS('Besi Balok'!$AA$23:$AA$7253,'Besi Balok'!$A$23:$A$7253,$A166,'Besi Balok'!$B$23:$B$7253,$B166,'Besi Balok'!$F$23:$F$7253,'REKAP Balok'!M$11)</f>
        <v>0</v>
      </c>
      <c r="N166">
        <f>SUMIFS('Besi Balok'!$AA$23:$AA$7253,'Besi Balok'!$A$23:$A$7253,$A166,'Besi Balok'!$B$23:$B$7253,$B166,'Besi Balok'!$F$23:$F$7253,'REKAP Balok'!N$11)</f>
        <v>6.984945000000001</v>
      </c>
      <c r="O166">
        <f>SUMIFS('Besi Balok'!$AA$23:$AA$7253,'Besi Balok'!$A$23:$A$7253,$A166,'Besi Balok'!$B$23:$B$7253,$B166,'Besi Balok'!$F$23:$F$7253,'REKAP Balok'!O$11)</f>
        <v>0</v>
      </c>
      <c r="P166">
        <f>SUMIFS('Besi Balok'!$AA$23:$AA$7253,'Besi Balok'!$A$23:$A$7253,$A166,'Besi Balok'!$B$23:$B$7253,$B166,'Besi Balok'!$F$23:$F$7253,'REKAP Balok'!P$11)</f>
        <v>13.105704959999999</v>
      </c>
      <c r="Q166">
        <f>SUMIFS('Besi Balok'!$AA$23:$AA$7253,'Besi Balok'!$A$23:$A$7253,$A166,'Besi Balok'!$B$23:$B$7253,$B166,'Besi Balok'!$F$23:$F$7253,'REKAP Balok'!Q$11)</f>
        <v>0</v>
      </c>
      <c r="R166">
        <f>SUMIFS('Besi Balok'!$AA$23:$AA$7253,'Besi Balok'!$A$23:$A$7253,$A166,'Besi Balok'!$B$23:$B$7253,$B166,'Besi Balok'!$F$23:$F$7253,'REKAP Balok'!R$11)</f>
        <v>0</v>
      </c>
      <c r="S166">
        <f>SUMIFS('Besi Balok'!$AA$23:$AA$7253,'Besi Balok'!$A$23:$A$7253,$A166,'Besi Balok'!$B$23:$B$7253,$B166,'Besi Balok'!$F$23:$F$7253,'REKAP Balok'!S$11)</f>
        <v>0</v>
      </c>
      <c r="T166">
        <f>SUMIFS('Besi Balok'!$AA$23:$AA$7253,'Besi Balok'!$A$23:$A$7253,$A166,'Besi Balok'!$B$23:$B$7253,$B166,'Besi Balok'!$F$23:$F$7253,'REKAP Balok'!T$11)</f>
        <v>0</v>
      </c>
      <c r="U166">
        <f>SUM(L166:T166)</f>
        <v>20.09064996</v>
      </c>
      <c r="V166">
        <f>(D166*(F166-H166)*G166*K166)/1000000000</f>
        <v>0.05</v>
      </c>
      <c r="W166">
        <f>(((F166-H166)*2+IF(H166&gt;0,0,D166))*(G166)*K166)/1000000</f>
        <v>0.5</v>
      </c>
      <c r="AC166">
        <f>(D166+2*$F$5)*F166*G166/1000000000</f>
        <v>0.16</v>
      </c>
    </row>
    <row r="167">
      <c r="A167" t="str">
        <f>'Data Panjang Balok'!A163</f>
        <v>Lantai 3</v>
      </c>
      <c r="B167">
        <f>'Data Panjang Balok'!B163</f>
        <v>10</v>
      </c>
      <c r="C167" t="str">
        <f>'Data Panjang Balok'!D163</f>
        <v>B24-1</v>
      </c>
      <c r="D167">
        <f>IF(C167&gt;0,VLOOKUP(C167,'Detail Balok'!$C$11:$AU$140,2,FALSE),0)</f>
        <v>200</v>
      </c>
      <c r="E167" t="str">
        <v>x</v>
      </c>
      <c r="F167">
        <f>IF(C167&gt;0,VLOOKUP(C167,'Detail Balok'!$C$11:$AU$140,3,FALSE),0)</f>
        <v>400</v>
      </c>
      <c r="G167">
        <f>'Data Panjang Balok'!I163</f>
        <v>3425</v>
      </c>
      <c r="H167">
        <f>'Data Panjang Balok'!J163</f>
        <v>150</v>
      </c>
      <c r="I167">
        <v>0</v>
      </c>
      <c r="J167">
        <f>I167-F167/1000</f>
        <v>-0.4</v>
      </c>
      <c r="K167">
        <f>'Data Panjang Balok'!E163</f>
        <v>1</v>
      </c>
      <c r="L167">
        <f>SUMIFS('Besi Balok'!$AA$23:$AA$7253,'Besi Balok'!$A$23:$A$7253,$A167,'Besi Balok'!$B$23:$B$7253,$B167,'Besi Balok'!$F$23:$F$7253,'REKAP Balok'!L$11)</f>
        <v>0</v>
      </c>
      <c r="M167">
        <f>SUMIFS('Besi Balok'!$AA$23:$AA$7253,'Besi Balok'!$A$23:$A$7253,$A167,'Besi Balok'!$B$23:$B$7253,$B167,'Besi Balok'!$F$23:$F$7253,'REKAP Balok'!M$11)</f>
        <v>0</v>
      </c>
      <c r="N167">
        <f>SUMIFS('Besi Balok'!$AA$23:$AA$7253,'Besi Balok'!$A$23:$A$7253,$A167,'Besi Balok'!$B$23:$B$7253,$B167,'Besi Balok'!$F$23:$F$7253,'REKAP Balok'!N$11)</f>
        <v>18.414855000000003</v>
      </c>
      <c r="O167">
        <f>SUMIFS('Besi Balok'!$AA$23:$AA$7253,'Besi Balok'!$A$23:$A$7253,$A167,'Besi Balok'!$B$23:$B$7253,$B167,'Besi Balok'!$F$23:$F$7253,'REKAP Balok'!O$11)</f>
        <v>23.361145469999997</v>
      </c>
      <c r="P167">
        <f>SUMIFS('Besi Balok'!$AA$23:$AA$7253,'Besi Balok'!$A$23:$A$7253,$A167,'Besi Balok'!$B$23:$B$7253,$B167,'Besi Balok'!$F$23:$F$7253,'REKAP Balok'!P$11)</f>
        <v>0</v>
      </c>
      <c r="Q167">
        <f>SUMIFS('Besi Balok'!$AA$23:$AA$7253,'Besi Balok'!$A$23:$A$7253,$A167,'Besi Balok'!$B$23:$B$7253,$B167,'Besi Balok'!$F$23:$F$7253,'REKAP Balok'!Q$11)</f>
        <v>0</v>
      </c>
      <c r="R167">
        <f>SUMIFS('Besi Balok'!$AA$23:$AA$7253,'Besi Balok'!$A$23:$A$7253,$A167,'Besi Balok'!$B$23:$B$7253,$B167,'Besi Balok'!$F$23:$F$7253,'REKAP Balok'!R$11)</f>
        <v>0</v>
      </c>
      <c r="S167">
        <f>SUMIFS('Besi Balok'!$AA$23:$AA$7253,'Besi Balok'!$A$23:$A$7253,$A167,'Besi Balok'!$B$23:$B$7253,$B167,'Besi Balok'!$F$23:$F$7253,'REKAP Balok'!S$11)</f>
        <v>0</v>
      </c>
      <c r="T167">
        <f>SUMIFS('Besi Balok'!$AA$23:$AA$7253,'Besi Balok'!$A$23:$A$7253,$A167,'Besi Balok'!$B$23:$B$7253,$B167,'Besi Balok'!$F$23:$F$7253,'REKAP Balok'!T$11)</f>
        <v>0</v>
      </c>
      <c r="U167">
        <f>SUM(L167:T167)</f>
        <v>41.77600047</v>
      </c>
      <c r="V167">
        <f>(D167*(F167-H167)*G167*K167)/1000000000</f>
        <v>0.17125</v>
      </c>
      <c r="W167">
        <f>(((F167-H167)*2+IF(H167&gt;0,0,D167))*(G167)*K167)/1000000</f>
        <v>1.7125</v>
      </c>
      <c r="AC167">
        <f>(D167+2*$F$5)*F167*G167/1000000000</f>
        <v>0.548</v>
      </c>
    </row>
    <row r="168">
      <c r="A168" t="str">
        <f>'Data Panjang Balok'!A164</f>
        <v>Lantai 3</v>
      </c>
      <c r="B168">
        <f>'Data Panjang Balok'!B164</f>
        <v>11</v>
      </c>
      <c r="C168" t="str">
        <f>'Data Panjang Balok'!D164</f>
        <v>B25-1</v>
      </c>
      <c r="D168">
        <f>IF(C168&gt;0,VLOOKUP(C168,'Detail Balok'!$C$11:$AU$140,2,FALSE),0)</f>
        <v>200</v>
      </c>
      <c r="E168" t="str">
        <v>x</v>
      </c>
      <c r="F168">
        <f>IF(C168&gt;0,VLOOKUP(C168,'Detail Balok'!$C$11:$AU$140,3,FALSE),0)</f>
        <v>500</v>
      </c>
      <c r="G168">
        <f>'Data Panjang Balok'!I164</f>
        <v>9075</v>
      </c>
      <c r="H168">
        <f>'Data Panjang Balok'!J164</f>
        <v>150</v>
      </c>
      <c r="I168">
        <v>0</v>
      </c>
      <c r="J168">
        <f>I168-F168/1000</f>
        <v>-0.5</v>
      </c>
      <c r="K168">
        <f>'Data Panjang Balok'!E164</f>
        <v>1</v>
      </c>
      <c r="L168">
        <f>SUMIFS('Besi Balok'!$AA$23:$AA$7253,'Besi Balok'!$A$23:$A$7253,$A168,'Besi Balok'!$B$23:$B$7253,$B168,'Besi Balok'!$F$23:$F$7253,'REKAP Balok'!L$11)</f>
        <v>0</v>
      </c>
      <c r="M168">
        <f>SUMIFS('Besi Balok'!$AA$23:$AA$7253,'Besi Balok'!$A$23:$A$7253,$A168,'Besi Balok'!$B$23:$B$7253,$B168,'Besi Balok'!$F$23:$F$7253,'REKAP Balok'!M$11)</f>
        <v>0</v>
      </c>
      <c r="N168">
        <f>SUMIFS('Besi Balok'!$AA$23:$AA$7253,'Besi Balok'!$A$23:$A$7253,$A168,'Besi Balok'!$B$23:$B$7253,$B168,'Besi Balok'!$F$23:$F$7253,'REKAP Balok'!N$11)</f>
        <v>53.19162000000001</v>
      </c>
      <c r="O168">
        <f>SUMIFS('Besi Balok'!$AA$23:$AA$7253,'Besi Balok'!$A$23:$A$7253,$A168,'Besi Balok'!$B$23:$B$7253,$B168,'Besi Balok'!$F$23:$F$7253,'REKAP Balok'!O$11)</f>
        <v>0</v>
      </c>
      <c r="P168">
        <f>SUMIFS('Besi Balok'!$AA$23:$AA$7253,'Besi Balok'!$A$23:$A$7253,$A168,'Besi Balok'!$B$23:$B$7253,$B168,'Besi Balok'!$F$23:$F$7253,'REKAP Balok'!P$11)</f>
        <v>119.42857728</v>
      </c>
      <c r="Q168">
        <f>SUMIFS('Besi Balok'!$AA$23:$AA$7253,'Besi Balok'!$A$23:$A$7253,$A168,'Besi Balok'!$B$23:$B$7253,$B168,'Besi Balok'!$F$23:$F$7253,'REKAP Balok'!Q$11)</f>
        <v>0</v>
      </c>
      <c r="R168">
        <f>SUMIFS('Besi Balok'!$AA$23:$AA$7253,'Besi Balok'!$A$23:$A$7253,$A168,'Besi Balok'!$B$23:$B$7253,$B168,'Besi Balok'!$F$23:$F$7253,'REKAP Balok'!R$11)</f>
        <v>0</v>
      </c>
      <c r="S168">
        <f>SUMIFS('Besi Balok'!$AA$23:$AA$7253,'Besi Balok'!$A$23:$A$7253,$A168,'Besi Balok'!$B$23:$B$7253,$B168,'Besi Balok'!$F$23:$F$7253,'REKAP Balok'!S$11)</f>
        <v>0</v>
      </c>
      <c r="T168">
        <f>SUMIFS('Besi Balok'!$AA$23:$AA$7253,'Besi Balok'!$A$23:$A$7253,$A168,'Besi Balok'!$B$23:$B$7253,$B168,'Besi Balok'!$F$23:$F$7253,'REKAP Balok'!T$11)</f>
        <v>0</v>
      </c>
      <c r="U168">
        <f>SUM(L168:T168)</f>
        <v>172.62019728</v>
      </c>
      <c r="V168">
        <f>(D168*(F168-H168)*G168*K168)/1000000000</f>
        <v>0.63525</v>
      </c>
      <c r="W168">
        <f>(((F168-H168)*2+IF(H168&gt;0,0,D168))*(G168)*K168)/1000000</f>
        <v>6.3525</v>
      </c>
      <c r="AC168">
        <f>(D168+2*$F$5)*F168*G168/1000000000</f>
        <v>1.815</v>
      </c>
    </row>
    <row r="169">
      <c r="A169" t="str">
        <f>'Data Panjang Balok'!A165</f>
        <v>Lantai 3</v>
      </c>
      <c r="B169">
        <f>'Data Panjang Balok'!B165</f>
        <v>12</v>
      </c>
      <c r="C169" t="str">
        <f>'Data Panjang Balok'!D165</f>
        <v>B25-1</v>
      </c>
      <c r="D169">
        <f>IF(C169&gt;0,VLOOKUP(C169,'Detail Balok'!$C$11:$AU$140,2,FALSE),0)</f>
        <v>200</v>
      </c>
      <c r="E169" t="str">
        <v>x</v>
      </c>
      <c r="F169">
        <f>IF(C169&gt;0,VLOOKUP(C169,'Detail Balok'!$C$11:$AU$140,3,FALSE),0)</f>
        <v>500</v>
      </c>
      <c r="G169">
        <f>'Data Panjang Balok'!I165</f>
        <v>5925</v>
      </c>
      <c r="H169">
        <f>'Data Panjang Balok'!J165</f>
        <v>150</v>
      </c>
      <c r="I169">
        <v>0</v>
      </c>
      <c r="J169">
        <f>I169-F169/1000</f>
        <v>-0.5</v>
      </c>
      <c r="K169">
        <f>'Data Panjang Balok'!E165</f>
        <v>1</v>
      </c>
      <c r="L169">
        <f>SUMIFS('Besi Balok'!$AA$23:$AA$7253,'Besi Balok'!$A$23:$A$7253,$A169,'Besi Balok'!$B$23:$B$7253,$B169,'Besi Balok'!$F$23:$F$7253,'REKAP Balok'!L$11)</f>
        <v>0</v>
      </c>
      <c r="M169">
        <f>SUMIFS('Besi Balok'!$AA$23:$AA$7253,'Besi Balok'!$A$23:$A$7253,$A169,'Besi Balok'!$B$23:$B$7253,$B169,'Besi Balok'!$F$23:$F$7253,'REKAP Balok'!M$11)</f>
        <v>0</v>
      </c>
      <c r="N169">
        <f>SUMIFS('Besi Balok'!$AA$23:$AA$7253,'Besi Balok'!$A$23:$A$7253,$A169,'Besi Balok'!$B$23:$B$7253,$B169,'Besi Balok'!$F$23:$F$7253,'REKAP Balok'!N$11)</f>
        <v>35.65836</v>
      </c>
      <c r="O169">
        <f>SUMIFS('Besi Balok'!$AA$23:$AA$7253,'Besi Balok'!$A$23:$A$7253,$A169,'Besi Balok'!$B$23:$B$7253,$B169,'Besi Balok'!$F$23:$F$7253,'REKAP Balok'!O$11)</f>
        <v>0</v>
      </c>
      <c r="P169">
        <f>SUMIFS('Besi Balok'!$AA$23:$AA$7253,'Besi Balok'!$A$23:$A$7253,$A169,'Besi Balok'!$B$23:$B$7253,$B169,'Besi Balok'!$F$23:$F$7253,'REKAP Balok'!P$11)</f>
        <v>79.65692928</v>
      </c>
      <c r="Q169">
        <f>SUMIFS('Besi Balok'!$AA$23:$AA$7253,'Besi Balok'!$A$23:$A$7253,$A169,'Besi Balok'!$B$23:$B$7253,$B169,'Besi Balok'!$F$23:$F$7253,'REKAP Balok'!Q$11)</f>
        <v>0</v>
      </c>
      <c r="R169">
        <f>SUMIFS('Besi Balok'!$AA$23:$AA$7253,'Besi Balok'!$A$23:$A$7253,$A169,'Besi Balok'!$B$23:$B$7253,$B169,'Besi Balok'!$F$23:$F$7253,'REKAP Balok'!R$11)</f>
        <v>0</v>
      </c>
      <c r="S169">
        <f>SUMIFS('Besi Balok'!$AA$23:$AA$7253,'Besi Balok'!$A$23:$A$7253,$A169,'Besi Balok'!$B$23:$B$7253,$B169,'Besi Balok'!$F$23:$F$7253,'REKAP Balok'!S$11)</f>
        <v>0</v>
      </c>
      <c r="T169">
        <f>SUMIFS('Besi Balok'!$AA$23:$AA$7253,'Besi Balok'!$A$23:$A$7253,$A169,'Besi Balok'!$B$23:$B$7253,$B169,'Besi Balok'!$F$23:$F$7253,'REKAP Balok'!T$11)</f>
        <v>0</v>
      </c>
      <c r="U169">
        <f>SUM(L169:T169)</f>
        <v>115.31528928</v>
      </c>
      <c r="V169">
        <f>(D169*(F169-H169)*G169*K169)/1000000000</f>
        <v>0.41475</v>
      </c>
      <c r="W169">
        <f>(((F169-H169)*2+IF(H169&gt;0,0,D169))*(G169)*K169)/1000000</f>
        <v>4.1475</v>
      </c>
      <c r="AC169">
        <f>(D169+2*$F$5)*F169*G169/1000000000</f>
        <v>1.185</v>
      </c>
    </row>
    <row r="170">
      <c r="A170" t="str">
        <f>'Data Panjang Balok'!A166</f>
        <v>Lantai 3</v>
      </c>
      <c r="B170">
        <f>'Data Panjang Balok'!B166</f>
        <v>13</v>
      </c>
      <c r="C170" t="str">
        <f>'Data Panjang Balok'!D166</f>
        <v>CL24-1</v>
      </c>
      <c r="D170">
        <f>IF(C170&gt;0,VLOOKUP(C170,'Detail Balok'!$C$11:$AU$140,2,FALSE),0)</f>
        <v>200</v>
      </c>
      <c r="E170" t="str">
        <v>x</v>
      </c>
      <c r="F170">
        <f>IF(C170&gt;0,VLOOKUP(C170,'Detail Balok'!$C$11:$AU$140,3,FALSE),0)</f>
        <v>400</v>
      </c>
      <c r="G170">
        <f>'Data Panjang Balok'!I166</f>
        <v>1175</v>
      </c>
      <c r="H170">
        <f>'Data Panjang Balok'!J166</f>
        <v>150</v>
      </c>
      <c r="I170">
        <v>0</v>
      </c>
      <c r="J170">
        <f>I170-F170/1000</f>
        <v>-0.4</v>
      </c>
      <c r="K170">
        <f>'Data Panjang Balok'!E166</f>
        <v>1</v>
      </c>
      <c r="L170">
        <f>SUMIFS('Besi Balok'!$AA$23:$AA$7253,'Besi Balok'!$A$23:$A$7253,$A170,'Besi Balok'!$B$23:$B$7253,$B170,'Besi Balok'!$F$23:$F$7253,'REKAP Balok'!L$11)</f>
        <v>0</v>
      </c>
      <c r="M170">
        <f>SUMIFS('Besi Balok'!$AA$23:$AA$7253,'Besi Balok'!$A$23:$A$7253,$A170,'Besi Balok'!$B$23:$B$7253,$B170,'Besi Balok'!$F$23:$F$7253,'REKAP Balok'!M$11)</f>
        <v>0</v>
      </c>
      <c r="N170">
        <f>SUMIFS('Besi Balok'!$AA$23:$AA$7253,'Besi Balok'!$A$23:$A$7253,$A170,'Besi Balok'!$B$23:$B$7253,$B170,'Besi Balok'!$F$23:$F$7253,'REKAP Balok'!N$11)</f>
        <v>8.254935000000001</v>
      </c>
      <c r="O170">
        <f>SUMIFS('Besi Balok'!$AA$23:$AA$7253,'Besi Balok'!$A$23:$A$7253,$A170,'Besi Balok'!$B$23:$B$7253,$B170,'Besi Balok'!$F$23:$F$7253,'REKAP Balok'!O$11)</f>
        <v>0</v>
      </c>
      <c r="P170">
        <f>SUMIFS('Besi Balok'!$AA$23:$AA$7253,'Besi Balok'!$A$23:$A$7253,$A170,'Besi Balok'!$B$23:$B$7253,$B170,'Besi Balok'!$F$23:$F$7253,'REKAP Balok'!P$11)</f>
        <v>14.76285696</v>
      </c>
      <c r="Q170">
        <f>SUMIFS('Besi Balok'!$AA$23:$AA$7253,'Besi Balok'!$A$23:$A$7253,$A170,'Besi Balok'!$B$23:$B$7253,$B170,'Besi Balok'!$F$23:$F$7253,'REKAP Balok'!Q$11)</f>
        <v>0</v>
      </c>
      <c r="R170">
        <f>SUMIFS('Besi Balok'!$AA$23:$AA$7253,'Besi Balok'!$A$23:$A$7253,$A170,'Besi Balok'!$B$23:$B$7253,$B170,'Besi Balok'!$F$23:$F$7253,'REKAP Balok'!R$11)</f>
        <v>0</v>
      </c>
      <c r="S170">
        <f>SUMIFS('Besi Balok'!$AA$23:$AA$7253,'Besi Balok'!$A$23:$A$7253,$A170,'Besi Balok'!$B$23:$B$7253,$B170,'Besi Balok'!$F$23:$F$7253,'REKAP Balok'!S$11)</f>
        <v>0</v>
      </c>
      <c r="T170">
        <f>SUMIFS('Besi Balok'!$AA$23:$AA$7253,'Besi Balok'!$A$23:$A$7253,$A170,'Besi Balok'!$B$23:$B$7253,$B170,'Besi Balok'!$F$23:$F$7253,'REKAP Balok'!T$11)</f>
        <v>0</v>
      </c>
      <c r="U170">
        <f>SUM(L170:T170)</f>
        <v>23.017791960000004</v>
      </c>
      <c r="V170">
        <f>(D170*(F170-H170)*G170*K170)/1000000000</f>
        <v>0.05875</v>
      </c>
      <c r="W170">
        <f>(((F170-H170)*2+IF(H170&gt;0,0,D170))*(G170)*K170)/1000000</f>
        <v>0.5875</v>
      </c>
      <c r="AC170">
        <f>(D170+2*$F$5)*F170*G170/1000000000</f>
        <v>0.188</v>
      </c>
    </row>
    <row r="171">
      <c r="A171" t="str">
        <f>'Data Panjang Balok'!A167</f>
        <v>Lantai 3</v>
      </c>
      <c r="B171">
        <f>'Data Panjang Balok'!B167</f>
        <v>14</v>
      </c>
      <c r="C171" t="str">
        <f>'Data Panjang Balok'!D167</f>
        <v>B26-1</v>
      </c>
      <c r="D171">
        <f>IF(C171&gt;0,VLOOKUP(C171,'Detail Balok'!$C$11:$AU$140,2,FALSE),0)</f>
        <v>200</v>
      </c>
      <c r="E171" t="str">
        <v>x</v>
      </c>
      <c r="F171">
        <f>IF(C171&gt;0,VLOOKUP(C171,'Detail Balok'!$C$11:$AU$140,3,FALSE),0)</f>
        <v>600</v>
      </c>
      <c r="G171">
        <f>'Data Panjang Balok'!I167</f>
        <v>9175</v>
      </c>
      <c r="H171">
        <f>'Data Panjang Balok'!J167</f>
        <v>150</v>
      </c>
      <c r="I171">
        <v>0</v>
      </c>
      <c r="J171">
        <f>I171-F171/1000</f>
        <v>-0.6</v>
      </c>
      <c r="K171">
        <f>'Data Panjang Balok'!E167</f>
        <v>1</v>
      </c>
      <c r="L171">
        <f>SUMIFS('Besi Balok'!$AA$23:$AA$7253,'Besi Balok'!$A$23:$A$7253,$A171,'Besi Balok'!$B$23:$B$7253,$B171,'Besi Balok'!$F$23:$F$7253,'REKAP Balok'!L$11)</f>
        <v>0</v>
      </c>
      <c r="M171">
        <f>SUMIFS('Besi Balok'!$AA$23:$AA$7253,'Besi Balok'!$A$23:$A$7253,$A171,'Besi Balok'!$B$23:$B$7253,$B171,'Besi Balok'!$F$23:$F$7253,'REKAP Balok'!M$11)</f>
        <v>0</v>
      </c>
      <c r="N171">
        <f>SUMIFS('Besi Balok'!$AA$23:$AA$7253,'Besi Balok'!$A$23:$A$7253,$A171,'Besi Balok'!$B$23:$B$7253,$B171,'Besi Balok'!$F$23:$F$7253,'REKAP Balok'!N$11)</f>
        <v>81.2547</v>
      </c>
      <c r="O171">
        <f>SUMIFS('Besi Balok'!$AA$23:$AA$7253,'Besi Balok'!$A$23:$A$7253,$A171,'Besi Balok'!$B$23:$B$7253,$B171,'Besi Balok'!$F$23:$F$7253,'REKAP Balok'!O$11)</f>
        <v>0</v>
      </c>
      <c r="P171">
        <f>SUMIFS('Besi Balok'!$AA$23:$AA$7253,'Besi Balok'!$A$23:$A$7253,$A171,'Besi Balok'!$B$23:$B$7253,$B171,'Besi Balok'!$F$23:$F$7253,'REKAP Balok'!P$11)</f>
        <v>109.25839872000002</v>
      </c>
      <c r="Q171">
        <f>SUMIFS('Besi Balok'!$AA$23:$AA$7253,'Besi Balok'!$A$23:$A$7253,$A171,'Besi Balok'!$B$23:$B$7253,$B171,'Besi Balok'!$F$23:$F$7253,'REKAP Balok'!Q$11)</f>
        <v>0</v>
      </c>
      <c r="R171">
        <f>SUMIFS('Besi Balok'!$AA$23:$AA$7253,'Besi Balok'!$A$23:$A$7253,$A171,'Besi Balok'!$B$23:$B$7253,$B171,'Besi Balok'!$F$23:$F$7253,'REKAP Balok'!R$11)</f>
        <v>0</v>
      </c>
      <c r="S171">
        <f>SUMIFS('Besi Balok'!$AA$23:$AA$7253,'Besi Balok'!$A$23:$A$7253,$A171,'Besi Balok'!$B$23:$B$7253,$B171,'Besi Balok'!$F$23:$F$7253,'REKAP Balok'!S$11)</f>
        <v>0</v>
      </c>
      <c r="T171">
        <f>SUMIFS('Besi Balok'!$AA$23:$AA$7253,'Besi Balok'!$A$23:$A$7253,$A171,'Besi Balok'!$B$23:$B$7253,$B171,'Besi Balok'!$F$23:$F$7253,'REKAP Balok'!T$11)</f>
        <v>0</v>
      </c>
      <c r="U171">
        <f>SUM(L171:T171)</f>
        <v>190.51309872000002</v>
      </c>
      <c r="V171">
        <f>(D171*(F171-H171)*G171*K171)/1000000000</f>
        <v>0.82575</v>
      </c>
      <c r="W171">
        <f>(((F171-H171)*2+IF(H171&gt;0,0,D171))*(G171)*K171)/1000000</f>
        <v>8.2575</v>
      </c>
      <c r="AC171">
        <f>(D171+2*$F$5)*F171*G171/1000000000</f>
        <v>2.202</v>
      </c>
    </row>
    <row r="172">
      <c r="A172" t="str">
        <f>'Data Panjang Balok'!A168</f>
        <v>Lantai 3</v>
      </c>
      <c r="B172">
        <f>'Data Panjang Balok'!B168</f>
        <v>15</v>
      </c>
      <c r="C172" t="str">
        <f>'Data Panjang Balok'!D168</f>
        <v>B26-1</v>
      </c>
      <c r="D172">
        <f>IF(C172&gt;0,VLOOKUP(C172,'Detail Balok'!$C$11:$AU$140,2,FALSE),0)</f>
        <v>200</v>
      </c>
      <c r="E172" t="str">
        <v>x</v>
      </c>
      <c r="F172">
        <f>IF(C172&gt;0,VLOOKUP(C172,'Detail Balok'!$C$11:$AU$140,3,FALSE),0)</f>
        <v>600</v>
      </c>
      <c r="G172">
        <f>'Data Panjang Balok'!I168</f>
        <v>5825</v>
      </c>
      <c r="H172">
        <f>'Data Panjang Balok'!J168</f>
        <v>150</v>
      </c>
      <c r="I172">
        <v>0</v>
      </c>
      <c r="J172">
        <f>I172-F172/1000</f>
        <v>-0.6</v>
      </c>
      <c r="K172">
        <f>'Data Panjang Balok'!E168</f>
        <v>1</v>
      </c>
      <c r="L172">
        <f>SUMIFS('Besi Balok'!$AA$23:$AA$7253,'Besi Balok'!$A$23:$A$7253,$A172,'Besi Balok'!$B$23:$B$7253,$B172,'Besi Balok'!$F$23:$F$7253,'REKAP Balok'!L$11)</f>
        <v>0</v>
      </c>
      <c r="M172">
        <f>SUMIFS('Besi Balok'!$AA$23:$AA$7253,'Besi Balok'!$A$23:$A$7253,$A172,'Besi Balok'!$B$23:$B$7253,$B172,'Besi Balok'!$F$23:$F$7253,'REKAP Balok'!M$11)</f>
        <v>0</v>
      </c>
      <c r="N172">
        <f>SUMIFS('Besi Balok'!$AA$23:$AA$7253,'Besi Balok'!$A$23:$A$7253,$A172,'Besi Balok'!$B$23:$B$7253,$B172,'Besi Balok'!$F$23:$F$7253,'REKAP Balok'!N$11)</f>
        <v>52.439490000000006</v>
      </c>
      <c r="O172">
        <f>SUMIFS('Besi Balok'!$AA$23:$AA$7253,'Besi Balok'!$A$23:$A$7253,$A172,'Besi Balok'!$B$23:$B$7253,$B172,'Besi Balok'!$F$23:$F$7253,'REKAP Balok'!O$11)</f>
        <v>0</v>
      </c>
      <c r="P172">
        <f>SUMIFS('Besi Balok'!$AA$23:$AA$7253,'Besi Balok'!$A$23:$A$7253,$A172,'Besi Balok'!$B$23:$B$7253,$B172,'Besi Balok'!$F$23:$F$7253,'REKAP Balok'!P$11)</f>
        <v>71.19124992000002</v>
      </c>
      <c r="Q172">
        <f>SUMIFS('Besi Balok'!$AA$23:$AA$7253,'Besi Balok'!$A$23:$A$7253,$A172,'Besi Balok'!$B$23:$B$7253,$B172,'Besi Balok'!$F$23:$F$7253,'REKAP Balok'!Q$11)</f>
        <v>0</v>
      </c>
      <c r="R172">
        <f>SUMIFS('Besi Balok'!$AA$23:$AA$7253,'Besi Balok'!$A$23:$A$7253,$A172,'Besi Balok'!$B$23:$B$7253,$B172,'Besi Balok'!$F$23:$F$7253,'REKAP Balok'!R$11)</f>
        <v>0</v>
      </c>
      <c r="S172">
        <f>SUMIFS('Besi Balok'!$AA$23:$AA$7253,'Besi Balok'!$A$23:$A$7253,$A172,'Besi Balok'!$B$23:$B$7253,$B172,'Besi Balok'!$F$23:$F$7253,'REKAP Balok'!S$11)</f>
        <v>0</v>
      </c>
      <c r="T172">
        <f>SUMIFS('Besi Balok'!$AA$23:$AA$7253,'Besi Balok'!$A$23:$A$7253,$A172,'Besi Balok'!$B$23:$B$7253,$B172,'Besi Balok'!$F$23:$F$7253,'REKAP Balok'!T$11)</f>
        <v>0</v>
      </c>
      <c r="U172">
        <f>SUM(L172:T172)</f>
        <v>123.63073992000002</v>
      </c>
      <c r="V172">
        <f>(D172*(F172-H172)*G172*K172)/1000000000</f>
        <v>0.52425</v>
      </c>
      <c r="W172">
        <f>(((F172-H172)*2+IF(H172&gt;0,0,D172))*(G172)*K172)/1000000</f>
        <v>5.2425</v>
      </c>
      <c r="AC172">
        <f>(D172+2*$F$5)*F172*G172/1000000000</f>
        <v>1.398</v>
      </c>
    </row>
    <row r="173">
      <c r="A173" t="str">
        <f>'Data Panjang Balok'!A169</f>
        <v>Lantai 3</v>
      </c>
      <c r="B173">
        <f>'Data Panjang Balok'!B169</f>
        <v>16</v>
      </c>
      <c r="C173" t="str">
        <f>'Data Panjang Balok'!D169</f>
        <v>CL24-1</v>
      </c>
      <c r="D173">
        <f>IF(C173&gt;0,VLOOKUP(C173,'Detail Balok'!$C$11:$AU$140,2,FALSE),0)</f>
        <v>200</v>
      </c>
      <c r="E173" t="str">
        <v>x</v>
      </c>
      <c r="F173">
        <f>IF(C173&gt;0,VLOOKUP(C173,'Detail Balok'!$C$11:$AU$140,3,FALSE),0)</f>
        <v>400</v>
      </c>
      <c r="G173">
        <f>'Data Panjang Balok'!I169</f>
        <v>1075</v>
      </c>
      <c r="H173">
        <f>'Data Panjang Balok'!J169</f>
        <v>150</v>
      </c>
      <c r="I173">
        <v>0</v>
      </c>
      <c r="J173">
        <f>I173-F173/1000</f>
        <v>-0.4</v>
      </c>
      <c r="K173">
        <f>'Data Panjang Balok'!E169</f>
        <v>1</v>
      </c>
      <c r="L173">
        <f>SUMIFS('Besi Balok'!$AA$23:$AA$7253,'Besi Balok'!$A$23:$A$7253,$A173,'Besi Balok'!$B$23:$B$7253,$B173,'Besi Balok'!$F$23:$F$7253,'REKAP Balok'!L$11)</f>
        <v>0</v>
      </c>
      <c r="M173">
        <f>SUMIFS('Besi Balok'!$AA$23:$AA$7253,'Besi Balok'!$A$23:$A$7253,$A173,'Besi Balok'!$B$23:$B$7253,$B173,'Besi Balok'!$F$23:$F$7253,'REKAP Balok'!M$11)</f>
        <v>0</v>
      </c>
      <c r="N173">
        <f>SUMIFS('Besi Balok'!$AA$23:$AA$7253,'Besi Balok'!$A$23:$A$7253,$A173,'Besi Balok'!$B$23:$B$7253,$B173,'Besi Balok'!$F$23:$F$7253,'REKAP Balok'!N$11)</f>
        <v>7.6199400000000015</v>
      </c>
      <c r="O173">
        <f>SUMIFS('Besi Balok'!$AA$23:$AA$7253,'Besi Balok'!$A$23:$A$7253,$A173,'Besi Balok'!$B$23:$B$7253,$B173,'Besi Balok'!$F$23:$F$7253,'REKAP Balok'!O$11)</f>
        <v>0</v>
      </c>
      <c r="P173">
        <f>SUMIFS('Besi Balok'!$AA$23:$AA$7253,'Besi Balok'!$A$23:$A$7253,$A173,'Besi Balok'!$B$23:$B$7253,$B173,'Besi Balok'!$F$23:$F$7253,'REKAP Balok'!P$11)</f>
        <v>13.81591296</v>
      </c>
      <c r="Q173">
        <f>SUMIFS('Besi Balok'!$AA$23:$AA$7253,'Besi Balok'!$A$23:$A$7253,$A173,'Besi Balok'!$B$23:$B$7253,$B173,'Besi Balok'!$F$23:$F$7253,'REKAP Balok'!Q$11)</f>
        <v>0</v>
      </c>
      <c r="R173">
        <f>SUMIFS('Besi Balok'!$AA$23:$AA$7253,'Besi Balok'!$A$23:$A$7253,$A173,'Besi Balok'!$B$23:$B$7253,$B173,'Besi Balok'!$F$23:$F$7253,'REKAP Balok'!R$11)</f>
        <v>0</v>
      </c>
      <c r="S173">
        <f>SUMIFS('Besi Balok'!$AA$23:$AA$7253,'Besi Balok'!$A$23:$A$7253,$A173,'Besi Balok'!$B$23:$B$7253,$B173,'Besi Balok'!$F$23:$F$7253,'REKAP Balok'!S$11)</f>
        <v>0</v>
      </c>
      <c r="T173">
        <f>SUMIFS('Besi Balok'!$AA$23:$AA$7253,'Besi Balok'!$A$23:$A$7253,$A173,'Besi Balok'!$B$23:$B$7253,$B173,'Besi Balok'!$F$23:$F$7253,'REKAP Balok'!T$11)</f>
        <v>0</v>
      </c>
      <c r="U173">
        <f>SUM(L173:T173)</f>
        <v>21.435852960000002</v>
      </c>
      <c r="V173">
        <f>(D173*(F173-H173)*G173*K173)/1000000000</f>
        <v>0.05375</v>
      </c>
      <c r="W173">
        <f>(((F173-H173)*2+IF(H173&gt;0,0,D173))*(G173)*K173)/1000000</f>
        <v>0.5375</v>
      </c>
      <c r="AC173">
        <f>(D173+2*$F$5)*F173*G173/1000000000</f>
        <v>0.172</v>
      </c>
    </row>
    <row r="174">
      <c r="A174" t="str">
        <f>'Data Panjang Balok'!A170</f>
        <v>Lantai 3</v>
      </c>
      <c r="B174">
        <f>'Data Panjang Balok'!B170</f>
        <v>17</v>
      </c>
      <c r="C174" t="str">
        <f>'Data Panjang Balok'!D170</f>
        <v>B25-1</v>
      </c>
      <c r="D174">
        <f>IF(C174&gt;0,VLOOKUP(C174,'Detail Balok'!$C$11:$AU$140,2,FALSE),0)</f>
        <v>200</v>
      </c>
      <c r="E174" t="str">
        <v>x</v>
      </c>
      <c r="F174">
        <f>IF(C174&gt;0,VLOOKUP(C174,'Detail Balok'!$C$11:$AU$140,3,FALSE),0)</f>
        <v>500</v>
      </c>
      <c r="G174">
        <f>'Data Panjang Balok'!I170</f>
        <v>9075</v>
      </c>
      <c r="H174">
        <f>'Data Panjang Balok'!J170</f>
        <v>150</v>
      </c>
      <c r="I174">
        <v>0</v>
      </c>
      <c r="J174">
        <f>I174-F174/1000</f>
        <v>-0.5</v>
      </c>
      <c r="K174">
        <f>'Data Panjang Balok'!E170</f>
        <v>1</v>
      </c>
      <c r="L174">
        <f>SUMIFS('Besi Balok'!$AA$23:$AA$7253,'Besi Balok'!$A$23:$A$7253,$A174,'Besi Balok'!$B$23:$B$7253,$B174,'Besi Balok'!$F$23:$F$7253,'REKAP Balok'!L$11)</f>
        <v>0</v>
      </c>
      <c r="M174">
        <f>SUMIFS('Besi Balok'!$AA$23:$AA$7253,'Besi Balok'!$A$23:$A$7253,$A174,'Besi Balok'!$B$23:$B$7253,$B174,'Besi Balok'!$F$23:$F$7253,'REKAP Balok'!M$11)</f>
        <v>0</v>
      </c>
      <c r="N174">
        <f>SUMIFS('Besi Balok'!$AA$23:$AA$7253,'Besi Balok'!$A$23:$A$7253,$A174,'Besi Balok'!$B$23:$B$7253,$B174,'Besi Balok'!$F$23:$F$7253,'REKAP Balok'!N$11)</f>
        <v>53.19162000000001</v>
      </c>
      <c r="O174">
        <f>SUMIFS('Besi Balok'!$AA$23:$AA$7253,'Besi Balok'!$A$23:$A$7253,$A174,'Besi Balok'!$B$23:$B$7253,$B174,'Besi Balok'!$F$23:$F$7253,'REKAP Balok'!O$11)</f>
        <v>0</v>
      </c>
      <c r="P174">
        <f>SUMIFS('Besi Balok'!$AA$23:$AA$7253,'Besi Balok'!$A$23:$A$7253,$A174,'Besi Balok'!$B$23:$B$7253,$B174,'Besi Balok'!$F$23:$F$7253,'REKAP Balok'!P$11)</f>
        <v>119.42857728</v>
      </c>
      <c r="Q174">
        <f>SUMIFS('Besi Balok'!$AA$23:$AA$7253,'Besi Balok'!$A$23:$A$7253,$A174,'Besi Balok'!$B$23:$B$7253,$B174,'Besi Balok'!$F$23:$F$7253,'REKAP Balok'!Q$11)</f>
        <v>0</v>
      </c>
      <c r="R174">
        <f>SUMIFS('Besi Balok'!$AA$23:$AA$7253,'Besi Balok'!$A$23:$A$7253,$A174,'Besi Balok'!$B$23:$B$7253,$B174,'Besi Balok'!$F$23:$F$7253,'REKAP Balok'!R$11)</f>
        <v>0</v>
      </c>
      <c r="S174">
        <f>SUMIFS('Besi Balok'!$AA$23:$AA$7253,'Besi Balok'!$A$23:$A$7253,$A174,'Besi Balok'!$B$23:$B$7253,$B174,'Besi Balok'!$F$23:$F$7253,'REKAP Balok'!S$11)</f>
        <v>0</v>
      </c>
      <c r="T174">
        <f>SUMIFS('Besi Balok'!$AA$23:$AA$7253,'Besi Balok'!$A$23:$A$7253,$A174,'Besi Balok'!$B$23:$B$7253,$B174,'Besi Balok'!$F$23:$F$7253,'REKAP Balok'!T$11)</f>
        <v>0</v>
      </c>
      <c r="U174">
        <f>SUM(L174:T174)</f>
        <v>172.62019728</v>
      </c>
      <c r="V174">
        <f>(D174*(F174-H174)*G174*K174)/1000000000</f>
        <v>0.63525</v>
      </c>
      <c r="W174">
        <f>(((F174-H174)*2+IF(H174&gt;0,0,D174))*(G174)*K174)/1000000</f>
        <v>6.3525</v>
      </c>
      <c r="AC174">
        <f>(D174+2*$F$5)*F174*G174/1000000000</f>
        <v>1.815</v>
      </c>
    </row>
    <row r="175">
      <c r="A175" t="str">
        <f>'Data Panjang Balok'!A171</f>
        <v>Lantai 3</v>
      </c>
      <c r="B175">
        <f>'Data Panjang Balok'!B171</f>
        <v>18</v>
      </c>
      <c r="C175" t="str">
        <f>'Data Panjang Balok'!D171</f>
        <v>B26-1</v>
      </c>
      <c r="D175">
        <f>IF(C175&gt;0,VLOOKUP(C175,'Detail Balok'!$C$11:$AU$140,2,FALSE),0)</f>
        <v>200</v>
      </c>
      <c r="E175" t="str">
        <v>x</v>
      </c>
      <c r="F175">
        <f>IF(C175&gt;0,VLOOKUP(C175,'Detail Balok'!$C$11:$AU$140,3,FALSE),0)</f>
        <v>600</v>
      </c>
      <c r="G175">
        <f>'Data Panjang Balok'!I171</f>
        <v>5925</v>
      </c>
      <c r="H175">
        <f>'Data Panjang Balok'!J171</f>
        <v>150</v>
      </c>
      <c r="I175">
        <v>0</v>
      </c>
      <c r="J175">
        <f>I175-F175/1000</f>
        <v>-0.6</v>
      </c>
      <c r="K175">
        <f>'Data Panjang Balok'!E171</f>
        <v>1</v>
      </c>
      <c r="L175">
        <f>SUMIFS('Besi Balok'!$AA$23:$AA$7253,'Besi Balok'!$A$23:$A$7253,$A175,'Besi Balok'!$B$23:$B$7253,$B175,'Besi Balok'!$F$23:$F$7253,'REKAP Balok'!L$11)</f>
        <v>0</v>
      </c>
      <c r="M175">
        <f>SUMIFS('Besi Balok'!$AA$23:$AA$7253,'Besi Balok'!$A$23:$A$7253,$A175,'Besi Balok'!$B$23:$B$7253,$B175,'Besi Balok'!$F$23:$F$7253,'REKAP Balok'!M$11)</f>
        <v>0</v>
      </c>
      <c r="N175">
        <f>SUMIFS('Besi Balok'!$AA$23:$AA$7253,'Besi Balok'!$A$23:$A$7253,$A175,'Besi Balok'!$B$23:$B$7253,$B175,'Besi Balok'!$F$23:$F$7253,'REKAP Balok'!N$11)</f>
        <v>53.444385</v>
      </c>
      <c r="O175">
        <f>SUMIFS('Besi Balok'!$AA$23:$AA$7253,'Besi Balok'!$A$23:$A$7253,$A175,'Besi Balok'!$B$23:$B$7253,$B175,'Besi Balok'!$F$23:$F$7253,'REKAP Balok'!O$11)</f>
        <v>0</v>
      </c>
      <c r="P175">
        <f>SUMIFS('Besi Balok'!$AA$23:$AA$7253,'Besi Balok'!$A$23:$A$7253,$A175,'Besi Balok'!$B$23:$B$7253,$B175,'Besi Balok'!$F$23:$F$7253,'REKAP Balok'!P$11)</f>
        <v>72.32758272000001</v>
      </c>
      <c r="Q175">
        <f>SUMIFS('Besi Balok'!$AA$23:$AA$7253,'Besi Balok'!$A$23:$A$7253,$A175,'Besi Balok'!$B$23:$B$7253,$B175,'Besi Balok'!$F$23:$F$7253,'REKAP Balok'!Q$11)</f>
        <v>0</v>
      </c>
      <c r="R175">
        <f>SUMIFS('Besi Balok'!$AA$23:$AA$7253,'Besi Balok'!$A$23:$A$7253,$A175,'Besi Balok'!$B$23:$B$7253,$B175,'Besi Balok'!$F$23:$F$7253,'REKAP Balok'!R$11)</f>
        <v>0</v>
      </c>
      <c r="S175">
        <f>SUMIFS('Besi Balok'!$AA$23:$AA$7253,'Besi Balok'!$A$23:$A$7253,$A175,'Besi Balok'!$B$23:$B$7253,$B175,'Besi Balok'!$F$23:$F$7253,'REKAP Balok'!S$11)</f>
        <v>0</v>
      </c>
      <c r="T175">
        <f>SUMIFS('Besi Balok'!$AA$23:$AA$7253,'Besi Balok'!$A$23:$A$7253,$A175,'Besi Balok'!$B$23:$B$7253,$B175,'Besi Balok'!$F$23:$F$7253,'REKAP Balok'!T$11)</f>
        <v>0</v>
      </c>
      <c r="U175">
        <f>SUM(L175:T175)</f>
        <v>125.77196772</v>
      </c>
      <c r="V175">
        <f>(D175*(F175-H175)*G175*K175)/1000000000</f>
        <v>0.53325</v>
      </c>
      <c r="W175">
        <f>(((F175-H175)*2+IF(H175&gt;0,0,D175))*(G175)*K175)/1000000</f>
        <v>5.3325</v>
      </c>
      <c r="AC175">
        <f>(D175+2*$F$5)*F175*G175/1000000000</f>
        <v>1.422</v>
      </c>
    </row>
    <row r="176">
      <c r="A176" t="str">
        <f>'Data Panjang Balok'!A172</f>
        <v>Lantai 3</v>
      </c>
      <c r="B176">
        <f>'Data Panjang Balok'!B172</f>
        <v>19</v>
      </c>
      <c r="C176" t="str">
        <f>'Data Panjang Balok'!D172</f>
        <v>CL24-1</v>
      </c>
      <c r="D176">
        <f>IF(C176&gt;0,VLOOKUP(C176,'Detail Balok'!$C$11:$AU$140,2,FALSE),0)</f>
        <v>200</v>
      </c>
      <c r="E176" t="str">
        <v>x</v>
      </c>
      <c r="F176">
        <f>IF(C176&gt;0,VLOOKUP(C176,'Detail Balok'!$C$11:$AU$140,3,FALSE),0)</f>
        <v>400</v>
      </c>
      <c r="G176">
        <f>'Data Panjang Balok'!I172</f>
        <v>1075</v>
      </c>
      <c r="H176">
        <f>'Data Panjang Balok'!J172</f>
        <v>150</v>
      </c>
      <c r="I176">
        <v>0</v>
      </c>
      <c r="J176">
        <f>I176-F176/1000</f>
        <v>-0.4</v>
      </c>
      <c r="K176">
        <f>'Data Panjang Balok'!E172</f>
        <v>1</v>
      </c>
      <c r="L176">
        <f>SUMIFS('Besi Balok'!$AA$23:$AA$7253,'Besi Balok'!$A$23:$A$7253,$A176,'Besi Balok'!$B$23:$B$7253,$B176,'Besi Balok'!$F$23:$F$7253,'REKAP Balok'!L$11)</f>
        <v>0</v>
      </c>
      <c r="M176">
        <f>SUMIFS('Besi Balok'!$AA$23:$AA$7253,'Besi Balok'!$A$23:$A$7253,$A176,'Besi Balok'!$B$23:$B$7253,$B176,'Besi Balok'!$F$23:$F$7253,'REKAP Balok'!M$11)</f>
        <v>0</v>
      </c>
      <c r="N176">
        <f>SUMIFS('Besi Balok'!$AA$23:$AA$7253,'Besi Balok'!$A$23:$A$7253,$A176,'Besi Balok'!$B$23:$B$7253,$B176,'Besi Balok'!$F$23:$F$7253,'REKAP Balok'!N$11)</f>
        <v>7.6199400000000015</v>
      </c>
      <c r="O176">
        <f>SUMIFS('Besi Balok'!$AA$23:$AA$7253,'Besi Balok'!$A$23:$A$7253,$A176,'Besi Balok'!$B$23:$B$7253,$B176,'Besi Balok'!$F$23:$F$7253,'REKAP Balok'!O$11)</f>
        <v>0</v>
      </c>
      <c r="P176">
        <f>SUMIFS('Besi Balok'!$AA$23:$AA$7253,'Besi Balok'!$A$23:$A$7253,$A176,'Besi Balok'!$B$23:$B$7253,$B176,'Besi Balok'!$F$23:$F$7253,'REKAP Balok'!P$11)</f>
        <v>13.81591296</v>
      </c>
      <c r="Q176">
        <f>SUMIFS('Besi Balok'!$AA$23:$AA$7253,'Besi Balok'!$A$23:$A$7253,$A176,'Besi Balok'!$B$23:$B$7253,$B176,'Besi Balok'!$F$23:$F$7253,'REKAP Balok'!Q$11)</f>
        <v>0</v>
      </c>
      <c r="R176">
        <f>SUMIFS('Besi Balok'!$AA$23:$AA$7253,'Besi Balok'!$A$23:$A$7253,$A176,'Besi Balok'!$B$23:$B$7253,$B176,'Besi Balok'!$F$23:$F$7253,'REKAP Balok'!R$11)</f>
        <v>0</v>
      </c>
      <c r="S176">
        <f>SUMIFS('Besi Balok'!$AA$23:$AA$7253,'Besi Balok'!$A$23:$A$7253,$A176,'Besi Balok'!$B$23:$B$7253,$B176,'Besi Balok'!$F$23:$F$7253,'REKAP Balok'!S$11)</f>
        <v>0</v>
      </c>
      <c r="T176">
        <f>SUMIFS('Besi Balok'!$AA$23:$AA$7253,'Besi Balok'!$A$23:$A$7253,$A176,'Besi Balok'!$B$23:$B$7253,$B176,'Besi Balok'!$F$23:$F$7253,'REKAP Balok'!T$11)</f>
        <v>0</v>
      </c>
      <c r="U176">
        <f>SUM(L176:T176)</f>
        <v>21.435852960000002</v>
      </c>
      <c r="V176">
        <f>(D176*(F176-H176)*G176*K176)/1000000000</f>
        <v>0.05375</v>
      </c>
      <c r="W176">
        <f>(((F176-H176)*2+IF(H176&gt;0,0,D176))*(G176)*K176)/1000000</f>
        <v>0.5375</v>
      </c>
      <c r="AC176">
        <f>(D176+2*$F$5)*F176*G176/1000000000</f>
        <v>0.172</v>
      </c>
    </row>
    <row r="177">
      <c r="A177" t="str">
        <f>'Data Panjang Balok'!A173</f>
        <v>Lantai 3</v>
      </c>
      <c r="B177">
        <f>'Data Panjang Balok'!B173</f>
        <v>20</v>
      </c>
      <c r="C177" t="str">
        <f>'Data Panjang Balok'!D173</f>
        <v>B24-1</v>
      </c>
      <c r="D177">
        <f>IF(C177&gt;0,VLOOKUP(C177,'Detail Balok'!$C$11:$AU$140,2,FALSE),0)</f>
        <v>200</v>
      </c>
      <c r="E177" t="str">
        <v>x</v>
      </c>
      <c r="F177">
        <f>IF(C177&gt;0,VLOOKUP(C177,'Detail Balok'!$C$11:$AU$140,3,FALSE),0)</f>
        <v>400</v>
      </c>
      <c r="G177">
        <f>'Data Panjang Balok'!I173</f>
        <v>4075</v>
      </c>
      <c r="H177">
        <f>'Data Panjang Balok'!J173</f>
        <v>150</v>
      </c>
      <c r="I177">
        <v>0</v>
      </c>
      <c r="J177">
        <f>I177-F177/1000</f>
        <v>-0.4</v>
      </c>
      <c r="K177">
        <f>'Data Panjang Balok'!E173</f>
        <v>1</v>
      </c>
      <c r="L177">
        <f>SUMIFS('Besi Balok'!$AA$23:$AA$7253,'Besi Balok'!$A$23:$A$7253,$A177,'Besi Balok'!$B$23:$B$7253,$B177,'Besi Balok'!$F$23:$F$7253,'REKAP Balok'!L$11)</f>
        <v>0</v>
      </c>
      <c r="M177">
        <f>SUMIFS('Besi Balok'!$AA$23:$AA$7253,'Besi Balok'!$A$23:$A$7253,$A177,'Besi Balok'!$B$23:$B$7253,$B177,'Besi Balok'!$F$23:$F$7253,'REKAP Balok'!M$11)</f>
        <v>0</v>
      </c>
      <c r="N177">
        <f>SUMIFS('Besi Balok'!$AA$23:$AA$7253,'Besi Balok'!$A$23:$A$7253,$A177,'Besi Balok'!$B$23:$B$7253,$B177,'Besi Balok'!$F$23:$F$7253,'REKAP Balok'!N$11)</f>
        <v>20.319840000000003</v>
      </c>
      <c r="O177">
        <f>SUMIFS('Besi Balok'!$AA$23:$AA$7253,'Besi Balok'!$A$23:$A$7253,$A177,'Besi Balok'!$B$23:$B$7253,$B177,'Besi Balok'!$F$23:$F$7253,'REKAP Balok'!O$11)</f>
        <v>27.42449697</v>
      </c>
      <c r="P177">
        <f>SUMIFS('Besi Balok'!$AA$23:$AA$7253,'Besi Balok'!$A$23:$A$7253,$A177,'Besi Balok'!$B$23:$B$7253,$B177,'Besi Balok'!$F$23:$F$7253,'REKAP Balok'!P$11)</f>
        <v>0</v>
      </c>
      <c r="Q177">
        <f>SUMIFS('Besi Balok'!$AA$23:$AA$7253,'Besi Balok'!$A$23:$A$7253,$A177,'Besi Balok'!$B$23:$B$7253,$B177,'Besi Balok'!$F$23:$F$7253,'REKAP Balok'!Q$11)</f>
        <v>0</v>
      </c>
      <c r="R177">
        <f>SUMIFS('Besi Balok'!$AA$23:$AA$7253,'Besi Balok'!$A$23:$A$7253,$A177,'Besi Balok'!$B$23:$B$7253,$B177,'Besi Balok'!$F$23:$F$7253,'REKAP Balok'!R$11)</f>
        <v>0</v>
      </c>
      <c r="S177">
        <f>SUMIFS('Besi Balok'!$AA$23:$AA$7253,'Besi Balok'!$A$23:$A$7253,$A177,'Besi Balok'!$B$23:$B$7253,$B177,'Besi Balok'!$F$23:$F$7253,'REKAP Balok'!S$11)</f>
        <v>0</v>
      </c>
      <c r="T177">
        <f>SUMIFS('Besi Balok'!$AA$23:$AA$7253,'Besi Balok'!$A$23:$A$7253,$A177,'Besi Balok'!$B$23:$B$7253,$B177,'Besi Balok'!$F$23:$F$7253,'REKAP Balok'!T$11)</f>
        <v>0</v>
      </c>
      <c r="U177">
        <f>SUM(L177:T177)</f>
        <v>47.744336970000006</v>
      </c>
      <c r="V177">
        <f>(D177*(F177-H177)*G177*K177)/1000000000</f>
        <v>0.20375</v>
      </c>
      <c r="W177">
        <f>(((F177-H177)*2+IF(H177&gt;0,0,D177))*(G177)*K177)/1000000</f>
        <v>2.0375</v>
      </c>
      <c r="AC177">
        <f>(D177+2*$F$5)*F177*G177/1000000000</f>
        <v>0.652</v>
      </c>
    </row>
    <row r="178">
      <c r="A178" t="str">
        <f>'Data Panjang Balok'!A174</f>
        <v>Lantai 3</v>
      </c>
      <c r="B178">
        <f>'Data Panjang Balok'!B174</f>
        <v>21</v>
      </c>
      <c r="C178" t="str">
        <f>'Data Panjang Balok'!D174</f>
        <v>B24-1</v>
      </c>
      <c r="D178">
        <f>IF(C178&gt;0,VLOOKUP(C178,'Detail Balok'!$C$11:$AU$140,2,FALSE),0)</f>
        <v>200</v>
      </c>
      <c r="E178" t="str">
        <v>x</v>
      </c>
      <c r="F178">
        <f>IF(C178&gt;0,VLOOKUP(C178,'Detail Balok'!$C$11:$AU$140,3,FALSE),0)</f>
        <v>400</v>
      </c>
      <c r="G178">
        <f>'Data Panjang Balok'!I174</f>
        <v>2195</v>
      </c>
      <c r="H178">
        <f>'Data Panjang Balok'!J174</f>
        <v>0</v>
      </c>
      <c r="I178">
        <v>0</v>
      </c>
      <c r="J178">
        <f>I178-F178/1000</f>
        <v>-0.4</v>
      </c>
      <c r="K178">
        <f>'Data Panjang Balok'!E174</f>
        <v>1</v>
      </c>
      <c r="L178">
        <f>SUMIFS('Besi Balok'!$AA$23:$AA$7253,'Besi Balok'!$A$23:$A$7253,$A178,'Besi Balok'!$B$23:$B$7253,$B178,'Besi Balok'!$F$23:$F$7253,'REKAP Balok'!L$11)</f>
        <v>0</v>
      </c>
      <c r="M178">
        <f>SUMIFS('Besi Balok'!$AA$23:$AA$7253,'Besi Balok'!$A$23:$A$7253,$A178,'Besi Balok'!$B$23:$B$7253,$B178,'Besi Balok'!$F$23:$F$7253,'REKAP Balok'!M$11)</f>
        <v>0</v>
      </c>
      <c r="N178">
        <f>SUMIFS('Besi Balok'!$AA$23:$AA$7253,'Besi Balok'!$A$23:$A$7253,$A178,'Besi Balok'!$B$23:$B$7253,$B178,'Besi Balok'!$F$23:$F$7253,'REKAP Balok'!N$11)</f>
        <v>13.334895000000003</v>
      </c>
      <c r="O178">
        <f>SUMIFS('Besi Balok'!$AA$23:$AA$7253,'Besi Balok'!$A$23:$A$7253,$A178,'Besi Balok'!$B$23:$B$7253,$B178,'Besi Balok'!$F$23:$F$7253,'REKAP Balok'!O$11)</f>
        <v>15.672034169999998</v>
      </c>
      <c r="P178">
        <f>SUMIFS('Besi Balok'!$AA$23:$AA$7253,'Besi Balok'!$A$23:$A$7253,$A178,'Besi Balok'!$B$23:$B$7253,$B178,'Besi Balok'!$F$23:$F$7253,'REKAP Balok'!P$11)</f>
        <v>0</v>
      </c>
      <c r="Q178">
        <f>SUMIFS('Besi Balok'!$AA$23:$AA$7253,'Besi Balok'!$A$23:$A$7253,$A178,'Besi Balok'!$B$23:$B$7253,$B178,'Besi Balok'!$F$23:$F$7253,'REKAP Balok'!Q$11)</f>
        <v>0</v>
      </c>
      <c r="R178">
        <f>SUMIFS('Besi Balok'!$AA$23:$AA$7253,'Besi Balok'!$A$23:$A$7253,$A178,'Besi Balok'!$B$23:$B$7253,$B178,'Besi Balok'!$F$23:$F$7253,'REKAP Balok'!R$11)</f>
        <v>0</v>
      </c>
      <c r="S178">
        <f>SUMIFS('Besi Balok'!$AA$23:$AA$7253,'Besi Balok'!$A$23:$A$7253,$A178,'Besi Balok'!$B$23:$B$7253,$B178,'Besi Balok'!$F$23:$F$7253,'REKAP Balok'!S$11)</f>
        <v>0</v>
      </c>
      <c r="T178">
        <f>SUMIFS('Besi Balok'!$AA$23:$AA$7253,'Besi Balok'!$A$23:$A$7253,$A178,'Besi Balok'!$B$23:$B$7253,$B178,'Besi Balok'!$F$23:$F$7253,'REKAP Balok'!T$11)</f>
        <v>0</v>
      </c>
      <c r="U178">
        <f>SUM(L178:T178)</f>
        <v>29.00692917</v>
      </c>
      <c r="V178">
        <f>(D178*(F178-H178)*G178*K178)/1000000000</f>
        <v>0.1756</v>
      </c>
      <c r="W178">
        <f>(((F178-H178)*2+IF(H178&gt;0,0,D178))*(G178)*K178)/1000000</f>
        <v>2.195</v>
      </c>
      <c r="AC178">
        <f>(D178+2*$F$5)*F178*G178/1000000000</f>
        <v>0.3512</v>
      </c>
    </row>
    <row r="179">
      <c r="A179" t="str">
        <f>'Data Panjang Balok'!A175</f>
        <v>Lantai 3</v>
      </c>
      <c r="B179">
        <f>'Data Panjang Balok'!B175</f>
        <v>22</v>
      </c>
      <c r="C179" t="str">
        <f>'Data Panjang Balok'!D175</f>
        <v>B24-1</v>
      </c>
      <c r="D179">
        <f>IF(C179&gt;0,VLOOKUP(C179,'Detail Balok'!$C$11:$AU$140,2,FALSE),0)</f>
        <v>200</v>
      </c>
      <c r="E179" t="str">
        <v>x</v>
      </c>
      <c r="F179">
        <f>IF(C179&gt;0,VLOOKUP(C179,'Detail Balok'!$C$11:$AU$140,3,FALSE),0)</f>
        <v>400</v>
      </c>
      <c r="G179">
        <f>'Data Panjang Balok'!I175</f>
        <v>2200</v>
      </c>
      <c r="H179">
        <f>'Data Panjang Balok'!J175</f>
        <v>0</v>
      </c>
      <c r="I179">
        <v>0</v>
      </c>
      <c r="J179">
        <f>I179-F179/1000</f>
        <v>-0.4</v>
      </c>
      <c r="K179">
        <f>'Data Panjang Balok'!E175</f>
        <v>1</v>
      </c>
      <c r="L179">
        <f>SUMIFS('Besi Balok'!$AA$23:$AA$7253,'Besi Balok'!$A$23:$A$7253,$A179,'Besi Balok'!$B$23:$B$7253,$B179,'Besi Balok'!$F$23:$F$7253,'REKAP Balok'!L$11)</f>
        <v>0</v>
      </c>
      <c r="M179">
        <f>SUMIFS('Besi Balok'!$AA$23:$AA$7253,'Besi Balok'!$A$23:$A$7253,$A179,'Besi Balok'!$B$23:$B$7253,$B179,'Besi Balok'!$F$23:$F$7253,'REKAP Balok'!M$11)</f>
        <v>0</v>
      </c>
      <c r="N179">
        <f>SUMIFS('Besi Balok'!$AA$23:$AA$7253,'Besi Balok'!$A$23:$A$7253,$A179,'Besi Balok'!$B$23:$B$7253,$B179,'Besi Balok'!$F$23:$F$7253,'REKAP Balok'!N$11)</f>
        <v>13.334895000000003</v>
      </c>
      <c r="O179">
        <f>SUMIFS('Besi Balok'!$AA$23:$AA$7253,'Besi Balok'!$A$23:$A$7253,$A179,'Besi Balok'!$B$23:$B$7253,$B179,'Besi Balok'!$F$23:$F$7253,'REKAP Balok'!O$11)</f>
        <v>15.70329072</v>
      </c>
      <c r="P179">
        <f>SUMIFS('Besi Balok'!$AA$23:$AA$7253,'Besi Balok'!$A$23:$A$7253,$A179,'Besi Balok'!$B$23:$B$7253,$B179,'Besi Balok'!$F$23:$F$7253,'REKAP Balok'!P$11)</f>
        <v>0</v>
      </c>
      <c r="Q179">
        <f>SUMIFS('Besi Balok'!$AA$23:$AA$7253,'Besi Balok'!$A$23:$A$7253,$A179,'Besi Balok'!$B$23:$B$7253,$B179,'Besi Balok'!$F$23:$F$7253,'REKAP Balok'!Q$11)</f>
        <v>0</v>
      </c>
      <c r="R179">
        <f>SUMIFS('Besi Balok'!$AA$23:$AA$7253,'Besi Balok'!$A$23:$A$7253,$A179,'Besi Balok'!$B$23:$B$7253,$B179,'Besi Balok'!$F$23:$F$7253,'REKAP Balok'!R$11)</f>
        <v>0</v>
      </c>
      <c r="S179">
        <f>SUMIFS('Besi Balok'!$AA$23:$AA$7253,'Besi Balok'!$A$23:$A$7253,$A179,'Besi Balok'!$B$23:$B$7253,$B179,'Besi Balok'!$F$23:$F$7253,'REKAP Balok'!S$11)</f>
        <v>0</v>
      </c>
      <c r="T179">
        <f>SUMIFS('Besi Balok'!$AA$23:$AA$7253,'Besi Balok'!$A$23:$A$7253,$A179,'Besi Balok'!$B$23:$B$7253,$B179,'Besi Balok'!$F$23:$F$7253,'REKAP Balok'!T$11)</f>
        <v>0</v>
      </c>
      <c r="U179">
        <f>SUM(L179:T179)</f>
        <v>29.03818572</v>
      </c>
      <c r="V179">
        <f>(D179*(F179-H179)*G179*K179)/1000000000</f>
        <v>0.176</v>
      </c>
      <c r="W179">
        <f>(((F179-H179)*2+IF(H179&gt;0,0,D179))*(G179)*K179)/1000000</f>
        <v>2.2</v>
      </c>
      <c r="AC179">
        <f>(D179+2*$F$5)*F179*G179/1000000000</f>
        <v>0.352</v>
      </c>
    </row>
    <row r="180">
      <c r="A180" t="str">
        <f>'Data Panjang Balok'!A176</f>
        <v>Lantai 3</v>
      </c>
      <c r="B180">
        <f>'Data Panjang Balok'!B176</f>
        <v>23</v>
      </c>
      <c r="C180" t="str">
        <f>'Data Panjang Balok'!D176</f>
        <v>CL24-1</v>
      </c>
      <c r="D180">
        <f>IF(C180&gt;0,VLOOKUP(C180,'Detail Balok'!$C$11:$AU$140,2,FALSE),0)</f>
        <v>200</v>
      </c>
      <c r="E180" t="str">
        <v>x</v>
      </c>
      <c r="F180">
        <f>IF(C180&gt;0,VLOOKUP(C180,'Detail Balok'!$C$11:$AU$140,3,FALSE),0)</f>
        <v>400</v>
      </c>
      <c r="G180">
        <f>'Data Panjang Balok'!I176</f>
        <v>3425</v>
      </c>
      <c r="H180">
        <f>'Data Panjang Balok'!J176</f>
        <v>150</v>
      </c>
      <c r="I180">
        <v>0</v>
      </c>
      <c r="J180">
        <f>I180-F180/1000</f>
        <v>-0.4</v>
      </c>
      <c r="K180">
        <f>'Data Panjang Balok'!E176</f>
        <v>1</v>
      </c>
      <c r="L180">
        <f>SUMIFS('Besi Balok'!$AA$23:$AA$7253,'Besi Balok'!$A$23:$A$7253,$A180,'Besi Balok'!$B$23:$B$7253,$B180,'Besi Balok'!$F$23:$F$7253,'REKAP Balok'!L$11)</f>
        <v>0</v>
      </c>
      <c r="M180">
        <f>SUMIFS('Besi Balok'!$AA$23:$AA$7253,'Besi Balok'!$A$23:$A$7253,$A180,'Besi Balok'!$B$23:$B$7253,$B180,'Besi Balok'!$F$23:$F$7253,'REKAP Balok'!M$11)</f>
        <v>0</v>
      </c>
      <c r="N180">
        <f>SUMIFS('Besi Balok'!$AA$23:$AA$7253,'Besi Balok'!$A$23:$A$7253,$A180,'Besi Balok'!$B$23:$B$7253,$B180,'Besi Balok'!$F$23:$F$7253,'REKAP Balok'!N$11)</f>
        <v>23.494815000000003</v>
      </c>
      <c r="O180">
        <f>SUMIFS('Besi Balok'!$AA$23:$AA$7253,'Besi Balok'!$A$23:$A$7253,$A180,'Besi Balok'!$B$23:$B$7253,$B180,'Besi Balok'!$F$23:$F$7253,'REKAP Balok'!O$11)</f>
        <v>0</v>
      </c>
      <c r="P180">
        <f>SUMIFS('Besi Balok'!$AA$23:$AA$7253,'Besi Balok'!$A$23:$A$7253,$A180,'Besi Balok'!$B$23:$B$7253,$B180,'Besi Balok'!$F$23:$F$7253,'REKAP Balok'!P$11)</f>
        <v>36.06909696</v>
      </c>
      <c r="Q180">
        <f>SUMIFS('Besi Balok'!$AA$23:$AA$7253,'Besi Balok'!$A$23:$A$7253,$A180,'Besi Balok'!$B$23:$B$7253,$B180,'Besi Balok'!$F$23:$F$7253,'REKAP Balok'!Q$11)</f>
        <v>0</v>
      </c>
      <c r="R180">
        <f>SUMIFS('Besi Balok'!$AA$23:$AA$7253,'Besi Balok'!$A$23:$A$7253,$A180,'Besi Balok'!$B$23:$B$7253,$B180,'Besi Balok'!$F$23:$F$7253,'REKAP Balok'!R$11)</f>
        <v>0</v>
      </c>
      <c r="S180">
        <f>SUMIFS('Besi Balok'!$AA$23:$AA$7253,'Besi Balok'!$A$23:$A$7253,$A180,'Besi Balok'!$B$23:$B$7253,$B180,'Besi Balok'!$F$23:$F$7253,'REKAP Balok'!S$11)</f>
        <v>0</v>
      </c>
      <c r="T180">
        <f>SUMIFS('Besi Balok'!$AA$23:$AA$7253,'Besi Balok'!$A$23:$A$7253,$A180,'Besi Balok'!$B$23:$B$7253,$B180,'Besi Balok'!$F$23:$F$7253,'REKAP Balok'!T$11)</f>
        <v>0</v>
      </c>
      <c r="U180">
        <f>SUM(L180:T180)</f>
        <v>59.563911960000006</v>
      </c>
      <c r="V180">
        <f>(D180*(F180-H180)*G180*K180)/1000000000</f>
        <v>0.17125</v>
      </c>
      <c r="W180">
        <f>(((F180-H180)*2+IF(H180&gt;0,0,D180))*(G180)*K180)/1000000</f>
        <v>1.7125</v>
      </c>
      <c r="AC180">
        <f>(D180+2*$F$5)*F180*G180/1000000000</f>
        <v>0.548</v>
      </c>
    </row>
    <row r="181">
      <c r="A181" t="str">
        <f>'Data Panjang Balok'!A177</f>
        <v>Lantai 3</v>
      </c>
      <c r="B181">
        <f>'Data Panjang Balok'!B177</f>
        <v>24</v>
      </c>
      <c r="C181" t="str">
        <f>'Data Panjang Balok'!D177</f>
        <v>B25-1</v>
      </c>
      <c r="D181">
        <f>IF(C181&gt;0,VLOOKUP(C181,'Detail Balok'!$C$11:$AU$140,2,FALSE),0)</f>
        <v>200</v>
      </c>
      <c r="E181" t="str">
        <v>x</v>
      </c>
      <c r="F181">
        <f>IF(C181&gt;0,VLOOKUP(C181,'Detail Balok'!$C$11:$AU$140,3,FALSE),0)</f>
        <v>500</v>
      </c>
      <c r="G181">
        <f>'Data Panjang Balok'!I177</f>
        <v>4075</v>
      </c>
      <c r="H181">
        <f>'Data Panjang Balok'!J177</f>
        <v>150</v>
      </c>
      <c r="I181">
        <v>0</v>
      </c>
      <c r="J181">
        <f>I181-F181/1000</f>
        <v>-0.5</v>
      </c>
      <c r="K181">
        <f>'Data Panjang Balok'!E177</f>
        <v>1</v>
      </c>
      <c r="L181">
        <f>SUMIFS('Besi Balok'!$AA$23:$AA$7253,'Besi Balok'!$A$23:$A$7253,$A181,'Besi Balok'!$B$23:$B$7253,$B181,'Besi Balok'!$F$23:$F$7253,'REKAP Balok'!L$11)</f>
        <v>0</v>
      </c>
      <c r="M181">
        <f>SUMIFS('Besi Balok'!$AA$23:$AA$7253,'Besi Balok'!$A$23:$A$7253,$A181,'Besi Balok'!$B$23:$B$7253,$B181,'Besi Balok'!$F$23:$F$7253,'REKAP Balok'!M$11)</f>
        <v>0</v>
      </c>
      <c r="N181">
        <f>SUMIFS('Besi Balok'!$AA$23:$AA$7253,'Besi Balok'!$A$23:$A$7253,$A181,'Besi Balok'!$B$23:$B$7253,$B181,'Besi Balok'!$F$23:$F$7253,'REKAP Balok'!N$11)</f>
        <v>25.036065</v>
      </c>
      <c r="O181">
        <f>SUMIFS('Besi Balok'!$AA$23:$AA$7253,'Besi Balok'!$A$23:$A$7253,$A181,'Besi Balok'!$B$23:$B$7253,$B181,'Besi Balok'!$F$23:$F$7253,'REKAP Balok'!O$11)</f>
        <v>0</v>
      </c>
      <c r="P181">
        <f>SUMIFS('Besi Balok'!$AA$23:$AA$7253,'Besi Balok'!$A$23:$A$7253,$A181,'Besi Balok'!$B$23:$B$7253,$B181,'Besi Balok'!$F$23:$F$7253,'REKAP Balok'!P$11)</f>
        <v>56.298977279999995</v>
      </c>
      <c r="Q181">
        <f>SUMIFS('Besi Balok'!$AA$23:$AA$7253,'Besi Balok'!$A$23:$A$7253,$A181,'Besi Balok'!$B$23:$B$7253,$B181,'Besi Balok'!$F$23:$F$7253,'REKAP Balok'!Q$11)</f>
        <v>0</v>
      </c>
      <c r="R181">
        <f>SUMIFS('Besi Balok'!$AA$23:$AA$7253,'Besi Balok'!$A$23:$A$7253,$A181,'Besi Balok'!$B$23:$B$7253,$B181,'Besi Balok'!$F$23:$F$7253,'REKAP Balok'!R$11)</f>
        <v>0</v>
      </c>
      <c r="S181">
        <f>SUMIFS('Besi Balok'!$AA$23:$AA$7253,'Besi Balok'!$A$23:$A$7253,$A181,'Besi Balok'!$B$23:$B$7253,$B181,'Besi Balok'!$F$23:$F$7253,'REKAP Balok'!S$11)</f>
        <v>0</v>
      </c>
      <c r="T181">
        <f>SUMIFS('Besi Balok'!$AA$23:$AA$7253,'Besi Balok'!$A$23:$A$7253,$A181,'Besi Balok'!$B$23:$B$7253,$B181,'Besi Balok'!$F$23:$F$7253,'REKAP Balok'!T$11)</f>
        <v>0</v>
      </c>
      <c r="U181">
        <f>SUM(L181:T181)</f>
        <v>81.33504228</v>
      </c>
      <c r="V181">
        <f>(D181*(F181-H181)*G181*K181)/1000000000</f>
        <v>0.28525</v>
      </c>
      <c r="W181">
        <f>(((F181-H181)*2+IF(H181&gt;0,0,D181))*(G181)*K181)/1000000</f>
        <v>2.8525</v>
      </c>
      <c r="AC181">
        <f>(D181+2*$F$5)*F181*G181/1000000000</f>
        <v>0.815</v>
      </c>
    </row>
    <row r="182">
      <c r="A182" t="str">
        <f>'Data Panjang Balok'!A178</f>
        <v>Lantai 3</v>
      </c>
      <c r="B182">
        <f>'Data Panjang Balok'!B178</f>
        <v>25</v>
      </c>
      <c r="C182" t="str">
        <f>'Data Panjang Balok'!D178</f>
        <v>CL24-1</v>
      </c>
      <c r="D182">
        <f>IF(C182&gt;0,VLOOKUP(C182,'Detail Balok'!$C$11:$AU$140,2,FALSE),0)</f>
        <v>200</v>
      </c>
      <c r="E182" t="str">
        <v>x</v>
      </c>
      <c r="F182">
        <f>IF(C182&gt;0,VLOOKUP(C182,'Detail Balok'!$C$11:$AU$140,3,FALSE),0)</f>
        <v>400</v>
      </c>
      <c r="G182">
        <f>'Data Panjang Balok'!I178</f>
        <v>1075</v>
      </c>
      <c r="H182">
        <f>'Data Panjang Balok'!J178</f>
        <v>150</v>
      </c>
      <c r="I182">
        <v>0</v>
      </c>
      <c r="J182">
        <f>I182-F182/1000</f>
        <v>-0.4</v>
      </c>
      <c r="K182">
        <f>'Data Panjang Balok'!E178</f>
        <v>1</v>
      </c>
      <c r="L182">
        <f>SUMIFS('Besi Balok'!$AA$23:$AA$7253,'Besi Balok'!$A$23:$A$7253,$A182,'Besi Balok'!$B$23:$B$7253,$B182,'Besi Balok'!$F$23:$F$7253,'REKAP Balok'!L$11)</f>
        <v>0</v>
      </c>
      <c r="M182">
        <f>SUMIFS('Besi Balok'!$AA$23:$AA$7253,'Besi Balok'!$A$23:$A$7253,$A182,'Besi Balok'!$B$23:$B$7253,$B182,'Besi Balok'!$F$23:$F$7253,'REKAP Balok'!M$11)</f>
        <v>0</v>
      </c>
      <c r="N182">
        <f>SUMIFS('Besi Balok'!$AA$23:$AA$7253,'Besi Balok'!$A$23:$A$7253,$A182,'Besi Balok'!$B$23:$B$7253,$B182,'Besi Balok'!$F$23:$F$7253,'REKAP Balok'!N$11)</f>
        <v>7.6199400000000015</v>
      </c>
      <c r="O182">
        <f>SUMIFS('Besi Balok'!$AA$23:$AA$7253,'Besi Balok'!$A$23:$A$7253,$A182,'Besi Balok'!$B$23:$B$7253,$B182,'Besi Balok'!$F$23:$F$7253,'REKAP Balok'!O$11)</f>
        <v>0</v>
      </c>
      <c r="P182">
        <f>SUMIFS('Besi Balok'!$AA$23:$AA$7253,'Besi Balok'!$A$23:$A$7253,$A182,'Besi Balok'!$B$23:$B$7253,$B182,'Besi Balok'!$F$23:$F$7253,'REKAP Balok'!P$11)</f>
        <v>13.81591296</v>
      </c>
      <c r="Q182">
        <f>SUMIFS('Besi Balok'!$AA$23:$AA$7253,'Besi Balok'!$A$23:$A$7253,$A182,'Besi Balok'!$B$23:$B$7253,$B182,'Besi Balok'!$F$23:$F$7253,'REKAP Balok'!Q$11)</f>
        <v>0</v>
      </c>
      <c r="R182">
        <f>SUMIFS('Besi Balok'!$AA$23:$AA$7253,'Besi Balok'!$A$23:$A$7253,$A182,'Besi Balok'!$B$23:$B$7253,$B182,'Besi Balok'!$F$23:$F$7253,'REKAP Balok'!R$11)</f>
        <v>0</v>
      </c>
      <c r="S182">
        <f>SUMIFS('Besi Balok'!$AA$23:$AA$7253,'Besi Balok'!$A$23:$A$7253,$A182,'Besi Balok'!$B$23:$B$7253,$B182,'Besi Balok'!$F$23:$F$7253,'REKAP Balok'!S$11)</f>
        <v>0</v>
      </c>
      <c r="T182">
        <f>SUMIFS('Besi Balok'!$AA$23:$AA$7253,'Besi Balok'!$A$23:$A$7253,$A182,'Besi Balok'!$B$23:$B$7253,$B182,'Besi Balok'!$F$23:$F$7253,'REKAP Balok'!T$11)</f>
        <v>0</v>
      </c>
      <c r="U182">
        <f>SUM(L182:T182)</f>
        <v>21.435852960000002</v>
      </c>
      <c r="V182">
        <f>(D182*(F182-H182)*G182*K182)/1000000000</f>
        <v>0.05375</v>
      </c>
      <c r="W182">
        <f>(((F182-H182)*2+IF(H182&gt;0,0,D182))*(G182)*K182)/1000000</f>
        <v>0.5375</v>
      </c>
      <c r="AC182">
        <f>(D182+2*$F$5)*F182*G182/1000000000</f>
        <v>0.172</v>
      </c>
    </row>
    <row r="183">
      <c r="A183" t="str">
        <f>'Data Panjang Balok'!A179</f>
        <v>Lantai 3</v>
      </c>
      <c r="B183">
        <f>'Data Panjang Balok'!B179</f>
        <v>26</v>
      </c>
      <c r="C183" t="str">
        <f>'Data Panjang Balok'!D179</f>
        <v>B25-1</v>
      </c>
      <c r="D183">
        <f>IF(C183&gt;0,VLOOKUP(C183,'Detail Balok'!$C$11:$AU$140,2,FALSE),0)</f>
        <v>200</v>
      </c>
      <c r="E183" t="str">
        <v>x</v>
      </c>
      <c r="F183">
        <f>IF(C183&gt;0,VLOOKUP(C183,'Detail Balok'!$C$11:$AU$140,3,FALSE),0)</f>
        <v>500</v>
      </c>
      <c r="G183">
        <f>'Data Panjang Balok'!I179</f>
        <v>5075</v>
      </c>
      <c r="H183">
        <f>'Data Panjang Balok'!J179</f>
        <v>150</v>
      </c>
      <c r="I183">
        <v>0</v>
      </c>
      <c r="J183">
        <f>I183-F183/1000</f>
        <v>-0.5</v>
      </c>
      <c r="K183">
        <f>'Data Panjang Balok'!E179</f>
        <v>1</v>
      </c>
      <c r="L183">
        <f>SUMIFS('Besi Balok'!$AA$23:$AA$7253,'Besi Balok'!$A$23:$A$7253,$A183,'Besi Balok'!$B$23:$B$7253,$B183,'Besi Balok'!$F$23:$F$7253,'REKAP Balok'!L$11)</f>
        <v>0</v>
      </c>
      <c r="M183">
        <f>SUMIFS('Besi Balok'!$AA$23:$AA$7253,'Besi Balok'!$A$23:$A$7253,$A183,'Besi Balok'!$B$23:$B$7253,$B183,'Besi Balok'!$F$23:$F$7253,'REKAP Balok'!M$11)</f>
        <v>0</v>
      </c>
      <c r="N183">
        <f>SUMIFS('Besi Balok'!$AA$23:$AA$7253,'Besi Balok'!$A$23:$A$7253,$A183,'Besi Balok'!$B$23:$B$7253,$B183,'Besi Balok'!$F$23:$F$7253,'REKAP Balok'!N$11)</f>
        <v>30.060540000000003</v>
      </c>
      <c r="O183">
        <f>SUMIFS('Besi Balok'!$AA$23:$AA$7253,'Besi Balok'!$A$23:$A$7253,$A183,'Besi Balok'!$B$23:$B$7253,$B183,'Besi Balok'!$F$23:$F$7253,'REKAP Balok'!O$11)</f>
        <v>0</v>
      </c>
      <c r="P183">
        <f>SUMIFS('Besi Balok'!$AA$23:$AA$7253,'Besi Balok'!$A$23:$A$7253,$A183,'Besi Balok'!$B$23:$B$7253,$B183,'Besi Balok'!$F$23:$F$7253,'REKAP Balok'!P$11)</f>
        <v>68.92489728</v>
      </c>
      <c r="Q183">
        <f>SUMIFS('Besi Balok'!$AA$23:$AA$7253,'Besi Balok'!$A$23:$A$7253,$A183,'Besi Balok'!$B$23:$B$7253,$B183,'Besi Balok'!$F$23:$F$7253,'REKAP Balok'!Q$11)</f>
        <v>0</v>
      </c>
      <c r="R183">
        <f>SUMIFS('Besi Balok'!$AA$23:$AA$7253,'Besi Balok'!$A$23:$A$7253,$A183,'Besi Balok'!$B$23:$B$7253,$B183,'Besi Balok'!$F$23:$F$7253,'REKAP Balok'!R$11)</f>
        <v>0</v>
      </c>
      <c r="S183">
        <f>SUMIFS('Besi Balok'!$AA$23:$AA$7253,'Besi Balok'!$A$23:$A$7253,$A183,'Besi Balok'!$B$23:$B$7253,$B183,'Besi Balok'!$F$23:$F$7253,'REKAP Balok'!S$11)</f>
        <v>0</v>
      </c>
      <c r="T183">
        <f>SUMIFS('Besi Balok'!$AA$23:$AA$7253,'Besi Balok'!$A$23:$A$7253,$A183,'Besi Balok'!$B$23:$B$7253,$B183,'Besi Balok'!$F$23:$F$7253,'REKAP Balok'!T$11)</f>
        <v>0</v>
      </c>
      <c r="U183">
        <f>SUM(L183:T183)</f>
        <v>98.98543728</v>
      </c>
      <c r="V183">
        <f>(D183*(F183-H183)*G183*K183)/1000000000</f>
        <v>0.35525</v>
      </c>
      <c r="W183">
        <f>(((F183-H183)*2+IF(H183&gt;0,0,D183))*(G183)*K183)/1000000</f>
        <v>3.5525</v>
      </c>
      <c r="AC183">
        <f>(D183+2*$F$5)*F183*G183/1000000000</f>
        <v>1.015</v>
      </c>
    </row>
    <row r="184">
      <c r="A184" t="str">
        <f>'Data Panjang Balok'!A180</f>
        <v>Lantai 3</v>
      </c>
      <c r="B184">
        <f>'Data Panjang Balok'!B180</f>
        <v>27</v>
      </c>
      <c r="C184" t="str">
        <f>'Data Panjang Balok'!D180</f>
        <v>CL24-1</v>
      </c>
      <c r="D184">
        <f>IF(C184&gt;0,VLOOKUP(C184,'Detail Balok'!$C$11:$AU$140,2,FALSE),0)</f>
        <v>200</v>
      </c>
      <c r="E184" t="str">
        <v>x</v>
      </c>
      <c r="F184">
        <f>IF(C184&gt;0,VLOOKUP(C184,'Detail Balok'!$C$11:$AU$140,3,FALSE),0)</f>
        <v>400</v>
      </c>
      <c r="G184">
        <f>'Data Panjang Balok'!I180</f>
        <v>5000</v>
      </c>
      <c r="H184">
        <f>'Data Panjang Balok'!J180</f>
        <v>150</v>
      </c>
      <c r="I184">
        <v>0</v>
      </c>
      <c r="J184">
        <f>I184-F184/1000</f>
        <v>-0.4</v>
      </c>
      <c r="K184">
        <f>'Data Panjang Balok'!E180</f>
        <v>1</v>
      </c>
      <c r="L184">
        <f>SUMIFS('Besi Balok'!$AA$23:$AA$7253,'Besi Balok'!$A$23:$A$7253,$A184,'Besi Balok'!$B$23:$B$7253,$B184,'Besi Balok'!$F$23:$F$7253,'REKAP Balok'!L$11)</f>
        <v>0</v>
      </c>
      <c r="M184">
        <f>SUMIFS('Besi Balok'!$AA$23:$AA$7253,'Besi Balok'!$A$23:$A$7253,$A184,'Besi Balok'!$B$23:$B$7253,$B184,'Besi Balok'!$F$23:$F$7253,'REKAP Balok'!M$11)</f>
        <v>0</v>
      </c>
      <c r="N184">
        <f>SUMIFS('Besi Balok'!$AA$23:$AA$7253,'Besi Balok'!$A$23:$A$7253,$A184,'Besi Balok'!$B$23:$B$7253,$B184,'Besi Balok'!$F$23:$F$7253,'REKAP Balok'!N$11)</f>
        <v>33.654735</v>
      </c>
      <c r="O184">
        <f>SUMIFS('Besi Balok'!$AA$23:$AA$7253,'Besi Balok'!$A$23:$A$7253,$A184,'Besi Balok'!$B$23:$B$7253,$B184,'Besi Balok'!$F$23:$F$7253,'REKAP Balok'!O$11)</f>
        <v>0</v>
      </c>
      <c r="P184">
        <f>SUMIFS('Besi Balok'!$AA$23:$AA$7253,'Besi Balok'!$A$23:$A$7253,$A184,'Besi Balok'!$B$23:$B$7253,$B184,'Besi Balok'!$F$23:$F$7253,'REKAP Balok'!P$11)</f>
        <v>50.983464960000006</v>
      </c>
      <c r="Q184">
        <f>SUMIFS('Besi Balok'!$AA$23:$AA$7253,'Besi Balok'!$A$23:$A$7253,$A184,'Besi Balok'!$B$23:$B$7253,$B184,'Besi Balok'!$F$23:$F$7253,'REKAP Balok'!Q$11)</f>
        <v>0</v>
      </c>
      <c r="R184">
        <f>SUMIFS('Besi Balok'!$AA$23:$AA$7253,'Besi Balok'!$A$23:$A$7253,$A184,'Besi Balok'!$B$23:$B$7253,$B184,'Besi Balok'!$F$23:$F$7253,'REKAP Balok'!R$11)</f>
        <v>0</v>
      </c>
      <c r="S184">
        <f>SUMIFS('Besi Balok'!$AA$23:$AA$7253,'Besi Balok'!$A$23:$A$7253,$A184,'Besi Balok'!$B$23:$B$7253,$B184,'Besi Balok'!$F$23:$F$7253,'REKAP Balok'!S$11)</f>
        <v>0</v>
      </c>
      <c r="T184">
        <f>SUMIFS('Besi Balok'!$AA$23:$AA$7253,'Besi Balok'!$A$23:$A$7253,$A184,'Besi Balok'!$B$23:$B$7253,$B184,'Besi Balok'!$F$23:$F$7253,'REKAP Balok'!T$11)</f>
        <v>0</v>
      </c>
      <c r="U184">
        <f>SUM(L184:T184)</f>
        <v>84.63819996000001</v>
      </c>
      <c r="V184">
        <f>(D184*(F184-H184)*G184*K184)/1000000000</f>
        <v>0.25</v>
      </c>
      <c r="W184">
        <f>(((F184-H184)*2+IF(H184&gt;0,0,D184))*(G184)*K184)/1000000</f>
        <v>2.5</v>
      </c>
      <c r="AC184">
        <f>(D184+2*$F$5)*F184*G184/1000000000</f>
        <v>0.8</v>
      </c>
    </row>
    <row r="185">
      <c r="A185" t="str">
        <f>'Data Panjang Balok'!A181</f>
        <v>Lantai 3</v>
      </c>
      <c r="B185">
        <f>'Data Panjang Balok'!B181</f>
        <v>28</v>
      </c>
      <c r="C185" t="str">
        <f>'Data Panjang Balok'!D181</f>
        <v>B25-1</v>
      </c>
      <c r="D185">
        <f>IF(C185&gt;0,VLOOKUP(C185,'Detail Balok'!$C$11:$AU$140,2,FALSE),0)</f>
        <v>200</v>
      </c>
      <c r="E185" t="str">
        <v>x</v>
      </c>
      <c r="F185">
        <f>IF(C185&gt;0,VLOOKUP(C185,'Detail Balok'!$C$11:$AU$140,3,FALSE),0)</f>
        <v>500</v>
      </c>
      <c r="G185">
        <f>'Data Panjang Balok'!I181</f>
        <v>7250</v>
      </c>
      <c r="H185">
        <f>'Data Panjang Balok'!J181</f>
        <v>150</v>
      </c>
      <c r="I185">
        <v>0</v>
      </c>
      <c r="J185">
        <f>I185-F185/1000</f>
        <v>-0.5</v>
      </c>
      <c r="K185">
        <f>'Data Panjang Balok'!E181</f>
        <v>1</v>
      </c>
      <c r="L185">
        <f>SUMIFS('Besi Balok'!$AA$23:$AA$7253,'Besi Balok'!$A$23:$A$7253,$A185,'Besi Balok'!$B$23:$B$7253,$B185,'Besi Balok'!$F$23:$F$7253,'REKAP Balok'!L$11)</f>
        <v>0</v>
      </c>
      <c r="M185">
        <f>SUMIFS('Besi Balok'!$AA$23:$AA$7253,'Besi Balok'!$A$23:$A$7253,$A185,'Besi Balok'!$B$23:$B$7253,$B185,'Besi Balok'!$F$23:$F$7253,'REKAP Balok'!M$11)</f>
        <v>0</v>
      </c>
      <c r="N185">
        <f>SUMIFS('Besi Balok'!$AA$23:$AA$7253,'Besi Balok'!$A$23:$A$7253,$A185,'Besi Balok'!$B$23:$B$7253,$B185,'Besi Balok'!$F$23:$F$7253,'REKAP Balok'!N$11)</f>
        <v>42.600150000000006</v>
      </c>
      <c r="O185">
        <f>SUMIFS('Besi Balok'!$AA$23:$AA$7253,'Besi Balok'!$A$23:$A$7253,$A185,'Besi Balok'!$B$23:$B$7253,$B185,'Besi Balok'!$F$23:$F$7253,'REKAP Balok'!O$11)</f>
        <v>0</v>
      </c>
      <c r="P185">
        <f>SUMIFS('Besi Balok'!$AA$23:$AA$7253,'Besi Balok'!$A$23:$A$7253,$A185,'Besi Balok'!$B$23:$B$7253,$B185,'Besi Balok'!$F$23:$F$7253,'REKAP Balok'!P$11)</f>
        <v>96.38627328000001</v>
      </c>
      <c r="Q185">
        <f>SUMIFS('Besi Balok'!$AA$23:$AA$7253,'Besi Balok'!$A$23:$A$7253,$A185,'Besi Balok'!$B$23:$B$7253,$B185,'Besi Balok'!$F$23:$F$7253,'REKAP Balok'!Q$11)</f>
        <v>0</v>
      </c>
      <c r="R185">
        <f>SUMIFS('Besi Balok'!$AA$23:$AA$7253,'Besi Balok'!$A$23:$A$7253,$A185,'Besi Balok'!$B$23:$B$7253,$B185,'Besi Balok'!$F$23:$F$7253,'REKAP Balok'!R$11)</f>
        <v>0</v>
      </c>
      <c r="S185">
        <f>SUMIFS('Besi Balok'!$AA$23:$AA$7253,'Besi Balok'!$A$23:$A$7253,$A185,'Besi Balok'!$B$23:$B$7253,$B185,'Besi Balok'!$F$23:$F$7253,'REKAP Balok'!S$11)</f>
        <v>0</v>
      </c>
      <c r="T185">
        <f>SUMIFS('Besi Balok'!$AA$23:$AA$7253,'Besi Balok'!$A$23:$A$7253,$A185,'Besi Balok'!$B$23:$B$7253,$B185,'Besi Balok'!$F$23:$F$7253,'REKAP Balok'!T$11)</f>
        <v>0</v>
      </c>
      <c r="U185">
        <f>SUM(L185:T185)</f>
        <v>138.98642328000003</v>
      </c>
      <c r="V185">
        <f>(D185*(F185-H185)*G185*K185)/1000000000</f>
        <v>0.5075</v>
      </c>
      <c r="W185">
        <f>(((F185-H185)*2+IF(H185&gt;0,0,D185))*(G185)*K185)/1000000</f>
        <v>5.075</v>
      </c>
      <c r="AC185">
        <f>(D185+2*$F$5)*F185*G185/1000000000</f>
        <v>1.45</v>
      </c>
    </row>
    <row r="186">
      <c r="A186" t="str">
        <f>'Data Panjang Balok'!A182</f>
        <v>Lantai 3</v>
      </c>
      <c r="B186">
        <f>'Data Panjang Balok'!B182</f>
        <v>29</v>
      </c>
      <c r="C186" t="str">
        <f>'Data Panjang Balok'!D182</f>
        <v>B26-1</v>
      </c>
      <c r="D186">
        <f>IF(C186&gt;0,VLOOKUP(C186,'Detail Balok'!$C$11:$AU$140,2,FALSE),0)</f>
        <v>200</v>
      </c>
      <c r="E186" t="str">
        <v>x</v>
      </c>
      <c r="F186">
        <f>IF(C186&gt;0,VLOOKUP(C186,'Detail Balok'!$C$11:$AU$140,3,FALSE),0)</f>
        <v>600</v>
      </c>
      <c r="G186">
        <f>'Data Panjang Balok'!I182</f>
        <v>6075</v>
      </c>
      <c r="H186">
        <f>'Data Panjang Balok'!J182</f>
        <v>150</v>
      </c>
      <c r="I186">
        <v>0</v>
      </c>
      <c r="J186">
        <f>I186-F186/1000</f>
        <v>-0.6</v>
      </c>
      <c r="K186">
        <f>'Data Panjang Balok'!E182</f>
        <v>1</v>
      </c>
      <c r="L186">
        <f>SUMIFS('Besi Balok'!$AA$23:$AA$7253,'Besi Balok'!$A$23:$A$7253,$A186,'Besi Balok'!$B$23:$B$7253,$B186,'Besi Balok'!$F$23:$F$7253,'REKAP Balok'!L$11)</f>
        <v>0</v>
      </c>
      <c r="M186">
        <f>SUMIFS('Besi Balok'!$AA$23:$AA$7253,'Besi Balok'!$A$23:$A$7253,$A186,'Besi Balok'!$B$23:$B$7253,$B186,'Besi Balok'!$F$23:$F$7253,'REKAP Balok'!M$11)</f>
        <v>0</v>
      </c>
      <c r="N186">
        <f>SUMIFS('Besi Balok'!$AA$23:$AA$7253,'Besi Balok'!$A$23:$A$7253,$A186,'Besi Balok'!$B$23:$B$7253,$B186,'Besi Balok'!$F$23:$F$7253,'REKAP Balok'!N$11)</f>
        <v>53.629335</v>
      </c>
      <c r="O186">
        <f>SUMIFS('Besi Balok'!$AA$23:$AA$7253,'Besi Balok'!$A$23:$A$7253,$A186,'Besi Balok'!$B$23:$B$7253,$B186,'Besi Balok'!$F$23:$F$7253,'REKAP Balok'!O$11)</f>
        <v>0</v>
      </c>
      <c r="P186">
        <f>SUMIFS('Besi Balok'!$AA$23:$AA$7253,'Besi Balok'!$A$23:$A$7253,$A186,'Besi Balok'!$B$23:$B$7253,$B186,'Besi Balok'!$F$23:$F$7253,'REKAP Balok'!P$11)</f>
        <v>74.03208192</v>
      </c>
      <c r="Q186">
        <f>SUMIFS('Besi Balok'!$AA$23:$AA$7253,'Besi Balok'!$A$23:$A$7253,$A186,'Besi Balok'!$B$23:$B$7253,$B186,'Besi Balok'!$F$23:$F$7253,'REKAP Balok'!Q$11)</f>
        <v>0</v>
      </c>
      <c r="R186">
        <f>SUMIFS('Besi Balok'!$AA$23:$AA$7253,'Besi Balok'!$A$23:$A$7253,$A186,'Besi Balok'!$B$23:$B$7253,$B186,'Besi Balok'!$F$23:$F$7253,'REKAP Balok'!R$11)</f>
        <v>0</v>
      </c>
      <c r="S186">
        <f>SUMIFS('Besi Balok'!$AA$23:$AA$7253,'Besi Balok'!$A$23:$A$7253,$A186,'Besi Balok'!$B$23:$B$7253,$B186,'Besi Balok'!$F$23:$F$7253,'REKAP Balok'!S$11)</f>
        <v>0</v>
      </c>
      <c r="T186">
        <f>SUMIFS('Besi Balok'!$AA$23:$AA$7253,'Besi Balok'!$A$23:$A$7253,$A186,'Besi Balok'!$B$23:$B$7253,$B186,'Besi Balok'!$F$23:$F$7253,'REKAP Balok'!T$11)</f>
        <v>0</v>
      </c>
      <c r="U186">
        <f>SUM(L186:T186)</f>
        <v>127.66141692</v>
      </c>
      <c r="V186">
        <f>(D186*(F186-H186)*G186*K186)/1000000000</f>
        <v>0.54675</v>
      </c>
      <c r="W186">
        <f>(((F186-H186)*2+IF(H186&gt;0,0,D186))*(G186)*K186)/1000000</f>
        <v>5.4675</v>
      </c>
      <c r="AC186">
        <f>(D186+2*$F$5)*F186*G186/1000000000</f>
        <v>1.458</v>
      </c>
    </row>
    <row r="187">
      <c r="A187" t="str">
        <f>'Data Panjang Balok'!A183</f>
        <v>Lantai 3</v>
      </c>
      <c r="B187">
        <f>'Data Panjang Balok'!B183</f>
        <v>30</v>
      </c>
      <c r="C187" t="str">
        <f>'Data Panjang Balok'!D183</f>
        <v>CL24-1</v>
      </c>
      <c r="D187">
        <f>IF(C187&gt;0,VLOOKUP(C187,'Detail Balok'!$C$11:$AU$140,2,FALSE),0)</f>
        <v>200</v>
      </c>
      <c r="E187" t="str">
        <v>x</v>
      </c>
      <c r="F187">
        <f>IF(C187&gt;0,VLOOKUP(C187,'Detail Balok'!$C$11:$AU$140,3,FALSE),0)</f>
        <v>400</v>
      </c>
      <c r="G187">
        <f>'Data Panjang Balok'!I183</f>
        <v>1075</v>
      </c>
      <c r="H187">
        <f>'Data Panjang Balok'!J183</f>
        <v>150</v>
      </c>
      <c r="I187">
        <v>0</v>
      </c>
      <c r="J187">
        <f>I187-F187/1000</f>
        <v>-0.4</v>
      </c>
      <c r="K187">
        <f>'Data Panjang Balok'!E183</f>
        <v>1</v>
      </c>
      <c r="L187">
        <f>SUMIFS('Besi Balok'!$AA$23:$AA$7253,'Besi Balok'!$A$23:$A$7253,$A187,'Besi Balok'!$B$23:$B$7253,$B187,'Besi Balok'!$F$23:$F$7253,'REKAP Balok'!L$11)</f>
        <v>0</v>
      </c>
      <c r="M187">
        <f>SUMIFS('Besi Balok'!$AA$23:$AA$7253,'Besi Balok'!$A$23:$A$7253,$A187,'Besi Balok'!$B$23:$B$7253,$B187,'Besi Balok'!$F$23:$F$7253,'REKAP Balok'!M$11)</f>
        <v>0</v>
      </c>
      <c r="N187">
        <f>SUMIFS('Besi Balok'!$AA$23:$AA$7253,'Besi Balok'!$A$23:$A$7253,$A187,'Besi Balok'!$B$23:$B$7253,$B187,'Besi Balok'!$F$23:$F$7253,'REKAP Balok'!N$11)</f>
        <v>7.6199400000000015</v>
      </c>
      <c r="O187">
        <f>SUMIFS('Besi Balok'!$AA$23:$AA$7253,'Besi Balok'!$A$23:$A$7253,$A187,'Besi Balok'!$B$23:$B$7253,$B187,'Besi Balok'!$F$23:$F$7253,'REKAP Balok'!O$11)</f>
        <v>0</v>
      </c>
      <c r="P187">
        <f>SUMIFS('Besi Balok'!$AA$23:$AA$7253,'Besi Balok'!$A$23:$A$7253,$A187,'Besi Balok'!$B$23:$B$7253,$B187,'Besi Balok'!$F$23:$F$7253,'REKAP Balok'!P$11)</f>
        <v>13.81591296</v>
      </c>
      <c r="Q187">
        <f>SUMIFS('Besi Balok'!$AA$23:$AA$7253,'Besi Balok'!$A$23:$A$7253,$A187,'Besi Balok'!$B$23:$B$7253,$B187,'Besi Balok'!$F$23:$F$7253,'REKAP Balok'!Q$11)</f>
        <v>0</v>
      </c>
      <c r="R187">
        <f>SUMIFS('Besi Balok'!$AA$23:$AA$7253,'Besi Balok'!$A$23:$A$7253,$A187,'Besi Balok'!$B$23:$B$7253,$B187,'Besi Balok'!$F$23:$F$7253,'REKAP Balok'!R$11)</f>
        <v>0</v>
      </c>
      <c r="S187">
        <f>SUMIFS('Besi Balok'!$AA$23:$AA$7253,'Besi Balok'!$A$23:$A$7253,$A187,'Besi Balok'!$B$23:$B$7253,$B187,'Besi Balok'!$F$23:$F$7253,'REKAP Balok'!S$11)</f>
        <v>0</v>
      </c>
      <c r="T187">
        <f>SUMIFS('Besi Balok'!$AA$23:$AA$7253,'Besi Balok'!$A$23:$A$7253,$A187,'Besi Balok'!$B$23:$B$7253,$B187,'Besi Balok'!$F$23:$F$7253,'REKAP Balok'!T$11)</f>
        <v>0</v>
      </c>
      <c r="U187">
        <f>SUM(L187:T187)</f>
        <v>21.435852960000002</v>
      </c>
      <c r="V187">
        <f>(D187*(F187-H187)*G187*K187)/1000000000</f>
        <v>0.05375</v>
      </c>
      <c r="W187">
        <f>(((F187-H187)*2+IF(H187&gt;0,0,D187))*(G187)*K187)/1000000</f>
        <v>0.5375</v>
      </c>
      <c r="AC187">
        <f>(D187+2*$F$5)*F187*G187/1000000000</f>
        <v>0.172</v>
      </c>
    </row>
    <row r="188">
      <c r="A188" t="str">
        <f>'Data Panjang Balok'!A184</f>
        <v>Lantai 3</v>
      </c>
      <c r="B188">
        <f>'Data Panjang Balok'!B184</f>
        <v>31</v>
      </c>
      <c r="C188" t="str">
        <f>'Data Panjang Balok'!D184</f>
        <v>CL24-1</v>
      </c>
      <c r="D188">
        <f>IF(C188&gt;0,VLOOKUP(C188,'Detail Balok'!$C$11:$AU$140,2,FALSE),0)</f>
        <v>200</v>
      </c>
      <c r="E188" t="str">
        <v>x</v>
      </c>
      <c r="F188">
        <f>IF(C188&gt;0,VLOOKUP(C188,'Detail Balok'!$C$11:$AU$140,3,FALSE),0)</f>
        <v>400</v>
      </c>
      <c r="G188">
        <f>'Data Panjang Balok'!I184</f>
        <v>8150</v>
      </c>
      <c r="H188">
        <f>'Data Panjang Balok'!J184</f>
        <v>150</v>
      </c>
      <c r="I188">
        <v>0</v>
      </c>
      <c r="J188">
        <f>I188-F188/1000</f>
        <v>-0.4</v>
      </c>
      <c r="K188">
        <f>'Data Panjang Balok'!E184</f>
        <v>1</v>
      </c>
      <c r="L188">
        <f>SUMIFS('Besi Balok'!$AA$23:$AA$7253,'Besi Balok'!$A$23:$A$7253,$A188,'Besi Balok'!$B$23:$B$7253,$B188,'Besi Balok'!$F$23:$F$7253,'REKAP Balok'!L$11)</f>
        <v>0</v>
      </c>
      <c r="M188">
        <f>SUMIFS('Besi Balok'!$AA$23:$AA$7253,'Besi Balok'!$A$23:$A$7253,$A188,'Besi Balok'!$B$23:$B$7253,$B188,'Besi Balok'!$F$23:$F$7253,'REKAP Balok'!M$11)</f>
        <v>0</v>
      </c>
      <c r="N188">
        <f>SUMIFS('Besi Balok'!$AA$23:$AA$7253,'Besi Balok'!$A$23:$A$7253,$A188,'Besi Balok'!$B$23:$B$7253,$B188,'Besi Balok'!$F$23:$F$7253,'REKAP Balok'!N$11)</f>
        <v>52.70458500000001</v>
      </c>
      <c r="O188">
        <f>SUMIFS('Besi Balok'!$AA$23:$AA$7253,'Besi Balok'!$A$23:$A$7253,$A188,'Besi Balok'!$B$23:$B$7253,$B188,'Besi Balok'!$F$23:$F$7253,'REKAP Balok'!O$11)</f>
        <v>0</v>
      </c>
      <c r="P188">
        <f>SUMIFS('Besi Balok'!$AA$23:$AA$7253,'Besi Balok'!$A$23:$A$7253,$A188,'Besi Balok'!$B$23:$B$7253,$B188,'Besi Balok'!$F$23:$F$7253,'REKAP Balok'!P$11)</f>
        <v>80.81220096000001</v>
      </c>
      <c r="Q188">
        <f>SUMIFS('Besi Balok'!$AA$23:$AA$7253,'Besi Balok'!$A$23:$A$7253,$A188,'Besi Balok'!$B$23:$B$7253,$B188,'Besi Balok'!$F$23:$F$7253,'REKAP Balok'!Q$11)</f>
        <v>0</v>
      </c>
      <c r="R188">
        <f>SUMIFS('Besi Balok'!$AA$23:$AA$7253,'Besi Balok'!$A$23:$A$7253,$A188,'Besi Balok'!$B$23:$B$7253,$B188,'Besi Balok'!$F$23:$F$7253,'REKAP Balok'!R$11)</f>
        <v>0</v>
      </c>
      <c r="S188">
        <f>SUMIFS('Besi Balok'!$AA$23:$AA$7253,'Besi Balok'!$A$23:$A$7253,$A188,'Besi Balok'!$B$23:$B$7253,$B188,'Besi Balok'!$F$23:$F$7253,'REKAP Balok'!S$11)</f>
        <v>0</v>
      </c>
      <c r="T188">
        <f>SUMIFS('Besi Balok'!$AA$23:$AA$7253,'Besi Balok'!$A$23:$A$7253,$A188,'Besi Balok'!$B$23:$B$7253,$B188,'Besi Balok'!$F$23:$F$7253,'REKAP Balok'!T$11)</f>
        <v>0</v>
      </c>
      <c r="U188">
        <f>SUM(L188:T188)</f>
        <v>133.51678596000002</v>
      </c>
      <c r="V188">
        <f>(D188*(F188-H188)*G188*K188)/1000000000</f>
        <v>0.4075</v>
      </c>
      <c r="W188">
        <f>(((F188-H188)*2+IF(H188&gt;0,0,D188))*(G188)*K188)/1000000</f>
        <v>4.075</v>
      </c>
      <c r="AC188">
        <f>(D188+2*$F$5)*F188*G188/1000000000</f>
        <v>1.304</v>
      </c>
    </row>
    <row r="189">
      <c r="A189" t="str">
        <f>'Data Panjang Balok'!A185</f>
        <v>Lantai 3</v>
      </c>
      <c r="B189">
        <f>'Data Panjang Balok'!B185</f>
        <v>32</v>
      </c>
      <c r="C189" t="str">
        <f>'Data Panjang Balok'!D185</f>
        <v>B25-1</v>
      </c>
      <c r="D189">
        <f>IF(C189&gt;0,VLOOKUP(C189,'Detail Balok'!$C$11:$AU$140,2,FALSE),0)</f>
        <v>200</v>
      </c>
      <c r="E189" t="str">
        <v>x</v>
      </c>
      <c r="F189">
        <f>IF(C189&gt;0,VLOOKUP(C189,'Detail Balok'!$C$11:$AU$140,3,FALSE),0)</f>
        <v>500</v>
      </c>
      <c r="G189">
        <f>'Data Panjang Balok'!I185</f>
        <v>5425</v>
      </c>
      <c r="H189">
        <f>'Data Panjang Balok'!J185</f>
        <v>150</v>
      </c>
      <c r="I189">
        <v>0</v>
      </c>
      <c r="J189">
        <f>I189-F189/1000</f>
        <v>-0.5</v>
      </c>
      <c r="K189">
        <f>'Data Panjang Balok'!E185</f>
        <v>1</v>
      </c>
      <c r="L189">
        <f>SUMIFS('Besi Balok'!$AA$23:$AA$7253,'Besi Balok'!$A$23:$A$7253,$A189,'Besi Balok'!$B$23:$B$7253,$B189,'Besi Balok'!$F$23:$F$7253,'REKAP Balok'!L$11)</f>
        <v>0</v>
      </c>
      <c r="M189">
        <f>SUMIFS('Besi Balok'!$AA$23:$AA$7253,'Besi Balok'!$A$23:$A$7253,$A189,'Besi Balok'!$B$23:$B$7253,$B189,'Besi Balok'!$F$23:$F$7253,'REKAP Balok'!M$11)</f>
        <v>0</v>
      </c>
      <c r="N189">
        <f>SUMIFS('Besi Balok'!$AA$23:$AA$7253,'Besi Balok'!$A$23:$A$7253,$A189,'Besi Balok'!$B$23:$B$7253,$B189,'Besi Balok'!$F$23:$F$7253,'REKAP Balok'!N$11)</f>
        <v>32.766975</v>
      </c>
      <c r="O189">
        <f>SUMIFS('Besi Balok'!$AA$23:$AA$7253,'Besi Balok'!$A$23:$A$7253,$A189,'Besi Balok'!$B$23:$B$7253,$B189,'Besi Balok'!$F$23:$F$7253,'REKAP Balok'!O$11)</f>
        <v>0</v>
      </c>
      <c r="P189">
        <f>SUMIFS('Besi Balok'!$AA$23:$AA$7253,'Besi Balok'!$A$23:$A$7253,$A189,'Besi Balok'!$B$23:$B$7253,$B189,'Besi Balok'!$F$23:$F$7253,'REKAP Balok'!P$11)</f>
        <v>73.34396928</v>
      </c>
      <c r="Q189">
        <f>SUMIFS('Besi Balok'!$AA$23:$AA$7253,'Besi Balok'!$A$23:$A$7253,$A189,'Besi Balok'!$B$23:$B$7253,$B189,'Besi Balok'!$F$23:$F$7253,'REKAP Balok'!Q$11)</f>
        <v>0</v>
      </c>
      <c r="R189">
        <f>SUMIFS('Besi Balok'!$AA$23:$AA$7253,'Besi Balok'!$A$23:$A$7253,$A189,'Besi Balok'!$B$23:$B$7253,$B189,'Besi Balok'!$F$23:$F$7253,'REKAP Balok'!R$11)</f>
        <v>0</v>
      </c>
      <c r="S189">
        <f>SUMIFS('Besi Balok'!$AA$23:$AA$7253,'Besi Balok'!$A$23:$A$7253,$A189,'Besi Balok'!$B$23:$B$7253,$B189,'Besi Balok'!$F$23:$F$7253,'REKAP Balok'!S$11)</f>
        <v>0</v>
      </c>
      <c r="T189">
        <f>SUMIFS('Besi Balok'!$AA$23:$AA$7253,'Besi Balok'!$A$23:$A$7253,$A189,'Besi Balok'!$B$23:$B$7253,$B189,'Besi Balok'!$F$23:$F$7253,'REKAP Balok'!T$11)</f>
        <v>0</v>
      </c>
      <c r="U189">
        <f>SUM(L189:T189)</f>
        <v>106.11094428</v>
      </c>
      <c r="V189">
        <f>(D189*(F189-H189)*G189*K189)/1000000000</f>
        <v>0.37975</v>
      </c>
      <c r="W189">
        <f>(((F189-H189)*2+IF(H189&gt;0,0,D189))*(G189)*K189)/1000000</f>
        <v>3.7975</v>
      </c>
      <c r="AC189">
        <f>(D189+2*$F$5)*F189*G189/1000000000</f>
        <v>1.085</v>
      </c>
    </row>
    <row r="190">
      <c r="A190" t="str">
        <f>'Data Panjang Balok'!A186</f>
        <v>Lantai 3</v>
      </c>
      <c r="B190">
        <f>'Data Panjang Balok'!B186</f>
        <v>33</v>
      </c>
      <c r="C190" t="str">
        <f>'Data Panjang Balok'!D186</f>
        <v>B26-1</v>
      </c>
      <c r="D190">
        <f>IF(C190&gt;0,VLOOKUP(C190,'Detail Balok'!$C$11:$AU$140,2,FALSE),0)</f>
        <v>200</v>
      </c>
      <c r="E190" t="str">
        <v>x</v>
      </c>
      <c r="F190">
        <f>IF(C190&gt;0,VLOOKUP(C190,'Detail Balok'!$C$11:$AU$140,3,FALSE),0)</f>
        <v>600</v>
      </c>
      <c r="G190">
        <f>'Data Panjang Balok'!I186</f>
        <v>5585</v>
      </c>
      <c r="H190">
        <f>'Data Panjang Balok'!J186</f>
        <v>150</v>
      </c>
      <c r="I190">
        <v>0</v>
      </c>
      <c r="J190">
        <f>I190-F190/1000</f>
        <v>-0.6</v>
      </c>
      <c r="K190">
        <f>'Data Panjang Balok'!E186</f>
        <v>1</v>
      </c>
      <c r="L190">
        <f>SUMIFS('Besi Balok'!$AA$23:$AA$7253,'Besi Balok'!$A$23:$A$7253,$A190,'Besi Balok'!$B$23:$B$7253,$B190,'Besi Balok'!$F$23:$F$7253,'REKAP Balok'!L$11)</f>
        <v>0</v>
      </c>
      <c r="M190">
        <f>SUMIFS('Besi Balok'!$AA$23:$AA$7253,'Besi Balok'!$A$23:$A$7253,$A190,'Besi Balok'!$B$23:$B$7253,$B190,'Besi Balok'!$F$23:$F$7253,'REKAP Balok'!M$11)</f>
        <v>0</v>
      </c>
      <c r="N190">
        <f>SUMIFS('Besi Balok'!$AA$23:$AA$7253,'Besi Balok'!$A$23:$A$7253,$A190,'Besi Balok'!$B$23:$B$7253,$B190,'Besi Balok'!$F$23:$F$7253,'REKAP Balok'!N$11)</f>
        <v>50.38038</v>
      </c>
      <c r="O190">
        <f>SUMIFS('Besi Balok'!$AA$23:$AA$7253,'Besi Balok'!$A$23:$A$7253,$A190,'Besi Balok'!$B$23:$B$7253,$B190,'Besi Balok'!$F$23:$F$7253,'REKAP Balok'!O$11)</f>
        <v>0</v>
      </c>
      <c r="P190">
        <f>SUMIFS('Besi Balok'!$AA$23:$AA$7253,'Besi Balok'!$A$23:$A$7253,$A190,'Besi Balok'!$B$23:$B$7253,$B190,'Besi Balok'!$F$23:$F$7253,'REKAP Balok'!P$11)</f>
        <v>68.4640512</v>
      </c>
      <c r="Q190">
        <f>SUMIFS('Besi Balok'!$AA$23:$AA$7253,'Besi Balok'!$A$23:$A$7253,$A190,'Besi Balok'!$B$23:$B$7253,$B190,'Besi Balok'!$F$23:$F$7253,'REKAP Balok'!Q$11)</f>
        <v>0</v>
      </c>
      <c r="R190">
        <f>SUMIFS('Besi Balok'!$AA$23:$AA$7253,'Besi Balok'!$A$23:$A$7253,$A190,'Besi Balok'!$B$23:$B$7253,$B190,'Besi Balok'!$F$23:$F$7253,'REKAP Balok'!R$11)</f>
        <v>0</v>
      </c>
      <c r="S190">
        <f>SUMIFS('Besi Balok'!$AA$23:$AA$7253,'Besi Balok'!$A$23:$A$7253,$A190,'Besi Balok'!$B$23:$B$7253,$B190,'Besi Balok'!$F$23:$F$7253,'REKAP Balok'!S$11)</f>
        <v>0</v>
      </c>
      <c r="T190">
        <f>SUMIFS('Besi Balok'!$AA$23:$AA$7253,'Besi Balok'!$A$23:$A$7253,$A190,'Besi Balok'!$B$23:$B$7253,$B190,'Besi Balok'!$F$23:$F$7253,'REKAP Balok'!T$11)</f>
        <v>0</v>
      </c>
      <c r="U190">
        <f>SUM(L190:T190)</f>
        <v>118.8444312</v>
      </c>
      <c r="V190">
        <f>(D190*(F190-H190)*G190*K190)/1000000000</f>
        <v>0.50265</v>
      </c>
      <c r="W190">
        <f>(((F190-H190)*2+IF(H190&gt;0,0,D190))*(G190)*K190)/1000000</f>
        <v>5.0265</v>
      </c>
      <c r="AC190">
        <f>(D190+2*$F$5)*F190*G190/1000000000</f>
        <v>1.3404</v>
      </c>
    </row>
    <row r="191">
      <c r="A191" t="str">
        <f>'Data Panjang Balok'!A187</f>
        <v>Lantai 3</v>
      </c>
      <c r="B191">
        <f>'Data Panjang Balok'!B187</f>
        <v>34</v>
      </c>
      <c r="C191" t="str">
        <f>'Data Panjang Balok'!D187</f>
        <v>B26-1</v>
      </c>
      <c r="D191">
        <f>IF(C191&gt;0,VLOOKUP(C191,'Detail Balok'!$C$11:$AU$140,2,FALSE),0)</f>
        <v>200</v>
      </c>
      <c r="E191" t="str">
        <v>x</v>
      </c>
      <c r="F191">
        <f>IF(C191&gt;0,VLOOKUP(C191,'Detail Balok'!$C$11:$AU$140,3,FALSE),0)</f>
        <v>600</v>
      </c>
      <c r="G191">
        <f>'Data Panjang Balok'!I187</f>
        <v>5325</v>
      </c>
      <c r="H191">
        <f>'Data Panjang Balok'!J187</f>
        <v>150</v>
      </c>
      <c r="I191">
        <v>0</v>
      </c>
      <c r="J191">
        <f>I191-F191/1000</f>
        <v>-0.6</v>
      </c>
      <c r="K191">
        <f>'Data Panjang Balok'!E187</f>
        <v>1</v>
      </c>
      <c r="L191">
        <f>SUMIFS('Besi Balok'!$AA$23:$AA$7253,'Besi Balok'!$A$23:$A$7253,$A191,'Besi Balok'!$B$23:$B$7253,$B191,'Besi Balok'!$F$23:$F$7253,'REKAP Balok'!L$11)</f>
        <v>0</v>
      </c>
      <c r="M191">
        <f>SUMIFS('Besi Balok'!$AA$23:$AA$7253,'Besi Balok'!$A$23:$A$7253,$A191,'Besi Balok'!$B$23:$B$7253,$B191,'Besi Balok'!$F$23:$F$7253,'REKAP Balok'!M$11)</f>
        <v>0</v>
      </c>
      <c r="N191">
        <f>SUMIFS('Besi Balok'!$AA$23:$AA$7253,'Besi Balok'!$A$23:$A$7253,$A191,'Besi Balok'!$B$23:$B$7253,$B191,'Besi Balok'!$F$23:$F$7253,'REKAP Balok'!N$11)</f>
        <v>47.415015</v>
      </c>
      <c r="O191">
        <f>SUMIFS('Besi Balok'!$AA$23:$AA$7253,'Besi Balok'!$A$23:$A$7253,$A191,'Besi Balok'!$B$23:$B$7253,$B191,'Besi Balok'!$F$23:$F$7253,'REKAP Balok'!O$11)</f>
        <v>0</v>
      </c>
      <c r="P191">
        <f>SUMIFS('Besi Balok'!$AA$23:$AA$7253,'Besi Balok'!$A$23:$A$7253,$A191,'Besi Balok'!$B$23:$B$7253,$B191,'Besi Balok'!$F$23:$F$7253,'REKAP Balok'!P$11)</f>
        <v>65.50958592</v>
      </c>
      <c r="Q191">
        <f>SUMIFS('Besi Balok'!$AA$23:$AA$7253,'Besi Balok'!$A$23:$A$7253,$A191,'Besi Balok'!$B$23:$B$7253,$B191,'Besi Balok'!$F$23:$F$7253,'REKAP Balok'!Q$11)</f>
        <v>0</v>
      </c>
      <c r="R191">
        <f>SUMIFS('Besi Balok'!$AA$23:$AA$7253,'Besi Balok'!$A$23:$A$7253,$A191,'Besi Balok'!$B$23:$B$7253,$B191,'Besi Balok'!$F$23:$F$7253,'REKAP Balok'!R$11)</f>
        <v>0</v>
      </c>
      <c r="S191">
        <f>SUMIFS('Besi Balok'!$AA$23:$AA$7253,'Besi Balok'!$A$23:$A$7253,$A191,'Besi Balok'!$B$23:$B$7253,$B191,'Besi Balok'!$F$23:$F$7253,'REKAP Balok'!S$11)</f>
        <v>0</v>
      </c>
      <c r="T191">
        <f>SUMIFS('Besi Balok'!$AA$23:$AA$7253,'Besi Balok'!$A$23:$A$7253,$A191,'Besi Balok'!$B$23:$B$7253,$B191,'Besi Balok'!$F$23:$F$7253,'REKAP Balok'!T$11)</f>
        <v>0</v>
      </c>
      <c r="U191">
        <f>SUM(L191:T191)</f>
        <v>112.92460092</v>
      </c>
      <c r="V191">
        <f>(D191*(F191-H191)*G191*K191)/1000000000</f>
        <v>0.47925</v>
      </c>
      <c r="W191">
        <f>(((F191-H191)*2+IF(H191&gt;0,0,D191))*(G191)*K191)/1000000</f>
        <v>4.7925</v>
      </c>
      <c r="AC191">
        <f>(D191+2*$F$5)*F191*G191/1000000000</f>
        <v>1.278</v>
      </c>
    </row>
    <row r="192">
      <c r="A192" t="str">
        <f>'Data Panjang Balok'!A188</f>
        <v>Lantai 3</v>
      </c>
      <c r="B192">
        <f>'Data Panjang Balok'!B188</f>
        <v>35</v>
      </c>
      <c r="C192" t="str">
        <f>'Data Panjang Balok'!D188</f>
        <v>B24-1</v>
      </c>
      <c r="D192">
        <f>IF(C192&gt;0,VLOOKUP(C192,'Detail Balok'!$C$11:$AU$140,2,FALSE),0)</f>
        <v>200</v>
      </c>
      <c r="E192" t="str">
        <v>x</v>
      </c>
      <c r="F192">
        <f>IF(C192&gt;0,VLOOKUP(C192,'Detail Balok'!$C$11:$AU$140,3,FALSE),0)</f>
        <v>400</v>
      </c>
      <c r="G192">
        <f>'Data Panjang Balok'!I188</f>
        <v>3500</v>
      </c>
      <c r="H192">
        <f>'Data Panjang Balok'!J188</f>
        <v>150</v>
      </c>
      <c r="I192">
        <v>0</v>
      </c>
      <c r="J192">
        <f>I192-F192/1000</f>
        <v>-0.4</v>
      </c>
      <c r="K192">
        <f>'Data Panjang Balok'!E188</f>
        <v>1</v>
      </c>
      <c r="L192">
        <f>SUMIFS('Besi Balok'!$AA$23:$AA$7253,'Besi Balok'!$A$23:$A$7253,$A192,'Besi Balok'!$B$23:$B$7253,$B192,'Besi Balok'!$F$23:$F$7253,'REKAP Balok'!L$11)</f>
        <v>0</v>
      </c>
      <c r="M192">
        <f>SUMIFS('Besi Balok'!$AA$23:$AA$7253,'Besi Balok'!$A$23:$A$7253,$A192,'Besi Balok'!$B$23:$B$7253,$B192,'Besi Balok'!$F$23:$F$7253,'REKAP Balok'!M$11)</f>
        <v>0</v>
      </c>
      <c r="N192">
        <f>SUMIFS('Besi Balok'!$AA$23:$AA$7253,'Besi Balok'!$A$23:$A$7253,$A192,'Besi Balok'!$B$23:$B$7253,$B192,'Besi Balok'!$F$23:$F$7253,'REKAP Balok'!N$11)</f>
        <v>18.414855000000003</v>
      </c>
      <c r="O192">
        <f>SUMIFS('Besi Balok'!$AA$23:$AA$7253,'Besi Balok'!$A$23:$A$7253,$A192,'Besi Balok'!$B$23:$B$7253,$B192,'Besi Balok'!$F$23:$F$7253,'REKAP Balok'!O$11)</f>
        <v>23.829993719999994</v>
      </c>
      <c r="P192">
        <f>SUMIFS('Besi Balok'!$AA$23:$AA$7253,'Besi Balok'!$A$23:$A$7253,$A192,'Besi Balok'!$B$23:$B$7253,$B192,'Besi Balok'!$F$23:$F$7253,'REKAP Balok'!P$11)</f>
        <v>0</v>
      </c>
      <c r="Q192">
        <f>SUMIFS('Besi Balok'!$AA$23:$AA$7253,'Besi Balok'!$A$23:$A$7253,$A192,'Besi Balok'!$B$23:$B$7253,$B192,'Besi Balok'!$F$23:$F$7253,'REKAP Balok'!Q$11)</f>
        <v>0</v>
      </c>
      <c r="R192">
        <f>SUMIFS('Besi Balok'!$AA$23:$AA$7253,'Besi Balok'!$A$23:$A$7253,$A192,'Besi Balok'!$B$23:$B$7253,$B192,'Besi Balok'!$F$23:$F$7253,'REKAP Balok'!R$11)</f>
        <v>0</v>
      </c>
      <c r="S192">
        <f>SUMIFS('Besi Balok'!$AA$23:$AA$7253,'Besi Balok'!$A$23:$A$7253,$A192,'Besi Balok'!$B$23:$B$7253,$B192,'Besi Balok'!$F$23:$F$7253,'REKAP Balok'!S$11)</f>
        <v>0</v>
      </c>
      <c r="T192">
        <f>SUMIFS('Besi Balok'!$AA$23:$AA$7253,'Besi Balok'!$A$23:$A$7253,$A192,'Besi Balok'!$B$23:$B$7253,$B192,'Besi Balok'!$F$23:$F$7253,'REKAP Balok'!T$11)</f>
        <v>0</v>
      </c>
      <c r="U192">
        <f>SUM(L192:T192)</f>
        <v>42.24484871999999</v>
      </c>
      <c r="V192">
        <f>(D192*(F192-H192)*G192*K192)/1000000000</f>
        <v>0.175</v>
      </c>
      <c r="W192">
        <f>(((F192-H192)*2+IF(H192&gt;0,0,D192))*(G192)*K192)/1000000</f>
        <v>1.75</v>
      </c>
      <c r="AC192">
        <f>(D192+2*$F$5)*F192*G192/1000000000</f>
        <v>0.56</v>
      </c>
    </row>
    <row r="193">
      <c r="A193" t="str">
        <f>'Data Panjang Balok'!A189</f>
        <v>Lantai 3</v>
      </c>
      <c r="B193">
        <f>'Data Panjang Balok'!B189</f>
        <v>36</v>
      </c>
      <c r="C193" t="str">
        <f>'Data Panjang Balok'!D189</f>
        <v>CL24-1</v>
      </c>
      <c r="D193">
        <f>IF(C193&gt;0,VLOOKUP(C193,'Detail Balok'!$C$11:$AU$140,2,FALSE),0)</f>
        <v>200</v>
      </c>
      <c r="E193" t="str">
        <v>x</v>
      </c>
      <c r="F193">
        <f>IF(C193&gt;0,VLOOKUP(C193,'Detail Balok'!$C$11:$AU$140,3,FALSE),0)</f>
        <v>400</v>
      </c>
      <c r="G193">
        <f>'Data Panjang Balok'!I189</f>
        <v>1250</v>
      </c>
      <c r="H193">
        <f>'Data Panjang Balok'!J189</f>
        <v>150</v>
      </c>
      <c r="I193">
        <v>0</v>
      </c>
      <c r="J193">
        <f>I193-F193/1000</f>
        <v>-0.4</v>
      </c>
      <c r="K193">
        <f>'Data Panjang Balok'!E189</f>
        <v>1</v>
      </c>
      <c r="L193">
        <f>SUMIFS('Besi Balok'!$AA$23:$AA$7253,'Besi Balok'!$A$23:$A$7253,$A193,'Besi Balok'!$B$23:$B$7253,$B193,'Besi Balok'!$F$23:$F$7253,'REKAP Balok'!L$11)</f>
        <v>0</v>
      </c>
      <c r="M193">
        <f>SUMIFS('Besi Balok'!$AA$23:$AA$7253,'Besi Balok'!$A$23:$A$7253,$A193,'Besi Balok'!$B$23:$B$7253,$B193,'Besi Balok'!$F$23:$F$7253,'REKAP Balok'!M$11)</f>
        <v>0</v>
      </c>
      <c r="N193">
        <f>SUMIFS('Besi Balok'!$AA$23:$AA$7253,'Besi Balok'!$A$23:$A$7253,$A193,'Besi Balok'!$B$23:$B$7253,$B193,'Besi Balok'!$F$23:$F$7253,'REKAP Balok'!N$11)</f>
        <v>8.889930000000001</v>
      </c>
      <c r="O193">
        <f>SUMIFS('Besi Balok'!$AA$23:$AA$7253,'Besi Balok'!$A$23:$A$7253,$A193,'Besi Balok'!$B$23:$B$7253,$B193,'Besi Balok'!$F$23:$F$7253,'REKAP Balok'!O$11)</f>
        <v>0</v>
      </c>
      <c r="P193">
        <f>SUMIFS('Besi Balok'!$AA$23:$AA$7253,'Besi Balok'!$A$23:$A$7253,$A193,'Besi Balok'!$B$23:$B$7253,$B193,'Besi Balok'!$F$23:$F$7253,'REKAP Balok'!P$11)</f>
        <v>15.47306496</v>
      </c>
      <c r="Q193">
        <f>SUMIFS('Besi Balok'!$AA$23:$AA$7253,'Besi Balok'!$A$23:$A$7253,$A193,'Besi Balok'!$B$23:$B$7253,$B193,'Besi Balok'!$F$23:$F$7253,'REKAP Balok'!Q$11)</f>
        <v>0</v>
      </c>
      <c r="R193">
        <f>SUMIFS('Besi Balok'!$AA$23:$AA$7253,'Besi Balok'!$A$23:$A$7253,$A193,'Besi Balok'!$B$23:$B$7253,$B193,'Besi Balok'!$F$23:$F$7253,'REKAP Balok'!R$11)</f>
        <v>0</v>
      </c>
      <c r="S193">
        <f>SUMIFS('Besi Balok'!$AA$23:$AA$7253,'Besi Balok'!$A$23:$A$7253,$A193,'Besi Balok'!$B$23:$B$7253,$B193,'Besi Balok'!$F$23:$F$7253,'REKAP Balok'!S$11)</f>
        <v>0</v>
      </c>
      <c r="T193">
        <f>SUMIFS('Besi Balok'!$AA$23:$AA$7253,'Besi Balok'!$A$23:$A$7253,$A193,'Besi Balok'!$B$23:$B$7253,$B193,'Besi Balok'!$F$23:$F$7253,'REKAP Balok'!T$11)</f>
        <v>0</v>
      </c>
      <c r="U193">
        <f>SUM(L193:T193)</f>
        <v>24.36299496</v>
      </c>
      <c r="V193">
        <f>(D193*(F193-H193)*G193*K193)/1000000000</f>
        <v>0.0625</v>
      </c>
      <c r="W193">
        <f>(((F193-H193)*2+IF(H193&gt;0,0,D193))*(G193)*K193)/1000000</f>
        <v>0.625</v>
      </c>
      <c r="AC193">
        <f>(D193+2*$F$5)*F193*G193/1000000000</f>
        <v>0.2</v>
      </c>
    </row>
    <row r="194">
      <c r="A194" t="str">
        <f>'Data Panjang Balok'!A190</f>
        <v>Lantai 3</v>
      </c>
      <c r="B194">
        <f>'Data Panjang Balok'!B190</f>
        <v>37</v>
      </c>
      <c r="C194" t="str">
        <f>'Data Panjang Balok'!D190</f>
        <v>B25-1</v>
      </c>
      <c r="D194">
        <f>IF(C194&gt;0,VLOOKUP(C194,'Detail Balok'!$C$11:$AU$140,2,FALSE),0)</f>
        <v>200</v>
      </c>
      <c r="E194" t="str">
        <v>x</v>
      </c>
      <c r="F194">
        <f>IF(C194&gt;0,VLOOKUP(C194,'Detail Balok'!$C$11:$AU$140,3,FALSE),0)</f>
        <v>500</v>
      </c>
      <c r="G194">
        <f>'Data Panjang Balok'!I190</f>
        <v>4075</v>
      </c>
      <c r="H194">
        <f>'Data Panjang Balok'!J190</f>
        <v>150</v>
      </c>
      <c r="I194">
        <v>0</v>
      </c>
      <c r="J194">
        <f>I194-F194/1000</f>
        <v>-0.5</v>
      </c>
      <c r="K194">
        <f>'Data Panjang Balok'!E190</f>
        <v>1</v>
      </c>
      <c r="L194">
        <f>SUMIFS('Besi Balok'!$AA$23:$AA$7253,'Besi Balok'!$A$23:$A$7253,$A194,'Besi Balok'!$B$23:$B$7253,$B194,'Besi Balok'!$F$23:$F$7253,'REKAP Balok'!L$11)</f>
        <v>0</v>
      </c>
      <c r="M194">
        <f>SUMIFS('Besi Balok'!$AA$23:$AA$7253,'Besi Balok'!$A$23:$A$7253,$A194,'Besi Balok'!$B$23:$B$7253,$B194,'Besi Balok'!$F$23:$F$7253,'REKAP Balok'!M$11)</f>
        <v>0</v>
      </c>
      <c r="N194">
        <f>SUMIFS('Besi Balok'!$AA$23:$AA$7253,'Besi Balok'!$A$23:$A$7253,$A194,'Besi Balok'!$B$23:$B$7253,$B194,'Besi Balok'!$F$23:$F$7253,'REKAP Balok'!N$11)</f>
        <v>25.036065</v>
      </c>
      <c r="O194">
        <f>SUMIFS('Besi Balok'!$AA$23:$AA$7253,'Besi Balok'!$A$23:$A$7253,$A194,'Besi Balok'!$B$23:$B$7253,$B194,'Besi Balok'!$F$23:$F$7253,'REKAP Balok'!O$11)</f>
        <v>0</v>
      </c>
      <c r="P194">
        <f>SUMIFS('Besi Balok'!$AA$23:$AA$7253,'Besi Balok'!$A$23:$A$7253,$A194,'Besi Balok'!$B$23:$B$7253,$B194,'Besi Balok'!$F$23:$F$7253,'REKAP Balok'!P$11)</f>
        <v>56.298977279999995</v>
      </c>
      <c r="Q194">
        <f>SUMIFS('Besi Balok'!$AA$23:$AA$7253,'Besi Balok'!$A$23:$A$7253,$A194,'Besi Balok'!$B$23:$B$7253,$B194,'Besi Balok'!$F$23:$F$7253,'REKAP Balok'!Q$11)</f>
        <v>0</v>
      </c>
      <c r="R194">
        <f>SUMIFS('Besi Balok'!$AA$23:$AA$7253,'Besi Balok'!$A$23:$A$7253,$A194,'Besi Balok'!$B$23:$B$7253,$B194,'Besi Balok'!$F$23:$F$7253,'REKAP Balok'!R$11)</f>
        <v>0</v>
      </c>
      <c r="S194">
        <f>SUMIFS('Besi Balok'!$AA$23:$AA$7253,'Besi Balok'!$A$23:$A$7253,$A194,'Besi Balok'!$B$23:$B$7253,$B194,'Besi Balok'!$F$23:$F$7253,'REKAP Balok'!S$11)</f>
        <v>0</v>
      </c>
      <c r="T194">
        <f>SUMIFS('Besi Balok'!$AA$23:$AA$7253,'Besi Balok'!$A$23:$A$7253,$A194,'Besi Balok'!$B$23:$B$7253,$B194,'Besi Balok'!$F$23:$F$7253,'REKAP Balok'!T$11)</f>
        <v>0</v>
      </c>
      <c r="U194">
        <f>SUM(L194:T194)</f>
        <v>81.33504228</v>
      </c>
      <c r="V194">
        <f>(D194*(F194-H194)*G194*K194)/1000000000</f>
        <v>0.28525</v>
      </c>
      <c r="W194">
        <f>(((F194-H194)*2+IF(H194&gt;0,0,D194))*(G194)*K194)/1000000</f>
        <v>2.8525</v>
      </c>
      <c r="AC194">
        <f>(D194+2*$F$5)*F194*G194/1000000000</f>
        <v>0.815</v>
      </c>
    </row>
    <row r="195">
      <c r="A195" t="str">
        <f>'Data Panjang Balok'!A191</f>
        <v>Lantai 3</v>
      </c>
      <c r="B195">
        <f>'Data Panjang Balok'!B191</f>
        <v>38</v>
      </c>
      <c r="C195" t="str">
        <f>'Data Panjang Balok'!D191</f>
        <v>B24-1</v>
      </c>
      <c r="D195">
        <f>IF(C195&gt;0,VLOOKUP(C195,'Detail Balok'!$C$11:$AU$140,2,FALSE),0)</f>
        <v>200</v>
      </c>
      <c r="E195" t="str">
        <v>x</v>
      </c>
      <c r="F195">
        <f>IF(C195&gt;0,VLOOKUP(C195,'Detail Balok'!$C$11:$AU$140,3,FALSE),0)</f>
        <v>400</v>
      </c>
      <c r="G195">
        <f>'Data Panjang Balok'!I191</f>
        <v>2875</v>
      </c>
      <c r="H195">
        <f>'Data Panjang Balok'!J191</f>
        <v>150</v>
      </c>
      <c r="I195">
        <v>0</v>
      </c>
      <c r="J195">
        <f>I195-F195/1000</f>
        <v>-0.4</v>
      </c>
      <c r="K195">
        <f>'Data Panjang Balok'!E191</f>
        <v>1</v>
      </c>
      <c r="L195">
        <f>SUMIFS('Besi Balok'!$AA$23:$AA$7253,'Besi Balok'!$A$23:$A$7253,$A195,'Besi Balok'!$B$23:$B$7253,$B195,'Besi Balok'!$F$23:$F$7253,'REKAP Balok'!L$11)</f>
        <v>0</v>
      </c>
      <c r="M195">
        <f>SUMIFS('Besi Balok'!$AA$23:$AA$7253,'Besi Balok'!$A$23:$A$7253,$A195,'Besi Balok'!$B$23:$B$7253,$B195,'Besi Balok'!$F$23:$F$7253,'REKAP Balok'!M$11)</f>
        <v>0</v>
      </c>
      <c r="N195">
        <f>SUMIFS('Besi Balok'!$AA$23:$AA$7253,'Besi Balok'!$A$23:$A$7253,$A195,'Besi Balok'!$B$23:$B$7253,$B195,'Besi Balok'!$F$23:$F$7253,'REKAP Balok'!N$11)</f>
        <v>15.239880000000003</v>
      </c>
      <c r="O195">
        <f>SUMIFS('Besi Balok'!$AA$23:$AA$7253,'Besi Balok'!$A$23:$A$7253,$A195,'Besi Balok'!$B$23:$B$7253,$B195,'Besi Balok'!$F$23:$F$7253,'REKAP Balok'!O$11)</f>
        <v>19.92292497</v>
      </c>
      <c r="P195">
        <f>SUMIFS('Besi Balok'!$AA$23:$AA$7253,'Besi Balok'!$A$23:$A$7253,$A195,'Besi Balok'!$B$23:$B$7253,$B195,'Besi Balok'!$F$23:$F$7253,'REKAP Balok'!P$11)</f>
        <v>0</v>
      </c>
      <c r="Q195">
        <f>SUMIFS('Besi Balok'!$AA$23:$AA$7253,'Besi Balok'!$A$23:$A$7253,$A195,'Besi Balok'!$B$23:$B$7253,$B195,'Besi Balok'!$F$23:$F$7253,'REKAP Balok'!Q$11)</f>
        <v>0</v>
      </c>
      <c r="R195">
        <f>SUMIFS('Besi Balok'!$AA$23:$AA$7253,'Besi Balok'!$A$23:$A$7253,$A195,'Besi Balok'!$B$23:$B$7253,$B195,'Besi Balok'!$F$23:$F$7253,'REKAP Balok'!R$11)</f>
        <v>0</v>
      </c>
      <c r="S195">
        <f>SUMIFS('Besi Balok'!$AA$23:$AA$7253,'Besi Balok'!$A$23:$A$7253,$A195,'Besi Balok'!$B$23:$B$7253,$B195,'Besi Balok'!$F$23:$F$7253,'REKAP Balok'!S$11)</f>
        <v>0</v>
      </c>
      <c r="T195">
        <f>SUMIFS('Besi Balok'!$AA$23:$AA$7253,'Besi Balok'!$A$23:$A$7253,$A195,'Besi Balok'!$B$23:$B$7253,$B195,'Besi Balok'!$F$23:$F$7253,'REKAP Balok'!T$11)</f>
        <v>0</v>
      </c>
      <c r="U195">
        <f>SUM(L195:T195)</f>
        <v>35.16280497</v>
      </c>
      <c r="V195">
        <f>(D195*(F195-H195)*G195*K195)/1000000000</f>
        <v>0.14375</v>
      </c>
      <c r="W195">
        <f>(((F195-H195)*2+IF(H195&gt;0,0,D195))*(G195)*K195)/1000000</f>
        <v>1.4375</v>
      </c>
      <c r="AC195">
        <f>(D195+2*$F$5)*F195*G195/1000000000</f>
        <v>0.46</v>
      </c>
    </row>
    <row r="196">
      <c r="A196" t="str">
        <f>'Data Panjang Balok'!A192</f>
        <v>Lantai 3</v>
      </c>
      <c r="B196">
        <f>'Data Panjang Balok'!B192</f>
        <v>39</v>
      </c>
      <c r="C196" t="str">
        <f>'Data Panjang Balok'!D192</f>
        <v>B26-1</v>
      </c>
      <c r="D196">
        <f>IF(C196&gt;0,VLOOKUP(C196,'Detail Balok'!$C$11:$AU$140,2,FALSE),0)</f>
        <v>200</v>
      </c>
      <c r="E196" t="str">
        <v>x</v>
      </c>
      <c r="F196">
        <f>IF(C196&gt;0,VLOOKUP(C196,'Detail Balok'!$C$11:$AU$140,3,FALSE),0)</f>
        <v>600</v>
      </c>
      <c r="G196">
        <f>'Data Panjang Balok'!I192</f>
        <v>4100</v>
      </c>
      <c r="H196">
        <f>'Data Panjang Balok'!J192</f>
        <v>150</v>
      </c>
      <c r="I196">
        <v>0</v>
      </c>
      <c r="J196">
        <f>I196-F196/1000</f>
        <v>-0.6</v>
      </c>
      <c r="K196">
        <f>'Data Panjang Balok'!E192</f>
        <v>1</v>
      </c>
      <c r="L196">
        <f>SUMIFS('Besi Balok'!$AA$23:$AA$7253,'Besi Balok'!$A$23:$A$7253,$A196,'Besi Balok'!$B$23:$B$7253,$B196,'Besi Balok'!$F$23:$F$7253,'REKAP Balok'!L$11)</f>
        <v>0</v>
      </c>
      <c r="M196">
        <f>SUMIFS('Besi Balok'!$AA$23:$AA$7253,'Besi Balok'!$A$23:$A$7253,$A196,'Besi Balok'!$B$23:$B$7253,$B196,'Besi Balok'!$F$23:$F$7253,'REKAP Balok'!M$11)</f>
        <v>0</v>
      </c>
      <c r="N196">
        <f>SUMIFS('Besi Balok'!$AA$23:$AA$7253,'Besi Balok'!$A$23:$A$7253,$A196,'Besi Balok'!$B$23:$B$7253,$B196,'Besi Balok'!$F$23:$F$7253,'REKAP Balok'!N$11)</f>
        <v>37.970235</v>
      </c>
      <c r="O196">
        <f>SUMIFS('Besi Balok'!$AA$23:$AA$7253,'Besi Balok'!$A$23:$A$7253,$A196,'Besi Balok'!$B$23:$B$7253,$B196,'Besi Balok'!$F$23:$F$7253,'REKAP Balok'!O$11)</f>
        <v>0</v>
      </c>
      <c r="P196">
        <f>SUMIFS('Besi Balok'!$AA$23:$AA$7253,'Besi Balok'!$A$23:$A$7253,$A196,'Besi Balok'!$B$23:$B$7253,$B196,'Besi Balok'!$F$23:$F$7253,'REKAP Balok'!P$11)</f>
        <v>51.58950912</v>
      </c>
      <c r="Q196">
        <f>SUMIFS('Besi Balok'!$AA$23:$AA$7253,'Besi Balok'!$A$23:$A$7253,$A196,'Besi Balok'!$B$23:$B$7253,$B196,'Besi Balok'!$F$23:$F$7253,'REKAP Balok'!Q$11)</f>
        <v>0</v>
      </c>
      <c r="R196">
        <f>SUMIFS('Besi Balok'!$AA$23:$AA$7253,'Besi Balok'!$A$23:$A$7253,$A196,'Besi Balok'!$B$23:$B$7253,$B196,'Besi Balok'!$F$23:$F$7253,'REKAP Balok'!R$11)</f>
        <v>0</v>
      </c>
      <c r="S196">
        <f>SUMIFS('Besi Balok'!$AA$23:$AA$7253,'Besi Balok'!$A$23:$A$7253,$A196,'Besi Balok'!$B$23:$B$7253,$B196,'Besi Balok'!$F$23:$F$7253,'REKAP Balok'!S$11)</f>
        <v>0</v>
      </c>
      <c r="T196">
        <f>SUMIFS('Besi Balok'!$AA$23:$AA$7253,'Besi Balok'!$A$23:$A$7253,$A196,'Besi Balok'!$B$23:$B$7253,$B196,'Besi Balok'!$F$23:$F$7253,'REKAP Balok'!T$11)</f>
        <v>0</v>
      </c>
      <c r="U196">
        <f>SUM(L196:T196)</f>
        <v>89.55974412</v>
      </c>
      <c r="V196">
        <f>(D196*(F196-H196)*G196*K196)/1000000000</f>
        <v>0.369</v>
      </c>
      <c r="W196">
        <f>(((F196-H196)*2+IF(H196&gt;0,0,D196))*(G196)*K196)/1000000</f>
        <v>3.69</v>
      </c>
      <c r="AC196">
        <f>(D196+2*$F$5)*F196*G196/1000000000</f>
        <v>0.984</v>
      </c>
    </row>
    <row r="197">
      <c r="A197" t="str">
        <f>'Data Panjang Balok'!A193</f>
        <v>Lantai 3</v>
      </c>
      <c r="B197">
        <f>'Data Panjang Balok'!B193</f>
        <v>40</v>
      </c>
      <c r="C197" t="str">
        <f>'Data Panjang Balok'!D193</f>
        <v>B26-1</v>
      </c>
      <c r="D197">
        <f>IF(C197&gt;0,VLOOKUP(C197,'Detail Balok'!$C$11:$AU$140,2,FALSE),0)</f>
        <v>200</v>
      </c>
      <c r="E197" t="str">
        <v>x</v>
      </c>
      <c r="F197">
        <f>IF(C197&gt;0,VLOOKUP(C197,'Detail Balok'!$C$11:$AU$140,3,FALSE),0)</f>
        <v>600</v>
      </c>
      <c r="G197">
        <f>'Data Panjang Balok'!I193</f>
        <v>4000</v>
      </c>
      <c r="H197">
        <f>'Data Panjang Balok'!J193</f>
        <v>150</v>
      </c>
      <c r="I197">
        <v>0</v>
      </c>
      <c r="J197">
        <f>I197-F197/1000</f>
        <v>-0.6</v>
      </c>
      <c r="K197">
        <f>'Data Panjang Balok'!E193</f>
        <v>1</v>
      </c>
      <c r="L197">
        <f>SUMIFS('Besi Balok'!$AA$23:$AA$7253,'Besi Balok'!$A$23:$A$7253,$A197,'Besi Balok'!$B$23:$B$7253,$B197,'Besi Balok'!$F$23:$F$7253,'REKAP Balok'!L$11)</f>
        <v>0</v>
      </c>
      <c r="M197">
        <f>SUMIFS('Besi Balok'!$AA$23:$AA$7253,'Besi Balok'!$A$23:$A$7253,$A197,'Besi Balok'!$B$23:$B$7253,$B197,'Besi Balok'!$F$23:$F$7253,'REKAP Balok'!M$11)</f>
        <v>0</v>
      </c>
      <c r="N197">
        <f>SUMIFS('Besi Balok'!$AA$23:$AA$7253,'Besi Balok'!$A$23:$A$7253,$A197,'Besi Balok'!$B$23:$B$7253,$B197,'Besi Balok'!$F$23:$F$7253,'REKAP Balok'!N$11)</f>
        <v>37.846935</v>
      </c>
      <c r="O197">
        <f>SUMIFS('Besi Balok'!$AA$23:$AA$7253,'Besi Balok'!$A$23:$A$7253,$A197,'Besi Balok'!$B$23:$B$7253,$B197,'Besi Balok'!$F$23:$F$7253,'REKAP Balok'!O$11)</f>
        <v>0</v>
      </c>
      <c r="P197">
        <f>SUMIFS('Besi Balok'!$AA$23:$AA$7253,'Besi Balok'!$A$23:$A$7253,$A197,'Besi Balok'!$B$23:$B$7253,$B197,'Besi Balok'!$F$23:$F$7253,'REKAP Balok'!P$11)</f>
        <v>50.45317632</v>
      </c>
      <c r="Q197">
        <f>SUMIFS('Besi Balok'!$AA$23:$AA$7253,'Besi Balok'!$A$23:$A$7253,$A197,'Besi Balok'!$B$23:$B$7253,$B197,'Besi Balok'!$F$23:$F$7253,'REKAP Balok'!Q$11)</f>
        <v>0</v>
      </c>
      <c r="R197">
        <f>SUMIFS('Besi Balok'!$AA$23:$AA$7253,'Besi Balok'!$A$23:$A$7253,$A197,'Besi Balok'!$B$23:$B$7253,$B197,'Besi Balok'!$F$23:$F$7253,'REKAP Balok'!R$11)</f>
        <v>0</v>
      </c>
      <c r="S197">
        <f>SUMIFS('Besi Balok'!$AA$23:$AA$7253,'Besi Balok'!$A$23:$A$7253,$A197,'Besi Balok'!$B$23:$B$7253,$B197,'Besi Balok'!$F$23:$F$7253,'REKAP Balok'!S$11)</f>
        <v>0</v>
      </c>
      <c r="T197">
        <f>SUMIFS('Besi Balok'!$AA$23:$AA$7253,'Besi Balok'!$A$23:$A$7253,$A197,'Besi Balok'!$B$23:$B$7253,$B197,'Besi Balok'!$F$23:$F$7253,'REKAP Balok'!T$11)</f>
        <v>0</v>
      </c>
      <c r="U197">
        <f>SUM(L197:T197)</f>
        <v>88.30011132</v>
      </c>
      <c r="V197">
        <f>(D197*(F197-H197)*G197*K197)/1000000000</f>
        <v>0.36</v>
      </c>
      <c r="W197">
        <f>(((F197-H197)*2+IF(H197&gt;0,0,D197))*(G197)*K197)/1000000</f>
        <v>3.6</v>
      </c>
      <c r="AC197">
        <f>(D197+2*$F$5)*F197*G197/1000000000</f>
        <v>0.96</v>
      </c>
    </row>
    <row r="198">
      <c r="A198" t="str">
        <f>'Data Panjang Balok'!A194</f>
        <v>Lantai 3</v>
      </c>
      <c r="B198">
        <f>'Data Panjang Balok'!B194</f>
        <v>41</v>
      </c>
      <c r="C198" t="str">
        <f>'Data Panjang Balok'!D194</f>
        <v>B26-1</v>
      </c>
      <c r="D198">
        <f>IF(C198&gt;0,VLOOKUP(C198,'Detail Balok'!$C$11:$AU$140,2,FALSE),0)</f>
        <v>200</v>
      </c>
      <c r="E198" t="str">
        <v>x</v>
      </c>
      <c r="F198">
        <f>IF(C198&gt;0,VLOOKUP(C198,'Detail Balok'!$C$11:$AU$140,3,FALSE),0)</f>
        <v>600</v>
      </c>
      <c r="G198">
        <f>'Data Panjang Balok'!I194</f>
        <v>15425</v>
      </c>
      <c r="H198">
        <f>'Data Panjang Balok'!J194</f>
        <v>150</v>
      </c>
      <c r="I198">
        <v>0</v>
      </c>
      <c r="J198">
        <f>I198-F198/1000</f>
        <v>-0.6</v>
      </c>
      <c r="K198">
        <f>'Data Panjang Balok'!E194</f>
        <v>1</v>
      </c>
      <c r="L198">
        <f>SUMIFS('Besi Balok'!$AA$23:$AA$7253,'Besi Balok'!$A$23:$A$7253,$A198,'Besi Balok'!$B$23:$B$7253,$B198,'Besi Balok'!$F$23:$F$7253,'REKAP Balok'!L$11)</f>
        <v>0</v>
      </c>
      <c r="M198">
        <f>SUMIFS('Besi Balok'!$AA$23:$AA$7253,'Besi Balok'!$A$23:$A$7253,$A198,'Besi Balok'!$B$23:$B$7253,$B198,'Besi Balok'!$F$23:$F$7253,'REKAP Balok'!M$11)</f>
        <v>0</v>
      </c>
      <c r="N198">
        <f>SUMIFS('Besi Balok'!$AA$23:$AA$7253,'Besi Balok'!$A$23:$A$7253,$A198,'Besi Balok'!$B$23:$B$7253,$B198,'Besi Balok'!$F$23:$F$7253,'REKAP Balok'!N$11)</f>
        <v>134.80462980000001</v>
      </c>
      <c r="O198">
        <f>SUMIFS('Besi Balok'!$AA$23:$AA$7253,'Besi Balok'!$A$23:$A$7253,$A198,'Besi Balok'!$B$23:$B$7253,$B198,'Besi Balok'!$F$23:$F$7253,'REKAP Balok'!O$11)</f>
        <v>0</v>
      </c>
      <c r="P198">
        <f>SUMIFS('Besi Balok'!$AA$23:$AA$7253,'Besi Balok'!$A$23:$A$7253,$A198,'Besi Balok'!$B$23:$B$7253,$B198,'Besi Balok'!$F$23:$F$7253,'REKAP Balok'!P$11)</f>
        <v>180.27919872</v>
      </c>
      <c r="Q198">
        <f>SUMIFS('Besi Balok'!$AA$23:$AA$7253,'Besi Balok'!$A$23:$A$7253,$A198,'Besi Balok'!$B$23:$B$7253,$B198,'Besi Balok'!$F$23:$F$7253,'REKAP Balok'!Q$11)</f>
        <v>0</v>
      </c>
      <c r="R198">
        <f>SUMIFS('Besi Balok'!$AA$23:$AA$7253,'Besi Balok'!$A$23:$A$7253,$A198,'Besi Balok'!$B$23:$B$7253,$B198,'Besi Balok'!$F$23:$F$7253,'REKAP Balok'!R$11)</f>
        <v>0</v>
      </c>
      <c r="S198">
        <f>SUMIFS('Besi Balok'!$AA$23:$AA$7253,'Besi Balok'!$A$23:$A$7253,$A198,'Besi Balok'!$B$23:$B$7253,$B198,'Besi Balok'!$F$23:$F$7253,'REKAP Balok'!S$11)</f>
        <v>0</v>
      </c>
      <c r="T198">
        <f>SUMIFS('Besi Balok'!$AA$23:$AA$7253,'Besi Balok'!$A$23:$A$7253,$A198,'Besi Balok'!$B$23:$B$7253,$B198,'Besi Balok'!$F$23:$F$7253,'REKAP Balok'!T$11)</f>
        <v>0</v>
      </c>
      <c r="U198">
        <f>SUM(L198:T198)</f>
        <v>315.08382852</v>
      </c>
      <c r="V198">
        <f>(D198*(F198-H198)*G198*K198)/1000000000</f>
        <v>1.38825</v>
      </c>
      <c r="W198">
        <f>(((F198-H198)*2+IF(H198&gt;0,0,D198))*(G198)*K198)/1000000</f>
        <v>13.8825</v>
      </c>
      <c r="AC198">
        <f>(D198+2*$F$5)*F198*G198/1000000000</f>
        <v>3.702</v>
      </c>
    </row>
    <row r="199">
      <c r="A199" t="str">
        <f>'Data Panjang Balok'!A195</f>
        <v>Lantai 3</v>
      </c>
      <c r="B199">
        <f>'Data Panjang Balok'!B195</f>
        <v>42</v>
      </c>
      <c r="C199" t="str">
        <f>'Data Panjang Balok'!D195</f>
        <v>B24-2</v>
      </c>
      <c r="D199">
        <f>IF(C199&gt;0,VLOOKUP(C199,'Detail Balok'!$C$11:$AU$140,2,FALSE),0)</f>
        <v>200</v>
      </c>
      <c r="E199" t="str">
        <v>x</v>
      </c>
      <c r="F199">
        <f>IF(C199&gt;0,VLOOKUP(C199,'Detail Balok'!$C$11:$AU$140,3,FALSE),0)</f>
        <v>400</v>
      </c>
      <c r="G199">
        <f>'Data Panjang Balok'!I195</f>
        <v>3125</v>
      </c>
      <c r="H199">
        <f>'Data Panjang Balok'!J195</f>
        <v>150</v>
      </c>
      <c r="I199">
        <v>0</v>
      </c>
      <c r="J199">
        <f>I199-F199/1000</f>
        <v>-0.4</v>
      </c>
      <c r="K199">
        <f>'Data Panjang Balok'!E195</f>
        <v>1</v>
      </c>
      <c r="L199">
        <f>SUMIFS('Besi Balok'!$AA$23:$AA$7253,'Besi Balok'!$A$23:$A$7253,$A199,'Besi Balok'!$B$23:$B$7253,$B199,'Besi Balok'!$F$23:$F$7253,'REKAP Balok'!L$11)</f>
        <v>0</v>
      </c>
      <c r="M199">
        <f>SUMIFS('Besi Balok'!$AA$23:$AA$7253,'Besi Balok'!$A$23:$A$7253,$A199,'Besi Balok'!$B$23:$B$7253,$B199,'Besi Balok'!$F$23:$F$7253,'REKAP Balok'!M$11)</f>
        <v>0</v>
      </c>
      <c r="N199">
        <f>SUMIFS('Besi Balok'!$AA$23:$AA$7253,'Besi Balok'!$A$23:$A$7253,$A199,'Besi Balok'!$B$23:$B$7253,$B199,'Besi Balok'!$F$23:$F$7253,'REKAP Balok'!N$11)</f>
        <v>16.509870000000003</v>
      </c>
      <c r="O199">
        <f>SUMIFS('Besi Balok'!$AA$23:$AA$7253,'Besi Balok'!$A$23:$A$7253,$A199,'Besi Balok'!$B$23:$B$7253,$B199,'Besi Balok'!$F$23:$F$7253,'REKAP Balok'!O$11)</f>
        <v>0</v>
      </c>
      <c r="P199">
        <f>SUMIFS('Besi Balok'!$AA$23:$AA$7253,'Besi Balok'!$A$23:$A$7253,$A199,'Besi Balok'!$B$23:$B$7253,$B199,'Besi Balok'!$F$23:$F$7253,'REKAP Balok'!P$11)</f>
        <v>33.228264960000004</v>
      </c>
      <c r="Q199">
        <f>SUMIFS('Besi Balok'!$AA$23:$AA$7253,'Besi Balok'!$A$23:$A$7253,$A199,'Besi Balok'!$B$23:$B$7253,$B199,'Besi Balok'!$F$23:$F$7253,'REKAP Balok'!Q$11)</f>
        <v>0</v>
      </c>
      <c r="R199">
        <f>SUMIFS('Besi Balok'!$AA$23:$AA$7253,'Besi Balok'!$A$23:$A$7253,$A199,'Besi Balok'!$B$23:$B$7253,$B199,'Besi Balok'!$F$23:$F$7253,'REKAP Balok'!R$11)</f>
        <v>0</v>
      </c>
      <c r="S199">
        <f>SUMIFS('Besi Balok'!$AA$23:$AA$7253,'Besi Balok'!$A$23:$A$7253,$A199,'Besi Balok'!$B$23:$B$7253,$B199,'Besi Balok'!$F$23:$F$7253,'REKAP Balok'!S$11)</f>
        <v>0</v>
      </c>
      <c r="T199">
        <f>SUMIFS('Besi Balok'!$AA$23:$AA$7253,'Besi Balok'!$A$23:$A$7253,$A199,'Besi Balok'!$B$23:$B$7253,$B199,'Besi Balok'!$F$23:$F$7253,'REKAP Balok'!T$11)</f>
        <v>0</v>
      </c>
      <c r="U199">
        <f>SUM(L199:T199)</f>
        <v>49.73813496000001</v>
      </c>
      <c r="V199">
        <f>(D199*(F199-H199)*G199*K199)/1000000000</f>
        <v>0.15625</v>
      </c>
      <c r="W199">
        <f>(((F199-H199)*2+IF(H199&gt;0,0,D199))*(G199)*K199)/1000000</f>
        <v>1.5625</v>
      </c>
      <c r="AC199">
        <f>(D199+2*$F$5)*F199*G199/1000000000</f>
        <v>0.5</v>
      </c>
    </row>
    <row r="200">
      <c r="A200" t="str">
        <f>'Data Panjang Balok'!A196</f>
        <v>Lantai 3</v>
      </c>
      <c r="B200">
        <f>'Data Panjang Balok'!B196</f>
        <v>43</v>
      </c>
      <c r="C200" t="str">
        <f>'Data Panjang Balok'!D196</f>
        <v>B24-2</v>
      </c>
      <c r="D200">
        <f>IF(C200&gt;0,VLOOKUP(C200,'Detail Balok'!$C$11:$AU$140,2,FALSE),0)</f>
        <v>200</v>
      </c>
      <c r="E200" t="str">
        <v>x</v>
      </c>
      <c r="F200">
        <f>IF(C200&gt;0,VLOOKUP(C200,'Detail Balok'!$C$11:$AU$140,3,FALSE),0)</f>
        <v>400</v>
      </c>
      <c r="G200">
        <f>'Data Panjang Balok'!I196</f>
        <v>3125</v>
      </c>
      <c r="H200">
        <f>'Data Panjang Balok'!J196</f>
        <v>150</v>
      </c>
      <c r="I200">
        <v>0</v>
      </c>
      <c r="J200">
        <f>I200-F200/1000</f>
        <v>-0.4</v>
      </c>
      <c r="K200">
        <f>'Data Panjang Balok'!E196</f>
        <v>1</v>
      </c>
      <c r="L200">
        <f>SUMIFS('Besi Balok'!$AA$23:$AA$7253,'Besi Balok'!$A$23:$A$7253,$A200,'Besi Balok'!$B$23:$B$7253,$B200,'Besi Balok'!$F$23:$F$7253,'REKAP Balok'!L$11)</f>
        <v>0</v>
      </c>
      <c r="M200">
        <f>SUMIFS('Besi Balok'!$AA$23:$AA$7253,'Besi Balok'!$A$23:$A$7253,$A200,'Besi Balok'!$B$23:$B$7253,$B200,'Besi Balok'!$F$23:$F$7253,'REKAP Balok'!M$11)</f>
        <v>0</v>
      </c>
      <c r="N200">
        <f>SUMIFS('Besi Balok'!$AA$23:$AA$7253,'Besi Balok'!$A$23:$A$7253,$A200,'Besi Balok'!$B$23:$B$7253,$B200,'Besi Balok'!$F$23:$F$7253,'REKAP Balok'!N$11)</f>
        <v>16.509870000000003</v>
      </c>
      <c r="O200">
        <f>SUMIFS('Besi Balok'!$AA$23:$AA$7253,'Besi Balok'!$A$23:$A$7253,$A200,'Besi Balok'!$B$23:$B$7253,$B200,'Besi Balok'!$F$23:$F$7253,'REKAP Balok'!O$11)</f>
        <v>0</v>
      </c>
      <c r="P200">
        <f>SUMIFS('Besi Balok'!$AA$23:$AA$7253,'Besi Balok'!$A$23:$A$7253,$A200,'Besi Balok'!$B$23:$B$7253,$B200,'Besi Balok'!$F$23:$F$7253,'REKAP Balok'!P$11)</f>
        <v>33.228264960000004</v>
      </c>
      <c r="Q200">
        <f>SUMIFS('Besi Balok'!$AA$23:$AA$7253,'Besi Balok'!$A$23:$A$7253,$A200,'Besi Balok'!$B$23:$B$7253,$B200,'Besi Balok'!$F$23:$F$7253,'REKAP Balok'!Q$11)</f>
        <v>0</v>
      </c>
      <c r="R200">
        <f>SUMIFS('Besi Balok'!$AA$23:$AA$7253,'Besi Balok'!$A$23:$A$7253,$A200,'Besi Balok'!$B$23:$B$7253,$B200,'Besi Balok'!$F$23:$F$7253,'REKAP Balok'!R$11)</f>
        <v>0</v>
      </c>
      <c r="S200">
        <f>SUMIFS('Besi Balok'!$AA$23:$AA$7253,'Besi Balok'!$A$23:$A$7253,$A200,'Besi Balok'!$B$23:$B$7253,$B200,'Besi Balok'!$F$23:$F$7253,'REKAP Balok'!S$11)</f>
        <v>0</v>
      </c>
      <c r="T200">
        <f>SUMIFS('Besi Balok'!$AA$23:$AA$7253,'Besi Balok'!$A$23:$A$7253,$A200,'Besi Balok'!$B$23:$B$7253,$B200,'Besi Balok'!$F$23:$F$7253,'REKAP Balok'!T$11)</f>
        <v>0</v>
      </c>
      <c r="U200">
        <f>SUM(L200:T200)</f>
        <v>49.73813496000001</v>
      </c>
      <c r="V200">
        <f>(D200*(F200-H200)*G200*K200)/1000000000</f>
        <v>0.15625</v>
      </c>
      <c r="W200">
        <f>(((F200-H200)*2+IF(H200&gt;0,0,D200))*(G200)*K200)/1000000</f>
        <v>1.5625</v>
      </c>
      <c r="AC200">
        <f>(D200+2*$F$5)*F200*G200/1000000000</f>
        <v>0.5</v>
      </c>
    </row>
    <row r="201">
      <c r="A201" t="str">
        <f>'Data Panjang Balok'!A197</f>
        <v>Lantai 3</v>
      </c>
      <c r="B201">
        <f>'Data Panjang Balok'!B197</f>
        <v>44</v>
      </c>
      <c r="C201" t="str">
        <f>'Data Panjang Balok'!D197</f>
        <v>B24-2</v>
      </c>
      <c r="D201">
        <f>IF(C201&gt;0,VLOOKUP(C201,'Detail Balok'!$C$11:$AU$140,2,FALSE),0)</f>
        <v>200</v>
      </c>
      <c r="E201" t="str">
        <v>x</v>
      </c>
      <c r="F201">
        <f>IF(C201&gt;0,VLOOKUP(C201,'Detail Balok'!$C$11:$AU$140,3,FALSE),0)</f>
        <v>400</v>
      </c>
      <c r="G201">
        <f>'Data Panjang Balok'!I197</f>
        <v>12750</v>
      </c>
      <c r="H201">
        <f>'Data Panjang Balok'!J197</f>
        <v>150</v>
      </c>
      <c r="I201">
        <v>0</v>
      </c>
      <c r="J201">
        <f>I201-F201/1000</f>
        <v>-0.4</v>
      </c>
      <c r="K201">
        <f>'Data Panjang Balok'!E197</f>
        <v>1</v>
      </c>
      <c r="L201">
        <f>SUMIFS('Besi Balok'!$AA$23:$AA$7253,'Besi Balok'!$A$23:$A$7253,$A201,'Besi Balok'!$B$23:$B$7253,$B201,'Besi Balok'!$F$23:$F$7253,'REKAP Balok'!L$11)</f>
        <v>0</v>
      </c>
      <c r="M201">
        <f>SUMIFS('Besi Balok'!$AA$23:$AA$7253,'Besi Balok'!$A$23:$A$7253,$A201,'Besi Balok'!$B$23:$B$7253,$B201,'Besi Balok'!$F$23:$F$7253,'REKAP Balok'!M$11)</f>
        <v>0</v>
      </c>
      <c r="N201">
        <f>SUMIFS('Besi Balok'!$AA$23:$AA$7253,'Besi Balok'!$A$23:$A$7253,$A201,'Besi Balok'!$B$23:$B$7253,$B201,'Besi Balok'!$F$23:$F$7253,'REKAP Balok'!N$11)</f>
        <v>62.229510000000005</v>
      </c>
      <c r="O201">
        <f>SUMIFS('Besi Balok'!$AA$23:$AA$7253,'Besi Balok'!$A$23:$A$7253,$A201,'Besi Balok'!$B$23:$B$7253,$B201,'Besi Balok'!$F$23:$F$7253,'REKAP Balok'!O$11)</f>
        <v>0</v>
      </c>
      <c r="P201">
        <f>SUMIFS('Besi Balok'!$AA$23:$AA$7253,'Besi Balok'!$A$23:$A$7253,$A201,'Besi Balok'!$B$23:$B$7253,$B201,'Besi Balok'!$F$23:$F$7253,'REKAP Balok'!P$11)</f>
        <v>124.37920051200001</v>
      </c>
      <c r="Q201">
        <f>SUMIFS('Besi Balok'!$AA$23:$AA$7253,'Besi Balok'!$A$23:$A$7253,$A201,'Besi Balok'!$B$23:$B$7253,$B201,'Besi Balok'!$F$23:$F$7253,'REKAP Balok'!Q$11)</f>
        <v>0</v>
      </c>
      <c r="R201">
        <f>SUMIFS('Besi Balok'!$AA$23:$AA$7253,'Besi Balok'!$A$23:$A$7253,$A201,'Besi Balok'!$B$23:$B$7253,$B201,'Besi Balok'!$F$23:$F$7253,'REKAP Balok'!R$11)</f>
        <v>0</v>
      </c>
      <c r="S201">
        <f>SUMIFS('Besi Balok'!$AA$23:$AA$7253,'Besi Balok'!$A$23:$A$7253,$A201,'Besi Balok'!$B$23:$B$7253,$B201,'Besi Balok'!$F$23:$F$7253,'REKAP Balok'!S$11)</f>
        <v>0</v>
      </c>
      <c r="T201">
        <f>SUMIFS('Besi Balok'!$AA$23:$AA$7253,'Besi Balok'!$A$23:$A$7253,$A201,'Besi Balok'!$B$23:$B$7253,$B201,'Besi Balok'!$F$23:$F$7253,'REKAP Balok'!T$11)</f>
        <v>0</v>
      </c>
      <c r="U201">
        <f>SUM(L201:T201)</f>
        <v>186.60871051200002</v>
      </c>
      <c r="V201">
        <f>(D201*(F201-H201)*G201*K201)/1000000000</f>
        <v>0.6375</v>
      </c>
      <c r="W201">
        <f>(((F201-H201)*2+IF(H201&gt;0,0,D201))*(G201)*K201)/1000000</f>
        <v>6.375</v>
      </c>
      <c r="AC201">
        <f>(D201+2*$F$5)*F201*G201/1000000000</f>
        <v>2.04</v>
      </c>
    </row>
    <row r="202">
      <c r="A202" t="str">
        <f>'Data Panjang Balok'!A198</f>
        <v>Lantai 3</v>
      </c>
      <c r="B202">
        <f>'Data Panjang Balok'!B198</f>
        <v>45</v>
      </c>
      <c r="C202" t="str">
        <f>'Data Panjang Balok'!D198</f>
        <v>B24-2</v>
      </c>
      <c r="D202">
        <f>IF(C202&gt;0,VLOOKUP(C202,'Detail Balok'!$C$11:$AU$140,2,FALSE),0)</f>
        <v>200</v>
      </c>
      <c r="E202" t="str">
        <v>x</v>
      </c>
      <c r="F202">
        <f>IF(C202&gt;0,VLOOKUP(C202,'Detail Balok'!$C$11:$AU$140,3,FALSE),0)</f>
        <v>400</v>
      </c>
      <c r="G202">
        <f>'Data Panjang Balok'!I198</f>
        <v>12750</v>
      </c>
      <c r="H202">
        <f>'Data Panjang Balok'!J198</f>
        <v>150</v>
      </c>
      <c r="I202">
        <v>0</v>
      </c>
      <c r="J202">
        <f>I202-F202/1000</f>
        <v>-0.4</v>
      </c>
      <c r="K202">
        <f>'Data Panjang Balok'!E198</f>
        <v>1</v>
      </c>
      <c r="L202">
        <f>SUMIFS('Besi Balok'!$AA$23:$AA$7253,'Besi Balok'!$A$23:$A$7253,$A202,'Besi Balok'!$B$23:$B$7253,$B202,'Besi Balok'!$F$23:$F$7253,'REKAP Balok'!L$11)</f>
        <v>0</v>
      </c>
      <c r="M202">
        <f>SUMIFS('Besi Balok'!$AA$23:$AA$7253,'Besi Balok'!$A$23:$A$7253,$A202,'Besi Balok'!$B$23:$B$7253,$B202,'Besi Balok'!$F$23:$F$7253,'REKAP Balok'!M$11)</f>
        <v>0</v>
      </c>
      <c r="N202">
        <f>SUMIFS('Besi Balok'!$AA$23:$AA$7253,'Besi Balok'!$A$23:$A$7253,$A202,'Besi Balok'!$B$23:$B$7253,$B202,'Besi Balok'!$F$23:$F$7253,'REKAP Balok'!N$11)</f>
        <v>62.229510000000005</v>
      </c>
      <c r="O202">
        <f>SUMIFS('Besi Balok'!$AA$23:$AA$7253,'Besi Balok'!$A$23:$A$7253,$A202,'Besi Balok'!$B$23:$B$7253,$B202,'Besi Balok'!$F$23:$F$7253,'REKAP Balok'!O$11)</f>
        <v>0</v>
      </c>
      <c r="P202">
        <f>SUMIFS('Besi Balok'!$AA$23:$AA$7253,'Besi Balok'!$A$23:$A$7253,$A202,'Besi Balok'!$B$23:$B$7253,$B202,'Besi Balok'!$F$23:$F$7253,'REKAP Balok'!P$11)</f>
        <v>124.37920051200001</v>
      </c>
      <c r="Q202">
        <f>SUMIFS('Besi Balok'!$AA$23:$AA$7253,'Besi Balok'!$A$23:$A$7253,$A202,'Besi Balok'!$B$23:$B$7253,$B202,'Besi Balok'!$F$23:$F$7253,'REKAP Balok'!Q$11)</f>
        <v>0</v>
      </c>
      <c r="R202">
        <f>SUMIFS('Besi Balok'!$AA$23:$AA$7253,'Besi Balok'!$A$23:$A$7253,$A202,'Besi Balok'!$B$23:$B$7253,$B202,'Besi Balok'!$F$23:$F$7253,'REKAP Balok'!R$11)</f>
        <v>0</v>
      </c>
      <c r="S202">
        <f>SUMIFS('Besi Balok'!$AA$23:$AA$7253,'Besi Balok'!$A$23:$A$7253,$A202,'Besi Balok'!$B$23:$B$7253,$B202,'Besi Balok'!$F$23:$F$7253,'REKAP Balok'!S$11)</f>
        <v>0</v>
      </c>
      <c r="T202">
        <f>SUMIFS('Besi Balok'!$AA$23:$AA$7253,'Besi Balok'!$A$23:$A$7253,$A202,'Besi Balok'!$B$23:$B$7253,$B202,'Besi Balok'!$F$23:$F$7253,'REKAP Balok'!T$11)</f>
        <v>0</v>
      </c>
      <c r="U202">
        <f>SUM(L202:T202)</f>
        <v>186.60871051200002</v>
      </c>
      <c r="V202">
        <f>(D202*(F202-H202)*G202*K202)/1000000000</f>
        <v>0.6375</v>
      </c>
      <c r="W202">
        <f>(((F202-H202)*2+IF(H202&gt;0,0,D202))*(G202)*K202)/1000000</f>
        <v>6.375</v>
      </c>
      <c r="AC202">
        <f>(D202+2*$F$5)*F202*G202/1000000000</f>
        <v>2.04</v>
      </c>
    </row>
    <row r="203">
      <c r="A203" t="str">
        <f>'Data Panjang Balok'!A199</f>
        <v>Lantai 3</v>
      </c>
      <c r="B203">
        <f>'Data Panjang Balok'!B199</f>
        <v>46</v>
      </c>
      <c r="C203" t="str">
        <f>'Data Panjang Balok'!D199</f>
        <v>B26-1</v>
      </c>
      <c r="D203">
        <f>IF(C203&gt;0,VLOOKUP(C203,'Detail Balok'!$C$11:$AU$140,2,FALSE),0)</f>
        <v>200</v>
      </c>
      <c r="E203" t="str">
        <v>x</v>
      </c>
      <c r="F203">
        <f>IF(C203&gt;0,VLOOKUP(C203,'Detail Balok'!$C$11:$AU$140,3,FALSE),0)</f>
        <v>600</v>
      </c>
      <c r="G203">
        <f>'Data Panjang Balok'!I199</f>
        <v>1600</v>
      </c>
      <c r="H203">
        <f>'Data Panjang Balok'!J199</f>
        <v>150</v>
      </c>
      <c r="I203">
        <v>0</v>
      </c>
      <c r="J203">
        <f>I203-F203/1000</f>
        <v>-0.6</v>
      </c>
      <c r="K203">
        <f>'Data Panjang Balok'!E199</f>
        <v>1</v>
      </c>
      <c r="L203">
        <f>SUMIFS('Besi Balok'!$AA$23:$AA$7253,'Besi Balok'!$A$23:$A$7253,$A203,'Besi Balok'!$B$23:$B$7253,$B203,'Besi Balok'!$F$23:$F$7253,'REKAP Balok'!L$11)</f>
        <v>0</v>
      </c>
      <c r="M203">
        <f>SUMIFS('Besi Balok'!$AA$23:$AA$7253,'Besi Balok'!$A$23:$A$7253,$A203,'Besi Balok'!$B$23:$B$7253,$B203,'Besi Balok'!$F$23:$F$7253,'REKAP Balok'!M$11)</f>
        <v>0</v>
      </c>
      <c r="N203">
        <f>SUMIFS('Besi Balok'!$AA$23:$AA$7253,'Besi Balok'!$A$23:$A$7253,$A203,'Besi Balok'!$B$23:$B$7253,$B203,'Besi Balok'!$F$23:$F$7253,'REKAP Balok'!N$11)</f>
        <v>17.255835</v>
      </c>
      <c r="O203">
        <f>SUMIFS('Besi Balok'!$AA$23:$AA$7253,'Besi Balok'!$A$23:$A$7253,$A203,'Besi Balok'!$B$23:$B$7253,$B203,'Besi Balok'!$F$23:$F$7253,'REKAP Balok'!O$11)</f>
        <v>0</v>
      </c>
      <c r="P203">
        <f>SUMIFS('Besi Balok'!$AA$23:$AA$7253,'Besi Balok'!$A$23:$A$7253,$A203,'Besi Balok'!$B$23:$B$7253,$B203,'Besi Balok'!$F$23:$F$7253,'REKAP Balok'!P$11)</f>
        <v>23.181189120000006</v>
      </c>
      <c r="Q203">
        <f>SUMIFS('Besi Balok'!$AA$23:$AA$7253,'Besi Balok'!$A$23:$A$7253,$A203,'Besi Balok'!$B$23:$B$7253,$B203,'Besi Balok'!$F$23:$F$7253,'REKAP Balok'!Q$11)</f>
        <v>0</v>
      </c>
      <c r="R203">
        <f>SUMIFS('Besi Balok'!$AA$23:$AA$7253,'Besi Balok'!$A$23:$A$7253,$A203,'Besi Balok'!$B$23:$B$7253,$B203,'Besi Balok'!$F$23:$F$7253,'REKAP Balok'!R$11)</f>
        <v>0</v>
      </c>
      <c r="S203">
        <f>SUMIFS('Besi Balok'!$AA$23:$AA$7253,'Besi Balok'!$A$23:$A$7253,$A203,'Besi Balok'!$B$23:$B$7253,$B203,'Besi Balok'!$F$23:$F$7253,'REKAP Balok'!S$11)</f>
        <v>0</v>
      </c>
      <c r="T203">
        <f>SUMIFS('Besi Balok'!$AA$23:$AA$7253,'Besi Balok'!$A$23:$A$7253,$A203,'Besi Balok'!$B$23:$B$7253,$B203,'Besi Balok'!$F$23:$F$7253,'REKAP Balok'!T$11)</f>
        <v>0</v>
      </c>
      <c r="U203">
        <f>SUM(L203:T203)</f>
        <v>40.437024120000004</v>
      </c>
      <c r="V203">
        <f>(D203*(F203-H203)*G203*K203)/1000000000</f>
        <v>0.144</v>
      </c>
      <c r="W203">
        <f>(((F203-H203)*2+IF(H203&gt;0,0,D203))*(G203)*K203)/1000000</f>
        <v>1.44</v>
      </c>
      <c r="AC203">
        <f>(D203+2*$F$5)*F203*G203/1000000000</f>
        <v>0.384</v>
      </c>
    </row>
    <row r="204">
      <c r="A204" t="str">
        <f>'Data Panjang Balok'!A200</f>
        <v>Lantai 3</v>
      </c>
      <c r="B204">
        <f>'Data Panjang Balok'!B200</f>
        <v>47</v>
      </c>
      <c r="C204" t="str">
        <f>'Data Panjang Balok'!D200</f>
        <v>CL24-1</v>
      </c>
      <c r="D204">
        <f>IF(C204&gt;0,VLOOKUP(C204,'Detail Balok'!$C$11:$AU$140,2,FALSE),0)</f>
        <v>200</v>
      </c>
      <c r="E204" t="str">
        <v>x</v>
      </c>
      <c r="F204">
        <f>IF(C204&gt;0,VLOOKUP(C204,'Detail Balok'!$C$11:$AU$140,3,FALSE),0)</f>
        <v>400</v>
      </c>
      <c r="G204">
        <f>'Data Panjang Balok'!I200</f>
        <v>12650</v>
      </c>
      <c r="H204">
        <f>'Data Panjang Balok'!J200</f>
        <v>150</v>
      </c>
      <c r="I204">
        <v>0</v>
      </c>
      <c r="J204">
        <f>I204-F204/1000</f>
        <v>-0.4</v>
      </c>
      <c r="K204">
        <f>'Data Panjang Balok'!E200</f>
        <v>1</v>
      </c>
      <c r="L204">
        <f>SUMIFS('Besi Balok'!$AA$23:$AA$7253,'Besi Balok'!$A$23:$A$7253,$A204,'Besi Balok'!$B$23:$B$7253,$B204,'Besi Balok'!$F$23:$F$7253,'REKAP Balok'!L$11)</f>
        <v>0</v>
      </c>
      <c r="M204">
        <f>SUMIFS('Besi Balok'!$AA$23:$AA$7253,'Besi Balok'!$A$23:$A$7253,$A204,'Besi Balok'!$B$23:$B$7253,$B204,'Besi Balok'!$F$23:$F$7253,'REKAP Balok'!M$11)</f>
        <v>0</v>
      </c>
      <c r="N204">
        <f>SUMIFS('Besi Balok'!$AA$23:$AA$7253,'Besi Balok'!$A$23:$A$7253,$A204,'Besi Balok'!$B$23:$B$7253,$B204,'Besi Balok'!$F$23:$F$7253,'REKAP Balok'!N$11)</f>
        <v>81.914355</v>
      </c>
      <c r="O204">
        <f>SUMIFS('Besi Balok'!$AA$23:$AA$7253,'Besi Balok'!$A$23:$A$7253,$A204,'Besi Balok'!$B$23:$B$7253,$B204,'Besi Balok'!$F$23:$F$7253,'REKAP Balok'!O$11)</f>
        <v>0</v>
      </c>
      <c r="P204">
        <f>SUMIFS('Besi Balok'!$AA$23:$AA$7253,'Besi Balok'!$A$23:$A$7253,$A204,'Besi Balok'!$B$23:$B$7253,$B204,'Besi Balok'!$F$23:$F$7253,'REKAP Balok'!P$11)</f>
        <v>123.43225651200001</v>
      </c>
      <c r="Q204">
        <f>SUMIFS('Besi Balok'!$AA$23:$AA$7253,'Besi Balok'!$A$23:$A$7253,$A204,'Besi Balok'!$B$23:$B$7253,$B204,'Besi Balok'!$F$23:$F$7253,'REKAP Balok'!Q$11)</f>
        <v>0</v>
      </c>
      <c r="R204">
        <f>SUMIFS('Besi Balok'!$AA$23:$AA$7253,'Besi Balok'!$A$23:$A$7253,$A204,'Besi Balok'!$B$23:$B$7253,$B204,'Besi Balok'!$F$23:$F$7253,'REKAP Balok'!R$11)</f>
        <v>0</v>
      </c>
      <c r="S204">
        <f>SUMIFS('Besi Balok'!$AA$23:$AA$7253,'Besi Balok'!$A$23:$A$7253,$A204,'Besi Balok'!$B$23:$B$7253,$B204,'Besi Balok'!$F$23:$F$7253,'REKAP Balok'!S$11)</f>
        <v>0</v>
      </c>
      <c r="T204">
        <f>SUMIFS('Besi Balok'!$AA$23:$AA$7253,'Besi Balok'!$A$23:$A$7253,$A204,'Besi Balok'!$B$23:$B$7253,$B204,'Besi Balok'!$F$23:$F$7253,'REKAP Balok'!T$11)</f>
        <v>0</v>
      </c>
      <c r="U204">
        <f>SUM(L204:T204)</f>
        <v>205.346611512</v>
      </c>
      <c r="V204">
        <f>(D204*(F204-H204)*G204*K204)/1000000000</f>
        <v>0.6325</v>
      </c>
      <c r="W204">
        <f>(((F204-H204)*2+IF(H204&gt;0,0,D204))*(G204)*K204)/1000000</f>
        <v>6.325</v>
      </c>
      <c r="AC204">
        <f>(D204+2*$F$5)*F204*G204/1000000000</f>
        <v>2.024</v>
      </c>
    </row>
    <row r="205">
      <c r="A205" t="str">
        <f>'Data Panjang Balok'!A201</f>
        <v>Lantai 3</v>
      </c>
      <c r="B205">
        <f>'Data Panjang Balok'!B201</f>
        <v>48</v>
      </c>
      <c r="C205" t="str">
        <f>'Data Panjang Balok'!D201</f>
        <v>B25-1</v>
      </c>
      <c r="D205">
        <f>IF(C205&gt;0,VLOOKUP(C205,'Detail Balok'!$C$11:$AU$140,2,FALSE),0)</f>
        <v>200</v>
      </c>
      <c r="E205" t="str">
        <v>x</v>
      </c>
      <c r="F205">
        <f>IF(C205&gt;0,VLOOKUP(C205,'Detail Balok'!$C$11:$AU$140,3,FALSE),0)</f>
        <v>500</v>
      </c>
      <c r="G205">
        <f>'Data Panjang Balok'!I201</f>
        <v>5825</v>
      </c>
      <c r="H205">
        <f>'Data Panjang Balok'!J201</f>
        <v>150</v>
      </c>
      <c r="I205">
        <v>0</v>
      </c>
      <c r="J205">
        <f>I205-F205/1000</f>
        <v>-0.5</v>
      </c>
      <c r="K205">
        <f>'Data Panjang Balok'!E201</f>
        <v>1</v>
      </c>
      <c r="L205">
        <f>SUMIFS('Besi Balok'!$AA$23:$AA$7253,'Besi Balok'!$A$23:$A$7253,$A205,'Besi Balok'!$B$23:$B$7253,$B205,'Besi Balok'!$F$23:$F$7253,'REKAP Balok'!L$11)</f>
        <v>0</v>
      </c>
      <c r="M205">
        <f>SUMIFS('Besi Balok'!$AA$23:$AA$7253,'Besi Balok'!$A$23:$A$7253,$A205,'Besi Balok'!$B$23:$B$7253,$B205,'Besi Balok'!$F$23:$F$7253,'REKAP Balok'!M$11)</f>
        <v>0</v>
      </c>
      <c r="N205">
        <f>SUMIFS('Besi Balok'!$AA$23:$AA$7253,'Besi Balok'!$A$23:$A$7253,$A205,'Besi Balok'!$B$23:$B$7253,$B205,'Besi Balok'!$F$23:$F$7253,'REKAP Balok'!N$11)</f>
        <v>35.53506</v>
      </c>
      <c r="O205">
        <f>SUMIFS('Besi Balok'!$AA$23:$AA$7253,'Besi Balok'!$A$23:$A$7253,$A205,'Besi Balok'!$B$23:$B$7253,$B205,'Besi Balok'!$F$23:$F$7253,'REKAP Balok'!O$11)</f>
        <v>0</v>
      </c>
      <c r="P205">
        <f>SUMIFS('Besi Balok'!$AA$23:$AA$7253,'Besi Balok'!$A$23:$A$7253,$A205,'Besi Balok'!$B$23:$B$7253,$B205,'Besi Balok'!$F$23:$F$7253,'REKAP Balok'!P$11)</f>
        <v>78.39433728000002</v>
      </c>
      <c r="Q205">
        <f>SUMIFS('Besi Balok'!$AA$23:$AA$7253,'Besi Balok'!$A$23:$A$7253,$A205,'Besi Balok'!$B$23:$B$7253,$B205,'Besi Balok'!$F$23:$F$7253,'REKAP Balok'!Q$11)</f>
        <v>0</v>
      </c>
      <c r="R205">
        <f>SUMIFS('Besi Balok'!$AA$23:$AA$7253,'Besi Balok'!$A$23:$A$7253,$A205,'Besi Balok'!$B$23:$B$7253,$B205,'Besi Balok'!$F$23:$F$7253,'REKAP Balok'!R$11)</f>
        <v>0</v>
      </c>
      <c r="S205">
        <f>SUMIFS('Besi Balok'!$AA$23:$AA$7253,'Besi Balok'!$A$23:$A$7253,$A205,'Besi Balok'!$B$23:$B$7253,$B205,'Besi Balok'!$F$23:$F$7253,'REKAP Balok'!S$11)</f>
        <v>0</v>
      </c>
      <c r="T205">
        <f>SUMIFS('Besi Balok'!$AA$23:$AA$7253,'Besi Balok'!$A$23:$A$7253,$A205,'Besi Balok'!$B$23:$B$7253,$B205,'Besi Balok'!$F$23:$F$7253,'REKAP Balok'!T$11)</f>
        <v>0</v>
      </c>
      <c r="U205">
        <f>SUM(L205:T205)</f>
        <v>113.92939728000002</v>
      </c>
      <c r="V205">
        <f>(D205*(F205-H205)*G205*K205)/1000000000</f>
        <v>0.40775</v>
      </c>
      <c r="W205">
        <f>(((F205-H205)*2+IF(H205&gt;0,0,D205))*(G205)*K205)/1000000</f>
        <v>4.0775</v>
      </c>
      <c r="AC205">
        <f>(D205+2*$F$5)*F205*G205/1000000000</f>
        <v>1.165</v>
      </c>
    </row>
    <row r="206">
      <c r="A206" t="str">
        <f>'Data Panjang Balok'!A202</f>
        <v>Lantai 3</v>
      </c>
      <c r="B206">
        <f>'Data Panjang Balok'!B202</f>
        <v>49</v>
      </c>
      <c r="C206" t="str">
        <f>'Data Panjang Balok'!D202</f>
        <v>B24-1</v>
      </c>
      <c r="D206">
        <f>IF(C206&gt;0,VLOOKUP(C206,'Detail Balok'!$C$11:$AU$140,2,FALSE),0)</f>
        <v>200</v>
      </c>
      <c r="E206" t="str">
        <v>x</v>
      </c>
      <c r="F206">
        <f>IF(C206&gt;0,VLOOKUP(C206,'Detail Balok'!$C$11:$AU$140,3,FALSE),0)</f>
        <v>400</v>
      </c>
      <c r="G206">
        <f>'Data Panjang Balok'!I202</f>
        <v>1705</v>
      </c>
      <c r="H206">
        <f>'Data Panjang Balok'!J202</f>
        <v>0</v>
      </c>
      <c r="I206">
        <v>0</v>
      </c>
      <c r="J206">
        <f>I206-F206/1000</f>
        <v>-0.4</v>
      </c>
      <c r="K206">
        <f>'Data Panjang Balok'!E202</f>
        <v>1</v>
      </c>
      <c r="L206">
        <f>SUMIFS('Besi Balok'!$AA$23:$AA$7253,'Besi Balok'!$A$23:$A$7253,$A206,'Besi Balok'!$B$23:$B$7253,$B206,'Besi Balok'!$F$23:$F$7253,'REKAP Balok'!L$11)</f>
        <v>0</v>
      </c>
      <c r="M206">
        <f>SUMIFS('Besi Balok'!$AA$23:$AA$7253,'Besi Balok'!$A$23:$A$7253,$A206,'Besi Balok'!$B$23:$B$7253,$B206,'Besi Balok'!$F$23:$F$7253,'REKAP Balok'!M$11)</f>
        <v>0</v>
      </c>
      <c r="N206">
        <f>SUMIFS('Besi Balok'!$AA$23:$AA$7253,'Besi Balok'!$A$23:$A$7253,$A206,'Besi Balok'!$B$23:$B$7253,$B206,'Besi Balok'!$F$23:$F$7253,'REKAP Balok'!N$11)</f>
        <v>12.064905000000001</v>
      </c>
      <c r="O206">
        <f>SUMIFS('Besi Balok'!$AA$23:$AA$7253,'Besi Balok'!$A$23:$A$7253,$A206,'Besi Balok'!$B$23:$B$7253,$B206,'Besi Balok'!$F$23:$F$7253,'REKAP Balok'!O$11)</f>
        <v>12.608892270000002</v>
      </c>
      <c r="P206">
        <f>SUMIFS('Besi Balok'!$AA$23:$AA$7253,'Besi Balok'!$A$23:$A$7253,$A206,'Besi Balok'!$B$23:$B$7253,$B206,'Besi Balok'!$F$23:$F$7253,'REKAP Balok'!P$11)</f>
        <v>0</v>
      </c>
      <c r="Q206">
        <f>SUMIFS('Besi Balok'!$AA$23:$AA$7253,'Besi Balok'!$A$23:$A$7253,$A206,'Besi Balok'!$B$23:$B$7253,$B206,'Besi Balok'!$F$23:$F$7253,'REKAP Balok'!Q$11)</f>
        <v>0</v>
      </c>
      <c r="R206">
        <f>SUMIFS('Besi Balok'!$AA$23:$AA$7253,'Besi Balok'!$A$23:$A$7253,$A206,'Besi Balok'!$B$23:$B$7253,$B206,'Besi Balok'!$F$23:$F$7253,'REKAP Balok'!R$11)</f>
        <v>0</v>
      </c>
      <c r="S206">
        <f>SUMIFS('Besi Balok'!$AA$23:$AA$7253,'Besi Balok'!$A$23:$A$7253,$A206,'Besi Balok'!$B$23:$B$7253,$B206,'Besi Balok'!$F$23:$F$7253,'REKAP Balok'!S$11)</f>
        <v>0</v>
      </c>
      <c r="T206">
        <f>SUMIFS('Besi Balok'!$AA$23:$AA$7253,'Besi Balok'!$A$23:$A$7253,$A206,'Besi Balok'!$B$23:$B$7253,$B206,'Besi Balok'!$F$23:$F$7253,'REKAP Balok'!T$11)</f>
        <v>0</v>
      </c>
      <c r="U206">
        <f>SUM(L206:T206)</f>
        <v>24.67379727</v>
      </c>
      <c r="V206">
        <f>(D206*(F206-H206)*G206*K206)/1000000000</f>
        <v>0.1364</v>
      </c>
      <c r="W206">
        <f>(((F206-H206)*2+IF(H206&gt;0,0,D206))*(G206)*K206)/1000000</f>
        <v>1.705</v>
      </c>
      <c r="AC206">
        <f>(D206+2*$F$5)*F206*G206/1000000000</f>
        <v>0.2728</v>
      </c>
    </row>
    <row r="207">
      <c r="A207" t="str">
        <f>'Data Panjang Balok'!A203</f>
        <v>Lantai 3</v>
      </c>
      <c r="B207">
        <f>'Data Panjang Balok'!B203</f>
        <v>50</v>
      </c>
      <c r="C207" t="str">
        <f>'Data Panjang Balok'!D203</f>
        <v>B24-1</v>
      </c>
      <c r="D207">
        <f>IF(C207&gt;0,VLOOKUP(C207,'Detail Balok'!$C$11:$AU$140,2,FALSE),0)</f>
        <v>200</v>
      </c>
      <c r="E207" t="str">
        <v>x</v>
      </c>
      <c r="F207">
        <f>IF(C207&gt;0,VLOOKUP(C207,'Detail Balok'!$C$11:$AU$140,3,FALSE),0)</f>
        <v>400</v>
      </c>
      <c r="G207">
        <f>'Data Panjang Balok'!I203</f>
        <v>1705</v>
      </c>
      <c r="H207">
        <f>'Data Panjang Balok'!J203</f>
        <v>0</v>
      </c>
      <c r="I207">
        <v>0</v>
      </c>
      <c r="J207">
        <f>I207-F207/1000</f>
        <v>-0.4</v>
      </c>
      <c r="K207">
        <f>'Data Panjang Balok'!E203</f>
        <v>1</v>
      </c>
      <c r="L207">
        <f>SUMIFS('Besi Balok'!$AA$23:$AA$7253,'Besi Balok'!$A$23:$A$7253,$A207,'Besi Balok'!$B$23:$B$7253,$B207,'Besi Balok'!$F$23:$F$7253,'REKAP Balok'!L$11)</f>
        <v>0</v>
      </c>
      <c r="M207">
        <f>SUMIFS('Besi Balok'!$AA$23:$AA$7253,'Besi Balok'!$A$23:$A$7253,$A207,'Besi Balok'!$B$23:$B$7253,$B207,'Besi Balok'!$F$23:$F$7253,'REKAP Balok'!M$11)</f>
        <v>0</v>
      </c>
      <c r="N207">
        <f>SUMIFS('Besi Balok'!$AA$23:$AA$7253,'Besi Balok'!$A$23:$A$7253,$A207,'Besi Balok'!$B$23:$B$7253,$B207,'Besi Balok'!$F$23:$F$7253,'REKAP Balok'!N$11)</f>
        <v>12.064905000000001</v>
      </c>
      <c r="O207">
        <f>SUMIFS('Besi Balok'!$AA$23:$AA$7253,'Besi Balok'!$A$23:$A$7253,$A207,'Besi Balok'!$B$23:$B$7253,$B207,'Besi Balok'!$F$23:$F$7253,'REKAP Balok'!O$11)</f>
        <v>12.608892270000002</v>
      </c>
      <c r="P207">
        <f>SUMIFS('Besi Balok'!$AA$23:$AA$7253,'Besi Balok'!$A$23:$A$7253,$A207,'Besi Balok'!$B$23:$B$7253,$B207,'Besi Balok'!$F$23:$F$7253,'REKAP Balok'!P$11)</f>
        <v>0</v>
      </c>
      <c r="Q207">
        <f>SUMIFS('Besi Balok'!$AA$23:$AA$7253,'Besi Balok'!$A$23:$A$7253,$A207,'Besi Balok'!$B$23:$B$7253,$B207,'Besi Balok'!$F$23:$F$7253,'REKAP Balok'!Q$11)</f>
        <v>0</v>
      </c>
      <c r="R207">
        <f>SUMIFS('Besi Balok'!$AA$23:$AA$7253,'Besi Balok'!$A$23:$A$7253,$A207,'Besi Balok'!$B$23:$B$7253,$B207,'Besi Balok'!$F$23:$F$7253,'REKAP Balok'!R$11)</f>
        <v>0</v>
      </c>
      <c r="S207">
        <f>SUMIFS('Besi Balok'!$AA$23:$AA$7253,'Besi Balok'!$A$23:$A$7253,$A207,'Besi Balok'!$B$23:$B$7253,$B207,'Besi Balok'!$F$23:$F$7253,'REKAP Balok'!S$11)</f>
        <v>0</v>
      </c>
      <c r="T207">
        <f>SUMIFS('Besi Balok'!$AA$23:$AA$7253,'Besi Balok'!$A$23:$A$7253,$A207,'Besi Balok'!$B$23:$B$7253,$B207,'Besi Balok'!$F$23:$F$7253,'REKAP Balok'!T$11)</f>
        <v>0</v>
      </c>
      <c r="U207">
        <f>SUM(L207:T207)</f>
        <v>24.67379727</v>
      </c>
      <c r="V207">
        <f>(D207*(F207-H207)*G207*K207)/1000000000</f>
        <v>0.1364</v>
      </c>
      <c r="W207">
        <f>(((F207-H207)*2+IF(H207&gt;0,0,D207))*(G207)*K207)/1000000</f>
        <v>1.705</v>
      </c>
      <c r="AC207">
        <f>(D207+2*$F$5)*F207*G207/1000000000</f>
        <v>0.2728</v>
      </c>
    </row>
    <row r="208">
      <c r="A208" t="str">
        <f>'Data Panjang Balok'!A204</f>
        <v>Lantai 3</v>
      </c>
      <c r="B208">
        <f>'Data Panjang Balok'!B204</f>
        <v>51</v>
      </c>
      <c r="C208" t="str">
        <f>'Data Panjang Balok'!D204</f>
        <v>CL24-1</v>
      </c>
      <c r="D208">
        <f>IF(C208&gt;0,VLOOKUP(C208,'Detail Balok'!$C$11:$AU$140,2,FALSE),0)</f>
        <v>200</v>
      </c>
      <c r="E208" t="str">
        <v>x</v>
      </c>
      <c r="F208">
        <f>IF(C208&gt;0,VLOOKUP(C208,'Detail Balok'!$C$11:$AU$140,3,FALSE),0)</f>
        <v>400</v>
      </c>
      <c r="G208">
        <f>'Data Panjang Balok'!I204</f>
        <v>925</v>
      </c>
      <c r="H208">
        <f>'Data Panjang Balok'!J204</f>
        <v>0</v>
      </c>
      <c r="I208">
        <v>0</v>
      </c>
      <c r="J208">
        <f>I208-F208/1000</f>
        <v>-0.4</v>
      </c>
      <c r="K208">
        <f>'Data Panjang Balok'!E204</f>
        <v>1</v>
      </c>
      <c r="L208">
        <f>SUMIFS('Besi Balok'!$AA$23:$AA$7253,'Besi Balok'!$A$23:$A$7253,$A208,'Besi Balok'!$B$23:$B$7253,$B208,'Besi Balok'!$F$23:$F$7253,'REKAP Balok'!L$11)</f>
        <v>0</v>
      </c>
      <c r="M208">
        <f>SUMIFS('Besi Balok'!$AA$23:$AA$7253,'Besi Balok'!$A$23:$A$7253,$A208,'Besi Balok'!$B$23:$B$7253,$B208,'Besi Balok'!$F$23:$F$7253,'REKAP Balok'!M$11)</f>
        <v>0</v>
      </c>
      <c r="N208">
        <f>SUMIFS('Besi Balok'!$AA$23:$AA$7253,'Besi Balok'!$A$23:$A$7253,$A208,'Besi Balok'!$B$23:$B$7253,$B208,'Besi Balok'!$F$23:$F$7253,'REKAP Balok'!N$11)</f>
        <v>6.349950000000001</v>
      </c>
      <c r="O208">
        <f>SUMIFS('Besi Balok'!$AA$23:$AA$7253,'Besi Balok'!$A$23:$A$7253,$A208,'Besi Balok'!$B$23:$B$7253,$B208,'Besi Balok'!$F$23:$F$7253,'REKAP Balok'!O$11)</f>
        <v>0</v>
      </c>
      <c r="P208">
        <f>SUMIFS('Besi Balok'!$AA$23:$AA$7253,'Besi Balok'!$A$23:$A$7253,$A208,'Besi Balok'!$B$23:$B$7253,$B208,'Besi Balok'!$F$23:$F$7253,'REKAP Balok'!P$11)</f>
        <v>12.395496960000003</v>
      </c>
      <c r="Q208">
        <f>SUMIFS('Besi Balok'!$AA$23:$AA$7253,'Besi Balok'!$A$23:$A$7253,$A208,'Besi Balok'!$B$23:$B$7253,$B208,'Besi Balok'!$F$23:$F$7253,'REKAP Balok'!Q$11)</f>
        <v>0</v>
      </c>
      <c r="R208">
        <f>SUMIFS('Besi Balok'!$AA$23:$AA$7253,'Besi Balok'!$A$23:$A$7253,$A208,'Besi Balok'!$B$23:$B$7253,$B208,'Besi Balok'!$F$23:$F$7253,'REKAP Balok'!R$11)</f>
        <v>0</v>
      </c>
      <c r="S208">
        <f>SUMIFS('Besi Balok'!$AA$23:$AA$7253,'Besi Balok'!$A$23:$A$7253,$A208,'Besi Balok'!$B$23:$B$7253,$B208,'Besi Balok'!$F$23:$F$7253,'REKAP Balok'!S$11)</f>
        <v>0</v>
      </c>
      <c r="T208">
        <f>SUMIFS('Besi Balok'!$AA$23:$AA$7253,'Besi Balok'!$A$23:$A$7253,$A208,'Besi Balok'!$B$23:$B$7253,$B208,'Besi Balok'!$F$23:$F$7253,'REKAP Balok'!T$11)</f>
        <v>0</v>
      </c>
      <c r="U208">
        <f>SUM(L208:T208)</f>
        <v>18.745446960000002</v>
      </c>
      <c r="V208">
        <f>(D208*(F208-H208)*G208*K208)/1000000000</f>
        <v>0.074</v>
      </c>
      <c r="W208">
        <f>(((F208-H208)*2+IF(H208&gt;0,0,D208))*(G208)*K208)/1000000</f>
        <v>0.925</v>
      </c>
      <c r="AC208">
        <f>(D208+2*$F$5)*F208*G208/1000000000</f>
        <v>0.148</v>
      </c>
    </row>
    <row r="209">
      <c r="A209" t="str">
        <f>'Data Panjang Balok'!A205</f>
        <v>Lantai 3</v>
      </c>
      <c r="B209">
        <f>'Data Panjang Balok'!B205</f>
        <v>52</v>
      </c>
      <c r="C209" t="str">
        <f>'Data Panjang Balok'!D205</f>
        <v>CL24-1</v>
      </c>
      <c r="D209">
        <f>IF(C209&gt;0,VLOOKUP(C209,'Detail Balok'!$C$11:$AU$140,2,FALSE),0)</f>
        <v>200</v>
      </c>
      <c r="E209" t="str">
        <v>x</v>
      </c>
      <c r="F209">
        <f>IF(C209&gt;0,VLOOKUP(C209,'Detail Balok'!$C$11:$AU$140,3,FALSE),0)</f>
        <v>400</v>
      </c>
      <c r="G209">
        <f>'Data Panjang Balok'!I205</f>
        <v>925</v>
      </c>
      <c r="H209">
        <f>'Data Panjang Balok'!J205</f>
        <v>0</v>
      </c>
      <c r="I209">
        <v>0</v>
      </c>
      <c r="J209">
        <f>I209-F209/1000</f>
        <v>-0.4</v>
      </c>
      <c r="K209">
        <f>'Data Panjang Balok'!E205</f>
        <v>1</v>
      </c>
      <c r="L209">
        <f>SUMIFS('Besi Balok'!$AA$23:$AA$7253,'Besi Balok'!$A$23:$A$7253,$A209,'Besi Balok'!$B$23:$B$7253,$B209,'Besi Balok'!$F$23:$F$7253,'REKAP Balok'!L$11)</f>
        <v>0</v>
      </c>
      <c r="M209">
        <f>SUMIFS('Besi Balok'!$AA$23:$AA$7253,'Besi Balok'!$A$23:$A$7253,$A209,'Besi Balok'!$B$23:$B$7253,$B209,'Besi Balok'!$F$23:$F$7253,'REKAP Balok'!M$11)</f>
        <v>0</v>
      </c>
      <c r="N209">
        <f>SUMIFS('Besi Balok'!$AA$23:$AA$7253,'Besi Balok'!$A$23:$A$7253,$A209,'Besi Balok'!$B$23:$B$7253,$B209,'Besi Balok'!$F$23:$F$7253,'REKAP Balok'!N$11)</f>
        <v>6.349950000000001</v>
      </c>
      <c r="O209">
        <f>SUMIFS('Besi Balok'!$AA$23:$AA$7253,'Besi Balok'!$A$23:$A$7253,$A209,'Besi Balok'!$B$23:$B$7253,$B209,'Besi Balok'!$F$23:$F$7253,'REKAP Balok'!O$11)</f>
        <v>0</v>
      </c>
      <c r="P209">
        <f>SUMIFS('Besi Balok'!$AA$23:$AA$7253,'Besi Balok'!$A$23:$A$7253,$A209,'Besi Balok'!$B$23:$B$7253,$B209,'Besi Balok'!$F$23:$F$7253,'REKAP Balok'!P$11)</f>
        <v>12.395496960000003</v>
      </c>
      <c r="Q209">
        <f>SUMIFS('Besi Balok'!$AA$23:$AA$7253,'Besi Balok'!$A$23:$A$7253,$A209,'Besi Balok'!$B$23:$B$7253,$B209,'Besi Balok'!$F$23:$F$7253,'REKAP Balok'!Q$11)</f>
        <v>0</v>
      </c>
      <c r="R209">
        <f>SUMIFS('Besi Balok'!$AA$23:$AA$7253,'Besi Balok'!$A$23:$A$7253,$A209,'Besi Balok'!$B$23:$B$7253,$B209,'Besi Balok'!$F$23:$F$7253,'REKAP Balok'!R$11)</f>
        <v>0</v>
      </c>
      <c r="S209">
        <f>SUMIFS('Besi Balok'!$AA$23:$AA$7253,'Besi Balok'!$A$23:$A$7253,$A209,'Besi Balok'!$B$23:$B$7253,$B209,'Besi Balok'!$F$23:$F$7253,'REKAP Balok'!S$11)</f>
        <v>0</v>
      </c>
      <c r="T209">
        <f>SUMIFS('Besi Balok'!$AA$23:$AA$7253,'Besi Balok'!$A$23:$A$7253,$A209,'Besi Balok'!$B$23:$B$7253,$B209,'Besi Balok'!$F$23:$F$7253,'REKAP Balok'!T$11)</f>
        <v>0</v>
      </c>
      <c r="U209">
        <f>SUM(L209:T209)</f>
        <v>18.745446960000002</v>
      </c>
      <c r="V209">
        <f>(D209*(F209-H209)*G209*K209)/1000000000</f>
        <v>0.074</v>
      </c>
      <c r="W209">
        <f>(((F209-H209)*2+IF(H209&gt;0,0,D209))*(G209)*K209)/1000000</f>
        <v>0.925</v>
      </c>
      <c r="AC209">
        <f>(D209+2*$F$5)*F209*G209/1000000000</f>
        <v>0.148</v>
      </c>
    </row>
    <row r="210">
      <c r="A210" t="str">
        <f>'Data Panjang Balok'!A206</f>
        <v>Lantai 3</v>
      </c>
      <c r="B210">
        <f>'Data Panjang Balok'!B206</f>
        <v>53</v>
      </c>
      <c r="C210" t="str">
        <f>'Data Panjang Balok'!D206</f>
        <v>B26-1</v>
      </c>
      <c r="D210">
        <f>IF(C210&gt;0,VLOOKUP(C210,'Detail Balok'!$C$11:$AU$140,2,FALSE),0)</f>
        <v>200</v>
      </c>
      <c r="E210" t="str">
        <v>x</v>
      </c>
      <c r="F210">
        <f>IF(C210&gt;0,VLOOKUP(C210,'Detail Balok'!$C$11:$AU$140,3,FALSE),0)</f>
        <v>600</v>
      </c>
      <c r="G210">
        <f>'Data Panjang Balok'!I206</f>
        <v>6325</v>
      </c>
      <c r="H210">
        <f>'Data Panjang Balok'!J206</f>
        <v>0</v>
      </c>
      <c r="I210">
        <v>0</v>
      </c>
      <c r="J210">
        <f>I210-F210/1000</f>
        <v>-0.6</v>
      </c>
      <c r="K210">
        <f>'Data Panjang Balok'!E206</f>
        <v>1</v>
      </c>
      <c r="L210">
        <f>SUMIFS('Besi Balok'!$AA$23:$AA$7253,'Besi Balok'!$A$23:$A$7253,$A210,'Besi Balok'!$B$23:$B$7253,$B210,'Besi Balok'!$F$23:$F$7253,'REKAP Balok'!L$11)</f>
        <v>0</v>
      </c>
      <c r="M210">
        <f>SUMIFS('Besi Balok'!$AA$23:$AA$7253,'Besi Balok'!$A$23:$A$7253,$A210,'Besi Balok'!$B$23:$B$7253,$B210,'Besi Balok'!$F$23:$F$7253,'REKAP Balok'!M$11)</f>
        <v>0</v>
      </c>
      <c r="N210">
        <f>SUMIFS('Besi Balok'!$AA$23:$AA$7253,'Besi Balok'!$A$23:$A$7253,$A210,'Besi Balok'!$B$23:$B$7253,$B210,'Besi Balok'!$F$23:$F$7253,'REKAP Balok'!N$11)</f>
        <v>56.582370000000004</v>
      </c>
      <c r="O210">
        <f>SUMIFS('Besi Balok'!$AA$23:$AA$7253,'Besi Balok'!$A$23:$A$7253,$A210,'Besi Balok'!$B$23:$B$7253,$B210,'Besi Balok'!$F$23:$F$7253,'REKAP Balok'!O$11)</f>
        <v>0</v>
      </c>
      <c r="P210">
        <f>SUMIFS('Besi Balok'!$AA$23:$AA$7253,'Besi Balok'!$A$23:$A$7253,$A210,'Besi Balok'!$B$23:$B$7253,$B210,'Besi Balok'!$F$23:$F$7253,'REKAP Balok'!P$11)</f>
        <v>76.87291392</v>
      </c>
      <c r="Q210">
        <f>SUMIFS('Besi Balok'!$AA$23:$AA$7253,'Besi Balok'!$A$23:$A$7253,$A210,'Besi Balok'!$B$23:$B$7253,$B210,'Besi Balok'!$F$23:$F$7253,'REKAP Balok'!Q$11)</f>
        <v>0</v>
      </c>
      <c r="R210">
        <f>SUMIFS('Besi Balok'!$AA$23:$AA$7253,'Besi Balok'!$A$23:$A$7253,$A210,'Besi Balok'!$B$23:$B$7253,$B210,'Besi Balok'!$F$23:$F$7253,'REKAP Balok'!R$11)</f>
        <v>0</v>
      </c>
      <c r="S210">
        <f>SUMIFS('Besi Balok'!$AA$23:$AA$7253,'Besi Balok'!$A$23:$A$7253,$A210,'Besi Balok'!$B$23:$B$7253,$B210,'Besi Balok'!$F$23:$F$7253,'REKAP Balok'!S$11)</f>
        <v>0</v>
      </c>
      <c r="T210">
        <f>SUMIFS('Besi Balok'!$AA$23:$AA$7253,'Besi Balok'!$A$23:$A$7253,$A210,'Besi Balok'!$B$23:$B$7253,$B210,'Besi Balok'!$F$23:$F$7253,'REKAP Balok'!T$11)</f>
        <v>0</v>
      </c>
      <c r="U210">
        <f>SUM(L210:T210)</f>
        <v>133.45528392</v>
      </c>
      <c r="V210">
        <f>(D210*(F210-H210)*G210*K210)/1000000000</f>
        <v>0.759</v>
      </c>
      <c r="W210">
        <f>(((F210-H210)*2+IF(H210&gt;0,0,D210))*(G210)*K210)/1000000</f>
        <v>8.855</v>
      </c>
      <c r="AC210">
        <f>(D210+2*$F$5)*F210*G210/1000000000</f>
        <v>1.518</v>
      </c>
    </row>
    <row r="211">
      <c r="A211" t="str">
        <f>'Data Panjang Balok'!A207</f>
        <v>Lantai 3</v>
      </c>
      <c r="B211">
        <f>'Data Panjang Balok'!B207</f>
        <v>54</v>
      </c>
      <c r="C211" t="str">
        <f>'Data Panjang Balok'!D207</f>
        <v>B26-1</v>
      </c>
      <c r="D211">
        <f>IF(C211&gt;0,VLOOKUP(C211,'Detail Balok'!$C$11:$AU$140,2,FALSE),0)</f>
        <v>200</v>
      </c>
      <c r="E211" t="str">
        <v>x</v>
      </c>
      <c r="F211">
        <f>IF(C211&gt;0,VLOOKUP(C211,'Detail Balok'!$C$11:$AU$140,3,FALSE),0)</f>
        <v>600</v>
      </c>
      <c r="G211">
        <f>'Data Panjang Balok'!I207</f>
        <v>4555</v>
      </c>
      <c r="H211">
        <f>'Data Panjang Balok'!J207</f>
        <v>150</v>
      </c>
      <c r="I211">
        <v>0</v>
      </c>
      <c r="J211">
        <f>I211-F211/1000</f>
        <v>-0.6</v>
      </c>
      <c r="K211">
        <f>'Data Panjang Balok'!E207</f>
        <v>1</v>
      </c>
      <c r="L211">
        <f>SUMIFS('Besi Balok'!$AA$23:$AA$7253,'Besi Balok'!$A$23:$A$7253,$A211,'Besi Balok'!$B$23:$B$7253,$B211,'Besi Balok'!$F$23:$F$7253,'REKAP Balok'!L$11)</f>
        <v>0</v>
      </c>
      <c r="M211">
        <f>SUMIFS('Besi Balok'!$AA$23:$AA$7253,'Besi Balok'!$A$23:$A$7253,$A211,'Besi Balok'!$B$23:$B$7253,$B211,'Besi Balok'!$F$23:$F$7253,'REKAP Balok'!M$11)</f>
        <v>0</v>
      </c>
      <c r="N211">
        <f>SUMIFS('Besi Balok'!$AA$23:$AA$7253,'Besi Balok'!$A$23:$A$7253,$A211,'Besi Balok'!$B$23:$B$7253,$B211,'Besi Balok'!$F$23:$F$7253,'REKAP Balok'!N$11)</f>
        <v>41.176035</v>
      </c>
      <c r="O211">
        <f>SUMIFS('Besi Balok'!$AA$23:$AA$7253,'Besi Balok'!$A$23:$A$7253,$A211,'Besi Balok'!$B$23:$B$7253,$B211,'Besi Balok'!$F$23:$F$7253,'REKAP Balok'!O$11)</f>
        <v>0</v>
      </c>
      <c r="P211">
        <f>SUMIFS('Besi Balok'!$AA$23:$AA$7253,'Besi Balok'!$A$23:$A$7253,$A211,'Besi Balok'!$B$23:$B$7253,$B211,'Besi Balok'!$F$23:$F$7253,'REKAP Balok'!P$11)</f>
        <v>56.75982336</v>
      </c>
      <c r="Q211">
        <f>SUMIFS('Besi Balok'!$AA$23:$AA$7253,'Besi Balok'!$A$23:$A$7253,$A211,'Besi Balok'!$B$23:$B$7253,$B211,'Besi Balok'!$F$23:$F$7253,'REKAP Balok'!Q$11)</f>
        <v>0</v>
      </c>
      <c r="R211">
        <f>SUMIFS('Besi Balok'!$AA$23:$AA$7253,'Besi Balok'!$A$23:$A$7253,$A211,'Besi Balok'!$B$23:$B$7253,$B211,'Besi Balok'!$F$23:$F$7253,'REKAP Balok'!R$11)</f>
        <v>0</v>
      </c>
      <c r="S211">
        <f>SUMIFS('Besi Balok'!$AA$23:$AA$7253,'Besi Balok'!$A$23:$A$7253,$A211,'Besi Balok'!$B$23:$B$7253,$B211,'Besi Balok'!$F$23:$F$7253,'REKAP Balok'!S$11)</f>
        <v>0</v>
      </c>
      <c r="T211">
        <f>SUMIFS('Besi Balok'!$AA$23:$AA$7253,'Besi Balok'!$A$23:$A$7253,$A211,'Besi Balok'!$B$23:$B$7253,$B211,'Besi Balok'!$F$23:$F$7253,'REKAP Balok'!T$11)</f>
        <v>0</v>
      </c>
      <c r="U211">
        <f>SUM(L211:T211)</f>
        <v>97.93585836</v>
      </c>
      <c r="V211">
        <f>(D211*(F211-H211)*G211*K211)/1000000000</f>
        <v>0.40995</v>
      </c>
      <c r="W211">
        <f>(((F211-H211)*2+IF(H211&gt;0,0,D211))*(G211)*K211)/1000000</f>
        <v>4.0995</v>
      </c>
      <c r="AC211">
        <f>(D211+2*$F$5)*F211*G211/1000000000</f>
        <v>1.0932</v>
      </c>
    </row>
    <row r="212">
      <c r="A212" t="str">
        <f>'Data Panjang Balok'!A208</f>
        <v>Lantai 3</v>
      </c>
      <c r="B212">
        <f>'Data Panjang Balok'!B208</f>
        <v>55</v>
      </c>
      <c r="C212" t="str">
        <f>'Data Panjang Balok'!D208</f>
        <v>CL24-1</v>
      </c>
      <c r="D212">
        <f>IF(C212&gt;0,VLOOKUP(C212,'Detail Balok'!$C$11:$AU$140,2,FALSE),0)</f>
        <v>200</v>
      </c>
      <c r="E212" t="str">
        <v>x</v>
      </c>
      <c r="F212">
        <f>IF(C212&gt;0,VLOOKUP(C212,'Detail Balok'!$C$11:$AU$140,3,FALSE),0)</f>
        <v>400</v>
      </c>
      <c r="G212">
        <f>'Data Panjang Balok'!I208</f>
        <v>5300</v>
      </c>
      <c r="H212">
        <f>'Data Panjang Balok'!J208</f>
        <v>150</v>
      </c>
      <c r="I212">
        <v>0</v>
      </c>
      <c r="J212">
        <f>I212-F212/1000</f>
        <v>-0.4</v>
      </c>
      <c r="K212">
        <f>'Data Panjang Balok'!E208</f>
        <v>1</v>
      </c>
      <c r="L212">
        <f>SUMIFS('Besi Balok'!$AA$23:$AA$7253,'Besi Balok'!$A$23:$A$7253,$A212,'Besi Balok'!$B$23:$B$7253,$B212,'Besi Balok'!$F$23:$F$7253,'REKAP Balok'!L$11)</f>
        <v>0</v>
      </c>
      <c r="M212">
        <f>SUMIFS('Besi Balok'!$AA$23:$AA$7253,'Besi Balok'!$A$23:$A$7253,$A212,'Besi Balok'!$B$23:$B$7253,$B212,'Besi Balok'!$F$23:$F$7253,'REKAP Balok'!M$11)</f>
        <v>0</v>
      </c>
      <c r="N212">
        <f>SUMIFS('Besi Balok'!$AA$23:$AA$7253,'Besi Balok'!$A$23:$A$7253,$A212,'Besi Balok'!$B$23:$B$7253,$B212,'Besi Balok'!$F$23:$F$7253,'REKAP Balok'!N$11)</f>
        <v>34.924725</v>
      </c>
      <c r="O212">
        <f>SUMIFS('Besi Balok'!$AA$23:$AA$7253,'Besi Balok'!$A$23:$A$7253,$A212,'Besi Balok'!$B$23:$B$7253,$B212,'Besi Balok'!$F$23:$F$7253,'REKAP Balok'!O$11)</f>
        <v>0</v>
      </c>
      <c r="P212">
        <f>SUMIFS('Besi Balok'!$AA$23:$AA$7253,'Besi Balok'!$A$23:$A$7253,$A212,'Besi Balok'!$B$23:$B$7253,$B212,'Besi Balok'!$F$23:$F$7253,'REKAP Balok'!P$11)</f>
        <v>53.82429695999999</v>
      </c>
      <c r="Q212">
        <f>SUMIFS('Besi Balok'!$AA$23:$AA$7253,'Besi Balok'!$A$23:$A$7253,$A212,'Besi Balok'!$B$23:$B$7253,$B212,'Besi Balok'!$F$23:$F$7253,'REKAP Balok'!Q$11)</f>
        <v>0</v>
      </c>
      <c r="R212">
        <f>SUMIFS('Besi Balok'!$AA$23:$AA$7253,'Besi Balok'!$A$23:$A$7253,$A212,'Besi Balok'!$B$23:$B$7253,$B212,'Besi Balok'!$F$23:$F$7253,'REKAP Balok'!R$11)</f>
        <v>0</v>
      </c>
      <c r="S212">
        <f>SUMIFS('Besi Balok'!$AA$23:$AA$7253,'Besi Balok'!$A$23:$A$7253,$A212,'Besi Balok'!$B$23:$B$7253,$B212,'Besi Balok'!$F$23:$F$7253,'REKAP Balok'!S$11)</f>
        <v>0</v>
      </c>
      <c r="T212">
        <f>SUMIFS('Besi Balok'!$AA$23:$AA$7253,'Besi Balok'!$A$23:$A$7253,$A212,'Besi Balok'!$B$23:$B$7253,$B212,'Besi Balok'!$F$23:$F$7253,'REKAP Balok'!T$11)</f>
        <v>0</v>
      </c>
      <c r="U212">
        <f>SUM(L212:T212)</f>
        <v>88.74902196</v>
      </c>
      <c r="V212">
        <f>(D212*(F212-H212)*G212*K212)/1000000000</f>
        <v>0.265</v>
      </c>
      <c r="W212">
        <f>(((F212-H212)*2+IF(H212&gt;0,0,D212))*(G212)*K212)/1000000</f>
        <v>2.65</v>
      </c>
      <c r="AC212">
        <f>(D212+2*$F$5)*F212*G212/1000000000</f>
        <v>0.848</v>
      </c>
    </row>
    <row r="213">
      <c r="A213" t="str">
        <f>'Data Panjang Balok'!A209</f>
        <v>Lantai 3</v>
      </c>
      <c r="B213">
        <f>'Data Panjang Balok'!B209</f>
        <v>56</v>
      </c>
      <c r="C213" t="str">
        <f>'Data Panjang Balok'!D209</f>
        <v>CL24-1</v>
      </c>
      <c r="D213">
        <f>IF(C213&gt;0,VLOOKUP(C213,'Detail Balok'!$C$11:$AU$140,2,FALSE),0)</f>
        <v>200</v>
      </c>
      <c r="E213" t="str">
        <v>x</v>
      </c>
      <c r="F213">
        <f>IF(C213&gt;0,VLOOKUP(C213,'Detail Balok'!$C$11:$AU$140,3,FALSE),0)</f>
        <v>400</v>
      </c>
      <c r="G213">
        <f>'Data Panjang Balok'!I209</f>
        <v>1250</v>
      </c>
      <c r="H213">
        <f>'Data Panjang Balok'!J209</f>
        <v>150</v>
      </c>
      <c r="I213">
        <v>0</v>
      </c>
      <c r="J213">
        <f>I213-F213/1000</f>
        <v>-0.4</v>
      </c>
      <c r="K213">
        <f>'Data Panjang Balok'!E209</f>
        <v>1</v>
      </c>
      <c r="L213">
        <f>SUMIFS('Besi Balok'!$AA$23:$AA$7253,'Besi Balok'!$A$23:$A$7253,$A213,'Besi Balok'!$B$23:$B$7253,$B213,'Besi Balok'!$F$23:$F$7253,'REKAP Balok'!L$11)</f>
        <v>0</v>
      </c>
      <c r="M213">
        <f>SUMIFS('Besi Balok'!$AA$23:$AA$7253,'Besi Balok'!$A$23:$A$7253,$A213,'Besi Balok'!$B$23:$B$7253,$B213,'Besi Balok'!$F$23:$F$7253,'REKAP Balok'!M$11)</f>
        <v>0</v>
      </c>
      <c r="N213">
        <f>SUMIFS('Besi Balok'!$AA$23:$AA$7253,'Besi Balok'!$A$23:$A$7253,$A213,'Besi Balok'!$B$23:$B$7253,$B213,'Besi Balok'!$F$23:$F$7253,'REKAP Balok'!N$11)</f>
        <v>8.889930000000001</v>
      </c>
      <c r="O213">
        <f>SUMIFS('Besi Balok'!$AA$23:$AA$7253,'Besi Balok'!$A$23:$A$7253,$A213,'Besi Balok'!$B$23:$B$7253,$B213,'Besi Balok'!$F$23:$F$7253,'REKAP Balok'!O$11)</f>
        <v>0</v>
      </c>
      <c r="P213">
        <f>SUMIFS('Besi Balok'!$AA$23:$AA$7253,'Besi Balok'!$A$23:$A$7253,$A213,'Besi Balok'!$B$23:$B$7253,$B213,'Besi Balok'!$F$23:$F$7253,'REKAP Balok'!P$11)</f>
        <v>15.47306496</v>
      </c>
      <c r="Q213">
        <f>SUMIFS('Besi Balok'!$AA$23:$AA$7253,'Besi Balok'!$A$23:$A$7253,$A213,'Besi Balok'!$B$23:$B$7253,$B213,'Besi Balok'!$F$23:$F$7253,'REKAP Balok'!Q$11)</f>
        <v>0</v>
      </c>
      <c r="R213">
        <f>SUMIFS('Besi Balok'!$AA$23:$AA$7253,'Besi Balok'!$A$23:$A$7253,$A213,'Besi Balok'!$B$23:$B$7253,$B213,'Besi Balok'!$F$23:$F$7253,'REKAP Balok'!R$11)</f>
        <v>0</v>
      </c>
      <c r="S213">
        <f>SUMIFS('Besi Balok'!$AA$23:$AA$7253,'Besi Balok'!$A$23:$A$7253,$A213,'Besi Balok'!$B$23:$B$7253,$B213,'Besi Balok'!$F$23:$F$7253,'REKAP Balok'!S$11)</f>
        <v>0</v>
      </c>
      <c r="T213">
        <f>SUMIFS('Besi Balok'!$AA$23:$AA$7253,'Besi Balok'!$A$23:$A$7253,$A213,'Besi Balok'!$B$23:$B$7253,$B213,'Besi Balok'!$F$23:$F$7253,'REKAP Balok'!T$11)</f>
        <v>0</v>
      </c>
      <c r="U213">
        <f>SUM(L213:T213)</f>
        <v>24.36299496</v>
      </c>
      <c r="V213">
        <f>(D213*(F213-H213)*G213*K213)/1000000000</f>
        <v>0.0625</v>
      </c>
      <c r="W213">
        <f>(((F213-H213)*2+IF(H213&gt;0,0,D213))*(G213)*K213)/1000000</f>
        <v>0.625</v>
      </c>
      <c r="AC213">
        <f>(D213+2*$F$5)*F213*G213/1000000000</f>
        <v>0.2</v>
      </c>
    </row>
    <row r="214">
      <c r="A214" t="str">
        <f>'Data Panjang Balok'!A210</f>
        <v>Lantai 3</v>
      </c>
      <c r="B214">
        <f>'Data Panjang Balok'!B210</f>
        <v>57</v>
      </c>
      <c r="C214" t="str">
        <f>'Data Panjang Balok'!D210</f>
        <v>CL24-1</v>
      </c>
      <c r="D214">
        <f>IF(C214&gt;0,VLOOKUP(C214,'Detail Balok'!$C$11:$AU$140,2,FALSE),0)</f>
        <v>200</v>
      </c>
      <c r="E214" t="str">
        <v>x</v>
      </c>
      <c r="F214">
        <f>IF(C214&gt;0,VLOOKUP(C214,'Detail Balok'!$C$11:$AU$140,3,FALSE),0)</f>
        <v>400</v>
      </c>
      <c r="G214">
        <f>'Data Panjang Balok'!I210</f>
        <v>1250</v>
      </c>
      <c r="H214">
        <f>'Data Panjang Balok'!J210</f>
        <v>150</v>
      </c>
      <c r="I214">
        <v>0</v>
      </c>
      <c r="J214">
        <f>I214-F214/1000</f>
        <v>-0.4</v>
      </c>
      <c r="K214">
        <f>'Data Panjang Balok'!E210</f>
        <v>1</v>
      </c>
      <c r="L214">
        <f>SUMIFS('Besi Balok'!$AA$23:$AA$7253,'Besi Balok'!$A$23:$A$7253,$A214,'Besi Balok'!$B$23:$B$7253,$B214,'Besi Balok'!$F$23:$F$7253,'REKAP Balok'!L$11)</f>
        <v>0</v>
      </c>
      <c r="M214">
        <f>SUMIFS('Besi Balok'!$AA$23:$AA$7253,'Besi Balok'!$A$23:$A$7253,$A214,'Besi Balok'!$B$23:$B$7253,$B214,'Besi Balok'!$F$23:$F$7253,'REKAP Balok'!M$11)</f>
        <v>0</v>
      </c>
      <c r="N214">
        <f>SUMIFS('Besi Balok'!$AA$23:$AA$7253,'Besi Balok'!$A$23:$A$7253,$A214,'Besi Balok'!$B$23:$B$7253,$B214,'Besi Balok'!$F$23:$F$7253,'REKAP Balok'!N$11)</f>
        <v>8.889930000000001</v>
      </c>
      <c r="O214">
        <f>SUMIFS('Besi Balok'!$AA$23:$AA$7253,'Besi Balok'!$A$23:$A$7253,$A214,'Besi Balok'!$B$23:$B$7253,$B214,'Besi Balok'!$F$23:$F$7253,'REKAP Balok'!O$11)</f>
        <v>0</v>
      </c>
      <c r="P214">
        <f>SUMIFS('Besi Balok'!$AA$23:$AA$7253,'Besi Balok'!$A$23:$A$7253,$A214,'Besi Balok'!$B$23:$B$7253,$B214,'Besi Balok'!$F$23:$F$7253,'REKAP Balok'!P$11)</f>
        <v>15.47306496</v>
      </c>
      <c r="Q214">
        <f>SUMIFS('Besi Balok'!$AA$23:$AA$7253,'Besi Balok'!$A$23:$A$7253,$A214,'Besi Balok'!$B$23:$B$7253,$B214,'Besi Balok'!$F$23:$F$7253,'REKAP Balok'!Q$11)</f>
        <v>0</v>
      </c>
      <c r="R214">
        <f>SUMIFS('Besi Balok'!$AA$23:$AA$7253,'Besi Balok'!$A$23:$A$7253,$A214,'Besi Balok'!$B$23:$B$7253,$B214,'Besi Balok'!$F$23:$F$7253,'REKAP Balok'!R$11)</f>
        <v>0</v>
      </c>
      <c r="S214">
        <f>SUMIFS('Besi Balok'!$AA$23:$AA$7253,'Besi Balok'!$A$23:$A$7253,$A214,'Besi Balok'!$B$23:$B$7253,$B214,'Besi Balok'!$F$23:$F$7253,'REKAP Balok'!S$11)</f>
        <v>0</v>
      </c>
      <c r="T214">
        <f>SUMIFS('Besi Balok'!$AA$23:$AA$7253,'Besi Balok'!$A$23:$A$7253,$A214,'Besi Balok'!$B$23:$B$7253,$B214,'Besi Balok'!$F$23:$F$7253,'REKAP Balok'!T$11)</f>
        <v>0</v>
      </c>
      <c r="U214">
        <f>SUM(L214:T214)</f>
        <v>24.36299496</v>
      </c>
      <c r="V214">
        <f>(D214*(F214-H214)*G214*K214)/1000000000</f>
        <v>0.0625</v>
      </c>
      <c r="W214">
        <f>(((F214-H214)*2+IF(H214&gt;0,0,D214))*(G214)*K214)/1000000</f>
        <v>0.625</v>
      </c>
      <c r="AC214">
        <f>(D214+2*$F$5)*F214*G214/1000000000</f>
        <v>0.2</v>
      </c>
    </row>
    <row r="215">
      <c r="A215" t="str">
        <f>'Data Panjang Balok'!A211</f>
        <v>Lantai 3</v>
      </c>
      <c r="B215">
        <f>'Data Panjang Balok'!B211</f>
        <v>58</v>
      </c>
      <c r="C215" t="str">
        <f>'Data Panjang Balok'!D211</f>
        <v>CL24-1</v>
      </c>
      <c r="D215">
        <f>IF(C215&gt;0,VLOOKUP(C215,'Detail Balok'!$C$11:$AU$140,2,FALSE),0)</f>
        <v>200</v>
      </c>
      <c r="E215" t="str">
        <v>x</v>
      </c>
      <c r="F215">
        <f>IF(C215&gt;0,VLOOKUP(C215,'Detail Balok'!$C$11:$AU$140,3,FALSE),0)</f>
        <v>400</v>
      </c>
      <c r="G215">
        <f>'Data Panjang Balok'!I211</f>
        <v>1250</v>
      </c>
      <c r="H215">
        <f>'Data Panjang Balok'!J211</f>
        <v>150</v>
      </c>
      <c r="I215">
        <v>0</v>
      </c>
      <c r="J215">
        <f>I215-F215/1000</f>
        <v>-0.4</v>
      </c>
      <c r="K215">
        <f>'Data Panjang Balok'!E211</f>
        <v>1</v>
      </c>
      <c r="L215">
        <f>SUMIFS('Besi Balok'!$AA$23:$AA$7253,'Besi Balok'!$A$23:$A$7253,$A215,'Besi Balok'!$B$23:$B$7253,$B215,'Besi Balok'!$F$23:$F$7253,'REKAP Balok'!L$11)</f>
        <v>0</v>
      </c>
      <c r="M215">
        <f>SUMIFS('Besi Balok'!$AA$23:$AA$7253,'Besi Balok'!$A$23:$A$7253,$A215,'Besi Balok'!$B$23:$B$7253,$B215,'Besi Balok'!$F$23:$F$7253,'REKAP Balok'!M$11)</f>
        <v>0</v>
      </c>
      <c r="N215">
        <f>SUMIFS('Besi Balok'!$AA$23:$AA$7253,'Besi Balok'!$A$23:$A$7253,$A215,'Besi Balok'!$B$23:$B$7253,$B215,'Besi Balok'!$F$23:$F$7253,'REKAP Balok'!N$11)</f>
        <v>8.889930000000001</v>
      </c>
      <c r="O215">
        <f>SUMIFS('Besi Balok'!$AA$23:$AA$7253,'Besi Balok'!$A$23:$A$7253,$A215,'Besi Balok'!$B$23:$B$7253,$B215,'Besi Balok'!$F$23:$F$7253,'REKAP Balok'!O$11)</f>
        <v>0</v>
      </c>
      <c r="P215">
        <f>SUMIFS('Besi Balok'!$AA$23:$AA$7253,'Besi Balok'!$A$23:$A$7253,$A215,'Besi Balok'!$B$23:$B$7253,$B215,'Besi Balok'!$F$23:$F$7253,'REKAP Balok'!P$11)</f>
        <v>15.47306496</v>
      </c>
      <c r="Q215">
        <f>SUMIFS('Besi Balok'!$AA$23:$AA$7253,'Besi Balok'!$A$23:$A$7253,$A215,'Besi Balok'!$B$23:$B$7253,$B215,'Besi Balok'!$F$23:$F$7253,'REKAP Balok'!Q$11)</f>
        <v>0</v>
      </c>
      <c r="R215">
        <f>SUMIFS('Besi Balok'!$AA$23:$AA$7253,'Besi Balok'!$A$23:$A$7253,$A215,'Besi Balok'!$B$23:$B$7253,$B215,'Besi Balok'!$F$23:$F$7253,'REKAP Balok'!R$11)</f>
        <v>0</v>
      </c>
      <c r="S215">
        <f>SUMIFS('Besi Balok'!$AA$23:$AA$7253,'Besi Balok'!$A$23:$A$7253,$A215,'Besi Balok'!$B$23:$B$7253,$B215,'Besi Balok'!$F$23:$F$7253,'REKAP Balok'!S$11)</f>
        <v>0</v>
      </c>
      <c r="T215">
        <f>SUMIFS('Besi Balok'!$AA$23:$AA$7253,'Besi Balok'!$A$23:$A$7253,$A215,'Besi Balok'!$B$23:$B$7253,$B215,'Besi Balok'!$F$23:$F$7253,'REKAP Balok'!T$11)</f>
        <v>0</v>
      </c>
      <c r="U215">
        <f>SUM(L215:T215)</f>
        <v>24.36299496</v>
      </c>
      <c r="V215">
        <f>(D215*(F215-H215)*G215*K215)/1000000000</f>
        <v>0.0625</v>
      </c>
      <c r="W215">
        <f>(((F215-H215)*2+IF(H215&gt;0,0,D215))*(G215)*K215)/1000000</f>
        <v>0.625</v>
      </c>
      <c r="AC215">
        <f>(D215+2*$F$5)*F215*G215/1000000000</f>
        <v>0.2</v>
      </c>
    </row>
    <row r="216">
      <c r="A216" t="str">
        <f>'Data Panjang Balok'!A212</f>
        <v>Lantai 3</v>
      </c>
      <c r="B216">
        <f>'Data Panjang Balok'!B212</f>
        <v>59</v>
      </c>
      <c r="C216" t="str">
        <f>'Data Panjang Balok'!D212</f>
        <v>CL24-1</v>
      </c>
      <c r="D216">
        <f>IF(C216&gt;0,VLOOKUP(C216,'Detail Balok'!$C$11:$AU$140,2,FALSE),0)</f>
        <v>200</v>
      </c>
      <c r="E216" t="str">
        <v>x</v>
      </c>
      <c r="F216">
        <f>IF(C216&gt;0,VLOOKUP(C216,'Detail Balok'!$C$11:$AU$140,3,FALSE),0)</f>
        <v>400</v>
      </c>
      <c r="G216">
        <f>'Data Panjang Balok'!I212</f>
        <v>1325</v>
      </c>
      <c r="H216">
        <f>'Data Panjang Balok'!J212</f>
        <v>150</v>
      </c>
      <c r="I216">
        <v>0</v>
      </c>
      <c r="J216">
        <f>I216-F216/1000</f>
        <v>-0.4</v>
      </c>
      <c r="K216">
        <f>'Data Panjang Balok'!E212</f>
        <v>1</v>
      </c>
      <c r="L216">
        <f>SUMIFS('Besi Balok'!$AA$23:$AA$7253,'Besi Balok'!$A$23:$A$7253,$A216,'Besi Balok'!$B$23:$B$7253,$B216,'Besi Balok'!$F$23:$F$7253,'REKAP Balok'!L$11)</f>
        <v>0</v>
      </c>
      <c r="M216">
        <f>SUMIFS('Besi Balok'!$AA$23:$AA$7253,'Besi Balok'!$A$23:$A$7253,$A216,'Besi Balok'!$B$23:$B$7253,$B216,'Besi Balok'!$F$23:$F$7253,'REKAP Balok'!M$11)</f>
        <v>0</v>
      </c>
      <c r="N216">
        <f>SUMIFS('Besi Balok'!$AA$23:$AA$7253,'Besi Balok'!$A$23:$A$7253,$A216,'Besi Balok'!$B$23:$B$7253,$B216,'Besi Balok'!$F$23:$F$7253,'REKAP Balok'!N$11)</f>
        <v>8.889930000000001</v>
      </c>
      <c r="O216">
        <f>SUMIFS('Besi Balok'!$AA$23:$AA$7253,'Besi Balok'!$A$23:$A$7253,$A216,'Besi Balok'!$B$23:$B$7253,$B216,'Besi Balok'!$F$23:$F$7253,'REKAP Balok'!O$11)</f>
        <v>0</v>
      </c>
      <c r="P216">
        <f>SUMIFS('Besi Balok'!$AA$23:$AA$7253,'Besi Balok'!$A$23:$A$7253,$A216,'Besi Balok'!$B$23:$B$7253,$B216,'Besi Balok'!$F$23:$F$7253,'REKAP Balok'!P$11)</f>
        <v>16.183272960000004</v>
      </c>
      <c r="Q216">
        <f>SUMIFS('Besi Balok'!$AA$23:$AA$7253,'Besi Balok'!$A$23:$A$7253,$A216,'Besi Balok'!$B$23:$B$7253,$B216,'Besi Balok'!$F$23:$F$7253,'REKAP Balok'!Q$11)</f>
        <v>0</v>
      </c>
      <c r="R216">
        <f>SUMIFS('Besi Balok'!$AA$23:$AA$7253,'Besi Balok'!$A$23:$A$7253,$A216,'Besi Balok'!$B$23:$B$7253,$B216,'Besi Balok'!$F$23:$F$7253,'REKAP Balok'!R$11)</f>
        <v>0</v>
      </c>
      <c r="S216">
        <f>SUMIFS('Besi Balok'!$AA$23:$AA$7253,'Besi Balok'!$A$23:$A$7253,$A216,'Besi Balok'!$B$23:$B$7253,$B216,'Besi Balok'!$F$23:$F$7253,'REKAP Balok'!S$11)</f>
        <v>0</v>
      </c>
      <c r="T216">
        <f>SUMIFS('Besi Balok'!$AA$23:$AA$7253,'Besi Balok'!$A$23:$A$7253,$A216,'Besi Balok'!$B$23:$B$7253,$B216,'Besi Balok'!$F$23:$F$7253,'REKAP Balok'!T$11)</f>
        <v>0</v>
      </c>
      <c r="U216">
        <f>SUM(L216:T216)</f>
        <v>25.073202960000003</v>
      </c>
      <c r="V216">
        <f>(D216*(F216-H216)*G216*K216)/1000000000</f>
        <v>0.06625</v>
      </c>
      <c r="W216">
        <f>(((F216-H216)*2+IF(H216&gt;0,0,D216))*(G216)*K216)/1000000</f>
        <v>0.6625</v>
      </c>
      <c r="AC216">
        <f>(D216+2*$F$5)*F216*G216/1000000000</f>
        <v>0.212</v>
      </c>
    </row>
    <row r="217">
      <c r="A217" t="str">
        <f>'Data Panjang Balok'!A213</f>
        <v>Lantai 3</v>
      </c>
      <c r="B217">
        <f>'Data Panjang Balok'!B213</f>
        <v>60</v>
      </c>
      <c r="C217" t="str">
        <f>'Data Panjang Balok'!D213</f>
        <v>CL24-1</v>
      </c>
      <c r="D217">
        <f>IF(C217&gt;0,VLOOKUP(C217,'Detail Balok'!$C$11:$AU$140,2,FALSE),0)</f>
        <v>200</v>
      </c>
      <c r="E217" t="str">
        <v>x</v>
      </c>
      <c r="F217">
        <f>IF(C217&gt;0,VLOOKUP(C217,'Detail Balok'!$C$11:$AU$140,3,FALSE),0)</f>
        <v>400</v>
      </c>
      <c r="G217">
        <f>'Data Panjang Balok'!I213</f>
        <v>1250</v>
      </c>
      <c r="H217">
        <f>'Data Panjang Balok'!J213</f>
        <v>150</v>
      </c>
      <c r="I217">
        <v>0</v>
      </c>
      <c r="J217">
        <f>I217-F217/1000</f>
        <v>-0.4</v>
      </c>
      <c r="K217">
        <f>'Data Panjang Balok'!E213</f>
        <v>1</v>
      </c>
      <c r="L217">
        <f>SUMIFS('Besi Balok'!$AA$23:$AA$7253,'Besi Balok'!$A$23:$A$7253,$A217,'Besi Balok'!$B$23:$B$7253,$B217,'Besi Balok'!$F$23:$F$7253,'REKAP Balok'!L$11)</f>
        <v>0</v>
      </c>
      <c r="M217">
        <f>SUMIFS('Besi Balok'!$AA$23:$AA$7253,'Besi Balok'!$A$23:$A$7253,$A217,'Besi Balok'!$B$23:$B$7253,$B217,'Besi Balok'!$F$23:$F$7253,'REKAP Balok'!M$11)</f>
        <v>0</v>
      </c>
      <c r="N217">
        <f>SUMIFS('Besi Balok'!$AA$23:$AA$7253,'Besi Balok'!$A$23:$A$7253,$A217,'Besi Balok'!$B$23:$B$7253,$B217,'Besi Balok'!$F$23:$F$7253,'REKAP Balok'!N$11)</f>
        <v>8.889930000000001</v>
      </c>
      <c r="O217">
        <f>SUMIFS('Besi Balok'!$AA$23:$AA$7253,'Besi Balok'!$A$23:$A$7253,$A217,'Besi Balok'!$B$23:$B$7253,$B217,'Besi Balok'!$F$23:$F$7253,'REKAP Balok'!O$11)</f>
        <v>0</v>
      </c>
      <c r="P217">
        <f>SUMIFS('Besi Balok'!$AA$23:$AA$7253,'Besi Balok'!$A$23:$A$7253,$A217,'Besi Balok'!$B$23:$B$7253,$B217,'Besi Balok'!$F$23:$F$7253,'REKAP Balok'!P$11)</f>
        <v>15.47306496</v>
      </c>
      <c r="Q217">
        <f>SUMIFS('Besi Balok'!$AA$23:$AA$7253,'Besi Balok'!$A$23:$A$7253,$A217,'Besi Balok'!$B$23:$B$7253,$B217,'Besi Balok'!$F$23:$F$7253,'REKAP Balok'!Q$11)</f>
        <v>0</v>
      </c>
      <c r="R217">
        <f>SUMIFS('Besi Balok'!$AA$23:$AA$7253,'Besi Balok'!$A$23:$A$7253,$A217,'Besi Balok'!$B$23:$B$7253,$B217,'Besi Balok'!$F$23:$F$7253,'REKAP Balok'!R$11)</f>
        <v>0</v>
      </c>
      <c r="S217">
        <f>SUMIFS('Besi Balok'!$AA$23:$AA$7253,'Besi Balok'!$A$23:$A$7253,$A217,'Besi Balok'!$B$23:$B$7253,$B217,'Besi Balok'!$F$23:$F$7253,'REKAP Balok'!S$11)</f>
        <v>0</v>
      </c>
      <c r="T217">
        <f>SUMIFS('Besi Balok'!$AA$23:$AA$7253,'Besi Balok'!$A$23:$A$7253,$A217,'Besi Balok'!$B$23:$B$7253,$B217,'Besi Balok'!$F$23:$F$7253,'REKAP Balok'!T$11)</f>
        <v>0</v>
      </c>
      <c r="U217">
        <f>SUM(L217:T217)</f>
        <v>24.36299496</v>
      </c>
      <c r="V217">
        <f>(D217*(F217-H217)*G217*K217)/1000000000</f>
        <v>0.0625</v>
      </c>
      <c r="W217">
        <f>(((F217-H217)*2+IF(H217&gt;0,0,D217))*(G217)*K217)/1000000</f>
        <v>0.625</v>
      </c>
      <c r="AC217">
        <f>(D217+2*$F$5)*F217*G217/1000000000</f>
        <v>0.2</v>
      </c>
    </row>
    <row r="218">
      <c r="A218" t="str">
        <f>'Data Panjang Balok'!A214</f>
        <v>Lantai 3</v>
      </c>
      <c r="B218">
        <f>'Data Panjang Balok'!B214</f>
        <v>61</v>
      </c>
      <c r="C218" t="str">
        <f>'Data Panjang Balok'!D214</f>
        <v>B4-1</v>
      </c>
      <c r="D218">
        <f>IF(C218&gt;0,VLOOKUP(C218,'Detail Balok'!$C$11:$AU$140,2,FALSE),0)</f>
        <v>130</v>
      </c>
      <c r="E218" t="str">
        <v>x</v>
      </c>
      <c r="F218">
        <f>IF(C218&gt;0,VLOOKUP(C218,'Detail Balok'!$C$11:$AU$140,3,FALSE),0)</f>
        <v>400</v>
      </c>
      <c r="G218">
        <f>'Data Panjang Balok'!I214</f>
        <v>10750</v>
      </c>
      <c r="H218">
        <f>'Data Panjang Balok'!J214</f>
        <v>0</v>
      </c>
      <c r="I218">
        <v>0</v>
      </c>
      <c r="J218">
        <f>I218-F218/1000</f>
        <v>-0.4</v>
      </c>
      <c r="K218">
        <f>'Data Panjang Balok'!E214</f>
        <v>1</v>
      </c>
      <c r="L218">
        <f>SUMIFS('Besi Balok'!$AA$23:$AA$7253,'Besi Balok'!$A$23:$A$7253,$A218,'Besi Balok'!$B$23:$B$7253,$B218,'Besi Balok'!$F$23:$F$7253,'REKAP Balok'!L$11)</f>
        <v>0</v>
      </c>
      <c r="M218">
        <f>SUMIFS('Besi Balok'!$AA$23:$AA$7253,'Besi Balok'!$A$23:$A$7253,$A218,'Besi Balok'!$B$23:$B$7253,$B218,'Besi Balok'!$F$23:$F$7253,'REKAP Balok'!M$11)</f>
        <v>22.825296</v>
      </c>
      <c r="N218">
        <f>SUMIFS('Besi Balok'!$AA$23:$AA$7253,'Besi Balok'!$A$23:$A$7253,$A218,'Besi Balok'!$B$23:$B$7253,$B218,'Besi Balok'!$F$23:$F$7253,'REKAP Balok'!N$11)</f>
        <v>0</v>
      </c>
      <c r="O218">
        <f>SUMIFS('Besi Balok'!$AA$23:$AA$7253,'Besi Balok'!$A$23:$A$7253,$A218,'Besi Balok'!$B$23:$B$7253,$B218,'Besi Balok'!$F$23:$F$7253,'REKAP Balok'!O$11)</f>
        <v>46.10132748</v>
      </c>
      <c r="P218">
        <f>SUMIFS('Besi Balok'!$AA$23:$AA$7253,'Besi Balok'!$A$23:$A$7253,$A218,'Besi Balok'!$B$23:$B$7253,$B218,'Besi Balok'!$F$23:$F$7253,'REKAP Balok'!P$11)</f>
        <v>0</v>
      </c>
      <c r="Q218">
        <f>SUMIFS('Besi Balok'!$AA$23:$AA$7253,'Besi Balok'!$A$23:$A$7253,$A218,'Besi Balok'!$B$23:$B$7253,$B218,'Besi Balok'!$F$23:$F$7253,'REKAP Balok'!Q$11)</f>
        <v>0</v>
      </c>
      <c r="R218">
        <f>SUMIFS('Besi Balok'!$AA$23:$AA$7253,'Besi Balok'!$A$23:$A$7253,$A218,'Besi Balok'!$B$23:$B$7253,$B218,'Besi Balok'!$F$23:$F$7253,'REKAP Balok'!R$11)</f>
        <v>0</v>
      </c>
      <c r="S218">
        <f>SUMIFS('Besi Balok'!$AA$23:$AA$7253,'Besi Balok'!$A$23:$A$7253,$A218,'Besi Balok'!$B$23:$B$7253,$B218,'Besi Balok'!$F$23:$F$7253,'REKAP Balok'!S$11)</f>
        <v>0</v>
      </c>
      <c r="T218">
        <f>SUMIFS('Besi Balok'!$AA$23:$AA$7253,'Besi Balok'!$A$23:$A$7253,$A218,'Besi Balok'!$B$23:$B$7253,$B218,'Besi Balok'!$F$23:$F$7253,'REKAP Balok'!T$11)</f>
        <v>0</v>
      </c>
      <c r="U218">
        <f>SUM(L218:T218)</f>
        <v>68.92662348</v>
      </c>
      <c r="V218">
        <f>(D218*(F218-H218)*G218*K218)/1000000000</f>
        <v>0.559</v>
      </c>
      <c r="W218">
        <f>(((F218-H218)*2+IF(H218&gt;0,0,D218))*(G218)*K218)/1000000</f>
        <v>9.9975</v>
      </c>
      <c r="AC218">
        <f>(D218+2*$F$5)*F218*G218/1000000000</f>
        <v>1.419</v>
      </c>
    </row>
    <row r="219">
      <c r="A219" t="str">
        <f>'Data Panjang Balok'!A215</f>
        <v>Lantai 3</v>
      </c>
      <c r="B219">
        <f>'Data Panjang Balok'!B215</f>
        <v>62</v>
      </c>
      <c r="C219" t="str">
        <f>'Data Panjang Balok'!D215</f>
        <v>B23-1</v>
      </c>
      <c r="D219">
        <f>IF(C219&gt;0,VLOOKUP(C219,'Detail Balok'!$C$11:$AU$140,2,FALSE),0)</f>
        <v>200</v>
      </c>
      <c r="E219" t="str">
        <v>x</v>
      </c>
      <c r="F219">
        <f>IF(C219&gt;0,VLOOKUP(C219,'Detail Balok'!$C$11:$AU$140,3,FALSE),0)</f>
        <v>300</v>
      </c>
      <c r="G219">
        <f>'Data Panjang Balok'!I215</f>
        <v>4175</v>
      </c>
      <c r="H219">
        <f>'Data Panjang Balok'!J215</f>
        <v>150</v>
      </c>
      <c r="I219">
        <v>0</v>
      </c>
      <c r="J219">
        <f>I219-F219/1000</f>
        <v>-0.3</v>
      </c>
      <c r="K219">
        <f>'Data Panjang Balok'!E215</f>
        <v>1</v>
      </c>
      <c r="L219">
        <f>SUMIFS('Besi Balok'!$AA$23:$AA$7253,'Besi Balok'!$A$23:$A$7253,$A219,'Besi Balok'!$B$23:$B$7253,$B219,'Besi Balok'!$F$23:$F$7253,'REKAP Balok'!L$11)</f>
        <v>0</v>
      </c>
      <c r="M219">
        <f>SUMIFS('Besi Balok'!$AA$23:$AA$7253,'Besi Balok'!$A$23:$A$7253,$A219,'Besi Balok'!$B$23:$B$7253,$B219,'Besi Balok'!$F$23:$F$7253,'REKAP Balok'!M$11)</f>
        <v>0</v>
      </c>
      <c r="N219">
        <f>SUMIFS('Besi Balok'!$AA$23:$AA$7253,'Besi Balok'!$A$23:$A$7253,$A219,'Besi Balok'!$B$23:$B$7253,$B219,'Besi Balok'!$F$23:$F$7253,'REKAP Balok'!N$11)</f>
        <v>16.374240000000004</v>
      </c>
      <c r="O219">
        <f>SUMIFS('Besi Balok'!$AA$23:$AA$7253,'Besi Balok'!$A$23:$A$7253,$A219,'Besi Balok'!$B$23:$B$7253,$B219,'Besi Balok'!$F$23:$F$7253,'REKAP Balok'!O$11)</f>
        <v>28.049627969999996</v>
      </c>
      <c r="P219">
        <f>SUMIFS('Besi Balok'!$AA$23:$AA$7253,'Besi Balok'!$A$23:$A$7253,$A219,'Besi Balok'!$B$23:$B$7253,$B219,'Besi Balok'!$F$23:$F$7253,'REKAP Balok'!P$11)</f>
        <v>0</v>
      </c>
      <c r="Q219">
        <f>SUMIFS('Besi Balok'!$AA$23:$AA$7253,'Besi Balok'!$A$23:$A$7253,$A219,'Besi Balok'!$B$23:$B$7253,$B219,'Besi Balok'!$F$23:$F$7253,'REKAP Balok'!Q$11)</f>
        <v>0</v>
      </c>
      <c r="R219">
        <f>SUMIFS('Besi Balok'!$AA$23:$AA$7253,'Besi Balok'!$A$23:$A$7253,$A219,'Besi Balok'!$B$23:$B$7253,$B219,'Besi Balok'!$F$23:$F$7253,'REKAP Balok'!R$11)</f>
        <v>0</v>
      </c>
      <c r="S219">
        <f>SUMIFS('Besi Balok'!$AA$23:$AA$7253,'Besi Balok'!$A$23:$A$7253,$A219,'Besi Balok'!$B$23:$B$7253,$B219,'Besi Balok'!$F$23:$F$7253,'REKAP Balok'!S$11)</f>
        <v>0</v>
      </c>
      <c r="T219">
        <f>SUMIFS('Besi Balok'!$AA$23:$AA$7253,'Besi Balok'!$A$23:$A$7253,$A219,'Besi Balok'!$B$23:$B$7253,$B219,'Besi Balok'!$F$23:$F$7253,'REKAP Balok'!T$11)</f>
        <v>0</v>
      </c>
      <c r="U219">
        <f>SUM(L219:T219)</f>
        <v>44.42386797</v>
      </c>
      <c r="V219">
        <f>(D219*(F219-H219)*G219*K219)/1000000000</f>
        <v>0.12525</v>
      </c>
      <c r="W219">
        <f>(((F219-H219)*2+IF(H219&gt;0,0,D219))*(G219)*K219)/1000000</f>
        <v>1.2525</v>
      </c>
      <c r="AC219">
        <f>(D219+2*$F$5)*F219*G219/1000000000</f>
        <v>0.501</v>
      </c>
    </row>
    <row r="220">
      <c r="A220" t="str">
        <f>'Data Panjang Balok'!A216</f>
        <v>Lantai 3</v>
      </c>
      <c r="B220">
        <f>'Data Panjang Balok'!B216</f>
        <v>63</v>
      </c>
      <c r="C220" t="str">
        <f>'Data Panjang Balok'!D216</f>
        <v>B23-1</v>
      </c>
      <c r="D220">
        <f>IF(C220&gt;0,VLOOKUP(C220,'Detail Balok'!$C$11:$AU$140,2,FALSE),0)</f>
        <v>200</v>
      </c>
      <c r="E220" t="str">
        <v>x</v>
      </c>
      <c r="F220">
        <f>IF(C220&gt;0,VLOOKUP(C220,'Detail Balok'!$C$11:$AU$140,3,FALSE),0)</f>
        <v>300</v>
      </c>
      <c r="G220">
        <f>'Data Panjang Balok'!I216</f>
        <v>4175</v>
      </c>
      <c r="H220">
        <f>'Data Panjang Balok'!J216</f>
        <v>150</v>
      </c>
      <c r="I220">
        <v>0</v>
      </c>
      <c r="J220">
        <f>I220-F220/1000</f>
        <v>-0.3</v>
      </c>
      <c r="K220">
        <f>'Data Panjang Balok'!E216</f>
        <v>1</v>
      </c>
      <c r="L220">
        <f>SUMIFS('Besi Balok'!$AA$23:$AA$7253,'Besi Balok'!$A$23:$A$7253,$A220,'Besi Balok'!$B$23:$B$7253,$B220,'Besi Balok'!$F$23:$F$7253,'REKAP Balok'!L$11)</f>
        <v>0</v>
      </c>
      <c r="M220">
        <f>SUMIFS('Besi Balok'!$AA$23:$AA$7253,'Besi Balok'!$A$23:$A$7253,$A220,'Besi Balok'!$B$23:$B$7253,$B220,'Besi Balok'!$F$23:$F$7253,'REKAP Balok'!M$11)</f>
        <v>0</v>
      </c>
      <c r="N220">
        <f>SUMIFS('Besi Balok'!$AA$23:$AA$7253,'Besi Balok'!$A$23:$A$7253,$A220,'Besi Balok'!$B$23:$B$7253,$B220,'Besi Balok'!$F$23:$F$7253,'REKAP Balok'!N$11)</f>
        <v>16.374240000000004</v>
      </c>
      <c r="O220">
        <f>SUMIFS('Besi Balok'!$AA$23:$AA$7253,'Besi Balok'!$A$23:$A$7253,$A220,'Besi Balok'!$B$23:$B$7253,$B220,'Besi Balok'!$F$23:$F$7253,'REKAP Balok'!O$11)</f>
        <v>28.049627969999996</v>
      </c>
      <c r="P220">
        <f>SUMIFS('Besi Balok'!$AA$23:$AA$7253,'Besi Balok'!$A$23:$A$7253,$A220,'Besi Balok'!$B$23:$B$7253,$B220,'Besi Balok'!$F$23:$F$7253,'REKAP Balok'!P$11)</f>
        <v>0</v>
      </c>
      <c r="Q220">
        <f>SUMIFS('Besi Balok'!$AA$23:$AA$7253,'Besi Balok'!$A$23:$A$7253,$A220,'Besi Balok'!$B$23:$B$7253,$B220,'Besi Balok'!$F$23:$F$7253,'REKAP Balok'!Q$11)</f>
        <v>0</v>
      </c>
      <c r="R220">
        <f>SUMIFS('Besi Balok'!$AA$23:$AA$7253,'Besi Balok'!$A$23:$A$7253,$A220,'Besi Balok'!$B$23:$B$7253,$B220,'Besi Balok'!$F$23:$F$7253,'REKAP Balok'!R$11)</f>
        <v>0</v>
      </c>
      <c r="S220">
        <f>SUMIFS('Besi Balok'!$AA$23:$AA$7253,'Besi Balok'!$A$23:$A$7253,$A220,'Besi Balok'!$B$23:$B$7253,$B220,'Besi Balok'!$F$23:$F$7253,'REKAP Balok'!S$11)</f>
        <v>0</v>
      </c>
      <c r="T220">
        <f>SUMIFS('Besi Balok'!$AA$23:$AA$7253,'Besi Balok'!$A$23:$A$7253,$A220,'Besi Balok'!$B$23:$B$7253,$B220,'Besi Balok'!$F$23:$F$7253,'REKAP Balok'!T$11)</f>
        <v>0</v>
      </c>
      <c r="U220">
        <f>SUM(L220:T220)</f>
        <v>44.42386797</v>
      </c>
      <c r="V220">
        <f>(D220*(F220-H220)*G220*K220)/1000000000</f>
        <v>0.12525</v>
      </c>
      <c r="W220">
        <f>(((F220-H220)*2+IF(H220&gt;0,0,D220))*(G220)*K220)/1000000</f>
        <v>1.2525</v>
      </c>
      <c r="AC220">
        <f>(D220+2*$F$5)*F220*G220/1000000000</f>
        <v>0.501</v>
      </c>
    </row>
    <row r="221">
      <c r="A221" t="str">
        <f>'Data Panjang Balok'!A217</f>
        <v>Lantai 3</v>
      </c>
      <c r="B221">
        <f>'Data Panjang Balok'!B217</f>
        <v>64</v>
      </c>
      <c r="C221" t="str">
        <f>'Data Panjang Balok'!D217</f>
        <v>B4-1</v>
      </c>
      <c r="D221">
        <f>IF(C221&gt;0,VLOOKUP(C221,'Detail Balok'!$C$11:$AU$140,2,FALSE),0)</f>
        <v>130</v>
      </c>
      <c r="E221" t="str">
        <v>x</v>
      </c>
      <c r="F221">
        <f>IF(C221&gt;0,VLOOKUP(C221,'Detail Balok'!$C$11:$AU$140,3,FALSE),0)</f>
        <v>400</v>
      </c>
      <c r="G221">
        <f>'Data Panjang Balok'!I217</f>
        <v>6570</v>
      </c>
      <c r="H221">
        <f>'Data Panjang Balok'!J217</f>
        <v>0</v>
      </c>
      <c r="I221">
        <v>0</v>
      </c>
      <c r="J221">
        <f>I221-F221/1000</f>
        <v>-0.4</v>
      </c>
      <c r="K221">
        <f>'Data Panjang Balok'!E217</f>
        <v>1</v>
      </c>
      <c r="L221">
        <f>SUMIFS('Besi Balok'!$AA$23:$AA$7253,'Besi Balok'!$A$23:$A$7253,$A221,'Besi Balok'!$B$23:$B$7253,$B221,'Besi Balok'!$F$23:$F$7253,'REKAP Balok'!L$11)</f>
        <v>0</v>
      </c>
      <c r="M221">
        <f>SUMIFS('Besi Balok'!$AA$23:$AA$7253,'Besi Balok'!$A$23:$A$7253,$A221,'Besi Balok'!$B$23:$B$7253,$B221,'Besi Balok'!$F$23:$F$7253,'REKAP Balok'!M$11)</f>
        <v>14.046336</v>
      </c>
      <c r="N221">
        <f>SUMIFS('Besi Balok'!$AA$23:$AA$7253,'Besi Balok'!$A$23:$A$7253,$A221,'Besi Balok'!$B$23:$B$7253,$B221,'Besi Balok'!$F$23:$F$7253,'REKAP Balok'!N$11)</f>
        <v>0</v>
      </c>
      <c r="O221">
        <f>SUMIFS('Besi Balok'!$AA$23:$AA$7253,'Besi Balok'!$A$23:$A$7253,$A221,'Besi Balok'!$B$23:$B$7253,$B221,'Besi Balok'!$F$23:$F$7253,'REKAP Balok'!O$11)</f>
        <v>28.68101028</v>
      </c>
      <c r="P221">
        <f>SUMIFS('Besi Balok'!$AA$23:$AA$7253,'Besi Balok'!$A$23:$A$7253,$A221,'Besi Balok'!$B$23:$B$7253,$B221,'Besi Balok'!$F$23:$F$7253,'REKAP Balok'!P$11)</f>
        <v>0</v>
      </c>
      <c r="Q221">
        <f>SUMIFS('Besi Balok'!$AA$23:$AA$7253,'Besi Balok'!$A$23:$A$7253,$A221,'Besi Balok'!$B$23:$B$7253,$B221,'Besi Balok'!$F$23:$F$7253,'REKAP Balok'!Q$11)</f>
        <v>0</v>
      </c>
      <c r="R221">
        <f>SUMIFS('Besi Balok'!$AA$23:$AA$7253,'Besi Balok'!$A$23:$A$7253,$A221,'Besi Balok'!$B$23:$B$7253,$B221,'Besi Balok'!$F$23:$F$7253,'REKAP Balok'!R$11)</f>
        <v>0</v>
      </c>
      <c r="S221">
        <f>SUMIFS('Besi Balok'!$AA$23:$AA$7253,'Besi Balok'!$A$23:$A$7253,$A221,'Besi Balok'!$B$23:$B$7253,$B221,'Besi Balok'!$F$23:$F$7253,'REKAP Balok'!S$11)</f>
        <v>0</v>
      </c>
      <c r="T221">
        <f>SUMIFS('Besi Balok'!$AA$23:$AA$7253,'Besi Balok'!$A$23:$A$7253,$A221,'Besi Balok'!$B$23:$B$7253,$B221,'Besi Balok'!$F$23:$F$7253,'REKAP Balok'!T$11)</f>
        <v>0</v>
      </c>
      <c r="U221">
        <f>SUM(L221:T221)</f>
        <v>42.72734628</v>
      </c>
      <c r="V221">
        <f>(D221*(F221-H221)*G221*K221)/1000000000</f>
        <v>0.34164</v>
      </c>
      <c r="W221">
        <f>(((F221-H221)*2+IF(H221&gt;0,0,D221))*(G221)*K221)/1000000</f>
        <v>6.1101</v>
      </c>
      <c r="AC221">
        <f>(D221+2*$F$5)*F221*G221/1000000000</f>
        <v>0.86724</v>
      </c>
    </row>
    <row r="223">
      <c r="A223" t="str">
        <f>'Data Panjang Balok'!A219</f>
        <v>Lantai Atap</v>
      </c>
      <c r="B223">
        <f>'Data Panjang Balok'!B219</f>
        <v>1</v>
      </c>
      <c r="C223" t="str">
        <f>'Data Panjang Balok'!D219</f>
        <v>B4-1</v>
      </c>
      <c r="D223">
        <f>IF(C223&gt;0,VLOOKUP(C223,'Detail Balok'!$C$11:$AU$140,2,FALSE),0)</f>
        <v>130</v>
      </c>
      <c r="E223" t="str">
        <v>x</v>
      </c>
      <c r="F223">
        <f>IF(C223&gt;0,VLOOKUP(C223,'Detail Balok'!$C$11:$AU$140,3,FALSE),0)</f>
        <v>400</v>
      </c>
      <c r="G223">
        <f>'Data Panjang Balok'!I219</f>
        <v>9250</v>
      </c>
      <c r="H223">
        <f>'Data Panjang Balok'!J219</f>
        <v>0</v>
      </c>
      <c r="I223">
        <v>0</v>
      </c>
      <c r="J223">
        <f>I223-F223/1000</f>
        <v>-0.4</v>
      </c>
      <c r="K223">
        <f>'Data Panjang Balok'!E219</f>
        <v>1</v>
      </c>
      <c r="L223">
        <f>SUMIFS('Besi Balok'!$AA$23:$AA$7253,'Besi Balok'!$A$23:$A$7253,$A223,'Besi Balok'!$B$23:$B$7253,$B223,'Besi Balok'!$F$23:$F$7253,'REKAP Balok'!L$11)</f>
        <v>0</v>
      </c>
      <c r="M223">
        <f>SUMIFS('Besi Balok'!$AA$23:$AA$7253,'Besi Balok'!$A$23:$A$7253,$A223,'Besi Balok'!$B$23:$B$7253,$B223,'Besi Balok'!$F$23:$F$7253,'REKAP Balok'!M$11)</f>
        <v>19.313712000000002</v>
      </c>
      <c r="N223">
        <f>SUMIFS('Besi Balok'!$AA$23:$AA$7253,'Besi Balok'!$A$23:$A$7253,$A223,'Besi Balok'!$B$23:$B$7253,$B223,'Besi Balok'!$F$23:$F$7253,'REKAP Balok'!N$11)</f>
        <v>0</v>
      </c>
      <c r="O223">
        <f>SUMIFS('Besi Balok'!$AA$23:$AA$7253,'Besi Balok'!$A$23:$A$7253,$A223,'Besi Balok'!$B$23:$B$7253,$B223,'Besi Balok'!$F$23:$F$7253,'REKAP Balok'!O$11)</f>
        <v>39.850017480000005</v>
      </c>
      <c r="P223">
        <f>SUMIFS('Besi Balok'!$AA$23:$AA$7253,'Besi Balok'!$A$23:$A$7253,$A223,'Besi Balok'!$B$23:$B$7253,$B223,'Besi Balok'!$F$23:$F$7253,'REKAP Balok'!P$11)</f>
        <v>0</v>
      </c>
      <c r="Q223">
        <f>SUMIFS('Besi Balok'!$AA$23:$AA$7253,'Besi Balok'!$A$23:$A$7253,$A223,'Besi Balok'!$B$23:$B$7253,$B223,'Besi Balok'!$F$23:$F$7253,'REKAP Balok'!Q$11)</f>
        <v>0</v>
      </c>
      <c r="R223">
        <f>SUMIFS('Besi Balok'!$AA$23:$AA$7253,'Besi Balok'!$A$23:$A$7253,$A223,'Besi Balok'!$B$23:$B$7253,$B223,'Besi Balok'!$F$23:$F$7253,'REKAP Balok'!R$11)</f>
        <v>0</v>
      </c>
      <c r="S223">
        <f>SUMIFS('Besi Balok'!$AA$23:$AA$7253,'Besi Balok'!$A$23:$A$7253,$A223,'Besi Balok'!$B$23:$B$7253,$B223,'Besi Balok'!$F$23:$F$7253,'REKAP Balok'!S$11)</f>
        <v>0</v>
      </c>
      <c r="T223">
        <f>SUMIFS('Besi Balok'!$AA$23:$AA$7253,'Besi Balok'!$A$23:$A$7253,$A223,'Besi Balok'!$B$23:$B$7253,$B223,'Besi Balok'!$F$23:$F$7253,'REKAP Balok'!T$11)</f>
        <v>0</v>
      </c>
      <c r="U223">
        <f>SUM(L223:T223)</f>
        <v>59.16372948000001</v>
      </c>
      <c r="V223">
        <f>(D223*(F223-H223)*G223*K223)/1000000000</f>
        <v>0.481</v>
      </c>
      <c r="W223">
        <f>(((F223-H223)*2+IF(H223&gt;0,0,D223))*(G223)*K223)/1000000</f>
        <v>8.6025</v>
      </c>
      <c r="AC223">
        <f>(D223+2*$F$5)*F223*G223/1000000000</f>
        <v>1.221</v>
      </c>
    </row>
    <row r="224">
      <c r="A224" t="str">
        <f>'Data Panjang Balok'!A220</f>
        <v>Lantai Atap</v>
      </c>
      <c r="B224">
        <f>'Data Panjang Balok'!B220</f>
        <v>2</v>
      </c>
      <c r="C224" t="str">
        <f>'Data Panjang Balok'!D220</f>
        <v>B4-1</v>
      </c>
      <c r="D224">
        <f>IF(C224&gt;0,VLOOKUP(C224,'Detail Balok'!$C$11:$AU$140,2,FALSE),0)</f>
        <v>130</v>
      </c>
      <c r="E224" t="str">
        <v>x</v>
      </c>
      <c r="F224">
        <f>IF(C224&gt;0,VLOOKUP(C224,'Detail Balok'!$C$11:$AU$140,3,FALSE),0)</f>
        <v>400</v>
      </c>
      <c r="G224">
        <f>'Data Panjang Balok'!I220</f>
        <v>5145</v>
      </c>
      <c r="H224">
        <f>'Data Panjang Balok'!J220</f>
        <v>0</v>
      </c>
      <c r="I224">
        <v>0</v>
      </c>
      <c r="J224">
        <f>I224-F224/1000</f>
        <v>-0.4</v>
      </c>
      <c r="K224">
        <f>'Data Panjang Balok'!E220</f>
        <v>1</v>
      </c>
      <c r="L224">
        <f>SUMIFS('Besi Balok'!$AA$23:$AA$7253,'Besi Balok'!$A$23:$A$7253,$A224,'Besi Balok'!$B$23:$B$7253,$B224,'Besi Balok'!$F$23:$F$7253,'REKAP Balok'!L$11)</f>
        <v>0</v>
      </c>
      <c r="M224">
        <f>SUMIFS('Besi Balok'!$AA$23:$AA$7253,'Besi Balok'!$A$23:$A$7253,$A224,'Besi Balok'!$B$23:$B$7253,$B224,'Besi Balok'!$F$23:$F$7253,'REKAP Balok'!M$11)</f>
        <v>11.588227200000002</v>
      </c>
      <c r="N224">
        <f>SUMIFS('Besi Balok'!$AA$23:$AA$7253,'Besi Balok'!$A$23:$A$7253,$A224,'Besi Balok'!$B$23:$B$7253,$B224,'Besi Balok'!$F$23:$F$7253,'REKAP Balok'!N$11)</f>
        <v>0</v>
      </c>
      <c r="O224">
        <f>SUMIFS('Besi Balok'!$AA$23:$AA$7253,'Besi Balok'!$A$23:$A$7253,$A224,'Besi Balok'!$B$23:$B$7253,$B224,'Besi Balok'!$F$23:$F$7253,'REKAP Balok'!O$11)</f>
        <v>22.742265779999993</v>
      </c>
      <c r="P224">
        <f>SUMIFS('Besi Balok'!$AA$23:$AA$7253,'Besi Balok'!$A$23:$A$7253,$A224,'Besi Balok'!$B$23:$B$7253,$B224,'Besi Balok'!$F$23:$F$7253,'REKAP Balok'!P$11)</f>
        <v>0</v>
      </c>
      <c r="Q224">
        <f>SUMIFS('Besi Balok'!$AA$23:$AA$7253,'Besi Balok'!$A$23:$A$7253,$A224,'Besi Balok'!$B$23:$B$7253,$B224,'Besi Balok'!$F$23:$F$7253,'REKAP Balok'!Q$11)</f>
        <v>0</v>
      </c>
      <c r="R224">
        <f>SUMIFS('Besi Balok'!$AA$23:$AA$7253,'Besi Balok'!$A$23:$A$7253,$A224,'Besi Balok'!$B$23:$B$7253,$B224,'Besi Balok'!$F$23:$F$7253,'REKAP Balok'!R$11)</f>
        <v>0</v>
      </c>
      <c r="S224">
        <f>SUMIFS('Besi Balok'!$AA$23:$AA$7253,'Besi Balok'!$A$23:$A$7253,$A224,'Besi Balok'!$B$23:$B$7253,$B224,'Besi Balok'!$F$23:$F$7253,'REKAP Balok'!S$11)</f>
        <v>0</v>
      </c>
      <c r="T224">
        <f>SUMIFS('Besi Balok'!$AA$23:$AA$7253,'Besi Balok'!$A$23:$A$7253,$A224,'Besi Balok'!$B$23:$B$7253,$B224,'Besi Balok'!$F$23:$F$7253,'REKAP Balok'!T$11)</f>
        <v>0</v>
      </c>
      <c r="U224">
        <f>SUM(L224:T224)</f>
        <v>34.330492979999995</v>
      </c>
      <c r="V224">
        <f>(D224*(F224-H224)*G224*K224)/1000000000</f>
        <v>0.26754</v>
      </c>
      <c r="W224">
        <f>(((F224-H224)*2+IF(H224&gt;0,0,D224))*(G224)*K224)/1000000</f>
        <v>4.78485</v>
      </c>
      <c r="AC224">
        <f>(D224+2*$F$5)*F224*G224/1000000000</f>
        <v>0.67914</v>
      </c>
    </row>
    <row r="225">
      <c r="A225" t="str">
        <f>'Data Panjang Balok'!A221</f>
        <v>Lantai Atap</v>
      </c>
      <c r="B225">
        <f>'Data Panjang Balok'!B221</f>
        <v>3</v>
      </c>
      <c r="C225" t="str">
        <f>'Data Panjang Balok'!D221</f>
        <v>B4-1</v>
      </c>
      <c r="D225">
        <f>IF(C225&gt;0,VLOOKUP(C225,'Detail Balok'!$C$11:$AU$140,2,FALSE),0)</f>
        <v>130</v>
      </c>
      <c r="E225" t="str">
        <v>x</v>
      </c>
      <c r="F225">
        <f>IF(C225&gt;0,VLOOKUP(C225,'Detail Balok'!$C$11:$AU$140,3,FALSE),0)</f>
        <v>400</v>
      </c>
      <c r="G225">
        <f>'Data Panjang Balok'!I221</f>
        <v>4075</v>
      </c>
      <c r="H225">
        <f>'Data Panjang Balok'!J221</f>
        <v>0</v>
      </c>
      <c r="I225">
        <v>0</v>
      </c>
      <c r="J225">
        <f>I225-F225/1000</f>
        <v>-0.4</v>
      </c>
      <c r="K225">
        <f>'Data Panjang Balok'!E221</f>
        <v>1</v>
      </c>
      <c r="L225">
        <f>SUMIFS('Besi Balok'!$AA$23:$AA$7253,'Besi Balok'!$A$23:$A$7253,$A225,'Besi Balok'!$B$23:$B$7253,$B225,'Besi Balok'!$F$23:$F$7253,'REKAP Balok'!L$11)</f>
        <v>0</v>
      </c>
      <c r="M225">
        <f>SUMIFS('Besi Balok'!$AA$23:$AA$7253,'Besi Balok'!$A$23:$A$7253,$A225,'Besi Balok'!$B$23:$B$7253,$B225,'Besi Balok'!$F$23:$F$7253,'REKAP Balok'!M$11)</f>
        <v>9.1301184</v>
      </c>
      <c r="N225">
        <f>SUMIFS('Besi Balok'!$AA$23:$AA$7253,'Besi Balok'!$A$23:$A$7253,$A225,'Besi Balok'!$B$23:$B$7253,$B225,'Besi Balok'!$F$23:$F$7253,'REKAP Balok'!N$11)</f>
        <v>0</v>
      </c>
      <c r="O225">
        <f>SUMIFS('Besi Balok'!$AA$23:$AA$7253,'Besi Balok'!$A$23:$A$7253,$A225,'Besi Balok'!$B$23:$B$7253,$B225,'Besi Balok'!$F$23:$F$7253,'REKAP Balok'!O$11)</f>
        <v>18.28299798</v>
      </c>
      <c r="P225">
        <f>SUMIFS('Besi Balok'!$AA$23:$AA$7253,'Besi Balok'!$A$23:$A$7253,$A225,'Besi Balok'!$B$23:$B$7253,$B225,'Besi Balok'!$F$23:$F$7253,'REKAP Balok'!P$11)</f>
        <v>0</v>
      </c>
      <c r="Q225">
        <f>SUMIFS('Besi Balok'!$AA$23:$AA$7253,'Besi Balok'!$A$23:$A$7253,$A225,'Besi Balok'!$B$23:$B$7253,$B225,'Besi Balok'!$F$23:$F$7253,'REKAP Balok'!Q$11)</f>
        <v>0</v>
      </c>
      <c r="R225">
        <f>SUMIFS('Besi Balok'!$AA$23:$AA$7253,'Besi Balok'!$A$23:$A$7253,$A225,'Besi Balok'!$B$23:$B$7253,$B225,'Besi Balok'!$F$23:$F$7253,'REKAP Balok'!R$11)</f>
        <v>0</v>
      </c>
      <c r="S225">
        <f>SUMIFS('Besi Balok'!$AA$23:$AA$7253,'Besi Balok'!$A$23:$A$7253,$A225,'Besi Balok'!$B$23:$B$7253,$B225,'Besi Balok'!$F$23:$F$7253,'REKAP Balok'!S$11)</f>
        <v>0</v>
      </c>
      <c r="T225">
        <f>SUMIFS('Besi Balok'!$AA$23:$AA$7253,'Besi Balok'!$A$23:$A$7253,$A225,'Besi Balok'!$B$23:$B$7253,$B225,'Besi Balok'!$F$23:$F$7253,'REKAP Balok'!T$11)</f>
        <v>0</v>
      </c>
      <c r="U225">
        <f>SUM(L225:T225)</f>
        <v>27.41311638</v>
      </c>
      <c r="V225">
        <f>(D225*(F225-H225)*G225*K225)/1000000000</f>
        <v>0.2119</v>
      </c>
      <c r="W225">
        <f>(((F225-H225)*2+IF(H225&gt;0,0,D225))*(G225)*K225)/1000000</f>
        <v>3.78975</v>
      </c>
      <c r="AC225">
        <f>(D225+2*$F$5)*F225*G225/1000000000</f>
        <v>0.5379</v>
      </c>
    </row>
    <row r="226">
      <c r="A226" t="str">
        <f>'Data Panjang Balok'!A222</f>
        <v>Lantai Atap</v>
      </c>
      <c r="B226">
        <f>'Data Panjang Balok'!B222</f>
        <v>4</v>
      </c>
      <c r="C226" t="str">
        <f>'Data Panjang Balok'!D222</f>
        <v>B4-1</v>
      </c>
      <c r="D226">
        <f>IF(C226&gt;0,VLOOKUP(C226,'Detail Balok'!$C$11:$AU$140,2,FALSE),0)</f>
        <v>130</v>
      </c>
      <c r="E226" t="str">
        <v>x</v>
      </c>
      <c r="F226">
        <f>IF(C226&gt;0,VLOOKUP(C226,'Detail Balok'!$C$11:$AU$140,3,FALSE),0)</f>
        <v>400</v>
      </c>
      <c r="G226">
        <f>'Data Panjang Balok'!I222</f>
        <v>5160</v>
      </c>
      <c r="H226">
        <f>'Data Panjang Balok'!J222</f>
        <v>0</v>
      </c>
      <c r="I226">
        <v>0</v>
      </c>
      <c r="J226">
        <f>I226-F226/1000</f>
        <v>-0.4</v>
      </c>
      <c r="K226">
        <f>'Data Panjang Balok'!E222</f>
        <v>1</v>
      </c>
      <c r="L226">
        <f>SUMIFS('Besi Balok'!$AA$23:$AA$7253,'Besi Balok'!$A$23:$A$7253,$A226,'Besi Balok'!$B$23:$B$7253,$B226,'Besi Balok'!$F$23:$F$7253,'REKAP Balok'!L$11)</f>
        <v>0</v>
      </c>
      <c r="M226">
        <f>SUMIFS('Besi Balok'!$AA$23:$AA$7253,'Besi Balok'!$A$23:$A$7253,$A226,'Besi Balok'!$B$23:$B$7253,$B226,'Besi Balok'!$F$23:$F$7253,'REKAP Balok'!M$11)</f>
        <v>11.588227200000002</v>
      </c>
      <c r="N226">
        <f>SUMIFS('Besi Balok'!$AA$23:$AA$7253,'Besi Balok'!$A$23:$A$7253,$A226,'Besi Balok'!$B$23:$B$7253,$B226,'Besi Balok'!$F$23:$F$7253,'REKAP Balok'!N$11)</f>
        <v>0</v>
      </c>
      <c r="O226">
        <f>SUMIFS('Besi Balok'!$AA$23:$AA$7253,'Besi Balok'!$A$23:$A$7253,$A226,'Besi Balok'!$B$23:$B$7253,$B226,'Besi Balok'!$F$23:$F$7253,'REKAP Balok'!O$11)</f>
        <v>22.804778879999997</v>
      </c>
      <c r="P226">
        <f>SUMIFS('Besi Balok'!$AA$23:$AA$7253,'Besi Balok'!$A$23:$A$7253,$A226,'Besi Balok'!$B$23:$B$7253,$B226,'Besi Balok'!$F$23:$F$7253,'REKAP Balok'!P$11)</f>
        <v>0</v>
      </c>
      <c r="Q226">
        <f>SUMIFS('Besi Balok'!$AA$23:$AA$7253,'Besi Balok'!$A$23:$A$7253,$A226,'Besi Balok'!$B$23:$B$7253,$B226,'Besi Balok'!$F$23:$F$7253,'REKAP Balok'!Q$11)</f>
        <v>0</v>
      </c>
      <c r="R226">
        <f>SUMIFS('Besi Balok'!$AA$23:$AA$7253,'Besi Balok'!$A$23:$A$7253,$A226,'Besi Balok'!$B$23:$B$7253,$B226,'Besi Balok'!$F$23:$F$7253,'REKAP Balok'!R$11)</f>
        <v>0</v>
      </c>
      <c r="S226">
        <f>SUMIFS('Besi Balok'!$AA$23:$AA$7253,'Besi Balok'!$A$23:$A$7253,$A226,'Besi Balok'!$B$23:$B$7253,$B226,'Besi Balok'!$F$23:$F$7253,'REKAP Balok'!S$11)</f>
        <v>0</v>
      </c>
      <c r="T226">
        <f>SUMIFS('Besi Balok'!$AA$23:$AA$7253,'Besi Balok'!$A$23:$A$7253,$A226,'Besi Balok'!$B$23:$B$7253,$B226,'Besi Balok'!$F$23:$F$7253,'REKAP Balok'!T$11)</f>
        <v>0</v>
      </c>
      <c r="U226">
        <f>SUM(L226:T226)</f>
        <v>34.39300608</v>
      </c>
      <c r="V226">
        <f>(D226*(F226-H226)*G226*K226)/1000000000</f>
        <v>0.26832</v>
      </c>
      <c r="W226">
        <f>(((F226-H226)*2+IF(H226&gt;0,0,D226))*(G226)*K226)/1000000</f>
        <v>4.7988</v>
      </c>
      <c r="AC226">
        <f>(D226+2*$F$5)*F226*G226/1000000000</f>
        <v>0.68112</v>
      </c>
    </row>
    <row r="227">
      <c r="A227" t="str">
        <f>'Data Panjang Balok'!A223</f>
        <v>Lantai Atap</v>
      </c>
      <c r="B227">
        <f>'Data Panjang Balok'!B223</f>
        <v>5</v>
      </c>
      <c r="C227" t="str">
        <f>'Data Panjang Balok'!D223</f>
        <v>B5-1</v>
      </c>
      <c r="D227">
        <f>IF(C227&gt;0,VLOOKUP(C227,'Detail Balok'!$C$11:$AU$140,2,FALSE),0)</f>
        <v>130</v>
      </c>
      <c r="E227" t="str">
        <v>x</v>
      </c>
      <c r="F227">
        <f>IF(C227&gt;0,VLOOKUP(C227,'Detail Balok'!$C$11:$AU$140,3,FALSE),0)</f>
        <v>500</v>
      </c>
      <c r="G227">
        <f>'Data Panjang Balok'!I223</f>
        <v>6015</v>
      </c>
      <c r="H227">
        <f>'Data Panjang Balok'!J223</f>
        <v>0</v>
      </c>
      <c r="I227">
        <v>0</v>
      </c>
      <c r="J227">
        <f>I227-F227/1000</f>
        <v>-0.5</v>
      </c>
      <c r="K227">
        <f>'Data Panjang Balok'!E223</f>
        <v>1</v>
      </c>
      <c r="L227">
        <f>SUMIFS('Besi Balok'!$AA$23:$AA$7253,'Besi Balok'!$A$23:$A$7253,$A227,'Besi Balok'!$B$23:$B$7253,$B227,'Besi Balok'!$F$23:$F$7253,'REKAP Balok'!L$11)</f>
        <v>0</v>
      </c>
      <c r="M227">
        <f>SUMIFS('Besi Balok'!$AA$23:$AA$7253,'Besi Balok'!$A$23:$A$7253,$A227,'Besi Balok'!$B$23:$B$7253,$B227,'Besi Balok'!$F$23:$F$7253,'REKAP Balok'!M$11)</f>
        <v>15.912604799999999</v>
      </c>
      <c r="N227">
        <f>SUMIFS('Besi Balok'!$AA$23:$AA$7253,'Besi Balok'!$A$23:$A$7253,$A227,'Besi Balok'!$B$23:$B$7253,$B227,'Besi Balok'!$F$23:$F$7253,'REKAP Balok'!N$11)</f>
        <v>7.712415000000001</v>
      </c>
      <c r="O227">
        <f>SUMIFS('Besi Balok'!$AA$23:$AA$7253,'Besi Balok'!$A$23:$A$7253,$A227,'Besi Balok'!$B$23:$B$7253,$B227,'Besi Balok'!$F$23:$F$7253,'REKAP Balok'!O$11)</f>
        <v>39.55203836999999</v>
      </c>
      <c r="P227">
        <f>SUMIFS('Besi Balok'!$AA$23:$AA$7253,'Besi Balok'!$A$23:$A$7253,$A227,'Besi Balok'!$B$23:$B$7253,$B227,'Besi Balok'!$F$23:$F$7253,'REKAP Balok'!P$11)</f>
        <v>0</v>
      </c>
      <c r="Q227">
        <f>SUMIFS('Besi Balok'!$AA$23:$AA$7253,'Besi Balok'!$A$23:$A$7253,$A227,'Besi Balok'!$B$23:$B$7253,$B227,'Besi Balok'!$F$23:$F$7253,'REKAP Balok'!Q$11)</f>
        <v>0</v>
      </c>
      <c r="R227">
        <f>SUMIFS('Besi Balok'!$AA$23:$AA$7253,'Besi Balok'!$A$23:$A$7253,$A227,'Besi Balok'!$B$23:$B$7253,$B227,'Besi Balok'!$F$23:$F$7253,'REKAP Balok'!R$11)</f>
        <v>0</v>
      </c>
      <c r="S227">
        <f>SUMIFS('Besi Balok'!$AA$23:$AA$7253,'Besi Balok'!$A$23:$A$7253,$A227,'Besi Balok'!$B$23:$B$7253,$B227,'Besi Balok'!$F$23:$F$7253,'REKAP Balok'!S$11)</f>
        <v>0</v>
      </c>
      <c r="T227">
        <f>SUMIFS('Besi Balok'!$AA$23:$AA$7253,'Besi Balok'!$A$23:$A$7253,$A227,'Besi Balok'!$B$23:$B$7253,$B227,'Besi Balok'!$F$23:$F$7253,'REKAP Balok'!T$11)</f>
        <v>0</v>
      </c>
      <c r="U227">
        <f>SUM(L227:T227)</f>
        <v>63.177058169999995</v>
      </c>
      <c r="V227">
        <f>(D227*(F227-H227)*G227*K227)/1000000000</f>
        <v>0.390975</v>
      </c>
      <c r="W227">
        <f>(((F227-H227)*2+IF(H227&gt;0,0,D227))*(G227)*K227)/1000000</f>
        <v>6.79695</v>
      </c>
      <c r="AC227">
        <f>(D227+2*$F$5)*F227*G227/1000000000</f>
        <v>0.992475</v>
      </c>
    </row>
    <row r="228">
      <c r="A228" t="str">
        <f>'Data Panjang Balok'!A224</f>
        <v>Lantai Atap</v>
      </c>
      <c r="B228">
        <f>'Data Panjang Balok'!B224</f>
        <v>6</v>
      </c>
      <c r="C228" t="str">
        <f>'Data Panjang Balok'!D224</f>
        <v>B24-1</v>
      </c>
      <c r="D228">
        <f>IF(C228&gt;0,VLOOKUP(C228,'Detail Balok'!$C$11:$AU$140,2,FALSE),0)</f>
        <v>200</v>
      </c>
      <c r="E228" t="str">
        <v>x</v>
      </c>
      <c r="F228">
        <f>IF(C228&gt;0,VLOOKUP(C228,'Detail Balok'!$C$11:$AU$140,3,FALSE),0)</f>
        <v>400</v>
      </c>
      <c r="G228">
        <f>'Data Panjang Balok'!I224</f>
        <v>3925</v>
      </c>
      <c r="H228">
        <f>'Data Panjang Balok'!J224</f>
        <v>150</v>
      </c>
      <c r="I228">
        <v>0</v>
      </c>
      <c r="J228">
        <f>I228-F228/1000</f>
        <v>-0.4</v>
      </c>
      <c r="K228">
        <f>'Data Panjang Balok'!E224</f>
        <v>1</v>
      </c>
      <c r="L228">
        <f>SUMIFS('Besi Balok'!$AA$23:$AA$7253,'Besi Balok'!$A$23:$A$7253,$A228,'Besi Balok'!$B$23:$B$7253,$B228,'Besi Balok'!$F$23:$F$7253,'REKAP Balok'!L$11)</f>
        <v>0</v>
      </c>
      <c r="M228">
        <f>SUMIFS('Besi Balok'!$AA$23:$AA$7253,'Besi Balok'!$A$23:$A$7253,$A228,'Besi Balok'!$B$23:$B$7253,$B228,'Besi Balok'!$F$23:$F$7253,'REKAP Balok'!M$11)</f>
        <v>0</v>
      </c>
      <c r="N228">
        <f>SUMIFS('Besi Balok'!$AA$23:$AA$7253,'Besi Balok'!$A$23:$A$7253,$A228,'Besi Balok'!$B$23:$B$7253,$B228,'Besi Balok'!$F$23:$F$7253,'REKAP Balok'!N$11)</f>
        <v>20.319840000000003</v>
      </c>
      <c r="O228">
        <f>SUMIFS('Besi Balok'!$AA$23:$AA$7253,'Besi Balok'!$A$23:$A$7253,$A228,'Besi Balok'!$B$23:$B$7253,$B228,'Besi Balok'!$F$23:$F$7253,'REKAP Balok'!O$11)</f>
        <v>26.48680047</v>
      </c>
      <c r="P228">
        <f>SUMIFS('Besi Balok'!$AA$23:$AA$7253,'Besi Balok'!$A$23:$A$7253,$A228,'Besi Balok'!$B$23:$B$7253,$B228,'Besi Balok'!$F$23:$F$7253,'REKAP Balok'!P$11)</f>
        <v>0</v>
      </c>
      <c r="Q228">
        <f>SUMIFS('Besi Balok'!$AA$23:$AA$7253,'Besi Balok'!$A$23:$A$7253,$A228,'Besi Balok'!$B$23:$B$7253,$B228,'Besi Balok'!$F$23:$F$7253,'REKAP Balok'!Q$11)</f>
        <v>0</v>
      </c>
      <c r="R228">
        <f>SUMIFS('Besi Balok'!$AA$23:$AA$7253,'Besi Balok'!$A$23:$A$7253,$A228,'Besi Balok'!$B$23:$B$7253,$B228,'Besi Balok'!$F$23:$F$7253,'REKAP Balok'!R$11)</f>
        <v>0</v>
      </c>
      <c r="S228">
        <f>SUMIFS('Besi Balok'!$AA$23:$AA$7253,'Besi Balok'!$A$23:$A$7253,$A228,'Besi Balok'!$B$23:$B$7253,$B228,'Besi Balok'!$F$23:$F$7253,'REKAP Balok'!S$11)</f>
        <v>0</v>
      </c>
      <c r="T228">
        <f>SUMIFS('Besi Balok'!$AA$23:$AA$7253,'Besi Balok'!$A$23:$A$7253,$A228,'Besi Balok'!$B$23:$B$7253,$B228,'Besi Balok'!$F$23:$F$7253,'REKAP Balok'!T$11)</f>
        <v>0</v>
      </c>
      <c r="U228">
        <f>SUM(L228:T228)</f>
        <v>46.806640470000005</v>
      </c>
      <c r="V228">
        <f>(D228*(F228-H228)*G228*K228)/1000000000</f>
        <v>0.19625</v>
      </c>
      <c r="W228">
        <f>(((F228-H228)*2+IF(H228&gt;0,0,D228))*(G228)*K228)/1000000</f>
        <v>1.9625</v>
      </c>
      <c r="AC228">
        <f>(D228+2*$F$5)*F228*G228/1000000000</f>
        <v>0.628</v>
      </c>
    </row>
    <row r="229">
      <c r="A229" t="str">
        <f>'Data Panjang Balok'!A225</f>
        <v>Lantai Atap</v>
      </c>
      <c r="B229">
        <f>'Data Panjang Balok'!B225</f>
        <v>7</v>
      </c>
      <c r="C229" t="str">
        <f>'Data Panjang Balok'!D225</f>
        <v>B2A4A-1</v>
      </c>
      <c r="D229">
        <f>IF(C229&gt;0,VLOOKUP(C229,'Detail Balok'!$C$11:$AU$140,2,FALSE),0)</f>
        <v>250</v>
      </c>
      <c r="E229" t="str">
        <v>x</v>
      </c>
      <c r="F229">
        <f>IF(C229&gt;0,VLOOKUP(C229,'Detail Balok'!$C$11:$AU$140,3,FALSE),0)</f>
        <v>450</v>
      </c>
      <c r="G229">
        <f>'Data Panjang Balok'!I225</f>
        <v>11150</v>
      </c>
      <c r="H229">
        <f>'Data Panjang Balok'!J225</f>
        <v>0</v>
      </c>
      <c r="I229">
        <v>0</v>
      </c>
      <c r="J229">
        <f>I229-F229/1000</f>
        <v>-0.45</v>
      </c>
      <c r="K229">
        <f>'Data Panjang Balok'!E225</f>
        <v>1</v>
      </c>
      <c r="L229">
        <f>SUMIFS('Besi Balok'!$AA$23:$AA$7253,'Besi Balok'!$A$23:$A$7253,$A229,'Besi Balok'!$B$23:$B$7253,$B229,'Besi Balok'!$F$23:$F$7253,'REKAP Balok'!L$11)</f>
        <v>0</v>
      </c>
      <c r="M229">
        <f>SUMIFS('Besi Balok'!$AA$23:$AA$7253,'Besi Balok'!$A$23:$A$7253,$A229,'Besi Balok'!$B$23:$B$7253,$B229,'Besi Balok'!$F$23:$F$7253,'REKAP Balok'!M$11)</f>
        <v>0</v>
      </c>
      <c r="N229">
        <f>SUMIFS('Besi Balok'!$AA$23:$AA$7253,'Besi Balok'!$A$23:$A$7253,$A229,'Besi Balok'!$B$23:$B$7253,$B229,'Besi Balok'!$F$23:$F$7253,'REKAP Balok'!N$11)</f>
        <v>65.21337</v>
      </c>
      <c r="O229">
        <f>SUMIFS('Besi Balok'!$AA$23:$AA$7253,'Besi Balok'!$A$23:$A$7253,$A229,'Besi Balok'!$B$23:$B$7253,$B229,'Besi Balok'!$F$23:$F$7253,'REKAP Balok'!O$11)</f>
        <v>71.65251522</v>
      </c>
      <c r="P229">
        <f>SUMIFS('Besi Balok'!$AA$23:$AA$7253,'Besi Balok'!$A$23:$A$7253,$A229,'Besi Balok'!$B$23:$B$7253,$B229,'Besi Balok'!$F$23:$F$7253,'REKAP Balok'!P$11)</f>
        <v>0</v>
      </c>
      <c r="Q229">
        <f>SUMIFS('Besi Balok'!$AA$23:$AA$7253,'Besi Balok'!$A$23:$A$7253,$A229,'Besi Balok'!$B$23:$B$7253,$B229,'Besi Balok'!$F$23:$F$7253,'REKAP Balok'!Q$11)</f>
        <v>0</v>
      </c>
      <c r="R229">
        <f>SUMIFS('Besi Balok'!$AA$23:$AA$7253,'Besi Balok'!$A$23:$A$7253,$A229,'Besi Balok'!$B$23:$B$7253,$B229,'Besi Balok'!$F$23:$F$7253,'REKAP Balok'!R$11)</f>
        <v>0</v>
      </c>
      <c r="S229">
        <f>SUMIFS('Besi Balok'!$AA$23:$AA$7253,'Besi Balok'!$A$23:$A$7253,$A229,'Besi Balok'!$B$23:$B$7253,$B229,'Besi Balok'!$F$23:$F$7253,'REKAP Balok'!S$11)</f>
        <v>0</v>
      </c>
      <c r="T229">
        <f>SUMIFS('Besi Balok'!$AA$23:$AA$7253,'Besi Balok'!$A$23:$A$7253,$A229,'Besi Balok'!$B$23:$B$7253,$B229,'Besi Balok'!$F$23:$F$7253,'REKAP Balok'!T$11)</f>
        <v>0</v>
      </c>
      <c r="U229">
        <f>SUM(L229:T229)</f>
        <v>136.86588522</v>
      </c>
      <c r="V229">
        <f>(D229*(F229-H229)*G229*K229)/1000000000</f>
        <v>1.254375</v>
      </c>
      <c r="W229">
        <f>(((F229-H229)*2+IF(H229&gt;0,0,D229))*(G229)*K229)/1000000</f>
        <v>12.8225</v>
      </c>
      <c r="AC229">
        <f>(D229+2*$F$5)*F229*G229/1000000000</f>
        <v>2.257875</v>
      </c>
    </row>
    <row r="230">
      <c r="A230" t="str">
        <f>'Data Panjang Balok'!A226</f>
        <v>Lantai Atap</v>
      </c>
      <c r="B230">
        <f>'Data Panjang Balok'!B226</f>
        <v>8</v>
      </c>
      <c r="C230" t="str">
        <f>'Data Panjang Balok'!D226</f>
        <v>B24-1</v>
      </c>
      <c r="D230">
        <f>IF(C230&gt;0,VLOOKUP(C230,'Detail Balok'!$C$11:$AU$140,2,FALSE),0)</f>
        <v>200</v>
      </c>
      <c r="E230" t="str">
        <v>x</v>
      </c>
      <c r="F230">
        <f>IF(C230&gt;0,VLOOKUP(C230,'Detail Balok'!$C$11:$AU$140,3,FALSE),0)</f>
        <v>400</v>
      </c>
      <c r="G230">
        <f>'Data Panjang Balok'!I226</f>
        <v>3925</v>
      </c>
      <c r="H230">
        <f>'Data Panjang Balok'!J226</f>
        <v>150</v>
      </c>
      <c r="I230">
        <v>0</v>
      </c>
      <c r="J230">
        <f>I230-F230/1000</f>
        <v>-0.4</v>
      </c>
      <c r="K230">
        <f>'Data Panjang Balok'!E226</f>
        <v>1</v>
      </c>
      <c r="L230">
        <f>SUMIFS('Besi Balok'!$AA$23:$AA$7253,'Besi Balok'!$A$23:$A$7253,$A230,'Besi Balok'!$B$23:$B$7253,$B230,'Besi Balok'!$F$23:$F$7253,'REKAP Balok'!L$11)</f>
        <v>0</v>
      </c>
      <c r="M230">
        <f>SUMIFS('Besi Balok'!$AA$23:$AA$7253,'Besi Balok'!$A$23:$A$7253,$A230,'Besi Balok'!$B$23:$B$7253,$B230,'Besi Balok'!$F$23:$F$7253,'REKAP Balok'!M$11)</f>
        <v>0</v>
      </c>
      <c r="N230">
        <f>SUMIFS('Besi Balok'!$AA$23:$AA$7253,'Besi Balok'!$A$23:$A$7253,$A230,'Besi Balok'!$B$23:$B$7253,$B230,'Besi Balok'!$F$23:$F$7253,'REKAP Balok'!N$11)</f>
        <v>20.319840000000003</v>
      </c>
      <c r="O230">
        <f>SUMIFS('Besi Balok'!$AA$23:$AA$7253,'Besi Balok'!$A$23:$A$7253,$A230,'Besi Balok'!$B$23:$B$7253,$B230,'Besi Balok'!$F$23:$F$7253,'REKAP Balok'!O$11)</f>
        <v>26.48680047</v>
      </c>
      <c r="P230">
        <f>SUMIFS('Besi Balok'!$AA$23:$AA$7253,'Besi Balok'!$A$23:$A$7253,$A230,'Besi Balok'!$B$23:$B$7253,$B230,'Besi Balok'!$F$23:$F$7253,'REKAP Balok'!P$11)</f>
        <v>0</v>
      </c>
      <c r="Q230">
        <f>SUMIFS('Besi Balok'!$AA$23:$AA$7253,'Besi Balok'!$A$23:$A$7253,$A230,'Besi Balok'!$B$23:$B$7253,$B230,'Besi Balok'!$F$23:$F$7253,'REKAP Balok'!Q$11)</f>
        <v>0</v>
      </c>
      <c r="R230">
        <f>SUMIFS('Besi Balok'!$AA$23:$AA$7253,'Besi Balok'!$A$23:$A$7253,$A230,'Besi Balok'!$B$23:$B$7253,$B230,'Besi Balok'!$F$23:$F$7253,'REKAP Balok'!R$11)</f>
        <v>0</v>
      </c>
      <c r="S230">
        <f>SUMIFS('Besi Balok'!$AA$23:$AA$7253,'Besi Balok'!$A$23:$A$7253,$A230,'Besi Balok'!$B$23:$B$7253,$B230,'Besi Balok'!$F$23:$F$7253,'REKAP Balok'!S$11)</f>
        <v>0</v>
      </c>
      <c r="T230">
        <f>SUMIFS('Besi Balok'!$AA$23:$AA$7253,'Besi Balok'!$A$23:$A$7253,$A230,'Besi Balok'!$B$23:$B$7253,$B230,'Besi Balok'!$F$23:$F$7253,'REKAP Balok'!T$11)</f>
        <v>0</v>
      </c>
      <c r="U230">
        <f>SUM(L230:T230)</f>
        <v>46.806640470000005</v>
      </c>
      <c r="V230">
        <f>(D230*(F230-H230)*G230*K230)/1000000000</f>
        <v>0.19625</v>
      </c>
      <c r="W230">
        <f>(((F230-H230)*2+IF(H230&gt;0,0,D230))*(G230)*K230)/1000000</f>
        <v>1.9625</v>
      </c>
      <c r="AC230">
        <f>(D230+2*$F$5)*F230*G230/1000000000</f>
        <v>0.628</v>
      </c>
    </row>
    <row r="231">
      <c r="A231" t="str">
        <f>'Data Panjang Balok'!A227</f>
        <v>Lantai Atap</v>
      </c>
      <c r="B231">
        <f>'Data Panjang Balok'!B227</f>
        <v>9</v>
      </c>
      <c r="C231" t="str">
        <f>'Data Panjang Balok'!D227</f>
        <v>B2A4A-1</v>
      </c>
      <c r="D231">
        <f>IF(C231&gt;0,VLOOKUP(C231,'Detail Balok'!$C$11:$AU$140,2,FALSE),0)</f>
        <v>250</v>
      </c>
      <c r="E231" t="str">
        <v>x</v>
      </c>
      <c r="F231">
        <f>IF(C231&gt;0,VLOOKUP(C231,'Detail Balok'!$C$11:$AU$140,3,FALSE),0)</f>
        <v>450</v>
      </c>
      <c r="G231">
        <f>'Data Panjang Balok'!I227</f>
        <v>6000</v>
      </c>
      <c r="H231">
        <f>'Data Panjang Balok'!J227</f>
        <v>0</v>
      </c>
      <c r="I231">
        <v>0</v>
      </c>
      <c r="J231">
        <f>I231-F231/1000</f>
        <v>-0.45</v>
      </c>
      <c r="K231">
        <f>'Data Panjang Balok'!E227</f>
        <v>1</v>
      </c>
      <c r="L231">
        <f>SUMIFS('Besi Balok'!$AA$23:$AA$7253,'Besi Balok'!$A$23:$A$7253,$A231,'Besi Balok'!$B$23:$B$7253,$B231,'Besi Balok'!$F$23:$F$7253,'REKAP Balok'!L$11)</f>
        <v>0</v>
      </c>
      <c r="M231">
        <f>SUMIFS('Besi Balok'!$AA$23:$AA$7253,'Besi Balok'!$A$23:$A$7253,$A231,'Besi Balok'!$B$23:$B$7253,$B231,'Besi Balok'!$F$23:$F$7253,'REKAP Balok'!M$11)</f>
        <v>0</v>
      </c>
      <c r="N231">
        <f>SUMIFS('Besi Balok'!$AA$23:$AA$7253,'Besi Balok'!$A$23:$A$7253,$A231,'Besi Balok'!$B$23:$B$7253,$B231,'Besi Balok'!$F$23:$F$7253,'REKAP Balok'!N$11)</f>
        <v>35.639865</v>
      </c>
      <c r="O231">
        <f>SUMIFS('Besi Balok'!$AA$23:$AA$7253,'Besi Balok'!$A$23:$A$7253,$A231,'Besi Balok'!$B$23:$B$7253,$B231,'Besi Balok'!$F$23:$F$7253,'REKAP Balok'!O$11)</f>
        <v>39.45826871999999</v>
      </c>
      <c r="P231">
        <f>SUMIFS('Besi Balok'!$AA$23:$AA$7253,'Besi Balok'!$A$23:$A$7253,$A231,'Besi Balok'!$B$23:$B$7253,$B231,'Besi Balok'!$F$23:$F$7253,'REKAP Balok'!P$11)</f>
        <v>0</v>
      </c>
      <c r="Q231">
        <f>SUMIFS('Besi Balok'!$AA$23:$AA$7253,'Besi Balok'!$A$23:$A$7253,$A231,'Besi Balok'!$B$23:$B$7253,$B231,'Besi Balok'!$F$23:$F$7253,'REKAP Balok'!Q$11)</f>
        <v>0</v>
      </c>
      <c r="R231">
        <f>SUMIFS('Besi Balok'!$AA$23:$AA$7253,'Besi Balok'!$A$23:$A$7253,$A231,'Besi Balok'!$B$23:$B$7253,$B231,'Besi Balok'!$F$23:$F$7253,'REKAP Balok'!R$11)</f>
        <v>0</v>
      </c>
      <c r="S231">
        <f>SUMIFS('Besi Balok'!$AA$23:$AA$7253,'Besi Balok'!$A$23:$A$7253,$A231,'Besi Balok'!$B$23:$B$7253,$B231,'Besi Balok'!$F$23:$F$7253,'REKAP Balok'!S$11)</f>
        <v>0</v>
      </c>
      <c r="T231">
        <f>SUMIFS('Besi Balok'!$AA$23:$AA$7253,'Besi Balok'!$A$23:$A$7253,$A231,'Besi Balok'!$B$23:$B$7253,$B231,'Besi Balok'!$F$23:$F$7253,'REKAP Balok'!T$11)</f>
        <v>0</v>
      </c>
      <c r="U231">
        <f>SUM(L231:T231)</f>
        <v>75.09813371999999</v>
      </c>
      <c r="V231">
        <f>(D231*(F231-H231)*G231*K231)/1000000000</f>
        <v>0.675</v>
      </c>
      <c r="W231">
        <f>(((F231-H231)*2+IF(H231&gt;0,0,D231))*(G231)*K231)/1000000</f>
        <v>6.9</v>
      </c>
      <c r="AC231">
        <f>(D231+2*$F$5)*F231*G231/1000000000</f>
        <v>1.215</v>
      </c>
    </row>
    <row r="232">
      <c r="A232" t="str">
        <f>'Data Panjang Balok'!A228</f>
        <v>Lantai Atap</v>
      </c>
      <c r="B232">
        <f>'Data Panjang Balok'!B228</f>
        <v>10</v>
      </c>
      <c r="C232" t="str">
        <f>'Data Panjang Balok'!D228</f>
        <v>B24-1</v>
      </c>
      <c r="D232">
        <f>IF(C232&gt;0,VLOOKUP(C232,'Detail Balok'!$C$11:$AU$140,2,FALSE),0)</f>
        <v>200</v>
      </c>
      <c r="E232" t="str">
        <v>x</v>
      </c>
      <c r="F232">
        <f>IF(C232&gt;0,VLOOKUP(C232,'Detail Balok'!$C$11:$AU$140,3,FALSE),0)</f>
        <v>400</v>
      </c>
      <c r="G232">
        <f>'Data Panjang Balok'!I228</f>
        <v>4075</v>
      </c>
      <c r="H232">
        <f>'Data Panjang Balok'!J228</f>
        <v>150</v>
      </c>
      <c r="I232">
        <v>0</v>
      </c>
      <c r="J232">
        <f>I232-F232/1000</f>
        <v>-0.4</v>
      </c>
      <c r="K232">
        <f>'Data Panjang Balok'!E228</f>
        <v>1</v>
      </c>
      <c r="L232">
        <f>SUMIFS('Besi Balok'!$AA$23:$AA$7253,'Besi Balok'!$A$23:$A$7253,$A232,'Besi Balok'!$B$23:$B$7253,$B232,'Besi Balok'!$F$23:$F$7253,'REKAP Balok'!L$11)</f>
        <v>0</v>
      </c>
      <c r="M232">
        <f>SUMIFS('Besi Balok'!$AA$23:$AA$7253,'Besi Balok'!$A$23:$A$7253,$A232,'Besi Balok'!$B$23:$B$7253,$B232,'Besi Balok'!$F$23:$F$7253,'REKAP Balok'!M$11)</f>
        <v>0</v>
      </c>
      <c r="N232">
        <f>SUMIFS('Besi Balok'!$AA$23:$AA$7253,'Besi Balok'!$A$23:$A$7253,$A232,'Besi Balok'!$B$23:$B$7253,$B232,'Besi Balok'!$F$23:$F$7253,'REKAP Balok'!N$11)</f>
        <v>20.319840000000003</v>
      </c>
      <c r="O232">
        <f>SUMIFS('Besi Balok'!$AA$23:$AA$7253,'Besi Balok'!$A$23:$A$7253,$A232,'Besi Balok'!$B$23:$B$7253,$B232,'Besi Balok'!$F$23:$F$7253,'REKAP Balok'!O$11)</f>
        <v>27.42449697</v>
      </c>
      <c r="P232">
        <f>SUMIFS('Besi Balok'!$AA$23:$AA$7253,'Besi Balok'!$A$23:$A$7253,$A232,'Besi Balok'!$B$23:$B$7253,$B232,'Besi Balok'!$F$23:$F$7253,'REKAP Balok'!P$11)</f>
        <v>0</v>
      </c>
      <c r="Q232">
        <f>SUMIFS('Besi Balok'!$AA$23:$AA$7253,'Besi Balok'!$A$23:$A$7253,$A232,'Besi Balok'!$B$23:$B$7253,$B232,'Besi Balok'!$F$23:$F$7253,'REKAP Balok'!Q$11)</f>
        <v>0</v>
      </c>
      <c r="R232">
        <f>SUMIFS('Besi Balok'!$AA$23:$AA$7253,'Besi Balok'!$A$23:$A$7253,$A232,'Besi Balok'!$B$23:$B$7253,$B232,'Besi Balok'!$F$23:$F$7253,'REKAP Balok'!R$11)</f>
        <v>0</v>
      </c>
      <c r="S232">
        <f>SUMIFS('Besi Balok'!$AA$23:$AA$7253,'Besi Balok'!$A$23:$A$7253,$A232,'Besi Balok'!$B$23:$B$7253,$B232,'Besi Balok'!$F$23:$F$7253,'REKAP Balok'!S$11)</f>
        <v>0</v>
      </c>
      <c r="T232">
        <f>SUMIFS('Besi Balok'!$AA$23:$AA$7253,'Besi Balok'!$A$23:$A$7253,$A232,'Besi Balok'!$B$23:$B$7253,$B232,'Besi Balok'!$F$23:$F$7253,'REKAP Balok'!T$11)</f>
        <v>0</v>
      </c>
      <c r="U232">
        <f>SUM(L232:T232)</f>
        <v>47.744336970000006</v>
      </c>
      <c r="V232">
        <f>(D232*(F232-H232)*G232*K232)/1000000000</f>
        <v>0.20375</v>
      </c>
      <c r="W232">
        <f>(((F232-H232)*2+IF(H232&gt;0,0,D232))*(G232)*K232)/1000000</f>
        <v>2.0375</v>
      </c>
      <c r="AC232">
        <f>(D232+2*$F$5)*F232*G232/1000000000</f>
        <v>0.652</v>
      </c>
    </row>
    <row r="233">
      <c r="A233" t="str">
        <f>'Data Panjang Balok'!A229</f>
        <v>Lantai Atap</v>
      </c>
      <c r="B233">
        <f>'Data Panjang Balok'!B229</f>
        <v>11</v>
      </c>
      <c r="C233" t="str">
        <f>'Data Panjang Balok'!D229</f>
        <v>B24-1</v>
      </c>
      <c r="D233">
        <f>IF(C233&gt;0,VLOOKUP(C233,'Detail Balok'!$C$11:$AU$140,2,FALSE),0)</f>
        <v>200</v>
      </c>
      <c r="E233" t="str">
        <v>x</v>
      </c>
      <c r="F233">
        <f>IF(C233&gt;0,VLOOKUP(C233,'Detail Balok'!$C$11:$AU$140,3,FALSE),0)</f>
        <v>400</v>
      </c>
      <c r="G233">
        <f>'Data Panjang Balok'!I229</f>
        <v>5150</v>
      </c>
      <c r="H233">
        <f>'Data Panjang Balok'!J229</f>
        <v>0</v>
      </c>
      <c r="I233">
        <v>0</v>
      </c>
      <c r="J233">
        <f>I233-F233/1000</f>
        <v>-0.4</v>
      </c>
      <c r="K233">
        <f>'Data Panjang Balok'!E229</f>
        <v>1</v>
      </c>
      <c r="L233">
        <f>SUMIFS('Besi Balok'!$AA$23:$AA$7253,'Besi Balok'!$A$23:$A$7253,$A233,'Besi Balok'!$B$23:$B$7253,$B233,'Besi Balok'!$F$23:$F$7253,'REKAP Balok'!L$11)</f>
        <v>0</v>
      </c>
      <c r="M233">
        <f>SUMIFS('Besi Balok'!$AA$23:$AA$7253,'Besi Balok'!$A$23:$A$7253,$A233,'Besi Balok'!$B$23:$B$7253,$B233,'Besi Balok'!$F$23:$F$7253,'REKAP Balok'!M$11)</f>
        <v>0</v>
      </c>
      <c r="N233">
        <f>SUMIFS('Besi Balok'!$AA$23:$AA$7253,'Besi Balok'!$A$23:$A$7253,$A233,'Besi Balok'!$B$23:$B$7253,$B233,'Besi Balok'!$F$23:$F$7253,'REKAP Balok'!N$11)</f>
        <v>26.034795000000003</v>
      </c>
      <c r="O233">
        <f>SUMIFS('Besi Balok'!$AA$23:$AA$7253,'Besi Balok'!$A$23:$A$7253,$A233,'Besi Balok'!$B$23:$B$7253,$B233,'Besi Balok'!$F$23:$F$7253,'REKAP Balok'!O$11)</f>
        <v>34.144655220000004</v>
      </c>
      <c r="P233">
        <f>SUMIFS('Besi Balok'!$AA$23:$AA$7253,'Besi Balok'!$A$23:$A$7253,$A233,'Besi Balok'!$B$23:$B$7253,$B233,'Besi Balok'!$F$23:$F$7253,'REKAP Balok'!P$11)</f>
        <v>0</v>
      </c>
      <c r="Q233">
        <f>SUMIFS('Besi Balok'!$AA$23:$AA$7253,'Besi Balok'!$A$23:$A$7253,$A233,'Besi Balok'!$B$23:$B$7253,$B233,'Besi Balok'!$F$23:$F$7253,'REKAP Balok'!Q$11)</f>
        <v>0</v>
      </c>
      <c r="R233">
        <f>SUMIFS('Besi Balok'!$AA$23:$AA$7253,'Besi Balok'!$A$23:$A$7253,$A233,'Besi Balok'!$B$23:$B$7253,$B233,'Besi Balok'!$F$23:$F$7253,'REKAP Balok'!R$11)</f>
        <v>0</v>
      </c>
      <c r="S233">
        <f>SUMIFS('Besi Balok'!$AA$23:$AA$7253,'Besi Balok'!$A$23:$A$7253,$A233,'Besi Balok'!$B$23:$B$7253,$B233,'Besi Balok'!$F$23:$F$7253,'REKAP Balok'!S$11)</f>
        <v>0</v>
      </c>
      <c r="T233">
        <f>SUMIFS('Besi Balok'!$AA$23:$AA$7253,'Besi Balok'!$A$23:$A$7253,$A233,'Besi Balok'!$B$23:$B$7253,$B233,'Besi Balok'!$F$23:$F$7253,'REKAP Balok'!T$11)</f>
        <v>0</v>
      </c>
      <c r="U233">
        <f>SUM(L233:T233)</f>
        <v>60.17945022000001</v>
      </c>
      <c r="V233">
        <f>(D233*(F233-H233)*G233*K233)/1000000000</f>
        <v>0.412</v>
      </c>
      <c r="W233">
        <f>(((F233-H233)*2+IF(H233&gt;0,0,D233))*(G233)*K233)/1000000</f>
        <v>5.15</v>
      </c>
      <c r="AC233">
        <f>(D233+2*$F$5)*F233*G233/1000000000</f>
        <v>0.824</v>
      </c>
    </row>
    <row r="234">
      <c r="A234" t="str">
        <f>'Data Panjang Balok'!A230</f>
        <v>Lantai Atap</v>
      </c>
      <c r="B234">
        <f>'Data Panjang Balok'!B230</f>
        <v>12</v>
      </c>
      <c r="C234" t="str">
        <f>'Data Panjang Balok'!D230</f>
        <v>B2A4A-1</v>
      </c>
      <c r="D234">
        <f>IF(C234&gt;0,VLOOKUP(C234,'Detail Balok'!$C$11:$AU$140,2,FALSE),0)</f>
        <v>250</v>
      </c>
      <c r="E234" t="str">
        <v>x</v>
      </c>
      <c r="F234">
        <f>IF(C234&gt;0,VLOOKUP(C234,'Detail Balok'!$C$11:$AU$140,3,FALSE),0)</f>
        <v>450</v>
      </c>
      <c r="G234">
        <f>'Data Panjang Balok'!I230</f>
        <v>6015</v>
      </c>
      <c r="H234">
        <f>'Data Panjang Balok'!J230</f>
        <v>0</v>
      </c>
      <c r="I234">
        <v>0</v>
      </c>
      <c r="J234">
        <f>I234-F234/1000</f>
        <v>-0.45</v>
      </c>
      <c r="K234">
        <f>'Data Panjang Balok'!E230</f>
        <v>1</v>
      </c>
      <c r="L234">
        <f>SUMIFS('Besi Balok'!$AA$23:$AA$7253,'Besi Balok'!$A$23:$A$7253,$A234,'Besi Balok'!$B$23:$B$7253,$B234,'Besi Balok'!$F$23:$F$7253,'REKAP Balok'!L$11)</f>
        <v>0</v>
      </c>
      <c r="M234">
        <f>SUMIFS('Besi Balok'!$AA$23:$AA$7253,'Besi Balok'!$A$23:$A$7253,$A234,'Besi Balok'!$B$23:$B$7253,$B234,'Besi Balok'!$F$23:$F$7253,'REKAP Balok'!M$11)</f>
        <v>0</v>
      </c>
      <c r="N234">
        <f>SUMIFS('Besi Balok'!$AA$23:$AA$7253,'Besi Balok'!$A$23:$A$7253,$A234,'Besi Balok'!$B$23:$B$7253,$B234,'Besi Balok'!$F$23:$F$7253,'REKAP Balok'!N$11)</f>
        <v>35.639865</v>
      </c>
      <c r="O234">
        <f>SUMIFS('Besi Balok'!$AA$23:$AA$7253,'Besi Balok'!$A$23:$A$7253,$A234,'Besi Balok'!$B$23:$B$7253,$B234,'Besi Balok'!$F$23:$F$7253,'REKAP Balok'!O$11)</f>
        <v>39.55203836999999</v>
      </c>
      <c r="P234">
        <f>SUMIFS('Besi Balok'!$AA$23:$AA$7253,'Besi Balok'!$A$23:$A$7253,$A234,'Besi Balok'!$B$23:$B$7253,$B234,'Besi Balok'!$F$23:$F$7253,'REKAP Balok'!P$11)</f>
        <v>0</v>
      </c>
      <c r="Q234">
        <f>SUMIFS('Besi Balok'!$AA$23:$AA$7253,'Besi Balok'!$A$23:$A$7253,$A234,'Besi Balok'!$B$23:$B$7253,$B234,'Besi Balok'!$F$23:$F$7253,'REKAP Balok'!Q$11)</f>
        <v>0</v>
      </c>
      <c r="R234">
        <f>SUMIFS('Besi Balok'!$AA$23:$AA$7253,'Besi Balok'!$A$23:$A$7253,$A234,'Besi Balok'!$B$23:$B$7253,$B234,'Besi Balok'!$F$23:$F$7253,'REKAP Balok'!R$11)</f>
        <v>0</v>
      </c>
      <c r="S234">
        <f>SUMIFS('Besi Balok'!$AA$23:$AA$7253,'Besi Balok'!$A$23:$A$7253,$A234,'Besi Balok'!$B$23:$B$7253,$B234,'Besi Balok'!$F$23:$F$7253,'REKAP Balok'!S$11)</f>
        <v>0</v>
      </c>
      <c r="T234">
        <f>SUMIFS('Besi Balok'!$AA$23:$AA$7253,'Besi Balok'!$A$23:$A$7253,$A234,'Besi Balok'!$B$23:$B$7253,$B234,'Besi Balok'!$F$23:$F$7253,'REKAP Balok'!T$11)</f>
        <v>0</v>
      </c>
      <c r="U234">
        <f>SUM(L234:T234)</f>
        <v>75.19190336999999</v>
      </c>
      <c r="V234">
        <f>(D234*(F234-H234)*G234*K234)/1000000000</f>
        <v>0.6766875</v>
      </c>
      <c r="W234">
        <f>(((F234-H234)*2+IF(H234&gt;0,0,D234))*(G234)*K234)/1000000</f>
        <v>6.91725</v>
      </c>
      <c r="AC234">
        <f>(D234+2*$F$5)*F234*G234/1000000000</f>
        <v>1.2180375</v>
      </c>
    </row>
    <row r="235">
      <c r="A235" t="str">
        <f>'Data Panjang Balok'!A231</f>
        <v>Lantai Atap</v>
      </c>
      <c r="B235">
        <f>'Data Panjang Balok'!B231</f>
        <v>13</v>
      </c>
      <c r="C235" t="str">
        <f>'Data Panjang Balok'!D231</f>
        <v>B2A4A-1</v>
      </c>
      <c r="D235">
        <f>IF(C235&gt;0,VLOOKUP(C235,'Detail Balok'!$C$11:$AU$140,2,FALSE),0)</f>
        <v>250</v>
      </c>
      <c r="E235" t="str">
        <v>x</v>
      </c>
      <c r="F235">
        <f>IF(C235&gt;0,VLOOKUP(C235,'Detail Balok'!$C$11:$AU$140,3,FALSE),0)</f>
        <v>450</v>
      </c>
      <c r="G235">
        <f>'Data Panjang Balok'!I231</f>
        <v>9685</v>
      </c>
      <c r="H235">
        <f>'Data Panjang Balok'!J231</f>
        <v>0</v>
      </c>
      <c r="I235">
        <v>0</v>
      </c>
      <c r="J235">
        <f>I235-F235/1000</f>
        <v>-0.45</v>
      </c>
      <c r="K235">
        <f>'Data Panjang Balok'!E231</f>
        <v>1</v>
      </c>
      <c r="L235">
        <f>SUMIFS('Besi Balok'!$AA$23:$AA$7253,'Besi Balok'!$A$23:$A$7253,$A235,'Besi Balok'!$B$23:$B$7253,$B235,'Besi Balok'!$F$23:$F$7253,'REKAP Balok'!L$11)</f>
        <v>0</v>
      </c>
      <c r="M235">
        <f>SUMIFS('Besi Balok'!$AA$23:$AA$7253,'Besi Balok'!$A$23:$A$7253,$A235,'Besi Balok'!$B$23:$B$7253,$B235,'Besi Balok'!$F$23:$F$7253,'REKAP Balok'!M$11)</f>
        <v>0</v>
      </c>
      <c r="N235">
        <f>SUMIFS('Besi Balok'!$AA$23:$AA$7253,'Besi Balok'!$A$23:$A$7253,$A235,'Besi Balok'!$B$23:$B$7253,$B235,'Besi Balok'!$F$23:$F$7253,'REKAP Balok'!N$11)</f>
        <v>56.11383000000001</v>
      </c>
      <c r="O235">
        <f>SUMIFS('Besi Balok'!$AA$23:$AA$7253,'Besi Balok'!$A$23:$A$7253,$A235,'Besi Balok'!$B$23:$B$7253,$B235,'Besi Balok'!$F$23:$F$7253,'REKAP Balok'!O$11)</f>
        <v>62.49434606999999</v>
      </c>
      <c r="P235">
        <f>SUMIFS('Besi Balok'!$AA$23:$AA$7253,'Besi Balok'!$A$23:$A$7253,$A235,'Besi Balok'!$B$23:$B$7253,$B235,'Besi Balok'!$F$23:$F$7253,'REKAP Balok'!P$11)</f>
        <v>0</v>
      </c>
      <c r="Q235">
        <f>SUMIFS('Besi Balok'!$AA$23:$AA$7253,'Besi Balok'!$A$23:$A$7253,$A235,'Besi Balok'!$B$23:$B$7253,$B235,'Besi Balok'!$F$23:$F$7253,'REKAP Balok'!Q$11)</f>
        <v>0</v>
      </c>
      <c r="R235">
        <f>SUMIFS('Besi Balok'!$AA$23:$AA$7253,'Besi Balok'!$A$23:$A$7253,$A235,'Besi Balok'!$B$23:$B$7253,$B235,'Besi Balok'!$F$23:$F$7253,'REKAP Balok'!R$11)</f>
        <v>0</v>
      </c>
      <c r="S235">
        <f>SUMIFS('Besi Balok'!$AA$23:$AA$7253,'Besi Balok'!$A$23:$A$7253,$A235,'Besi Balok'!$B$23:$B$7253,$B235,'Besi Balok'!$F$23:$F$7253,'REKAP Balok'!S$11)</f>
        <v>0</v>
      </c>
      <c r="T235">
        <f>SUMIFS('Besi Balok'!$AA$23:$AA$7253,'Besi Balok'!$A$23:$A$7253,$A235,'Besi Balok'!$B$23:$B$7253,$B235,'Besi Balok'!$F$23:$F$7253,'REKAP Balok'!T$11)</f>
        <v>0</v>
      </c>
      <c r="U235">
        <f>SUM(L235:T235)</f>
        <v>118.60817607</v>
      </c>
      <c r="V235">
        <f>(D235*(F235-H235)*G235*K235)/1000000000</f>
        <v>1.0895625</v>
      </c>
      <c r="W235">
        <f>(((F235-H235)*2+IF(H235&gt;0,0,D235))*(G235)*K235)/1000000</f>
        <v>11.13775</v>
      </c>
      <c r="AC235">
        <f>(D235+2*$F$5)*F235*G235/1000000000</f>
        <v>1.9612125</v>
      </c>
    </row>
    <row r="236">
      <c r="A236" t="str">
        <f>'Data Panjang Balok'!A232</f>
        <v>Lantai Atap</v>
      </c>
      <c r="B236" t="str">
        <f>'Data Panjang Balok'!B232</f>
        <v>13A</v>
      </c>
      <c r="C236" t="str">
        <f>'Data Panjang Balok'!D232</f>
        <v>B2A4A-1</v>
      </c>
      <c r="D236">
        <f>IF(C236&gt;0,VLOOKUP(C236,'Detail Balok'!$C$11:$AU$140,2,FALSE),0)</f>
        <v>250</v>
      </c>
      <c r="E236" t="str">
        <v>x</v>
      </c>
      <c r="F236">
        <f>IF(C236&gt;0,VLOOKUP(C236,'Detail Balok'!$C$11:$AU$140,3,FALSE),0)</f>
        <v>450</v>
      </c>
      <c r="G236">
        <f>'Data Panjang Balok'!I232</f>
        <v>1025</v>
      </c>
      <c r="H236">
        <f>'Data Panjang Balok'!J232</f>
        <v>0</v>
      </c>
      <c r="I236">
        <v>0</v>
      </c>
      <c r="J236">
        <f>I236-F236/1000</f>
        <v>-0.45</v>
      </c>
      <c r="K236">
        <f>'Data Panjang Balok'!E232</f>
        <v>1</v>
      </c>
      <c r="L236">
        <f>SUMIFS('Besi Balok'!$AA$23:$AA$7253,'Besi Balok'!$A$23:$A$7253,$A236,'Besi Balok'!$B$23:$B$7253,$B236,'Besi Balok'!$F$23:$F$7253,'REKAP Balok'!L$11)</f>
        <v>0</v>
      </c>
      <c r="M236">
        <f>SUMIFS('Besi Balok'!$AA$23:$AA$7253,'Besi Balok'!$A$23:$A$7253,$A236,'Besi Balok'!$B$23:$B$7253,$B236,'Besi Balok'!$F$23:$F$7253,'REKAP Balok'!M$11)</f>
        <v>0</v>
      </c>
      <c r="N236">
        <f>SUMIFS('Besi Balok'!$AA$23:$AA$7253,'Besi Balok'!$A$23:$A$7253,$A236,'Besi Balok'!$B$23:$B$7253,$B236,'Besi Balok'!$F$23:$F$7253,'REKAP Balok'!N$11)</f>
        <v>8.341245</v>
      </c>
      <c r="O236">
        <f>SUMIFS('Besi Balok'!$AA$23:$AA$7253,'Besi Balok'!$A$23:$A$7253,$A236,'Besi Balok'!$B$23:$B$7253,$B236,'Besi Balok'!$F$23:$F$7253,'REKAP Balok'!O$11)</f>
        <v>8.35800147</v>
      </c>
      <c r="P236">
        <f>SUMIFS('Besi Balok'!$AA$23:$AA$7253,'Besi Balok'!$A$23:$A$7253,$A236,'Besi Balok'!$B$23:$B$7253,$B236,'Besi Balok'!$F$23:$F$7253,'REKAP Balok'!P$11)</f>
        <v>0</v>
      </c>
      <c r="Q236">
        <f>SUMIFS('Besi Balok'!$AA$23:$AA$7253,'Besi Balok'!$A$23:$A$7253,$A236,'Besi Balok'!$B$23:$B$7253,$B236,'Besi Balok'!$F$23:$F$7253,'REKAP Balok'!Q$11)</f>
        <v>0</v>
      </c>
      <c r="R236">
        <f>SUMIFS('Besi Balok'!$AA$23:$AA$7253,'Besi Balok'!$A$23:$A$7253,$A236,'Besi Balok'!$B$23:$B$7253,$B236,'Besi Balok'!$F$23:$F$7253,'REKAP Balok'!R$11)</f>
        <v>0</v>
      </c>
      <c r="S236">
        <f>SUMIFS('Besi Balok'!$AA$23:$AA$7253,'Besi Balok'!$A$23:$A$7253,$A236,'Besi Balok'!$B$23:$B$7253,$B236,'Besi Balok'!$F$23:$F$7253,'REKAP Balok'!S$11)</f>
        <v>0</v>
      </c>
      <c r="T236">
        <f>SUMIFS('Besi Balok'!$AA$23:$AA$7253,'Besi Balok'!$A$23:$A$7253,$A236,'Besi Balok'!$B$23:$B$7253,$B236,'Besi Balok'!$F$23:$F$7253,'REKAP Balok'!T$11)</f>
        <v>0</v>
      </c>
      <c r="U236">
        <f>SUM(L236:T236)</f>
        <v>16.69924647</v>
      </c>
      <c r="V236">
        <f>(D236*(F236-H236)*G236*K236)/1000000000</f>
        <v>0.1153125</v>
      </c>
      <c r="W236">
        <f>(((F236-H236)*2+IF(H236&gt;0,0,D236))*(G236)*K236)/1000000</f>
        <v>1.17875</v>
      </c>
      <c r="AC236">
        <f>(D236+2*$F$5)*F236*G236/1000000000</f>
        <v>0.2075625</v>
      </c>
    </row>
    <row r="237">
      <c r="A237" t="str">
        <f>'Data Panjang Balok'!A233</f>
        <v>Lantai Atap</v>
      </c>
      <c r="B237">
        <f>'Data Panjang Balok'!B233</f>
        <v>14</v>
      </c>
      <c r="C237" t="str">
        <f>'Data Panjang Balok'!D233</f>
        <v>B24-1</v>
      </c>
      <c r="D237">
        <f>IF(C237&gt;0,VLOOKUP(C237,'Detail Balok'!$C$11:$AU$140,2,FALSE),0)</f>
        <v>200</v>
      </c>
      <c r="E237" t="str">
        <v>x</v>
      </c>
      <c r="F237">
        <f>IF(C237&gt;0,VLOOKUP(C237,'Detail Balok'!$C$11:$AU$140,3,FALSE),0)</f>
        <v>400</v>
      </c>
      <c r="G237">
        <f>'Data Panjang Balok'!I233</f>
        <v>5150</v>
      </c>
      <c r="H237">
        <f>'Data Panjang Balok'!J233</f>
        <v>0</v>
      </c>
      <c r="I237">
        <v>0</v>
      </c>
      <c r="J237">
        <f>I237-F237/1000</f>
        <v>-0.4</v>
      </c>
      <c r="K237">
        <f>'Data Panjang Balok'!E233</f>
        <v>1</v>
      </c>
      <c r="L237">
        <f>SUMIFS('Besi Balok'!$AA$23:$AA$7253,'Besi Balok'!$A$23:$A$7253,$A237,'Besi Balok'!$B$23:$B$7253,$B237,'Besi Balok'!$F$23:$F$7253,'REKAP Balok'!L$11)</f>
        <v>0</v>
      </c>
      <c r="M237">
        <f>SUMIFS('Besi Balok'!$AA$23:$AA$7253,'Besi Balok'!$A$23:$A$7253,$A237,'Besi Balok'!$B$23:$B$7253,$B237,'Besi Balok'!$F$23:$F$7253,'REKAP Balok'!M$11)</f>
        <v>0</v>
      </c>
      <c r="N237">
        <f>SUMIFS('Besi Balok'!$AA$23:$AA$7253,'Besi Balok'!$A$23:$A$7253,$A237,'Besi Balok'!$B$23:$B$7253,$B237,'Besi Balok'!$F$23:$F$7253,'REKAP Balok'!N$11)</f>
        <v>26.034795000000003</v>
      </c>
      <c r="O237">
        <f>SUMIFS('Besi Balok'!$AA$23:$AA$7253,'Besi Balok'!$A$23:$A$7253,$A237,'Besi Balok'!$B$23:$B$7253,$B237,'Besi Balok'!$F$23:$F$7253,'REKAP Balok'!O$11)</f>
        <v>34.144655220000004</v>
      </c>
      <c r="P237">
        <f>SUMIFS('Besi Balok'!$AA$23:$AA$7253,'Besi Balok'!$A$23:$A$7253,$A237,'Besi Balok'!$B$23:$B$7253,$B237,'Besi Balok'!$F$23:$F$7253,'REKAP Balok'!P$11)</f>
        <v>0</v>
      </c>
      <c r="Q237">
        <f>SUMIFS('Besi Balok'!$AA$23:$AA$7253,'Besi Balok'!$A$23:$A$7253,$A237,'Besi Balok'!$B$23:$B$7253,$B237,'Besi Balok'!$F$23:$F$7253,'REKAP Balok'!Q$11)</f>
        <v>0</v>
      </c>
      <c r="R237">
        <f>SUMIFS('Besi Balok'!$AA$23:$AA$7253,'Besi Balok'!$A$23:$A$7253,$A237,'Besi Balok'!$B$23:$B$7253,$B237,'Besi Balok'!$F$23:$F$7253,'REKAP Balok'!R$11)</f>
        <v>0</v>
      </c>
      <c r="S237">
        <f>SUMIFS('Besi Balok'!$AA$23:$AA$7253,'Besi Balok'!$A$23:$A$7253,$A237,'Besi Balok'!$B$23:$B$7253,$B237,'Besi Balok'!$F$23:$F$7253,'REKAP Balok'!S$11)</f>
        <v>0</v>
      </c>
      <c r="T237">
        <f>SUMIFS('Besi Balok'!$AA$23:$AA$7253,'Besi Balok'!$A$23:$A$7253,$A237,'Besi Balok'!$B$23:$B$7253,$B237,'Besi Balok'!$F$23:$F$7253,'REKAP Balok'!T$11)</f>
        <v>0</v>
      </c>
      <c r="U237">
        <f>SUM(L237:T237)</f>
        <v>60.17945022000001</v>
      </c>
      <c r="V237">
        <f>(D237*(F237-H237)*G237*K237)/1000000000</f>
        <v>0.412</v>
      </c>
      <c r="W237">
        <f>(((F237-H237)*2+IF(H237&gt;0,0,D237))*(G237)*K237)/1000000</f>
        <v>5.15</v>
      </c>
      <c r="AC237">
        <f>(D237+2*$F$5)*F237*G237/1000000000</f>
        <v>0.824</v>
      </c>
    </row>
    <row r="238">
      <c r="A238" t="str">
        <f>'Data Panjang Balok'!A234</f>
        <v>Lantai Atap</v>
      </c>
      <c r="B238">
        <f>'Data Panjang Balok'!B234</f>
        <v>15</v>
      </c>
      <c r="C238" t="str">
        <f>'Data Panjang Balok'!D234</f>
        <v>B5-1</v>
      </c>
      <c r="D238">
        <f>IF(C238&gt;0,VLOOKUP(C238,'Detail Balok'!$C$11:$AU$140,2,FALSE),0)</f>
        <v>130</v>
      </c>
      <c r="E238" t="str">
        <v>x</v>
      </c>
      <c r="F238">
        <f>IF(C238&gt;0,VLOOKUP(C238,'Detail Balok'!$C$11:$AU$140,3,FALSE),0)</f>
        <v>500</v>
      </c>
      <c r="G238">
        <f>'Data Panjang Balok'!I234</f>
        <v>6150</v>
      </c>
      <c r="H238">
        <f>'Data Panjang Balok'!J234</f>
        <v>0</v>
      </c>
      <c r="I238">
        <v>0</v>
      </c>
      <c r="J238">
        <f>I238-F238/1000</f>
        <v>-0.5</v>
      </c>
      <c r="K238">
        <f>'Data Panjang Balok'!E234</f>
        <v>1</v>
      </c>
      <c r="L238">
        <f>SUMIFS('Besi Balok'!$AA$23:$AA$7253,'Besi Balok'!$A$23:$A$7253,$A238,'Besi Balok'!$B$23:$B$7253,$B238,'Besi Balok'!$F$23:$F$7253,'REKAP Balok'!L$11)</f>
        <v>0</v>
      </c>
      <c r="M238">
        <f>SUMIFS('Besi Balok'!$AA$23:$AA$7253,'Besi Balok'!$A$23:$A$7253,$A238,'Besi Balok'!$B$23:$B$7253,$B238,'Besi Balok'!$F$23:$F$7253,'REKAP Balok'!M$11)</f>
        <v>15.912604799999999</v>
      </c>
      <c r="N238">
        <f>SUMIFS('Besi Balok'!$AA$23:$AA$7253,'Besi Balok'!$A$23:$A$7253,$A238,'Besi Balok'!$B$23:$B$7253,$B238,'Besi Balok'!$F$23:$F$7253,'REKAP Balok'!N$11)</f>
        <v>7.878870000000001</v>
      </c>
      <c r="O238">
        <f>SUMIFS('Besi Balok'!$AA$23:$AA$7253,'Besi Balok'!$A$23:$A$7253,$A238,'Besi Balok'!$B$23:$B$7253,$B238,'Besi Balok'!$F$23:$F$7253,'REKAP Balok'!O$11)</f>
        <v>40.39596522</v>
      </c>
      <c r="P238">
        <f>SUMIFS('Besi Balok'!$AA$23:$AA$7253,'Besi Balok'!$A$23:$A$7253,$A238,'Besi Balok'!$B$23:$B$7253,$B238,'Besi Balok'!$F$23:$F$7253,'REKAP Balok'!P$11)</f>
        <v>0</v>
      </c>
      <c r="Q238">
        <f>SUMIFS('Besi Balok'!$AA$23:$AA$7253,'Besi Balok'!$A$23:$A$7253,$A238,'Besi Balok'!$B$23:$B$7253,$B238,'Besi Balok'!$F$23:$F$7253,'REKAP Balok'!Q$11)</f>
        <v>0</v>
      </c>
      <c r="R238">
        <f>SUMIFS('Besi Balok'!$AA$23:$AA$7253,'Besi Balok'!$A$23:$A$7253,$A238,'Besi Balok'!$B$23:$B$7253,$B238,'Besi Balok'!$F$23:$F$7253,'REKAP Balok'!R$11)</f>
        <v>0</v>
      </c>
      <c r="S238">
        <f>SUMIFS('Besi Balok'!$AA$23:$AA$7253,'Besi Balok'!$A$23:$A$7253,$A238,'Besi Balok'!$B$23:$B$7253,$B238,'Besi Balok'!$F$23:$F$7253,'REKAP Balok'!S$11)</f>
        <v>0</v>
      </c>
      <c r="T238">
        <f>SUMIFS('Besi Balok'!$AA$23:$AA$7253,'Besi Balok'!$A$23:$A$7253,$A238,'Besi Balok'!$B$23:$B$7253,$B238,'Besi Balok'!$F$23:$F$7253,'REKAP Balok'!T$11)</f>
        <v>0</v>
      </c>
      <c r="U238">
        <f>SUM(L238:T238)</f>
        <v>64.18744002</v>
      </c>
      <c r="V238">
        <f>(D238*(F238-H238)*G238*K238)/1000000000</f>
        <v>0.39975</v>
      </c>
      <c r="W238">
        <f>(((F238-H238)*2+IF(H238&gt;0,0,D238))*(G238)*K238)/1000000</f>
        <v>6.9495</v>
      </c>
      <c r="AC238">
        <f>(D238+2*$F$5)*F238*G238/1000000000</f>
        <v>1.01475</v>
      </c>
    </row>
    <row r="239">
      <c r="A239" t="str">
        <f>'Data Panjang Balok'!A235</f>
        <v>Lantai Atap</v>
      </c>
      <c r="B239">
        <f>'Data Panjang Balok'!B235</f>
        <v>16</v>
      </c>
      <c r="C239" t="str">
        <f>'Data Panjang Balok'!D235</f>
        <v>B4-1</v>
      </c>
      <c r="D239">
        <f>IF(C239&gt;0,VLOOKUP(C239,'Detail Balok'!$C$11:$AU$140,2,FALSE),0)</f>
        <v>130</v>
      </c>
      <c r="E239" t="str">
        <v>x</v>
      </c>
      <c r="F239">
        <f>IF(C239&gt;0,VLOOKUP(C239,'Detail Balok'!$C$11:$AU$140,3,FALSE),0)</f>
        <v>400</v>
      </c>
      <c r="G239">
        <f>'Data Panjang Balok'!I235</f>
        <v>2425</v>
      </c>
      <c r="H239">
        <f>'Data Panjang Balok'!J235</f>
        <v>0</v>
      </c>
      <c r="I239">
        <v>0</v>
      </c>
      <c r="J239">
        <f>I239-F239/1000</f>
        <v>-0.4</v>
      </c>
      <c r="K239">
        <f>'Data Panjang Balok'!E235</f>
        <v>1</v>
      </c>
      <c r="L239">
        <f>SUMIFS('Besi Balok'!$AA$23:$AA$7253,'Besi Balok'!$A$23:$A$7253,$A239,'Besi Balok'!$B$23:$B$7253,$B239,'Besi Balok'!$F$23:$F$7253,'REKAP Balok'!L$11)</f>
        <v>0</v>
      </c>
      <c r="M239">
        <f>SUMIFS('Besi Balok'!$AA$23:$AA$7253,'Besi Balok'!$A$23:$A$7253,$A239,'Besi Balok'!$B$23:$B$7253,$B239,'Besi Balok'!$F$23:$F$7253,'REKAP Balok'!M$11)</f>
        <v>5.6185344</v>
      </c>
      <c r="N239">
        <f>SUMIFS('Besi Balok'!$AA$23:$AA$7253,'Besi Balok'!$A$23:$A$7253,$A239,'Besi Balok'!$B$23:$B$7253,$B239,'Besi Balok'!$F$23:$F$7253,'REKAP Balok'!N$11)</f>
        <v>0</v>
      </c>
      <c r="O239">
        <f>SUMIFS('Besi Balok'!$AA$23:$AA$7253,'Besi Balok'!$A$23:$A$7253,$A239,'Besi Balok'!$B$23:$B$7253,$B239,'Besi Balok'!$F$23:$F$7253,'REKAP Balok'!O$11)</f>
        <v>11.406556979999998</v>
      </c>
      <c r="P239">
        <f>SUMIFS('Besi Balok'!$AA$23:$AA$7253,'Besi Balok'!$A$23:$A$7253,$A239,'Besi Balok'!$B$23:$B$7253,$B239,'Besi Balok'!$F$23:$F$7253,'REKAP Balok'!P$11)</f>
        <v>0</v>
      </c>
      <c r="Q239">
        <f>SUMIFS('Besi Balok'!$AA$23:$AA$7253,'Besi Balok'!$A$23:$A$7253,$A239,'Besi Balok'!$B$23:$B$7253,$B239,'Besi Balok'!$F$23:$F$7253,'REKAP Balok'!Q$11)</f>
        <v>0</v>
      </c>
      <c r="R239">
        <f>SUMIFS('Besi Balok'!$AA$23:$AA$7253,'Besi Balok'!$A$23:$A$7253,$A239,'Besi Balok'!$B$23:$B$7253,$B239,'Besi Balok'!$F$23:$F$7253,'REKAP Balok'!R$11)</f>
        <v>0</v>
      </c>
      <c r="S239">
        <f>SUMIFS('Besi Balok'!$AA$23:$AA$7253,'Besi Balok'!$A$23:$A$7253,$A239,'Besi Balok'!$B$23:$B$7253,$B239,'Besi Balok'!$F$23:$F$7253,'REKAP Balok'!S$11)</f>
        <v>0</v>
      </c>
      <c r="T239">
        <f>SUMIFS('Besi Balok'!$AA$23:$AA$7253,'Besi Balok'!$A$23:$A$7253,$A239,'Besi Balok'!$B$23:$B$7253,$B239,'Besi Balok'!$F$23:$F$7253,'REKAP Balok'!T$11)</f>
        <v>0</v>
      </c>
      <c r="U239">
        <f>SUM(L239:T239)</f>
        <v>17.02509138</v>
      </c>
      <c r="V239">
        <f>(D239*(F239-H239)*G239*K239)/1000000000</f>
        <v>0.1261</v>
      </c>
      <c r="W239">
        <f>(((F239-H239)*2+IF(H239&gt;0,0,D239))*(G239)*K239)/1000000</f>
        <v>2.25525</v>
      </c>
      <c r="AC239">
        <f>(D239+2*$F$5)*F239*G239/1000000000</f>
        <v>0.3201</v>
      </c>
    </row>
    <row r="240">
      <c r="A240" t="str">
        <f>'Data Panjang Balok'!A236</f>
        <v>Lantai Atap</v>
      </c>
      <c r="B240">
        <f>'Data Panjang Balok'!B236</f>
        <v>17</v>
      </c>
      <c r="C240" t="str">
        <f>'Data Panjang Balok'!D236</f>
        <v>B5-1</v>
      </c>
      <c r="D240">
        <f>IF(C240&gt;0,VLOOKUP(C240,'Detail Balok'!$C$11:$AU$140,2,FALSE),0)</f>
        <v>130</v>
      </c>
      <c r="E240" t="str">
        <v>x</v>
      </c>
      <c r="F240">
        <f>IF(C240&gt;0,VLOOKUP(C240,'Detail Balok'!$C$11:$AU$140,3,FALSE),0)</f>
        <v>500</v>
      </c>
      <c r="G240">
        <f>'Data Panjang Balok'!I236</f>
        <v>11525</v>
      </c>
      <c r="H240">
        <f>'Data Panjang Balok'!J236</f>
        <v>75</v>
      </c>
      <c r="I240">
        <v>0</v>
      </c>
      <c r="J240">
        <f>I240-F240/1000</f>
        <v>-0.5</v>
      </c>
      <c r="K240">
        <f>'Data Panjang Balok'!E236</f>
        <v>1</v>
      </c>
      <c r="L240">
        <f>SUMIFS('Besi Balok'!$AA$23:$AA$7253,'Besi Balok'!$A$23:$A$7253,$A240,'Besi Balok'!$B$23:$B$7253,$B240,'Besi Balok'!$F$23:$F$7253,'REKAP Balok'!L$11)</f>
        <v>0</v>
      </c>
      <c r="M240">
        <f>SUMIFS('Besi Balok'!$AA$23:$AA$7253,'Besi Balok'!$A$23:$A$7253,$A240,'Besi Balok'!$B$23:$B$7253,$B240,'Besi Balok'!$F$23:$F$7253,'REKAP Balok'!M$11)</f>
        <v>29.674857599999996</v>
      </c>
      <c r="N240">
        <f>SUMIFS('Besi Balok'!$AA$23:$AA$7253,'Besi Balok'!$A$23:$A$7253,$A240,'Besi Balok'!$B$23:$B$7253,$B240,'Besi Balok'!$F$23:$F$7253,'REKAP Balok'!N$11)</f>
        <v>14.506245000000002</v>
      </c>
      <c r="O240">
        <f>SUMIFS('Besi Balok'!$AA$23:$AA$7253,'Besi Balok'!$A$23:$A$7253,$A240,'Besi Balok'!$B$23:$B$7253,$B240,'Besi Balok'!$F$23:$F$7253,'REKAP Balok'!O$11)</f>
        <v>73.99675647</v>
      </c>
      <c r="P240">
        <f>SUMIFS('Besi Balok'!$AA$23:$AA$7253,'Besi Balok'!$A$23:$A$7253,$A240,'Besi Balok'!$B$23:$B$7253,$B240,'Besi Balok'!$F$23:$F$7253,'REKAP Balok'!P$11)</f>
        <v>0</v>
      </c>
      <c r="Q240">
        <f>SUMIFS('Besi Balok'!$AA$23:$AA$7253,'Besi Balok'!$A$23:$A$7253,$A240,'Besi Balok'!$B$23:$B$7253,$B240,'Besi Balok'!$F$23:$F$7253,'REKAP Balok'!Q$11)</f>
        <v>0</v>
      </c>
      <c r="R240">
        <f>SUMIFS('Besi Balok'!$AA$23:$AA$7253,'Besi Balok'!$A$23:$A$7253,$A240,'Besi Balok'!$B$23:$B$7253,$B240,'Besi Balok'!$F$23:$F$7253,'REKAP Balok'!R$11)</f>
        <v>0</v>
      </c>
      <c r="S240">
        <f>SUMIFS('Besi Balok'!$AA$23:$AA$7253,'Besi Balok'!$A$23:$A$7253,$A240,'Besi Balok'!$B$23:$B$7253,$B240,'Besi Balok'!$F$23:$F$7253,'REKAP Balok'!S$11)</f>
        <v>0</v>
      </c>
      <c r="T240">
        <f>SUMIFS('Besi Balok'!$AA$23:$AA$7253,'Besi Balok'!$A$23:$A$7253,$A240,'Besi Balok'!$B$23:$B$7253,$B240,'Besi Balok'!$F$23:$F$7253,'REKAP Balok'!T$11)</f>
        <v>0</v>
      </c>
      <c r="U240">
        <f>SUM(L240:T240)</f>
        <v>118.17785906999998</v>
      </c>
      <c r="V240">
        <f>(D240*(F240-H240)*G240*K240)/1000000000</f>
        <v>0.63675625</v>
      </c>
      <c r="W240">
        <f>(((F240-H240)*2+IF(H240&gt;0,0,D240))*(G240)*K240)/1000000</f>
        <v>9.79625</v>
      </c>
      <c r="AC240">
        <f>(D240+2*$F$5)*F240*G240/1000000000</f>
        <v>1.901625</v>
      </c>
    </row>
    <row r="241">
      <c r="A241" t="str">
        <f>'Data Panjang Balok'!A237</f>
        <v>Lantai Atap</v>
      </c>
      <c r="B241">
        <f>'Data Panjang Balok'!B237</f>
        <v>18</v>
      </c>
      <c r="C241" t="str">
        <f>'Data Panjang Balok'!D237</f>
        <v>B24-1</v>
      </c>
      <c r="D241">
        <f>IF(C241&gt;0,VLOOKUP(C241,'Detail Balok'!$C$11:$AU$140,2,FALSE),0)</f>
        <v>200</v>
      </c>
      <c r="E241" t="str">
        <v>x</v>
      </c>
      <c r="F241">
        <f>IF(C241&gt;0,VLOOKUP(C241,'Detail Balok'!$C$11:$AU$140,3,FALSE),0)</f>
        <v>400</v>
      </c>
      <c r="G241">
        <f>'Data Panjang Balok'!I237</f>
        <v>13650</v>
      </c>
      <c r="H241">
        <f>'Data Panjang Balok'!J237</f>
        <v>0</v>
      </c>
      <c r="I241">
        <v>0</v>
      </c>
      <c r="J241">
        <f>I241-F241/1000</f>
        <v>-0.4</v>
      </c>
      <c r="K241">
        <f>'Data Panjang Balok'!E237</f>
        <v>1</v>
      </c>
      <c r="L241">
        <f>SUMIFS('Besi Balok'!$AA$23:$AA$7253,'Besi Balok'!$A$23:$A$7253,$A241,'Besi Balok'!$B$23:$B$7253,$B241,'Besi Balok'!$F$23:$F$7253,'REKAP Balok'!L$11)</f>
        <v>0</v>
      </c>
      <c r="M241">
        <f>SUMIFS('Besi Balok'!$AA$23:$AA$7253,'Besi Balok'!$A$23:$A$7253,$A241,'Besi Balok'!$B$23:$B$7253,$B241,'Besi Balok'!$F$23:$F$7253,'REKAP Balok'!M$11)</f>
        <v>0</v>
      </c>
      <c r="N241">
        <f>SUMIFS('Besi Balok'!$AA$23:$AA$7253,'Besi Balok'!$A$23:$A$7253,$A241,'Besi Balok'!$B$23:$B$7253,$B241,'Besi Balok'!$F$23:$F$7253,'REKAP Balok'!N$11)</f>
        <v>66.03948</v>
      </c>
      <c r="O241">
        <f>SUMIFS('Besi Balok'!$AA$23:$AA$7253,'Besi Balok'!$A$23:$A$7253,$A241,'Besi Balok'!$B$23:$B$7253,$B241,'Besi Balok'!$F$23:$F$7253,'REKAP Balok'!O$11)</f>
        <v>87.2848535715</v>
      </c>
      <c r="P241">
        <f>SUMIFS('Besi Balok'!$AA$23:$AA$7253,'Besi Balok'!$A$23:$A$7253,$A241,'Besi Balok'!$B$23:$B$7253,$B241,'Besi Balok'!$F$23:$F$7253,'REKAP Balok'!P$11)</f>
        <v>0</v>
      </c>
      <c r="Q241">
        <f>SUMIFS('Besi Balok'!$AA$23:$AA$7253,'Besi Balok'!$A$23:$A$7253,$A241,'Besi Balok'!$B$23:$B$7253,$B241,'Besi Balok'!$F$23:$F$7253,'REKAP Balok'!Q$11)</f>
        <v>0</v>
      </c>
      <c r="R241">
        <f>SUMIFS('Besi Balok'!$AA$23:$AA$7253,'Besi Balok'!$A$23:$A$7253,$A241,'Besi Balok'!$B$23:$B$7253,$B241,'Besi Balok'!$F$23:$F$7253,'REKAP Balok'!R$11)</f>
        <v>0</v>
      </c>
      <c r="S241">
        <f>SUMIFS('Besi Balok'!$AA$23:$AA$7253,'Besi Balok'!$A$23:$A$7253,$A241,'Besi Balok'!$B$23:$B$7253,$B241,'Besi Balok'!$F$23:$F$7253,'REKAP Balok'!S$11)</f>
        <v>0</v>
      </c>
      <c r="T241">
        <f>SUMIFS('Besi Balok'!$AA$23:$AA$7253,'Besi Balok'!$A$23:$A$7253,$A241,'Besi Balok'!$B$23:$B$7253,$B241,'Besi Balok'!$F$23:$F$7253,'REKAP Balok'!T$11)</f>
        <v>0</v>
      </c>
      <c r="U241">
        <f>SUM(L241:T241)</f>
        <v>153.3243335715</v>
      </c>
      <c r="V241">
        <f>(D241*(F241-H241)*G241*K241)/1000000000</f>
        <v>1.092</v>
      </c>
      <c r="W241">
        <f>(((F241-H241)*2+IF(H241&gt;0,0,D241))*(G241)*K241)/1000000</f>
        <v>13.65</v>
      </c>
      <c r="AC241">
        <f>(D241+2*$F$5)*F241*G241/1000000000</f>
        <v>2.184</v>
      </c>
    </row>
    <row r="242">
      <c r="A242" t="str">
        <f>'Data Panjang Balok'!A238</f>
        <v>Lantai Atap</v>
      </c>
      <c r="B242">
        <f>'Data Panjang Balok'!B238</f>
        <v>19</v>
      </c>
      <c r="C242" t="str">
        <f>'Data Panjang Balok'!D238</f>
        <v>B2A4A-1</v>
      </c>
      <c r="D242">
        <f>IF(C242&gt;0,VLOOKUP(C242,'Detail Balok'!$C$11:$AU$140,2,FALSE),0)</f>
        <v>250</v>
      </c>
      <c r="E242" t="str">
        <v>x</v>
      </c>
      <c r="F242">
        <f>IF(C242&gt;0,VLOOKUP(C242,'Detail Balok'!$C$11:$AU$140,3,FALSE),0)</f>
        <v>450</v>
      </c>
      <c r="G242">
        <f>'Data Panjang Balok'!I238</f>
        <v>4685</v>
      </c>
      <c r="H242">
        <f>'Data Panjang Balok'!J238</f>
        <v>0</v>
      </c>
      <c r="I242">
        <v>0</v>
      </c>
      <c r="J242">
        <f>I242-F242/1000</f>
        <v>-0.45</v>
      </c>
      <c r="K242">
        <f>'Data Panjang Balok'!E238</f>
        <v>1</v>
      </c>
      <c r="L242">
        <f>SUMIFS('Besi Balok'!$AA$23:$AA$7253,'Besi Balok'!$A$23:$A$7253,$A242,'Besi Balok'!$B$23:$B$7253,$B242,'Besi Balok'!$F$23:$F$7253,'REKAP Balok'!L$11)</f>
        <v>0</v>
      </c>
      <c r="M242">
        <f>SUMIFS('Besi Balok'!$AA$23:$AA$7253,'Besi Balok'!$A$23:$A$7253,$A242,'Besi Balok'!$B$23:$B$7253,$B242,'Besi Balok'!$F$23:$F$7253,'REKAP Balok'!M$11)</f>
        <v>0</v>
      </c>
      <c r="N242">
        <f>SUMIFS('Besi Balok'!$AA$23:$AA$7253,'Besi Balok'!$A$23:$A$7253,$A242,'Besi Balok'!$B$23:$B$7253,$B242,'Besi Balok'!$F$23:$F$7253,'REKAP Balok'!N$11)</f>
        <v>28.815210000000004</v>
      </c>
      <c r="O242">
        <f>SUMIFS('Besi Balok'!$AA$23:$AA$7253,'Besi Balok'!$A$23:$A$7253,$A242,'Besi Balok'!$B$23:$B$7253,$B242,'Besi Balok'!$F$23:$F$7253,'REKAP Balok'!O$11)</f>
        <v>31.237796069999998</v>
      </c>
      <c r="P242">
        <f>SUMIFS('Besi Balok'!$AA$23:$AA$7253,'Besi Balok'!$A$23:$A$7253,$A242,'Besi Balok'!$B$23:$B$7253,$B242,'Besi Balok'!$F$23:$F$7253,'REKAP Balok'!P$11)</f>
        <v>0</v>
      </c>
      <c r="Q242">
        <f>SUMIFS('Besi Balok'!$AA$23:$AA$7253,'Besi Balok'!$A$23:$A$7253,$A242,'Besi Balok'!$B$23:$B$7253,$B242,'Besi Balok'!$F$23:$F$7253,'REKAP Balok'!Q$11)</f>
        <v>0</v>
      </c>
      <c r="R242">
        <f>SUMIFS('Besi Balok'!$AA$23:$AA$7253,'Besi Balok'!$A$23:$A$7253,$A242,'Besi Balok'!$B$23:$B$7253,$B242,'Besi Balok'!$F$23:$F$7253,'REKAP Balok'!R$11)</f>
        <v>0</v>
      </c>
      <c r="S242">
        <f>SUMIFS('Besi Balok'!$AA$23:$AA$7253,'Besi Balok'!$A$23:$A$7253,$A242,'Besi Balok'!$B$23:$B$7253,$B242,'Besi Balok'!$F$23:$F$7253,'REKAP Balok'!S$11)</f>
        <v>0</v>
      </c>
      <c r="T242">
        <f>SUMIFS('Besi Balok'!$AA$23:$AA$7253,'Besi Balok'!$A$23:$A$7253,$A242,'Besi Balok'!$B$23:$B$7253,$B242,'Besi Balok'!$F$23:$F$7253,'REKAP Balok'!T$11)</f>
        <v>0</v>
      </c>
      <c r="U242">
        <f>SUM(L242:T242)</f>
        <v>60.05300607</v>
      </c>
      <c r="V242">
        <f>(D242*(F242-H242)*G242*K242)/1000000000</f>
        <v>0.5270625</v>
      </c>
      <c r="W242">
        <f>(((F242-H242)*2+IF(H242&gt;0,0,D242))*(G242)*K242)/1000000</f>
        <v>5.38775</v>
      </c>
      <c r="AC242">
        <f>(D242+2*$F$5)*F242*G242/1000000000</f>
        <v>0.9487125</v>
      </c>
    </row>
    <row r="243">
      <c r="A243" t="str">
        <f>'Data Panjang Balok'!A239</f>
        <v>Lantai Atap</v>
      </c>
      <c r="B243">
        <f>'Data Panjang Balok'!B239</f>
        <v>20</v>
      </c>
      <c r="C243" t="str">
        <f>'Data Panjang Balok'!D239</f>
        <v>B24-1</v>
      </c>
      <c r="D243">
        <f>IF(C243&gt;0,VLOOKUP(C243,'Detail Balok'!$C$11:$AU$140,2,FALSE),0)</f>
        <v>200</v>
      </c>
      <c r="E243" t="str">
        <v>x</v>
      </c>
      <c r="F243">
        <f>IF(C243&gt;0,VLOOKUP(C243,'Detail Balok'!$C$11:$AU$140,3,FALSE),0)</f>
        <v>400</v>
      </c>
      <c r="G243">
        <f>'Data Panjang Balok'!I239</f>
        <v>9610</v>
      </c>
      <c r="H243">
        <f>'Data Panjang Balok'!J239</f>
        <v>0</v>
      </c>
      <c r="I243">
        <v>0</v>
      </c>
      <c r="J243">
        <f>I243-F243/1000</f>
        <v>-0.4</v>
      </c>
      <c r="K243">
        <f>'Data Panjang Balok'!E239</f>
        <v>1</v>
      </c>
      <c r="L243">
        <f>SUMIFS('Besi Balok'!$AA$23:$AA$7253,'Besi Balok'!$A$23:$A$7253,$A243,'Besi Balok'!$B$23:$B$7253,$B243,'Besi Balok'!$F$23:$F$7253,'REKAP Balok'!L$11)</f>
        <v>0</v>
      </c>
      <c r="M243">
        <f>SUMIFS('Besi Balok'!$AA$23:$AA$7253,'Besi Balok'!$A$23:$A$7253,$A243,'Besi Balok'!$B$23:$B$7253,$B243,'Besi Balok'!$F$23:$F$7253,'REKAP Balok'!M$11)</f>
        <v>0</v>
      </c>
      <c r="N243">
        <f>SUMIFS('Besi Balok'!$AA$23:$AA$7253,'Besi Balok'!$A$23:$A$7253,$A243,'Besi Balok'!$B$23:$B$7253,$B243,'Besi Balok'!$F$23:$F$7253,'REKAP Balok'!N$11)</f>
        <v>46.989630000000005</v>
      </c>
      <c r="O243">
        <f>SUMIFS('Besi Balok'!$AA$23:$AA$7253,'Besi Balok'!$A$23:$A$7253,$A243,'Besi Balok'!$B$23:$B$7253,$B243,'Besi Balok'!$F$23:$F$7253,'REKAP Balok'!O$11)</f>
        <v>62.02549782</v>
      </c>
      <c r="P243">
        <f>SUMIFS('Besi Balok'!$AA$23:$AA$7253,'Besi Balok'!$A$23:$A$7253,$A243,'Besi Balok'!$B$23:$B$7253,$B243,'Besi Balok'!$F$23:$F$7253,'REKAP Balok'!P$11)</f>
        <v>0</v>
      </c>
      <c r="Q243">
        <f>SUMIFS('Besi Balok'!$AA$23:$AA$7253,'Besi Balok'!$A$23:$A$7253,$A243,'Besi Balok'!$B$23:$B$7253,$B243,'Besi Balok'!$F$23:$F$7253,'REKAP Balok'!Q$11)</f>
        <v>0</v>
      </c>
      <c r="R243">
        <f>SUMIFS('Besi Balok'!$AA$23:$AA$7253,'Besi Balok'!$A$23:$A$7253,$A243,'Besi Balok'!$B$23:$B$7253,$B243,'Besi Balok'!$F$23:$F$7253,'REKAP Balok'!R$11)</f>
        <v>0</v>
      </c>
      <c r="S243">
        <f>SUMIFS('Besi Balok'!$AA$23:$AA$7253,'Besi Balok'!$A$23:$A$7253,$A243,'Besi Balok'!$B$23:$B$7253,$B243,'Besi Balok'!$F$23:$F$7253,'REKAP Balok'!S$11)</f>
        <v>0</v>
      </c>
      <c r="T243">
        <f>SUMIFS('Besi Balok'!$AA$23:$AA$7253,'Besi Balok'!$A$23:$A$7253,$A243,'Besi Balok'!$B$23:$B$7253,$B243,'Besi Balok'!$F$23:$F$7253,'REKAP Balok'!T$11)</f>
        <v>0</v>
      </c>
      <c r="U243">
        <f>SUM(L243:T243)</f>
        <v>109.01512782</v>
      </c>
      <c r="V243">
        <f>(D243*(F243-H243)*G243*K243)/1000000000</f>
        <v>0.7688</v>
      </c>
      <c r="W243">
        <f>(((F243-H243)*2+IF(H243&gt;0,0,D243))*(G243)*K243)/1000000</f>
        <v>9.61</v>
      </c>
      <c r="AC243">
        <f>(D243+2*$F$5)*F243*G243/1000000000</f>
        <v>1.5376</v>
      </c>
    </row>
    <row r="244">
      <c r="A244" t="str">
        <f>'Data Panjang Balok'!A240</f>
        <v>Lantai Atap</v>
      </c>
      <c r="B244">
        <f>'Data Panjang Balok'!B240</f>
        <v>21</v>
      </c>
      <c r="C244" t="str">
        <f>'Data Panjang Balok'!D240</f>
        <v>B2A4A-1</v>
      </c>
      <c r="D244">
        <f>IF(C244&gt;0,VLOOKUP(C244,'Detail Balok'!$C$11:$AU$140,2,FALSE),0)</f>
        <v>250</v>
      </c>
      <c r="E244" t="str">
        <v>x</v>
      </c>
      <c r="F244">
        <f>IF(C244&gt;0,VLOOKUP(C244,'Detail Balok'!$C$11:$AU$140,3,FALSE),0)</f>
        <v>450</v>
      </c>
      <c r="G244">
        <f>'Data Panjang Balok'!I240</f>
        <v>5140</v>
      </c>
      <c r="H244">
        <f>'Data Panjang Balok'!J240</f>
        <v>0</v>
      </c>
      <c r="I244">
        <v>0</v>
      </c>
      <c r="J244">
        <f>I244-F244/1000</f>
        <v>-0.45</v>
      </c>
      <c r="K244">
        <f>'Data Panjang Balok'!E240</f>
        <v>1</v>
      </c>
      <c r="L244">
        <f>SUMIFS('Besi Balok'!$AA$23:$AA$7253,'Besi Balok'!$A$23:$A$7253,$A244,'Besi Balok'!$B$23:$B$7253,$B244,'Besi Balok'!$F$23:$F$7253,'REKAP Balok'!L$11)</f>
        <v>0</v>
      </c>
      <c r="M244">
        <f>SUMIFS('Besi Balok'!$AA$23:$AA$7253,'Besi Balok'!$A$23:$A$7253,$A244,'Besi Balok'!$B$23:$B$7253,$B244,'Besi Balok'!$F$23:$F$7253,'REKAP Balok'!M$11)</f>
        <v>0</v>
      </c>
      <c r="N244">
        <f>SUMIFS('Besi Balok'!$AA$23:$AA$7253,'Besi Balok'!$A$23:$A$7253,$A244,'Besi Balok'!$B$23:$B$7253,$B244,'Besi Balok'!$F$23:$F$7253,'REKAP Balok'!N$11)</f>
        <v>31.090094999999998</v>
      </c>
      <c r="O244">
        <f>SUMIFS('Besi Balok'!$AA$23:$AA$7253,'Besi Balok'!$A$23:$A$7253,$A244,'Besi Balok'!$B$23:$B$7253,$B244,'Besi Balok'!$F$23:$F$7253,'REKAP Balok'!O$11)</f>
        <v>34.08214211999999</v>
      </c>
      <c r="P244">
        <f>SUMIFS('Besi Balok'!$AA$23:$AA$7253,'Besi Balok'!$A$23:$A$7253,$A244,'Besi Balok'!$B$23:$B$7253,$B244,'Besi Balok'!$F$23:$F$7253,'REKAP Balok'!P$11)</f>
        <v>0</v>
      </c>
      <c r="Q244">
        <f>SUMIFS('Besi Balok'!$AA$23:$AA$7253,'Besi Balok'!$A$23:$A$7253,$A244,'Besi Balok'!$B$23:$B$7253,$B244,'Besi Balok'!$F$23:$F$7253,'REKAP Balok'!Q$11)</f>
        <v>0</v>
      </c>
      <c r="R244">
        <f>SUMIFS('Besi Balok'!$AA$23:$AA$7253,'Besi Balok'!$A$23:$A$7253,$A244,'Besi Balok'!$B$23:$B$7253,$B244,'Besi Balok'!$F$23:$F$7253,'REKAP Balok'!R$11)</f>
        <v>0</v>
      </c>
      <c r="S244">
        <f>SUMIFS('Besi Balok'!$AA$23:$AA$7253,'Besi Balok'!$A$23:$A$7253,$A244,'Besi Balok'!$B$23:$B$7253,$B244,'Besi Balok'!$F$23:$F$7253,'REKAP Balok'!S$11)</f>
        <v>0</v>
      </c>
      <c r="T244">
        <f>SUMIFS('Besi Balok'!$AA$23:$AA$7253,'Besi Balok'!$A$23:$A$7253,$A244,'Besi Balok'!$B$23:$B$7253,$B244,'Besi Balok'!$F$23:$F$7253,'REKAP Balok'!T$11)</f>
        <v>0</v>
      </c>
      <c r="U244">
        <f>SUM(L244:T244)</f>
        <v>65.17223711999999</v>
      </c>
      <c r="V244">
        <f>(D244*(F244-H244)*G244*K244)/1000000000</f>
        <v>0.57825</v>
      </c>
      <c r="W244">
        <f>(((F244-H244)*2+IF(H244&gt;0,0,D244))*(G244)*K244)/1000000</f>
        <v>5.911</v>
      </c>
      <c r="AC244">
        <f>(D244+2*$F$5)*F244*G244/1000000000</f>
        <v>1.04085</v>
      </c>
    </row>
    <row r="245">
      <c r="A245" t="str">
        <f>'Data Panjang Balok'!A241</f>
        <v>Lantai Atap</v>
      </c>
      <c r="B245">
        <f>'Data Panjang Balok'!B241</f>
        <v>22</v>
      </c>
      <c r="C245" t="str">
        <f>'Data Panjang Balok'!D241</f>
        <v>B25-1</v>
      </c>
      <c r="D245">
        <f>IF(C245&gt;0,VLOOKUP(C245,'Detail Balok'!$C$11:$AU$140,2,FALSE),0)</f>
        <v>200</v>
      </c>
      <c r="E245" t="str">
        <v>x</v>
      </c>
      <c r="F245">
        <f>IF(C245&gt;0,VLOOKUP(C245,'Detail Balok'!$C$11:$AU$140,3,FALSE),0)</f>
        <v>500</v>
      </c>
      <c r="G245">
        <f>'Data Panjang Balok'!I241</f>
        <v>10650</v>
      </c>
      <c r="H245">
        <f>'Data Panjang Balok'!J241</f>
        <v>0</v>
      </c>
      <c r="I245">
        <v>0</v>
      </c>
      <c r="J245">
        <f>I245-F245/1000</f>
        <v>-0.5</v>
      </c>
      <c r="K245">
        <f>'Data Panjang Balok'!E241</f>
        <v>1</v>
      </c>
      <c r="L245">
        <f>SUMIFS('Besi Balok'!$AA$23:$AA$7253,'Besi Balok'!$A$23:$A$7253,$A245,'Besi Balok'!$B$23:$B$7253,$B245,'Besi Balok'!$F$23:$F$7253,'REKAP Balok'!L$11)</f>
        <v>0</v>
      </c>
      <c r="M245">
        <f>SUMIFS('Besi Balok'!$AA$23:$AA$7253,'Besi Balok'!$A$23:$A$7253,$A245,'Besi Balok'!$B$23:$B$7253,$B245,'Besi Balok'!$F$23:$F$7253,'REKAP Balok'!M$11)</f>
        <v>0</v>
      </c>
      <c r="N245">
        <f>SUMIFS('Besi Balok'!$AA$23:$AA$7253,'Besi Balok'!$A$23:$A$7253,$A245,'Besi Balok'!$B$23:$B$7253,$B245,'Besi Balok'!$F$23:$F$7253,'REKAP Balok'!N$11)</f>
        <v>62.716544999999996</v>
      </c>
      <c r="O245">
        <f>SUMIFS('Besi Balok'!$AA$23:$AA$7253,'Besi Balok'!$A$23:$A$7253,$A245,'Besi Balok'!$B$23:$B$7253,$B245,'Besi Balok'!$F$23:$F$7253,'REKAP Balok'!O$11)</f>
        <v>0</v>
      </c>
      <c r="P245">
        <f>SUMIFS('Besi Balok'!$AA$23:$AA$7253,'Besi Balok'!$A$23:$A$7253,$A245,'Besi Balok'!$B$23:$B$7253,$B245,'Besi Balok'!$F$23:$F$7253,'REKAP Balok'!P$11)</f>
        <v>139.31440128000003</v>
      </c>
      <c r="Q245">
        <f>SUMIFS('Besi Balok'!$AA$23:$AA$7253,'Besi Balok'!$A$23:$A$7253,$A245,'Besi Balok'!$B$23:$B$7253,$B245,'Besi Balok'!$F$23:$F$7253,'REKAP Balok'!Q$11)</f>
        <v>0</v>
      </c>
      <c r="R245">
        <f>SUMIFS('Besi Balok'!$AA$23:$AA$7253,'Besi Balok'!$A$23:$A$7253,$A245,'Besi Balok'!$B$23:$B$7253,$B245,'Besi Balok'!$F$23:$F$7253,'REKAP Balok'!R$11)</f>
        <v>0</v>
      </c>
      <c r="S245">
        <f>SUMIFS('Besi Balok'!$AA$23:$AA$7253,'Besi Balok'!$A$23:$A$7253,$A245,'Besi Balok'!$B$23:$B$7253,$B245,'Besi Balok'!$F$23:$F$7253,'REKAP Balok'!S$11)</f>
        <v>0</v>
      </c>
      <c r="T245">
        <f>SUMIFS('Besi Balok'!$AA$23:$AA$7253,'Besi Balok'!$A$23:$A$7253,$A245,'Besi Balok'!$B$23:$B$7253,$B245,'Besi Balok'!$F$23:$F$7253,'REKAP Balok'!T$11)</f>
        <v>0</v>
      </c>
      <c r="U245">
        <f>SUM(L245:T245)</f>
        <v>202.03094628000002</v>
      </c>
      <c r="V245">
        <f>(D245*(F245-H245)*G245*K245)/1000000000</f>
        <v>1.065</v>
      </c>
      <c r="W245">
        <f>(((F245-H245)*2+IF(H245&gt;0,0,D245))*(G245)*K245)/1000000</f>
        <v>12.78</v>
      </c>
      <c r="AC245">
        <f>(D245+2*$F$5)*F245*G245/1000000000</f>
        <v>2.13</v>
      </c>
    </row>
    <row r="246">
      <c r="A246" t="str">
        <f>'Data Panjang Balok'!A242</f>
        <v>Lantai Atap</v>
      </c>
      <c r="B246">
        <f>'Data Panjang Balok'!B242</f>
        <v>23</v>
      </c>
      <c r="C246" t="str">
        <f>'Data Panjang Balok'!D242</f>
        <v>B4-1</v>
      </c>
      <c r="D246">
        <f>IF(C246&gt;0,VLOOKUP(C246,'Detail Balok'!$C$11:$AU$140,2,FALSE),0)</f>
        <v>130</v>
      </c>
      <c r="E246" t="str">
        <v>x</v>
      </c>
      <c r="F246">
        <f>IF(C246&gt;0,VLOOKUP(C246,'Detail Balok'!$C$11:$AU$140,3,FALSE),0)</f>
        <v>400</v>
      </c>
      <c r="G246">
        <f>'Data Panjang Balok'!I242</f>
        <v>1950</v>
      </c>
      <c r="H246">
        <f>'Data Panjang Balok'!J242</f>
        <v>0</v>
      </c>
      <c r="I246">
        <v>0</v>
      </c>
      <c r="J246">
        <f>I246-F246/1000</f>
        <v>-0.4</v>
      </c>
      <c r="K246">
        <f>'Data Panjang Balok'!E242</f>
        <v>1</v>
      </c>
      <c r="L246">
        <f>SUMIFS('Besi Balok'!$AA$23:$AA$7253,'Besi Balok'!$A$23:$A$7253,$A246,'Besi Balok'!$B$23:$B$7253,$B246,'Besi Balok'!$F$23:$F$7253,'REKAP Balok'!L$11)</f>
        <v>0</v>
      </c>
      <c r="M246">
        <f>SUMIFS('Besi Balok'!$AA$23:$AA$7253,'Besi Balok'!$A$23:$A$7253,$A246,'Besi Balok'!$B$23:$B$7253,$B246,'Besi Balok'!$F$23:$F$7253,'REKAP Balok'!M$11)</f>
        <v>4.9162176</v>
      </c>
      <c r="N246">
        <f>SUMIFS('Besi Balok'!$AA$23:$AA$7253,'Besi Balok'!$A$23:$A$7253,$A246,'Besi Balok'!$B$23:$B$7253,$B246,'Besi Balok'!$F$23:$F$7253,'REKAP Balok'!N$11)</f>
        <v>0</v>
      </c>
      <c r="O246">
        <f>SUMIFS('Besi Balok'!$AA$23:$AA$7253,'Besi Balok'!$A$23:$A$7253,$A246,'Besi Balok'!$B$23:$B$7253,$B246,'Besi Balok'!$F$23:$F$7253,'REKAP Balok'!O$11)</f>
        <v>9.42697548</v>
      </c>
      <c r="P246">
        <f>SUMIFS('Besi Balok'!$AA$23:$AA$7253,'Besi Balok'!$A$23:$A$7253,$A246,'Besi Balok'!$B$23:$B$7253,$B246,'Besi Balok'!$F$23:$F$7253,'REKAP Balok'!P$11)</f>
        <v>0</v>
      </c>
      <c r="Q246">
        <f>SUMIFS('Besi Balok'!$AA$23:$AA$7253,'Besi Balok'!$A$23:$A$7253,$A246,'Besi Balok'!$B$23:$B$7253,$B246,'Besi Balok'!$F$23:$F$7253,'REKAP Balok'!Q$11)</f>
        <v>0</v>
      </c>
      <c r="R246">
        <f>SUMIFS('Besi Balok'!$AA$23:$AA$7253,'Besi Balok'!$A$23:$A$7253,$A246,'Besi Balok'!$B$23:$B$7253,$B246,'Besi Balok'!$F$23:$F$7253,'REKAP Balok'!R$11)</f>
        <v>0</v>
      </c>
      <c r="S246">
        <f>SUMIFS('Besi Balok'!$AA$23:$AA$7253,'Besi Balok'!$A$23:$A$7253,$A246,'Besi Balok'!$B$23:$B$7253,$B246,'Besi Balok'!$F$23:$F$7253,'REKAP Balok'!S$11)</f>
        <v>0</v>
      </c>
      <c r="T246">
        <f>SUMIFS('Besi Balok'!$AA$23:$AA$7253,'Besi Balok'!$A$23:$A$7253,$A246,'Besi Balok'!$B$23:$B$7253,$B246,'Besi Balok'!$F$23:$F$7253,'REKAP Balok'!T$11)</f>
        <v>0</v>
      </c>
      <c r="U246">
        <f>SUM(L246:T246)</f>
        <v>14.343193079999999</v>
      </c>
      <c r="V246">
        <f>(D246*(F246-H246)*G246*K246)/1000000000</f>
        <v>0.1014</v>
      </c>
      <c r="W246">
        <f>(((F246-H246)*2+IF(H246&gt;0,0,D246))*(G246)*K246)/1000000</f>
        <v>1.8135</v>
      </c>
      <c r="AC246">
        <f>(D246+2*$F$5)*F246*G246/1000000000</f>
        <v>0.2574</v>
      </c>
    </row>
    <row r="247">
      <c r="A247" t="str">
        <f>'Data Panjang Balok'!A243</f>
        <v>Lantai Atap</v>
      </c>
      <c r="B247">
        <f>'Data Panjang Balok'!B243</f>
        <v>24</v>
      </c>
      <c r="C247" t="str">
        <f>'Data Panjang Balok'!D243</f>
        <v>B4-1</v>
      </c>
      <c r="D247">
        <f>IF(C247&gt;0,VLOOKUP(C247,'Detail Balok'!$C$11:$AU$140,2,FALSE),0)</f>
        <v>130</v>
      </c>
      <c r="E247" t="str">
        <v>x</v>
      </c>
      <c r="F247">
        <f>IF(C247&gt;0,VLOOKUP(C247,'Detail Balok'!$C$11:$AU$140,3,FALSE),0)</f>
        <v>400</v>
      </c>
      <c r="G247">
        <f>'Data Panjang Balok'!I243</f>
        <v>1950</v>
      </c>
      <c r="H247">
        <f>'Data Panjang Balok'!J243</f>
        <v>0</v>
      </c>
      <c r="I247">
        <v>0</v>
      </c>
      <c r="J247">
        <f>I247-F247/1000</f>
        <v>-0.4</v>
      </c>
      <c r="K247">
        <f>'Data Panjang Balok'!E243</f>
        <v>1</v>
      </c>
      <c r="L247">
        <f>SUMIFS('Besi Balok'!$AA$23:$AA$7253,'Besi Balok'!$A$23:$A$7253,$A247,'Besi Balok'!$B$23:$B$7253,$B247,'Besi Balok'!$F$23:$F$7253,'REKAP Balok'!L$11)</f>
        <v>0</v>
      </c>
      <c r="M247">
        <f>SUMIFS('Besi Balok'!$AA$23:$AA$7253,'Besi Balok'!$A$23:$A$7253,$A247,'Besi Balok'!$B$23:$B$7253,$B247,'Besi Balok'!$F$23:$F$7253,'REKAP Balok'!M$11)</f>
        <v>4.9162176</v>
      </c>
      <c r="N247">
        <f>SUMIFS('Besi Balok'!$AA$23:$AA$7253,'Besi Balok'!$A$23:$A$7253,$A247,'Besi Balok'!$B$23:$B$7253,$B247,'Besi Balok'!$F$23:$F$7253,'REKAP Balok'!N$11)</f>
        <v>0</v>
      </c>
      <c r="O247">
        <f>SUMIFS('Besi Balok'!$AA$23:$AA$7253,'Besi Balok'!$A$23:$A$7253,$A247,'Besi Balok'!$B$23:$B$7253,$B247,'Besi Balok'!$F$23:$F$7253,'REKAP Balok'!O$11)</f>
        <v>9.42697548</v>
      </c>
      <c r="P247">
        <f>SUMIFS('Besi Balok'!$AA$23:$AA$7253,'Besi Balok'!$A$23:$A$7253,$A247,'Besi Balok'!$B$23:$B$7253,$B247,'Besi Balok'!$F$23:$F$7253,'REKAP Balok'!P$11)</f>
        <v>0</v>
      </c>
      <c r="Q247">
        <f>SUMIFS('Besi Balok'!$AA$23:$AA$7253,'Besi Balok'!$A$23:$A$7253,$A247,'Besi Balok'!$B$23:$B$7253,$B247,'Besi Balok'!$F$23:$F$7253,'REKAP Balok'!Q$11)</f>
        <v>0</v>
      </c>
      <c r="R247">
        <f>SUMIFS('Besi Balok'!$AA$23:$AA$7253,'Besi Balok'!$A$23:$A$7253,$A247,'Besi Balok'!$B$23:$B$7253,$B247,'Besi Balok'!$F$23:$F$7253,'REKAP Balok'!R$11)</f>
        <v>0</v>
      </c>
      <c r="S247">
        <f>SUMIFS('Besi Balok'!$AA$23:$AA$7253,'Besi Balok'!$A$23:$A$7253,$A247,'Besi Balok'!$B$23:$B$7253,$B247,'Besi Balok'!$F$23:$F$7253,'REKAP Balok'!S$11)</f>
        <v>0</v>
      </c>
      <c r="T247">
        <f>SUMIFS('Besi Balok'!$AA$23:$AA$7253,'Besi Balok'!$A$23:$A$7253,$A247,'Besi Balok'!$B$23:$B$7253,$B247,'Besi Balok'!$F$23:$F$7253,'REKAP Balok'!T$11)</f>
        <v>0</v>
      </c>
      <c r="U247">
        <f>SUM(L247:T247)</f>
        <v>14.343193079999999</v>
      </c>
      <c r="V247">
        <f>(D247*(F247-H247)*G247*K247)/1000000000</f>
        <v>0.1014</v>
      </c>
      <c r="W247">
        <f>(((F247-H247)*2+IF(H247&gt;0,0,D247))*(G247)*K247)/1000000</f>
        <v>1.8135</v>
      </c>
      <c r="AC247">
        <f>(D247+2*$F$5)*F247*G247/1000000000</f>
        <v>0.2574</v>
      </c>
    </row>
    <row r="248">
      <c r="A248" t="str">
        <f>'Data Panjang Balok'!A244</f>
        <v>Lantai Atap</v>
      </c>
      <c r="B248">
        <f>'Data Panjang Balok'!B244</f>
        <v>25</v>
      </c>
      <c r="C248" t="str">
        <f>'Data Panjang Balok'!D244</f>
        <v>B4-1</v>
      </c>
      <c r="D248">
        <f>IF(C248&gt;0,VLOOKUP(C248,'Detail Balok'!$C$11:$AU$140,2,FALSE),0)</f>
        <v>130</v>
      </c>
      <c r="E248" t="str">
        <v>x</v>
      </c>
      <c r="F248">
        <f>IF(C248&gt;0,VLOOKUP(C248,'Detail Balok'!$C$11:$AU$140,3,FALSE),0)</f>
        <v>400</v>
      </c>
      <c r="G248">
        <f>'Data Panjang Balok'!I244</f>
        <v>2600</v>
      </c>
      <c r="H248">
        <f>'Data Panjang Balok'!J244</f>
        <v>0</v>
      </c>
      <c r="I248">
        <v>0</v>
      </c>
      <c r="J248">
        <f>I248-F248/1000</f>
        <v>-0.4</v>
      </c>
      <c r="K248">
        <f>'Data Panjang Balok'!E244</f>
        <v>1</v>
      </c>
      <c r="L248">
        <f>SUMIFS('Besi Balok'!$AA$23:$AA$7253,'Besi Balok'!$A$23:$A$7253,$A248,'Besi Balok'!$B$23:$B$7253,$B248,'Besi Balok'!$F$23:$F$7253,'REKAP Balok'!L$11)</f>
        <v>0</v>
      </c>
      <c r="M248">
        <f>SUMIFS('Besi Balok'!$AA$23:$AA$7253,'Besi Balok'!$A$23:$A$7253,$A248,'Besi Balok'!$B$23:$B$7253,$B248,'Besi Balok'!$F$23:$F$7253,'REKAP Balok'!M$11)</f>
        <v>5.969692800000001</v>
      </c>
      <c r="N248">
        <f>SUMIFS('Besi Balok'!$AA$23:$AA$7253,'Besi Balok'!$A$23:$A$7253,$A248,'Besi Balok'!$B$23:$B$7253,$B248,'Besi Balok'!$F$23:$F$7253,'REKAP Balok'!N$11)</f>
        <v>0</v>
      </c>
      <c r="O248">
        <f>SUMIFS('Besi Balok'!$AA$23:$AA$7253,'Besi Balok'!$A$23:$A$7253,$A248,'Besi Balok'!$B$23:$B$7253,$B248,'Besi Balok'!$F$23:$F$7253,'REKAP Balok'!O$11)</f>
        <v>12.135876479999999</v>
      </c>
      <c r="P248">
        <f>SUMIFS('Besi Balok'!$AA$23:$AA$7253,'Besi Balok'!$A$23:$A$7253,$A248,'Besi Balok'!$B$23:$B$7253,$B248,'Besi Balok'!$F$23:$F$7253,'REKAP Balok'!P$11)</f>
        <v>0</v>
      </c>
      <c r="Q248">
        <f>SUMIFS('Besi Balok'!$AA$23:$AA$7253,'Besi Balok'!$A$23:$A$7253,$A248,'Besi Balok'!$B$23:$B$7253,$B248,'Besi Balok'!$F$23:$F$7253,'REKAP Balok'!Q$11)</f>
        <v>0</v>
      </c>
      <c r="R248">
        <f>SUMIFS('Besi Balok'!$AA$23:$AA$7253,'Besi Balok'!$A$23:$A$7253,$A248,'Besi Balok'!$B$23:$B$7253,$B248,'Besi Balok'!$F$23:$F$7253,'REKAP Balok'!R$11)</f>
        <v>0</v>
      </c>
      <c r="S248">
        <f>SUMIFS('Besi Balok'!$AA$23:$AA$7253,'Besi Balok'!$A$23:$A$7253,$A248,'Besi Balok'!$B$23:$B$7253,$B248,'Besi Balok'!$F$23:$F$7253,'REKAP Balok'!S$11)</f>
        <v>0</v>
      </c>
      <c r="T248">
        <f>SUMIFS('Besi Balok'!$AA$23:$AA$7253,'Besi Balok'!$A$23:$A$7253,$A248,'Besi Balok'!$B$23:$B$7253,$B248,'Besi Balok'!$F$23:$F$7253,'REKAP Balok'!T$11)</f>
        <v>0</v>
      </c>
      <c r="U248">
        <f>SUM(L248:T248)</f>
        <v>18.105569279999997</v>
      </c>
      <c r="V248">
        <f>(D248*(F248-H248)*G248*K248)/1000000000</f>
        <v>0.1352</v>
      </c>
      <c r="W248">
        <f>(((F248-H248)*2+IF(H248&gt;0,0,D248))*(G248)*K248)/1000000</f>
        <v>2.418</v>
      </c>
      <c r="AC248">
        <f>(D248+2*$F$5)*F248*G248/1000000000</f>
        <v>0.3432</v>
      </c>
    </row>
    <row r="249">
      <c r="A249" t="str">
        <f>'Data Panjang Balok'!A245</f>
        <v>Lantai Atap</v>
      </c>
      <c r="B249">
        <f>'Data Panjang Balok'!B245</f>
        <v>26</v>
      </c>
      <c r="C249" t="str">
        <f>'Data Panjang Balok'!D245</f>
        <v>B4-1</v>
      </c>
      <c r="D249">
        <f>IF(C249&gt;0,VLOOKUP(C249,'Detail Balok'!$C$11:$AU$140,2,FALSE),0)</f>
        <v>130</v>
      </c>
      <c r="E249" t="str">
        <v>x</v>
      </c>
      <c r="F249">
        <f>IF(C249&gt;0,VLOOKUP(C249,'Detail Balok'!$C$11:$AU$140,3,FALSE),0)</f>
        <v>400</v>
      </c>
      <c r="G249">
        <f>'Data Panjang Balok'!I245</f>
        <v>2600</v>
      </c>
      <c r="H249">
        <f>'Data Panjang Balok'!J245</f>
        <v>0</v>
      </c>
      <c r="I249">
        <v>0</v>
      </c>
      <c r="J249">
        <f>I249-F249/1000</f>
        <v>-0.4</v>
      </c>
      <c r="K249">
        <f>'Data Panjang Balok'!E245</f>
        <v>1</v>
      </c>
      <c r="L249">
        <f>SUMIFS('Besi Balok'!$AA$23:$AA$7253,'Besi Balok'!$A$23:$A$7253,$A249,'Besi Balok'!$B$23:$B$7253,$B249,'Besi Balok'!$F$23:$F$7253,'REKAP Balok'!L$11)</f>
        <v>0</v>
      </c>
      <c r="M249">
        <f>SUMIFS('Besi Balok'!$AA$23:$AA$7253,'Besi Balok'!$A$23:$A$7253,$A249,'Besi Balok'!$B$23:$B$7253,$B249,'Besi Balok'!$F$23:$F$7253,'REKAP Balok'!M$11)</f>
        <v>5.969692800000001</v>
      </c>
      <c r="N249">
        <f>SUMIFS('Besi Balok'!$AA$23:$AA$7253,'Besi Balok'!$A$23:$A$7253,$A249,'Besi Balok'!$B$23:$B$7253,$B249,'Besi Balok'!$F$23:$F$7253,'REKAP Balok'!N$11)</f>
        <v>0</v>
      </c>
      <c r="O249">
        <f>SUMIFS('Besi Balok'!$AA$23:$AA$7253,'Besi Balok'!$A$23:$A$7253,$A249,'Besi Balok'!$B$23:$B$7253,$B249,'Besi Balok'!$F$23:$F$7253,'REKAP Balok'!O$11)</f>
        <v>12.135876479999999</v>
      </c>
      <c r="P249">
        <f>SUMIFS('Besi Balok'!$AA$23:$AA$7253,'Besi Balok'!$A$23:$A$7253,$A249,'Besi Balok'!$B$23:$B$7253,$B249,'Besi Balok'!$F$23:$F$7253,'REKAP Balok'!P$11)</f>
        <v>0</v>
      </c>
      <c r="Q249">
        <f>SUMIFS('Besi Balok'!$AA$23:$AA$7253,'Besi Balok'!$A$23:$A$7253,$A249,'Besi Balok'!$B$23:$B$7253,$B249,'Besi Balok'!$F$23:$F$7253,'REKAP Balok'!Q$11)</f>
        <v>0</v>
      </c>
      <c r="R249">
        <f>SUMIFS('Besi Balok'!$AA$23:$AA$7253,'Besi Balok'!$A$23:$A$7253,$A249,'Besi Balok'!$B$23:$B$7253,$B249,'Besi Balok'!$F$23:$F$7253,'REKAP Balok'!R$11)</f>
        <v>0</v>
      </c>
      <c r="S249">
        <f>SUMIFS('Besi Balok'!$AA$23:$AA$7253,'Besi Balok'!$A$23:$A$7253,$A249,'Besi Balok'!$B$23:$B$7253,$B249,'Besi Balok'!$F$23:$F$7253,'REKAP Balok'!S$11)</f>
        <v>0</v>
      </c>
      <c r="T249">
        <f>SUMIFS('Besi Balok'!$AA$23:$AA$7253,'Besi Balok'!$A$23:$A$7253,$A249,'Besi Balok'!$B$23:$B$7253,$B249,'Besi Balok'!$F$23:$F$7253,'REKAP Balok'!T$11)</f>
        <v>0</v>
      </c>
      <c r="U249">
        <f>SUM(L249:T249)</f>
        <v>18.105569279999997</v>
      </c>
      <c r="V249">
        <f>(D249*(F249-H249)*G249*K249)/1000000000</f>
        <v>0.1352</v>
      </c>
      <c r="W249">
        <f>(((F249-H249)*2+IF(H249&gt;0,0,D249))*(G249)*K249)/1000000</f>
        <v>2.418</v>
      </c>
      <c r="AC249">
        <f>(D249+2*$F$5)*F249*G249/1000000000</f>
        <v>0.3432</v>
      </c>
    </row>
    <row r="250">
      <c r="A250" t="str">
        <f>'Data Panjang Balok'!A246</f>
        <v>Lantai Atap</v>
      </c>
      <c r="B250">
        <f>'Data Panjang Balok'!B246</f>
        <v>27</v>
      </c>
      <c r="C250" t="str">
        <f>'Data Panjang Balok'!D246</f>
        <v>B24-1</v>
      </c>
      <c r="D250">
        <f>IF(C250&gt;0,VLOOKUP(C250,'Detail Balok'!$C$11:$AU$140,2,FALSE),0)</f>
        <v>200</v>
      </c>
      <c r="E250" t="str">
        <v>x</v>
      </c>
      <c r="F250">
        <f>IF(C250&gt;0,VLOOKUP(C250,'Detail Balok'!$C$11:$AU$140,3,FALSE),0)</f>
        <v>400</v>
      </c>
      <c r="G250">
        <f>'Data Panjang Balok'!I246</f>
        <v>4555</v>
      </c>
      <c r="H250">
        <f>'Data Panjang Balok'!J246</f>
        <v>0</v>
      </c>
      <c r="I250">
        <v>0</v>
      </c>
      <c r="J250">
        <f>I250-F250/1000</f>
        <v>-0.4</v>
      </c>
      <c r="K250">
        <f>'Data Panjang Balok'!E246</f>
        <v>1</v>
      </c>
      <c r="L250">
        <f>SUMIFS('Besi Balok'!$AA$23:$AA$7253,'Besi Balok'!$A$23:$A$7253,$A250,'Besi Balok'!$B$23:$B$7253,$B250,'Besi Balok'!$F$23:$F$7253,'REKAP Balok'!L$11)</f>
        <v>0</v>
      </c>
      <c r="M250">
        <f>SUMIFS('Besi Balok'!$AA$23:$AA$7253,'Besi Balok'!$A$23:$A$7253,$A250,'Besi Balok'!$B$23:$B$7253,$B250,'Besi Balok'!$F$23:$F$7253,'REKAP Balok'!M$11)</f>
        <v>0</v>
      </c>
      <c r="N250">
        <f>SUMIFS('Besi Balok'!$AA$23:$AA$7253,'Besi Balok'!$A$23:$A$7253,$A250,'Besi Balok'!$B$23:$B$7253,$B250,'Besi Balok'!$F$23:$F$7253,'REKAP Balok'!N$11)</f>
        <v>22.224825000000003</v>
      </c>
      <c r="O250">
        <f>SUMIFS('Besi Balok'!$AA$23:$AA$7253,'Besi Balok'!$A$23:$A$7253,$A250,'Besi Balok'!$B$23:$B$7253,$B250,'Besi Balok'!$F$23:$F$7253,'REKAP Balok'!O$11)</f>
        <v>30.42512576999999</v>
      </c>
      <c r="P250">
        <f>SUMIFS('Besi Balok'!$AA$23:$AA$7253,'Besi Balok'!$A$23:$A$7253,$A250,'Besi Balok'!$B$23:$B$7253,$B250,'Besi Balok'!$F$23:$F$7253,'REKAP Balok'!P$11)</f>
        <v>0</v>
      </c>
      <c r="Q250">
        <f>SUMIFS('Besi Balok'!$AA$23:$AA$7253,'Besi Balok'!$A$23:$A$7253,$A250,'Besi Balok'!$B$23:$B$7253,$B250,'Besi Balok'!$F$23:$F$7253,'REKAP Balok'!Q$11)</f>
        <v>0</v>
      </c>
      <c r="R250">
        <f>SUMIFS('Besi Balok'!$AA$23:$AA$7253,'Besi Balok'!$A$23:$A$7253,$A250,'Besi Balok'!$B$23:$B$7253,$B250,'Besi Balok'!$F$23:$F$7253,'REKAP Balok'!R$11)</f>
        <v>0</v>
      </c>
      <c r="S250">
        <f>SUMIFS('Besi Balok'!$AA$23:$AA$7253,'Besi Balok'!$A$23:$A$7253,$A250,'Besi Balok'!$B$23:$B$7253,$B250,'Besi Balok'!$F$23:$F$7253,'REKAP Balok'!S$11)</f>
        <v>0</v>
      </c>
      <c r="T250">
        <f>SUMIFS('Besi Balok'!$AA$23:$AA$7253,'Besi Balok'!$A$23:$A$7253,$A250,'Besi Balok'!$B$23:$B$7253,$B250,'Besi Balok'!$F$23:$F$7253,'REKAP Balok'!T$11)</f>
        <v>0</v>
      </c>
      <c r="U250">
        <f>SUM(L250:T250)</f>
        <v>52.64995076999999</v>
      </c>
      <c r="V250">
        <f>(D250*(F250-H250)*G250*K250)/1000000000</f>
        <v>0.3644</v>
      </c>
      <c r="W250">
        <f>(((F250-H250)*2+IF(H250&gt;0,0,D250))*(G250)*K250)/1000000</f>
        <v>4.555</v>
      </c>
      <c r="AC250">
        <f>(D250+2*$F$5)*F250*G250/1000000000</f>
        <v>0.7288</v>
      </c>
    </row>
    <row r="251">
      <c r="A251" t="str">
        <f>'Data Panjang Balok'!A247</f>
        <v>Lantai Atap</v>
      </c>
      <c r="B251" t="str">
        <f>'Data Panjang Balok'!B247</f>
        <v>27A</v>
      </c>
      <c r="C251" t="str">
        <f>'Data Panjang Balok'!D247</f>
        <v>B24-1</v>
      </c>
      <c r="D251">
        <f>IF(C251&gt;0,VLOOKUP(C251,'Detail Balok'!$C$11:$AU$140,2,FALSE),0)</f>
        <v>200</v>
      </c>
      <c r="E251" t="str">
        <v>x</v>
      </c>
      <c r="F251">
        <f>IF(C251&gt;0,VLOOKUP(C251,'Detail Balok'!$C$11:$AU$140,3,FALSE),0)</f>
        <v>400</v>
      </c>
      <c r="G251">
        <f>'Data Panjang Balok'!I247</f>
        <v>705</v>
      </c>
      <c r="H251">
        <f>'Data Panjang Balok'!J247</f>
        <v>0</v>
      </c>
      <c r="I251">
        <v>0</v>
      </c>
      <c r="J251">
        <f>I251-F251/1000</f>
        <v>-0.4</v>
      </c>
      <c r="K251">
        <f>'Data Panjang Balok'!E247</f>
        <v>1</v>
      </c>
      <c r="L251">
        <f>SUMIFS('Besi Balok'!$AA$23:$AA$7253,'Besi Balok'!$A$23:$A$7253,$A251,'Besi Balok'!$B$23:$B$7253,$B251,'Besi Balok'!$F$23:$F$7253,'REKAP Balok'!L$11)</f>
        <v>0</v>
      </c>
      <c r="M251">
        <f>SUMIFS('Besi Balok'!$AA$23:$AA$7253,'Besi Balok'!$A$23:$A$7253,$A251,'Besi Balok'!$B$23:$B$7253,$B251,'Besi Balok'!$F$23:$F$7253,'REKAP Balok'!M$11)</f>
        <v>0</v>
      </c>
      <c r="N251">
        <f>SUMIFS('Besi Balok'!$AA$23:$AA$7253,'Besi Balok'!$A$23:$A$7253,$A251,'Besi Balok'!$B$23:$B$7253,$B251,'Besi Balok'!$F$23:$F$7253,'REKAP Balok'!N$11)</f>
        <v>5.079960000000001</v>
      </c>
      <c r="O251">
        <f>SUMIFS('Besi Balok'!$AA$23:$AA$7253,'Besi Balok'!$A$23:$A$7253,$A251,'Besi Balok'!$B$23:$B$7253,$B251,'Besi Balok'!$F$23:$F$7253,'REKAP Balok'!O$11)</f>
        <v>6.357582269999999</v>
      </c>
      <c r="P251">
        <f>SUMIFS('Besi Balok'!$AA$23:$AA$7253,'Besi Balok'!$A$23:$A$7253,$A251,'Besi Balok'!$B$23:$B$7253,$B251,'Besi Balok'!$F$23:$F$7253,'REKAP Balok'!P$11)</f>
        <v>0</v>
      </c>
      <c r="Q251">
        <f>SUMIFS('Besi Balok'!$AA$23:$AA$7253,'Besi Balok'!$A$23:$A$7253,$A251,'Besi Balok'!$B$23:$B$7253,$B251,'Besi Balok'!$F$23:$F$7253,'REKAP Balok'!Q$11)</f>
        <v>0</v>
      </c>
      <c r="R251">
        <f>SUMIFS('Besi Balok'!$AA$23:$AA$7253,'Besi Balok'!$A$23:$A$7253,$A251,'Besi Balok'!$B$23:$B$7253,$B251,'Besi Balok'!$F$23:$F$7253,'REKAP Balok'!R$11)</f>
        <v>0</v>
      </c>
      <c r="S251">
        <f>SUMIFS('Besi Balok'!$AA$23:$AA$7253,'Besi Balok'!$A$23:$A$7253,$A251,'Besi Balok'!$B$23:$B$7253,$B251,'Besi Balok'!$F$23:$F$7253,'REKAP Balok'!S$11)</f>
        <v>0</v>
      </c>
      <c r="T251">
        <f>SUMIFS('Besi Balok'!$AA$23:$AA$7253,'Besi Balok'!$A$23:$A$7253,$A251,'Besi Balok'!$B$23:$B$7253,$B251,'Besi Balok'!$F$23:$F$7253,'REKAP Balok'!T$11)</f>
        <v>0</v>
      </c>
      <c r="U251">
        <f>SUM(L251:T251)</f>
        <v>11.43754227</v>
      </c>
      <c r="V251">
        <f>(D251*(F251-H251)*G251*K251)/1000000000</f>
        <v>0.0564</v>
      </c>
      <c r="W251">
        <f>(((F251-H251)*2+IF(H251&gt;0,0,D251))*(G251)*K251)/1000000</f>
        <v>0.705</v>
      </c>
      <c r="AC251">
        <f>(D251+2*$F$5)*F251*G251/1000000000</f>
        <v>0.1128</v>
      </c>
    </row>
    <row r="252">
      <c r="A252" t="str">
        <f>'Data Panjang Balok'!A248</f>
        <v>Lantai Atap</v>
      </c>
      <c r="B252">
        <f>'Data Panjang Balok'!B248</f>
        <v>28</v>
      </c>
      <c r="C252" t="str">
        <f>'Data Panjang Balok'!D248</f>
        <v>B24-1</v>
      </c>
      <c r="D252">
        <f>IF(C252&gt;0,VLOOKUP(C252,'Detail Balok'!$C$11:$AU$140,2,FALSE),0)</f>
        <v>200</v>
      </c>
      <c r="E252" t="str">
        <v>x</v>
      </c>
      <c r="F252">
        <f>IF(C252&gt;0,VLOOKUP(C252,'Detail Balok'!$C$11:$AU$140,3,FALSE),0)</f>
        <v>400</v>
      </c>
      <c r="G252">
        <f>'Data Panjang Balok'!I248</f>
        <v>5905</v>
      </c>
      <c r="H252">
        <f>'Data Panjang Balok'!J248</f>
        <v>150</v>
      </c>
      <c r="I252">
        <v>0</v>
      </c>
      <c r="J252">
        <f>I252-F252/1000</f>
        <v>-0.4</v>
      </c>
      <c r="K252">
        <f>'Data Panjang Balok'!E248</f>
        <v>1</v>
      </c>
      <c r="L252">
        <f>SUMIFS('Besi Balok'!$AA$23:$AA$7253,'Besi Balok'!$A$23:$A$7253,$A252,'Besi Balok'!$B$23:$B$7253,$B252,'Besi Balok'!$F$23:$F$7253,'REKAP Balok'!L$11)</f>
        <v>0</v>
      </c>
      <c r="M252">
        <f>SUMIFS('Besi Balok'!$AA$23:$AA$7253,'Besi Balok'!$A$23:$A$7253,$A252,'Besi Balok'!$B$23:$B$7253,$B252,'Besi Balok'!$F$23:$F$7253,'REKAP Balok'!M$11)</f>
        <v>0</v>
      </c>
      <c r="N252">
        <f>SUMIFS('Besi Balok'!$AA$23:$AA$7253,'Besi Balok'!$A$23:$A$7253,$A252,'Besi Balok'!$B$23:$B$7253,$B252,'Besi Balok'!$F$23:$F$7253,'REKAP Balok'!N$11)</f>
        <v>29.844765000000002</v>
      </c>
      <c r="O252">
        <f>SUMIFS('Besi Balok'!$AA$23:$AA$7253,'Besi Balok'!$A$23:$A$7253,$A252,'Besi Balok'!$B$23:$B$7253,$B252,'Besi Balok'!$F$23:$F$7253,'REKAP Balok'!O$11)</f>
        <v>38.86439427</v>
      </c>
      <c r="P252">
        <f>SUMIFS('Besi Balok'!$AA$23:$AA$7253,'Besi Balok'!$A$23:$A$7253,$A252,'Besi Balok'!$B$23:$B$7253,$B252,'Besi Balok'!$F$23:$F$7253,'REKAP Balok'!P$11)</f>
        <v>0</v>
      </c>
      <c r="Q252">
        <f>SUMIFS('Besi Balok'!$AA$23:$AA$7253,'Besi Balok'!$A$23:$A$7253,$A252,'Besi Balok'!$B$23:$B$7253,$B252,'Besi Balok'!$F$23:$F$7253,'REKAP Balok'!Q$11)</f>
        <v>0</v>
      </c>
      <c r="R252">
        <f>SUMIFS('Besi Balok'!$AA$23:$AA$7253,'Besi Balok'!$A$23:$A$7253,$A252,'Besi Balok'!$B$23:$B$7253,$B252,'Besi Balok'!$F$23:$F$7253,'REKAP Balok'!R$11)</f>
        <v>0</v>
      </c>
      <c r="S252">
        <f>SUMIFS('Besi Balok'!$AA$23:$AA$7253,'Besi Balok'!$A$23:$A$7253,$A252,'Besi Balok'!$B$23:$B$7253,$B252,'Besi Balok'!$F$23:$F$7253,'REKAP Balok'!S$11)</f>
        <v>0</v>
      </c>
      <c r="T252">
        <f>SUMIFS('Besi Balok'!$AA$23:$AA$7253,'Besi Balok'!$A$23:$A$7253,$A252,'Besi Balok'!$B$23:$B$7253,$B252,'Besi Balok'!$F$23:$F$7253,'REKAP Balok'!T$11)</f>
        <v>0</v>
      </c>
      <c r="U252">
        <f>SUM(L252:T252)</f>
        <v>68.70915927</v>
      </c>
      <c r="V252">
        <f>(D252*(F252-H252)*G252*K252)/1000000000</f>
        <v>0.29525</v>
      </c>
      <c r="W252">
        <f>(((F252-H252)*2+IF(H252&gt;0,0,D252))*(G252)*K252)/1000000</f>
        <v>2.9525</v>
      </c>
      <c r="AC252">
        <f>(D252+2*$F$5)*F252*G252/1000000000</f>
        <v>0.9448</v>
      </c>
    </row>
    <row r="253">
      <c r="A253" t="str">
        <f>'Data Panjang Balok'!A249</f>
        <v>Lantai Atap</v>
      </c>
      <c r="B253">
        <f>'Data Panjang Balok'!B249</f>
        <v>29</v>
      </c>
      <c r="C253" t="str">
        <f>'Data Panjang Balok'!D249</f>
        <v>B24-1</v>
      </c>
      <c r="D253">
        <f>IF(C253&gt;0,VLOOKUP(C253,'Detail Balok'!$C$11:$AU$140,2,FALSE),0)</f>
        <v>200</v>
      </c>
      <c r="E253" t="str">
        <v>x</v>
      </c>
      <c r="F253">
        <f>IF(C253&gt;0,VLOOKUP(C253,'Detail Balok'!$C$11:$AU$140,3,FALSE),0)</f>
        <v>400</v>
      </c>
      <c r="G253">
        <f>'Data Panjang Balok'!I249</f>
        <v>4635</v>
      </c>
      <c r="H253">
        <f>'Data Panjang Balok'!J249</f>
        <v>150</v>
      </c>
      <c r="I253">
        <v>0</v>
      </c>
      <c r="J253">
        <f>I253-F253/1000</f>
        <v>-0.4</v>
      </c>
      <c r="K253">
        <f>'Data Panjang Balok'!E249</f>
        <v>1</v>
      </c>
      <c r="L253">
        <f>SUMIFS('Besi Balok'!$AA$23:$AA$7253,'Besi Balok'!$A$23:$A$7253,$A253,'Besi Balok'!$B$23:$B$7253,$B253,'Besi Balok'!$F$23:$F$7253,'REKAP Balok'!L$11)</f>
        <v>0</v>
      </c>
      <c r="M253">
        <f>SUMIFS('Besi Balok'!$AA$23:$AA$7253,'Besi Balok'!$A$23:$A$7253,$A253,'Besi Balok'!$B$23:$B$7253,$B253,'Besi Balok'!$F$23:$F$7253,'REKAP Balok'!M$11)</f>
        <v>0</v>
      </c>
      <c r="N253">
        <f>SUMIFS('Besi Balok'!$AA$23:$AA$7253,'Besi Balok'!$A$23:$A$7253,$A253,'Besi Balok'!$B$23:$B$7253,$B253,'Besi Balok'!$F$23:$F$7253,'REKAP Balok'!N$11)</f>
        <v>24.129810000000006</v>
      </c>
      <c r="O253">
        <f>SUMIFS('Besi Balok'!$AA$23:$AA$7253,'Besi Balok'!$A$23:$A$7253,$A253,'Besi Balok'!$B$23:$B$7253,$B253,'Besi Balok'!$F$23:$F$7253,'REKAP Balok'!O$11)</f>
        <v>30.92523057</v>
      </c>
      <c r="P253">
        <f>SUMIFS('Besi Balok'!$AA$23:$AA$7253,'Besi Balok'!$A$23:$A$7253,$A253,'Besi Balok'!$B$23:$B$7253,$B253,'Besi Balok'!$F$23:$F$7253,'REKAP Balok'!P$11)</f>
        <v>0</v>
      </c>
      <c r="Q253">
        <f>SUMIFS('Besi Balok'!$AA$23:$AA$7253,'Besi Balok'!$A$23:$A$7253,$A253,'Besi Balok'!$B$23:$B$7253,$B253,'Besi Balok'!$F$23:$F$7253,'REKAP Balok'!Q$11)</f>
        <v>0</v>
      </c>
      <c r="R253">
        <f>SUMIFS('Besi Balok'!$AA$23:$AA$7253,'Besi Balok'!$A$23:$A$7253,$A253,'Besi Balok'!$B$23:$B$7253,$B253,'Besi Balok'!$F$23:$F$7253,'REKAP Balok'!R$11)</f>
        <v>0</v>
      </c>
      <c r="S253">
        <f>SUMIFS('Besi Balok'!$AA$23:$AA$7253,'Besi Balok'!$A$23:$A$7253,$A253,'Besi Balok'!$B$23:$B$7253,$B253,'Besi Balok'!$F$23:$F$7253,'REKAP Balok'!S$11)</f>
        <v>0</v>
      </c>
      <c r="T253">
        <f>SUMIFS('Besi Balok'!$AA$23:$AA$7253,'Besi Balok'!$A$23:$A$7253,$A253,'Besi Balok'!$B$23:$B$7253,$B253,'Besi Balok'!$F$23:$F$7253,'REKAP Balok'!T$11)</f>
        <v>0</v>
      </c>
      <c r="U253">
        <f>SUM(L253:T253)</f>
        <v>55.05504057</v>
      </c>
      <c r="V253">
        <f>(D253*(F253-H253)*G253*K253)/1000000000</f>
        <v>0.23175</v>
      </c>
      <c r="W253">
        <f>(((F253-H253)*2+IF(H253&gt;0,0,D253))*(G253)*K253)/1000000</f>
        <v>2.3175</v>
      </c>
      <c r="AC253">
        <f>(D253+2*$F$5)*F253*G253/1000000000</f>
        <v>0.7416</v>
      </c>
    </row>
    <row r="254">
      <c r="A254" t="str">
        <f>'Data Panjang Balok'!A250</f>
        <v>Lantai Atap</v>
      </c>
      <c r="B254">
        <f>'Data Panjang Balok'!B250</f>
        <v>30</v>
      </c>
      <c r="C254" t="str">
        <f>'Data Panjang Balok'!D250</f>
        <v>B24-1</v>
      </c>
      <c r="D254">
        <f>IF(C254&gt;0,VLOOKUP(C254,'Detail Balok'!$C$11:$AU$140,2,FALSE),0)</f>
        <v>200</v>
      </c>
      <c r="E254" t="str">
        <v>x</v>
      </c>
      <c r="F254">
        <f>IF(C254&gt;0,VLOOKUP(C254,'Detail Balok'!$C$11:$AU$140,3,FALSE),0)</f>
        <v>400</v>
      </c>
      <c r="G254">
        <f>'Data Panjang Balok'!I250</f>
        <v>4635</v>
      </c>
      <c r="H254">
        <f>'Data Panjang Balok'!J250</f>
        <v>150</v>
      </c>
      <c r="I254">
        <v>0</v>
      </c>
      <c r="J254">
        <f>I254-F254/1000</f>
        <v>-0.4</v>
      </c>
      <c r="K254">
        <f>'Data Panjang Balok'!E250</f>
        <v>1</v>
      </c>
      <c r="L254">
        <f>SUMIFS('Besi Balok'!$AA$23:$AA$7253,'Besi Balok'!$A$23:$A$7253,$A254,'Besi Balok'!$B$23:$B$7253,$B254,'Besi Balok'!$F$23:$F$7253,'REKAP Balok'!L$11)</f>
        <v>0</v>
      </c>
      <c r="M254">
        <f>SUMIFS('Besi Balok'!$AA$23:$AA$7253,'Besi Balok'!$A$23:$A$7253,$A254,'Besi Balok'!$B$23:$B$7253,$B254,'Besi Balok'!$F$23:$F$7253,'REKAP Balok'!M$11)</f>
        <v>0</v>
      </c>
      <c r="N254">
        <f>SUMIFS('Besi Balok'!$AA$23:$AA$7253,'Besi Balok'!$A$23:$A$7253,$A254,'Besi Balok'!$B$23:$B$7253,$B254,'Besi Balok'!$F$23:$F$7253,'REKAP Balok'!N$11)</f>
        <v>24.129810000000006</v>
      </c>
      <c r="O254">
        <f>SUMIFS('Besi Balok'!$AA$23:$AA$7253,'Besi Balok'!$A$23:$A$7253,$A254,'Besi Balok'!$B$23:$B$7253,$B254,'Besi Balok'!$F$23:$F$7253,'REKAP Balok'!O$11)</f>
        <v>30.92523057</v>
      </c>
      <c r="P254">
        <f>SUMIFS('Besi Balok'!$AA$23:$AA$7253,'Besi Balok'!$A$23:$A$7253,$A254,'Besi Balok'!$B$23:$B$7253,$B254,'Besi Balok'!$F$23:$F$7253,'REKAP Balok'!P$11)</f>
        <v>0</v>
      </c>
      <c r="Q254">
        <f>SUMIFS('Besi Balok'!$AA$23:$AA$7253,'Besi Balok'!$A$23:$A$7253,$A254,'Besi Balok'!$B$23:$B$7253,$B254,'Besi Balok'!$F$23:$F$7253,'REKAP Balok'!Q$11)</f>
        <v>0</v>
      </c>
      <c r="R254">
        <f>SUMIFS('Besi Balok'!$AA$23:$AA$7253,'Besi Balok'!$A$23:$A$7253,$A254,'Besi Balok'!$B$23:$B$7253,$B254,'Besi Balok'!$F$23:$F$7253,'REKAP Balok'!R$11)</f>
        <v>0</v>
      </c>
      <c r="S254">
        <f>SUMIFS('Besi Balok'!$AA$23:$AA$7253,'Besi Balok'!$A$23:$A$7253,$A254,'Besi Balok'!$B$23:$B$7253,$B254,'Besi Balok'!$F$23:$F$7253,'REKAP Balok'!S$11)</f>
        <v>0</v>
      </c>
      <c r="T254">
        <f>SUMIFS('Besi Balok'!$AA$23:$AA$7253,'Besi Balok'!$A$23:$A$7253,$A254,'Besi Balok'!$B$23:$B$7253,$B254,'Besi Balok'!$F$23:$F$7253,'REKAP Balok'!T$11)</f>
        <v>0</v>
      </c>
      <c r="U254">
        <f>SUM(L254:T254)</f>
        <v>55.05504057</v>
      </c>
      <c r="V254">
        <f>(D254*(F254-H254)*G254*K254)/1000000000</f>
        <v>0.23175</v>
      </c>
      <c r="W254">
        <f>(((F254-H254)*2+IF(H254&gt;0,0,D254))*(G254)*K254)/1000000</f>
        <v>2.3175</v>
      </c>
      <c r="AC254">
        <f>(D254+2*$F$5)*F254*G254/1000000000</f>
        <v>0.7416</v>
      </c>
    </row>
    <row r="255">
      <c r="A255" t="str">
        <f>'Data Panjang Balok'!A251</f>
        <v>Lantai Atap</v>
      </c>
      <c r="B255">
        <f>'Data Panjang Balok'!B251</f>
        <v>31</v>
      </c>
      <c r="C255" t="str">
        <f>'Data Panjang Balok'!D251</f>
        <v>B24-1</v>
      </c>
      <c r="D255">
        <f>IF(C255&gt;0,VLOOKUP(C255,'Detail Balok'!$C$11:$AU$140,2,FALSE),0)</f>
        <v>200</v>
      </c>
      <c r="E255" t="str">
        <v>x</v>
      </c>
      <c r="F255">
        <f>IF(C255&gt;0,VLOOKUP(C255,'Detail Balok'!$C$11:$AU$140,3,FALSE),0)</f>
        <v>400</v>
      </c>
      <c r="G255">
        <f>'Data Panjang Balok'!I251</f>
        <v>5905</v>
      </c>
      <c r="H255">
        <f>'Data Panjang Balok'!J251</f>
        <v>150</v>
      </c>
      <c r="I255">
        <v>0</v>
      </c>
      <c r="J255">
        <f>I255-F255/1000</f>
        <v>-0.4</v>
      </c>
      <c r="K255">
        <f>'Data Panjang Balok'!E251</f>
        <v>1</v>
      </c>
      <c r="L255">
        <f>SUMIFS('Besi Balok'!$AA$23:$AA$7253,'Besi Balok'!$A$23:$A$7253,$A255,'Besi Balok'!$B$23:$B$7253,$B255,'Besi Balok'!$F$23:$F$7253,'REKAP Balok'!L$11)</f>
        <v>0</v>
      </c>
      <c r="M255">
        <f>SUMIFS('Besi Balok'!$AA$23:$AA$7253,'Besi Balok'!$A$23:$A$7253,$A255,'Besi Balok'!$B$23:$B$7253,$B255,'Besi Balok'!$F$23:$F$7253,'REKAP Balok'!M$11)</f>
        <v>0</v>
      </c>
      <c r="N255">
        <f>SUMIFS('Besi Balok'!$AA$23:$AA$7253,'Besi Balok'!$A$23:$A$7253,$A255,'Besi Balok'!$B$23:$B$7253,$B255,'Besi Balok'!$F$23:$F$7253,'REKAP Balok'!N$11)</f>
        <v>29.844765000000002</v>
      </c>
      <c r="O255">
        <f>SUMIFS('Besi Balok'!$AA$23:$AA$7253,'Besi Balok'!$A$23:$A$7253,$A255,'Besi Balok'!$B$23:$B$7253,$B255,'Besi Balok'!$F$23:$F$7253,'REKAP Balok'!O$11)</f>
        <v>38.86439427</v>
      </c>
      <c r="P255">
        <f>SUMIFS('Besi Balok'!$AA$23:$AA$7253,'Besi Balok'!$A$23:$A$7253,$A255,'Besi Balok'!$B$23:$B$7253,$B255,'Besi Balok'!$F$23:$F$7253,'REKAP Balok'!P$11)</f>
        <v>0</v>
      </c>
      <c r="Q255">
        <f>SUMIFS('Besi Balok'!$AA$23:$AA$7253,'Besi Balok'!$A$23:$A$7253,$A255,'Besi Balok'!$B$23:$B$7253,$B255,'Besi Balok'!$F$23:$F$7253,'REKAP Balok'!Q$11)</f>
        <v>0</v>
      </c>
      <c r="R255">
        <f>SUMIFS('Besi Balok'!$AA$23:$AA$7253,'Besi Balok'!$A$23:$A$7253,$A255,'Besi Balok'!$B$23:$B$7253,$B255,'Besi Balok'!$F$23:$F$7253,'REKAP Balok'!R$11)</f>
        <v>0</v>
      </c>
      <c r="S255">
        <f>SUMIFS('Besi Balok'!$AA$23:$AA$7253,'Besi Balok'!$A$23:$A$7253,$A255,'Besi Balok'!$B$23:$B$7253,$B255,'Besi Balok'!$F$23:$F$7253,'REKAP Balok'!S$11)</f>
        <v>0</v>
      </c>
      <c r="T255">
        <f>SUMIFS('Besi Balok'!$AA$23:$AA$7253,'Besi Balok'!$A$23:$A$7253,$A255,'Besi Balok'!$B$23:$B$7253,$B255,'Besi Balok'!$F$23:$F$7253,'REKAP Balok'!T$11)</f>
        <v>0</v>
      </c>
      <c r="U255">
        <f>SUM(L255:T255)</f>
        <v>68.70915927</v>
      </c>
      <c r="V255">
        <f>(D255*(F255-H255)*G255*K255)/1000000000</f>
        <v>0.29525</v>
      </c>
      <c r="W255">
        <f>(((F255-H255)*2+IF(H255&gt;0,0,D255))*(G255)*K255)/1000000</f>
        <v>2.9525</v>
      </c>
      <c r="AC255">
        <f>(D255+2*$F$5)*F255*G255/1000000000</f>
        <v>0.9448</v>
      </c>
    </row>
    <row r="256">
      <c r="A256" t="str">
        <f>'Data Panjang Balok'!A252</f>
        <v>Lantai Atap</v>
      </c>
      <c r="B256">
        <f>'Data Panjang Balok'!B252</f>
        <v>32</v>
      </c>
      <c r="C256" t="str">
        <f>'Data Panjang Balok'!D252</f>
        <v>B24-1</v>
      </c>
      <c r="D256">
        <f>IF(C256&gt;0,VLOOKUP(C256,'Detail Balok'!$C$11:$AU$140,2,FALSE),0)</f>
        <v>200</v>
      </c>
      <c r="E256" t="str">
        <v>x</v>
      </c>
      <c r="F256">
        <f>IF(C256&gt;0,VLOOKUP(C256,'Detail Balok'!$C$11:$AU$140,3,FALSE),0)</f>
        <v>400</v>
      </c>
      <c r="G256">
        <f>'Data Panjang Balok'!I252</f>
        <v>4635</v>
      </c>
      <c r="H256">
        <f>'Data Panjang Balok'!J252</f>
        <v>150</v>
      </c>
      <c r="I256">
        <v>0</v>
      </c>
      <c r="J256">
        <f>I256-F256/1000</f>
        <v>-0.4</v>
      </c>
      <c r="K256">
        <f>'Data Panjang Balok'!E252</f>
        <v>1</v>
      </c>
      <c r="L256">
        <f>SUMIFS('Besi Balok'!$AA$23:$AA$7253,'Besi Balok'!$A$23:$A$7253,$A256,'Besi Balok'!$B$23:$B$7253,$B256,'Besi Balok'!$F$23:$F$7253,'REKAP Balok'!L$11)</f>
        <v>0</v>
      </c>
      <c r="M256">
        <f>SUMIFS('Besi Balok'!$AA$23:$AA$7253,'Besi Balok'!$A$23:$A$7253,$A256,'Besi Balok'!$B$23:$B$7253,$B256,'Besi Balok'!$F$23:$F$7253,'REKAP Balok'!M$11)</f>
        <v>0</v>
      </c>
      <c r="N256">
        <f>SUMIFS('Besi Balok'!$AA$23:$AA$7253,'Besi Balok'!$A$23:$A$7253,$A256,'Besi Balok'!$B$23:$B$7253,$B256,'Besi Balok'!$F$23:$F$7253,'REKAP Balok'!N$11)</f>
        <v>24.129810000000006</v>
      </c>
      <c r="O256">
        <f>SUMIFS('Besi Balok'!$AA$23:$AA$7253,'Besi Balok'!$A$23:$A$7253,$A256,'Besi Balok'!$B$23:$B$7253,$B256,'Besi Balok'!$F$23:$F$7253,'REKAP Balok'!O$11)</f>
        <v>30.92523057</v>
      </c>
      <c r="P256">
        <f>SUMIFS('Besi Balok'!$AA$23:$AA$7253,'Besi Balok'!$A$23:$A$7253,$A256,'Besi Balok'!$B$23:$B$7253,$B256,'Besi Balok'!$F$23:$F$7253,'REKAP Balok'!P$11)</f>
        <v>0</v>
      </c>
      <c r="Q256">
        <f>SUMIFS('Besi Balok'!$AA$23:$AA$7253,'Besi Balok'!$A$23:$A$7253,$A256,'Besi Balok'!$B$23:$B$7253,$B256,'Besi Balok'!$F$23:$F$7253,'REKAP Balok'!Q$11)</f>
        <v>0</v>
      </c>
      <c r="R256">
        <f>SUMIFS('Besi Balok'!$AA$23:$AA$7253,'Besi Balok'!$A$23:$A$7253,$A256,'Besi Balok'!$B$23:$B$7253,$B256,'Besi Balok'!$F$23:$F$7253,'REKAP Balok'!R$11)</f>
        <v>0</v>
      </c>
      <c r="S256">
        <f>SUMIFS('Besi Balok'!$AA$23:$AA$7253,'Besi Balok'!$A$23:$A$7253,$A256,'Besi Balok'!$B$23:$B$7253,$B256,'Besi Balok'!$F$23:$F$7253,'REKAP Balok'!S$11)</f>
        <v>0</v>
      </c>
      <c r="T256">
        <f>SUMIFS('Besi Balok'!$AA$23:$AA$7253,'Besi Balok'!$A$23:$A$7253,$A256,'Besi Balok'!$B$23:$B$7253,$B256,'Besi Balok'!$F$23:$F$7253,'REKAP Balok'!T$11)</f>
        <v>0</v>
      </c>
      <c r="U256">
        <f>SUM(L256:T256)</f>
        <v>55.05504057</v>
      </c>
      <c r="V256">
        <f>(D256*(F256-H256)*G256*K256)/1000000000</f>
        <v>0.23175</v>
      </c>
      <c r="W256">
        <f>(((F256-H256)*2+IF(H256&gt;0,0,D256))*(G256)*K256)/1000000</f>
        <v>2.3175</v>
      </c>
      <c r="AC256">
        <f>(D256+2*$F$5)*F256*G256/1000000000</f>
        <v>0.7416</v>
      </c>
    </row>
    <row r="257">
      <c r="A257" t="str">
        <f>'Data Panjang Balok'!A253</f>
        <v>Lantai Atap</v>
      </c>
      <c r="B257">
        <f>'Data Panjang Balok'!B253</f>
        <v>33</v>
      </c>
      <c r="C257" t="str">
        <f>'Data Panjang Balok'!D253</f>
        <v>B24-1</v>
      </c>
      <c r="D257">
        <f>IF(C257&gt;0,VLOOKUP(C257,'Detail Balok'!$C$11:$AU$140,2,FALSE),0)</f>
        <v>200</v>
      </c>
      <c r="E257" t="str">
        <v>x</v>
      </c>
      <c r="F257">
        <f>IF(C257&gt;0,VLOOKUP(C257,'Detail Balok'!$C$11:$AU$140,3,FALSE),0)</f>
        <v>400</v>
      </c>
      <c r="G257">
        <f>'Data Panjang Balok'!I253</f>
        <v>5905</v>
      </c>
      <c r="H257">
        <f>'Data Panjang Balok'!J253</f>
        <v>150</v>
      </c>
      <c r="I257">
        <v>0</v>
      </c>
      <c r="J257">
        <f>I257-F257/1000</f>
        <v>-0.4</v>
      </c>
      <c r="K257">
        <f>'Data Panjang Balok'!E253</f>
        <v>1</v>
      </c>
      <c r="L257">
        <f>SUMIFS('Besi Balok'!$AA$23:$AA$7253,'Besi Balok'!$A$23:$A$7253,$A257,'Besi Balok'!$B$23:$B$7253,$B257,'Besi Balok'!$F$23:$F$7253,'REKAP Balok'!L$11)</f>
        <v>0</v>
      </c>
      <c r="M257">
        <f>SUMIFS('Besi Balok'!$AA$23:$AA$7253,'Besi Balok'!$A$23:$A$7253,$A257,'Besi Balok'!$B$23:$B$7253,$B257,'Besi Balok'!$F$23:$F$7253,'REKAP Balok'!M$11)</f>
        <v>0</v>
      </c>
      <c r="N257">
        <f>SUMIFS('Besi Balok'!$AA$23:$AA$7253,'Besi Balok'!$A$23:$A$7253,$A257,'Besi Balok'!$B$23:$B$7253,$B257,'Besi Balok'!$F$23:$F$7253,'REKAP Balok'!N$11)</f>
        <v>29.844765000000002</v>
      </c>
      <c r="O257">
        <f>SUMIFS('Besi Balok'!$AA$23:$AA$7253,'Besi Balok'!$A$23:$A$7253,$A257,'Besi Balok'!$B$23:$B$7253,$B257,'Besi Balok'!$F$23:$F$7253,'REKAP Balok'!O$11)</f>
        <v>38.86439427</v>
      </c>
      <c r="P257">
        <f>SUMIFS('Besi Balok'!$AA$23:$AA$7253,'Besi Balok'!$A$23:$A$7253,$A257,'Besi Balok'!$B$23:$B$7253,$B257,'Besi Balok'!$F$23:$F$7253,'REKAP Balok'!P$11)</f>
        <v>0</v>
      </c>
      <c r="Q257">
        <f>SUMIFS('Besi Balok'!$AA$23:$AA$7253,'Besi Balok'!$A$23:$A$7253,$A257,'Besi Balok'!$B$23:$B$7253,$B257,'Besi Balok'!$F$23:$F$7253,'REKAP Balok'!Q$11)</f>
        <v>0</v>
      </c>
      <c r="R257">
        <f>SUMIFS('Besi Balok'!$AA$23:$AA$7253,'Besi Balok'!$A$23:$A$7253,$A257,'Besi Balok'!$B$23:$B$7253,$B257,'Besi Balok'!$F$23:$F$7253,'REKAP Balok'!R$11)</f>
        <v>0</v>
      </c>
      <c r="S257">
        <f>SUMIFS('Besi Balok'!$AA$23:$AA$7253,'Besi Balok'!$A$23:$A$7253,$A257,'Besi Balok'!$B$23:$B$7253,$B257,'Besi Balok'!$F$23:$F$7253,'REKAP Balok'!S$11)</f>
        <v>0</v>
      </c>
      <c r="T257">
        <f>SUMIFS('Besi Balok'!$AA$23:$AA$7253,'Besi Balok'!$A$23:$A$7253,$A257,'Besi Balok'!$B$23:$B$7253,$B257,'Besi Balok'!$F$23:$F$7253,'REKAP Balok'!T$11)</f>
        <v>0</v>
      </c>
      <c r="U257">
        <f>SUM(L257:T257)</f>
        <v>68.70915927</v>
      </c>
      <c r="V257">
        <f>(D257*(F257-H257)*G257*K257)/1000000000</f>
        <v>0.29525</v>
      </c>
      <c r="W257">
        <f>(((F257-H257)*2+IF(H257&gt;0,0,D257))*(G257)*K257)/1000000</f>
        <v>2.9525</v>
      </c>
      <c r="AC257">
        <f>(D257+2*$F$5)*F257*G257/1000000000</f>
        <v>0.9448</v>
      </c>
    </row>
    <row r="259">
      <c r="L259">
        <f>SUM(L13:L257)</f>
        <v>0</v>
      </c>
      <c r="M259">
        <f>SUM(M13:M257)</f>
        <v>1310.6928096</v>
      </c>
      <c r="N259">
        <f>SUM(N13:N257)</f>
        <v>4878.0399744</v>
      </c>
      <c r="O259">
        <f>SUM(O13:O257)</f>
        <v>3040.9931961045013</v>
      </c>
      <c r="P259">
        <f>SUM(P13:P257)</f>
        <v>8688.942872063999</v>
      </c>
      <c r="Q259">
        <f>SUM(Q13:Q257)</f>
        <v>0</v>
      </c>
      <c r="R259">
        <f>SUM(R13:R257)</f>
        <v>0</v>
      </c>
      <c r="S259">
        <f>SUM(S13:S257)</f>
        <v>0</v>
      </c>
      <c r="T259">
        <f>SUM(T13:T257)</f>
        <v>0</v>
      </c>
      <c r="U259">
        <f>SUM(L259:T259)</f>
        <v>17918.6688521685</v>
      </c>
      <c r="V259">
        <f>SUM(V12:V257)</f>
        <v>86.69830624999996</v>
      </c>
      <c r="W259">
        <f>SUM(W12:W257)</f>
        <v>883.9854500000004</v>
      </c>
      <c r="X259">
        <f>SUM(X12:X257)</f>
        <v>0</v>
      </c>
      <c r="Y259">
        <f>SUM(Y12:Y257)</f>
        <v>9.113900000000001</v>
      </c>
      <c r="Z259">
        <f>SUM(Z12:Z257)</f>
        <v>92.4303</v>
      </c>
    </row>
    <row r="260">
      <c r="K260" t="str">
        <v>CEK</v>
      </c>
      <c r="L260">
        <f>L259-SUM('Besi Balok'!H7264:J7264)</f>
        <v>0</v>
      </c>
      <c r="M260">
        <f>M259-SUM('Besi Balok'!H7265:J7265)</f>
        <v>0</v>
      </c>
      <c r="N260">
        <f>N259-SUM('Besi Balok'!H7266:J7266)</f>
        <v>8.185452315956354e-12</v>
      </c>
      <c r="O260">
        <f>O259-SUM('Besi Balok'!H7268:J7268)</f>
        <v>0</v>
      </c>
      <c r="P260">
        <f>P259-SUM('Besi Balok'!H7269:J7269)</f>
        <v>0</v>
      </c>
      <c r="Q260">
        <f>Q259-SUM('Besi Balok'!H7270:J7270)</f>
        <v>0</v>
      </c>
      <c r="R260">
        <f>R259-SUM('Besi Balok'!H7271:J7271)</f>
        <v>0</v>
      </c>
      <c r="S260">
        <f>S259-SUM('Besi Balok'!H7272:J7272)</f>
        <v>0</v>
      </c>
      <c r="T260">
        <f>T259-SUM('Besi Balok'!H7273:J7273)</f>
        <v>0</v>
      </c>
      <c r="U260">
        <f>U259-SUM(U12:U257)</f>
        <v>0</v>
      </c>
    </row>
    <row r="261">
      <c r="T261" t="str">
        <v>rasio</v>
      </c>
      <c r="U261">
        <f>U259/V259</f>
        <v>206.6784188436035</v>
      </c>
      <c r="V261">
        <f>U259-SUM('Besi Balok'!H7275:J7275)</f>
        <v>0</v>
      </c>
    </row>
    <row r="262">
      <c r="C262" t="str">
        <v>REKAP BERDASARKAN TIPE BALOK</v>
      </c>
    </row>
    <row r="263">
      <c r="G263" t="str">
        <v>Beton</v>
      </c>
      <c r="H263" t="str">
        <v>Bekisting</v>
      </c>
      <c r="I263" t="str">
        <v>Pasir Urug</v>
      </c>
      <c r="J263" t="str">
        <v>Lantai Kerja</v>
      </c>
      <c r="K263" t="str">
        <v>Galian</v>
      </c>
      <c r="L263" t="str">
        <v>Besi</v>
      </c>
      <c r="U263" t="str">
        <v>TOTAL BESI</v>
      </c>
      <c r="W263" t="str">
        <v>RASIO (TOTAL)</v>
      </c>
    </row>
    <row r="264">
      <c r="L264">
        <v>6</v>
      </c>
      <c r="M264">
        <v>8</v>
      </c>
      <c r="N264">
        <v>10</v>
      </c>
      <c r="O264">
        <v>13</v>
      </c>
      <c r="P264">
        <v>16</v>
      </c>
      <c r="Q264">
        <v>19</v>
      </c>
      <c r="R264">
        <v>22</v>
      </c>
      <c r="S264">
        <v>25</v>
      </c>
      <c r="T264">
        <v>29</v>
      </c>
      <c r="W264" t="str">
        <v>BEKISTING</v>
      </c>
      <c r="X264" t="str">
        <v>BESI</v>
      </c>
    </row>
    <row r="266">
      <c r="C266" t="str">
        <v>Lantai 1</v>
      </c>
      <c r="D266" t="str">
        <v>S23-1</v>
      </c>
      <c r="G266">
        <f>SUMIFS($V$12:$V$260,$A$12:$A$260,$C266,$C$12:$C$260,$D266)</f>
        <v>0.15</v>
      </c>
      <c r="H266">
        <f>SUMIFS($W$12:$W$260,$A$12:$A$260,$C266,$C$12:$C$260,$D266)</f>
        <v>1.5</v>
      </c>
      <c r="I266">
        <f>SUMIFS($X$12:$X$260,$A$12:$A$260,$C266,$C$12:$C$260,$D266)</f>
        <v>0</v>
      </c>
      <c r="J266">
        <f>SUMIFS($Y$12:$Y$260,$A$12:$A$260,$C266,$C$12:$C$260,$D266)</f>
        <v>0.1</v>
      </c>
      <c r="K266">
        <f>SUMIFS($Z$12:$Z$260,$A$12:$A$260,$C266,$C$12:$C$260,$D266)</f>
        <v>0.6999999999999995</v>
      </c>
      <c r="L266">
        <f>SUMIFS(L$12:L$260,$A$12:$A$260,$C266,$C$12:$C$260,$D266)</f>
        <v>0</v>
      </c>
      <c r="M266">
        <f>SUMIFS(M$12:M$260,$A$12:$A$260,$C266,$C$12:$C$260,$D266)</f>
        <v>11.461968</v>
      </c>
      <c r="N266">
        <f>SUMIFS(N$12:N$260,$A$12:$A$260,$C266,$C$12:$C$260,$D266)</f>
        <v>0</v>
      </c>
      <c r="O266">
        <f>SUMIFS(O$12:O$260,$A$12:$A$260,$C266,$C$12:$C$260,$D266)</f>
        <v>22.137972479999995</v>
      </c>
      <c r="P266">
        <f>SUMIFS(P$12:P$260,$A$12:$A$260,$C266,$C$12:$C$260,$D266)</f>
        <v>0</v>
      </c>
      <c r="Q266">
        <f>SUMIFS(Q$12:Q$260,$A$12:$A$260,$C266,$C$12:$C$260,$D266)</f>
        <v>0</v>
      </c>
      <c r="R266">
        <f>SUMIFS(R$12:R$260,$A$12:$A$260,$C266,$C$12:$C$260,$D266)</f>
        <v>0</v>
      </c>
      <c r="S266">
        <f>SUMIFS(S$12:S$260,$A$12:$A$260,$C266,$C$12:$C$260,$D266)</f>
        <v>0</v>
      </c>
      <c r="T266">
        <f>SUMIFS(T$12:T$260,$A$12:$A$260,$C266,$C$12:$C$260,$D266)</f>
        <v>0</v>
      </c>
      <c r="U266">
        <f>SUM(L266:T266)</f>
        <v>33.599940479999994</v>
      </c>
      <c r="W266">
        <f>IF(G266&gt;0,H266/G266,0)</f>
        <v>10</v>
      </c>
      <c r="X266">
        <f>IF(G266&gt;0,U266/G266,0)</f>
        <v>223.99960319999997</v>
      </c>
    </row>
    <row r="267">
      <c r="C267" t="str">
        <f>C266</f>
        <v>Lantai 1</v>
      </c>
      <c r="D267" t="str">
        <v>S24-1</v>
      </c>
      <c r="G267">
        <f>SUMIFS($V$12:$V$260,$A$12:$A$260,$C267,$C$12:$C$260,$D267)</f>
        <v>10.2132</v>
      </c>
      <c r="H267">
        <f>SUMIFS($W$12:$W$260,$A$12:$A$260,$C267,$C$12:$C$260,$D267)</f>
        <v>102.132</v>
      </c>
      <c r="I267">
        <f>SUMIFS($X$12:$X$260,$A$12:$A$260,$C267,$C$12:$C$260,$D267)</f>
        <v>0</v>
      </c>
      <c r="J267">
        <f>SUMIFS($Y$12:$Y$260,$A$12:$A$260,$C267,$C$12:$C$260,$D267)</f>
        <v>3.1574999999999998</v>
      </c>
      <c r="K267">
        <f>SUMIFS($Z$12:$Z$260,$A$12:$A$260,$C267,$C$12:$C$260,$D267)</f>
        <v>28.417499999999997</v>
      </c>
      <c r="L267">
        <f>SUMIFS(L$12:L$260,$A$12:$A$260,$C267,$C$12:$C$260,$D267)</f>
        <v>0</v>
      </c>
      <c r="M267">
        <f>SUMIFS(M$12:M$260,$A$12:$A$260,$C267,$C$12:$C$260,$D267)</f>
        <v>404.364816</v>
      </c>
      <c r="N267">
        <f>SUMIFS(N$12:N$260,$A$12:$A$260,$C267,$C$12:$C$260,$D267)</f>
        <v>0</v>
      </c>
      <c r="O267">
        <f>SUMIFS(O$12:O$260,$A$12:$A$260,$C267,$C$12:$C$260,$D267)</f>
        <v>1057.148406873</v>
      </c>
      <c r="P267">
        <f>SUMIFS(P$12:P$260,$A$12:$A$260,$C267,$C$12:$C$260,$D267)</f>
        <v>0</v>
      </c>
      <c r="Q267">
        <f>SUMIFS(Q$12:Q$260,$A$12:$A$260,$C267,$C$12:$C$260,$D267)</f>
        <v>0</v>
      </c>
      <c r="R267">
        <f>SUMIFS(R$12:R$260,$A$12:$A$260,$C267,$C$12:$C$260,$D267)</f>
        <v>0</v>
      </c>
      <c r="S267">
        <f>SUMIFS(S$12:S$260,$A$12:$A$260,$C267,$C$12:$C$260,$D267)</f>
        <v>0</v>
      </c>
      <c r="T267">
        <f>SUMIFS(T$12:T$260,$A$12:$A$260,$C267,$C$12:$C$260,$D267)</f>
        <v>0</v>
      </c>
      <c r="U267">
        <f>SUM(L267:T267)</f>
        <v>1461.5132228730001</v>
      </c>
      <c r="W267">
        <f>IF(G267&gt;0,H267/G267,0)</f>
        <v>10</v>
      </c>
      <c r="X267">
        <f>IF(G267&gt;0,U267/G267,0)</f>
        <v>143.1004213050758</v>
      </c>
    </row>
    <row r="268">
      <c r="C268" t="str">
        <f>C267</f>
        <v>Lantai 1</v>
      </c>
      <c r="D268" t="str">
        <v>S24-2</v>
      </c>
      <c r="G268">
        <f>SUMIFS($V$12:$V$260,$A$12:$A$260,$C268,$C$12:$C$260,$D268)</f>
        <v>4.80855</v>
      </c>
      <c r="H268">
        <f>SUMIFS($W$12:$W$260,$A$12:$A$260,$C268,$C$12:$C$260,$D268)</f>
        <v>48.0855</v>
      </c>
      <c r="I268">
        <f>SUMIFS($X$12:$X$260,$A$12:$A$260,$C268,$C$12:$C$260,$D268)</f>
        <v>0</v>
      </c>
      <c r="J268">
        <f>SUMIFS($Y$12:$Y$260,$A$12:$A$260,$C268,$C$12:$C$260,$D268)</f>
        <v>1.6418</v>
      </c>
      <c r="K268">
        <f>SUMIFS($Z$12:$Z$260,$A$12:$A$260,$C268,$C$12:$C$260,$D268)</f>
        <v>14.776199999999998</v>
      </c>
      <c r="L268">
        <f>SUMIFS(L$12:L$260,$A$12:$A$260,$C268,$C$12:$C$260,$D268)</f>
        <v>0</v>
      </c>
      <c r="M268">
        <f>SUMIFS(M$12:M$260,$A$12:$A$260,$C268,$C$12:$C$260,$D268)</f>
        <v>206.85597120000003</v>
      </c>
      <c r="N268">
        <f>SUMIFS(N$12:N$260,$A$12:$A$260,$C268,$C$12:$C$260,$D268)</f>
        <v>0</v>
      </c>
      <c r="O268">
        <f>SUMIFS(O$12:O$260,$A$12:$A$260,$C268,$C$12:$C$260,$D268)</f>
        <v>0</v>
      </c>
      <c r="P268">
        <f>SUMIFS(P$12:P$260,$A$12:$A$260,$C268,$C$12:$C$260,$D268)</f>
        <v>828.2540390400001</v>
      </c>
      <c r="Q268">
        <f>SUMIFS(Q$12:Q$260,$A$12:$A$260,$C268,$C$12:$C$260,$D268)</f>
        <v>0</v>
      </c>
      <c r="R268">
        <f>SUMIFS(R$12:R$260,$A$12:$A$260,$C268,$C$12:$C$260,$D268)</f>
        <v>0</v>
      </c>
      <c r="S268">
        <f>SUMIFS(S$12:S$260,$A$12:$A$260,$C268,$C$12:$C$260,$D268)</f>
        <v>0</v>
      </c>
      <c r="T268">
        <f>SUMIFS(T$12:T$260,$A$12:$A$260,$C268,$C$12:$C$260,$D268)</f>
        <v>0</v>
      </c>
      <c r="U268">
        <f>SUM(L268:T268)</f>
        <v>1035.11001024</v>
      </c>
      <c r="W268">
        <f>IF(G268&gt;0,H268/G268,0)</f>
        <v>10</v>
      </c>
      <c r="X268">
        <f>IF(G268&gt;0,U268/G268,0)</f>
        <v>215.26447894687587</v>
      </c>
    </row>
    <row r="269">
      <c r="C269" t="str">
        <f>C268</f>
        <v>Lantai 1</v>
      </c>
      <c r="D269" t="str">
        <v>S25-1</v>
      </c>
      <c r="G269">
        <f>SUMIFS($V$12:$V$260,$A$12:$A$260,$C269,$C$12:$C$260,$D269)</f>
        <v>6.601200000000001</v>
      </c>
      <c r="H269">
        <f>SUMIFS($W$12:$W$260,$A$12:$A$260,$C269,$C$12:$C$260,$D269)</f>
        <v>66.012</v>
      </c>
      <c r="I269">
        <f>SUMIFS($X$12:$X$260,$A$12:$A$260,$C269,$C$12:$C$260,$D269)</f>
        <v>0</v>
      </c>
      <c r="J269">
        <f>SUMIFS($Y$12:$Y$260,$A$12:$A$260,$C269,$C$12:$C$260,$D269)</f>
        <v>1.8762000000000005</v>
      </c>
      <c r="K269">
        <f>SUMIFS($Z$12:$Z$260,$A$12:$A$260,$C269,$C$12:$C$260,$D269)</f>
        <v>20.638200000000005</v>
      </c>
      <c r="L269">
        <f>SUMIFS(L$12:L$260,$A$12:$A$260,$C269,$C$12:$C$260,$D269)</f>
        <v>0</v>
      </c>
      <c r="M269">
        <f>SUMIFS(M$12:M$260,$A$12:$A$260,$C269,$C$12:$C$260,$D269)</f>
        <v>282.9350304</v>
      </c>
      <c r="N269">
        <f>SUMIFS(N$12:N$260,$A$12:$A$260,$C269,$C$12:$C$260,$D269)</f>
        <v>120.9950298</v>
      </c>
      <c r="O269">
        <f>SUMIFS(O$12:O$260,$A$12:$A$260,$C269,$C$12:$C$260,$D269)</f>
        <v>0</v>
      </c>
      <c r="P269">
        <f>SUMIFS(P$12:P$260,$A$12:$A$260,$C269,$C$12:$C$260,$D269)</f>
        <v>953.7885112320001</v>
      </c>
      <c r="Q269">
        <f>SUMIFS(Q$12:Q$260,$A$12:$A$260,$C269,$C$12:$C$260,$D269)</f>
        <v>0</v>
      </c>
      <c r="R269">
        <f>SUMIFS(R$12:R$260,$A$12:$A$260,$C269,$C$12:$C$260,$D269)</f>
        <v>0</v>
      </c>
      <c r="S269">
        <f>SUMIFS(S$12:S$260,$A$12:$A$260,$C269,$C$12:$C$260,$D269)</f>
        <v>0</v>
      </c>
      <c r="T269">
        <f>SUMIFS(T$12:T$260,$A$12:$A$260,$C269,$C$12:$C$260,$D269)</f>
        <v>0</v>
      </c>
      <c r="U269">
        <f>SUM(L269:T269)</f>
        <v>1357.718571432</v>
      </c>
      <c r="W269">
        <f>IF(G269&gt;0,H269/G269,0)</f>
        <v>9.999999999999998</v>
      </c>
      <c r="X269">
        <f>IF(G269&gt;0,U269/G269,0)</f>
        <v>205.67753914924558</v>
      </c>
    </row>
    <row r="270">
      <c r="C270" t="str">
        <f>C269</f>
        <v>Lantai 1</v>
      </c>
      <c r="D270" t="str">
        <v>S36-1</v>
      </c>
      <c r="G270">
        <f>SUMIFS($V$12:$V$260,$A$12:$A$260,$C270,$C$12:$C$260,$D270)</f>
        <v>6.939000000000001</v>
      </c>
      <c r="H270">
        <f>SUMIFS($W$12:$W$260,$A$12:$A$260,$C270,$C$12:$C$260,$D270)</f>
        <v>46.260000000000005</v>
      </c>
      <c r="I270">
        <f>SUMIFS($X$12:$X$260,$A$12:$A$260,$C270,$C$12:$C$260,$D270)</f>
        <v>0</v>
      </c>
      <c r="J270">
        <f>SUMIFS($Y$12:$Y$260,$A$12:$A$260,$C270,$C$12:$C$260,$D270)</f>
        <v>1.2850000000000001</v>
      </c>
      <c r="K270">
        <f>SUMIFS($Z$12:$Z$260,$A$12:$A$260,$C270,$C$12:$C$260,$D270)</f>
        <v>16.70499999999999</v>
      </c>
      <c r="L270">
        <f>SUMIFS(L$12:L$260,$A$12:$A$260,$C270,$C$12:$C$260,$D270)</f>
        <v>0</v>
      </c>
      <c r="M270">
        <f>SUMIFS(M$12:M$260,$A$12:$A$260,$C270,$C$12:$C$260,$D270)</f>
        <v>204.51623040000004</v>
      </c>
      <c r="N270">
        <f>SUMIFS(N$12:N$260,$A$12:$A$260,$C270,$C$12:$C$260,$D270)</f>
        <v>66.3354</v>
      </c>
      <c r="O270">
        <f>SUMIFS(O$12:O$260,$A$12:$A$260,$C270,$C$12:$C$260,$D270)</f>
        <v>0</v>
      </c>
      <c r="P270">
        <f>SUMIFS(P$12:P$260,$A$12:$A$260,$C270,$C$12:$C$260,$D270)</f>
        <v>697.4558208</v>
      </c>
      <c r="Q270">
        <f>SUMIFS(Q$12:Q$260,$A$12:$A$260,$C270,$C$12:$C$260,$D270)</f>
        <v>0</v>
      </c>
      <c r="R270">
        <f>SUMIFS(R$12:R$260,$A$12:$A$260,$C270,$C$12:$C$260,$D270)</f>
        <v>0</v>
      </c>
      <c r="S270">
        <f>SUMIFS(S$12:S$260,$A$12:$A$260,$C270,$C$12:$C$260,$D270)</f>
        <v>0</v>
      </c>
      <c r="T270">
        <f>SUMIFS(T$12:T$260,$A$12:$A$260,$C270,$C$12:$C$260,$D270)</f>
        <v>0</v>
      </c>
      <c r="U270">
        <f>SUM(L270:T270)</f>
        <v>968.3074512000001</v>
      </c>
      <c r="W270">
        <f>IF(G270&gt;0,H270/G270,0)</f>
        <v>6.666666666666666</v>
      </c>
      <c r="X270">
        <f>IF(G270&gt;0,U270/G270,0)</f>
        <v>139.54567678339816</v>
      </c>
    </row>
    <row r="271">
      <c r="C271" t="str">
        <f>C270</f>
        <v>Lantai 1</v>
      </c>
      <c r="D271" t="str">
        <v>B4-1</v>
      </c>
      <c r="G271">
        <f>SUMIFS($V$12:$V$260,$A$12:$A$260,$C271,$C$12:$C$260,$D271)</f>
        <v>0</v>
      </c>
      <c r="H271">
        <f>SUMIFS($W$12:$W$260,$A$12:$A$260,$C271,$C$12:$C$260,$D271)</f>
        <v>0</v>
      </c>
      <c r="I271">
        <f>SUMIFS($X$12:$X$260,$A$12:$A$260,$C271,$C$12:$C$260,$D271)</f>
        <v>0</v>
      </c>
      <c r="J271">
        <f>SUMIFS($Y$12:$Y$260,$A$12:$A$260,$C271,$C$12:$C$260,$D271)</f>
        <v>0</v>
      </c>
      <c r="K271">
        <f>SUMIFS($Z$12:$Z$260,$A$12:$A$260,$C271,$C$12:$C$260,$D271)</f>
        <v>0</v>
      </c>
      <c r="L271">
        <f>SUMIFS(L$12:L$260,$A$12:$A$260,$C271,$C$12:$C$260,$D271)</f>
        <v>0</v>
      </c>
      <c r="M271">
        <f>SUMIFS(M$12:M$260,$A$12:$A$260,$C271,$C$12:$C$260,$D271)</f>
        <v>0</v>
      </c>
      <c r="N271">
        <f>SUMIFS(N$12:N$260,$A$12:$A$260,$C271,$C$12:$C$260,$D271)</f>
        <v>0</v>
      </c>
      <c r="O271">
        <f>SUMIFS(O$12:O$260,$A$12:$A$260,$C271,$C$12:$C$260,$D271)</f>
        <v>0</v>
      </c>
      <c r="P271">
        <f>SUMIFS(P$12:P$260,$A$12:$A$260,$C271,$C$12:$C$260,$D271)</f>
        <v>0</v>
      </c>
      <c r="Q271">
        <f>SUMIFS(Q$12:Q$260,$A$12:$A$260,$C271,$C$12:$C$260,$D271)</f>
        <v>0</v>
      </c>
      <c r="R271">
        <f>SUMIFS(R$12:R$260,$A$12:$A$260,$C271,$C$12:$C$260,$D271)</f>
        <v>0</v>
      </c>
      <c r="S271">
        <f>SUMIFS(S$12:S$260,$A$12:$A$260,$C271,$C$12:$C$260,$D271)</f>
        <v>0</v>
      </c>
      <c r="T271">
        <f>SUMIFS(T$12:T$260,$A$12:$A$260,$C271,$C$12:$C$260,$D271)</f>
        <v>0</v>
      </c>
      <c r="U271">
        <f>SUM(L271:T271)</f>
        <v>0</v>
      </c>
      <c r="W271">
        <f>IF(G271&gt;0,H271/G271,0)</f>
        <v>0</v>
      </c>
      <c r="X271">
        <f>IF(G271&gt;0,U271/G271,0)</f>
        <v>0</v>
      </c>
    </row>
    <row r="272">
      <c r="C272" t="str">
        <f>C271</f>
        <v>Lantai 1</v>
      </c>
      <c r="D272" t="str">
        <v>B5-1</v>
      </c>
      <c r="G272">
        <f>SUMIFS($V$12:$V$260,$A$12:$A$260,$C272,$C$12:$C$260,$D272)</f>
        <v>0</v>
      </c>
      <c r="H272">
        <f>SUMIFS($W$12:$W$260,$A$12:$A$260,$C272,$C$12:$C$260,$D272)</f>
        <v>0</v>
      </c>
      <c r="I272">
        <f>SUMIFS($X$12:$X$260,$A$12:$A$260,$C272,$C$12:$C$260,$D272)</f>
        <v>0</v>
      </c>
      <c r="J272">
        <f>SUMIFS($Y$12:$Y$260,$A$12:$A$260,$C272,$C$12:$C$260,$D272)</f>
        <v>0</v>
      </c>
      <c r="K272">
        <f>SUMIFS($Z$12:$Z$260,$A$12:$A$260,$C272,$C$12:$C$260,$D272)</f>
        <v>0</v>
      </c>
      <c r="L272">
        <f>SUMIFS(L$12:L$260,$A$12:$A$260,$C272,$C$12:$C$260,$D272)</f>
        <v>0</v>
      </c>
      <c r="M272">
        <f>SUMIFS(M$12:M$260,$A$12:$A$260,$C272,$C$12:$C$260,$D272)</f>
        <v>0</v>
      </c>
      <c r="N272">
        <f>SUMIFS(N$12:N$260,$A$12:$A$260,$C272,$C$12:$C$260,$D272)</f>
        <v>0</v>
      </c>
      <c r="O272">
        <f>SUMIFS(O$12:O$260,$A$12:$A$260,$C272,$C$12:$C$260,$D272)</f>
        <v>0</v>
      </c>
      <c r="P272">
        <f>SUMIFS(P$12:P$260,$A$12:$A$260,$C272,$C$12:$C$260,$D272)</f>
        <v>0</v>
      </c>
      <c r="Q272">
        <f>SUMIFS(Q$12:Q$260,$A$12:$A$260,$C272,$C$12:$C$260,$D272)</f>
        <v>0</v>
      </c>
      <c r="R272">
        <f>SUMIFS(R$12:R$260,$A$12:$A$260,$C272,$C$12:$C$260,$D272)</f>
        <v>0</v>
      </c>
      <c r="S272">
        <f>SUMIFS(S$12:S$260,$A$12:$A$260,$C272,$C$12:$C$260,$D272)</f>
        <v>0</v>
      </c>
      <c r="T272">
        <f>SUMIFS(T$12:T$260,$A$12:$A$260,$C272,$C$12:$C$260,$D272)</f>
        <v>0</v>
      </c>
      <c r="U272">
        <f>SUM(L272:T272)</f>
        <v>0</v>
      </c>
      <c r="W272">
        <f>IF(G272&gt;0,H272/G272,0)</f>
        <v>0</v>
      </c>
      <c r="X272">
        <f>IF(G272&gt;0,U272/G272,0)</f>
        <v>0</v>
      </c>
    </row>
    <row r="273">
      <c r="C273" t="str">
        <f>C272</f>
        <v>Lantai 1</v>
      </c>
      <c r="D273" t="str">
        <v>B23-1</v>
      </c>
      <c r="G273">
        <f>SUMIFS($V$12:$V$260,$A$12:$A$260,$C273,$C$12:$C$260,$D273)</f>
        <v>0</v>
      </c>
      <c r="H273">
        <f>SUMIFS($W$12:$W$260,$A$12:$A$260,$C273,$C$12:$C$260,$D273)</f>
        <v>0</v>
      </c>
      <c r="I273">
        <f>SUMIFS($X$12:$X$260,$A$12:$A$260,$C273,$C$12:$C$260,$D273)</f>
        <v>0</v>
      </c>
      <c r="J273">
        <f>SUMIFS($Y$12:$Y$260,$A$12:$A$260,$C273,$C$12:$C$260,$D273)</f>
        <v>0</v>
      </c>
      <c r="K273">
        <f>SUMIFS($Z$12:$Z$260,$A$12:$A$260,$C273,$C$12:$C$260,$D273)</f>
        <v>0</v>
      </c>
      <c r="L273">
        <f>SUMIFS(L$12:L$260,$A$12:$A$260,$C273,$C$12:$C$260,$D273)</f>
        <v>0</v>
      </c>
      <c r="M273">
        <f>SUMIFS(M$12:M$260,$A$12:$A$260,$C273,$C$12:$C$260,$D273)</f>
        <v>0</v>
      </c>
      <c r="N273">
        <f>SUMIFS(N$12:N$260,$A$12:$A$260,$C273,$C$12:$C$260,$D273)</f>
        <v>0</v>
      </c>
      <c r="O273">
        <f>SUMIFS(O$12:O$260,$A$12:$A$260,$C273,$C$12:$C$260,$D273)</f>
        <v>0</v>
      </c>
      <c r="P273">
        <f>SUMIFS(P$12:P$260,$A$12:$A$260,$C273,$C$12:$C$260,$D273)</f>
        <v>0</v>
      </c>
      <c r="Q273">
        <f>SUMIFS(Q$12:Q$260,$A$12:$A$260,$C273,$C$12:$C$260,$D273)</f>
        <v>0</v>
      </c>
      <c r="R273">
        <f>SUMIFS(R$12:R$260,$A$12:$A$260,$C273,$C$12:$C$260,$D273)</f>
        <v>0</v>
      </c>
      <c r="S273">
        <f>SUMIFS(S$12:S$260,$A$12:$A$260,$C273,$C$12:$C$260,$D273)</f>
        <v>0</v>
      </c>
      <c r="T273">
        <f>SUMIFS(T$12:T$260,$A$12:$A$260,$C273,$C$12:$C$260,$D273)</f>
        <v>0</v>
      </c>
      <c r="U273">
        <f>SUM(L273:T273)</f>
        <v>0</v>
      </c>
      <c r="W273">
        <f>IF(G273&gt;0,H273/G273,0)</f>
        <v>0</v>
      </c>
      <c r="X273">
        <f>IF(G273&gt;0,U273/G273,0)</f>
        <v>0</v>
      </c>
    </row>
    <row r="274">
      <c r="C274" t="str">
        <f>C273</f>
        <v>Lantai 1</v>
      </c>
      <c r="D274" t="str">
        <v>B24-1</v>
      </c>
      <c r="G274">
        <f>SUMIFS($V$12:$V$260,$A$12:$A$260,$C274,$C$12:$C$260,$D274)</f>
        <v>0.309</v>
      </c>
      <c r="H274">
        <f>SUMIFS($W$12:$W$260,$A$12:$A$260,$C274,$C$12:$C$260,$D274)</f>
        <v>3.09</v>
      </c>
      <c r="I274">
        <f>SUMIFS($X$12:$X$260,$A$12:$A$260,$C274,$C$12:$C$260,$D274)</f>
        <v>0</v>
      </c>
      <c r="J274">
        <f>SUMIFS($Y$12:$Y$260,$A$12:$A$260,$C274,$C$12:$C$260,$D274)</f>
        <v>0.1236</v>
      </c>
      <c r="K274">
        <f>SUMIFS($Z$12:$Z$260,$A$12:$A$260,$C274,$C$12:$C$260,$D274)</f>
        <v>1.1123999999999998</v>
      </c>
      <c r="L274">
        <f>SUMIFS(L$12:L$260,$A$12:$A$260,$C274,$C$12:$C$260,$D274)</f>
        <v>0</v>
      </c>
      <c r="M274">
        <f>SUMIFS(M$12:M$260,$A$12:$A$260,$C274,$C$12:$C$260,$D274)</f>
        <v>0</v>
      </c>
      <c r="N274">
        <f>SUMIFS(N$12:N$260,$A$12:$A$260,$C274,$C$12:$C$260,$D274)</f>
        <v>31.749750000000006</v>
      </c>
      <c r="O274">
        <f>SUMIFS(O$12:O$260,$A$12:$A$260,$C274,$C$12:$C$260,$D274)</f>
        <v>42.533913240000004</v>
      </c>
      <c r="P274">
        <f>SUMIFS(P$12:P$260,$A$12:$A$260,$C274,$C$12:$C$260,$D274)</f>
        <v>0</v>
      </c>
      <c r="Q274">
        <f>SUMIFS(Q$12:Q$260,$A$12:$A$260,$C274,$C$12:$C$260,$D274)</f>
        <v>0</v>
      </c>
      <c r="R274">
        <f>SUMIFS(R$12:R$260,$A$12:$A$260,$C274,$C$12:$C$260,$D274)</f>
        <v>0</v>
      </c>
      <c r="S274">
        <f>SUMIFS(S$12:S$260,$A$12:$A$260,$C274,$C$12:$C$260,$D274)</f>
        <v>0</v>
      </c>
      <c r="T274">
        <f>SUMIFS(T$12:T$260,$A$12:$A$260,$C274,$C$12:$C$260,$D274)</f>
        <v>0</v>
      </c>
      <c r="U274">
        <f>SUM(L274:T274)</f>
        <v>74.28366324000001</v>
      </c>
      <c r="W274">
        <f>IF(G274&gt;0,H274/G274,0)</f>
        <v>10</v>
      </c>
      <c r="X274">
        <f>IF(G274&gt;0,U274/G274,0)</f>
        <v>240.40020466019422</v>
      </c>
    </row>
    <row r="275">
      <c r="C275" t="str">
        <f>C274</f>
        <v>Lantai 1</v>
      </c>
      <c r="D275" t="str">
        <v>B24-2</v>
      </c>
      <c r="G275">
        <f>SUMIFS($V$12:$V$260,$A$12:$A$260,$C275,$C$12:$C$260,$D275)</f>
        <v>0.1835</v>
      </c>
      <c r="H275">
        <f>SUMIFS($W$12:$W$260,$A$12:$A$260,$C275,$C$12:$C$260,$D275)</f>
        <v>1.835</v>
      </c>
      <c r="I275">
        <f>SUMIFS($X$12:$X$260,$A$12:$A$260,$C275,$C$12:$C$260,$D275)</f>
        <v>0</v>
      </c>
      <c r="J275">
        <f>SUMIFS($Y$12:$Y$260,$A$12:$A$260,$C275,$C$12:$C$260,$D275)</f>
        <v>0.07339999999999999</v>
      </c>
      <c r="K275">
        <f>SUMIFS($Z$12:$Z$260,$A$12:$A$260,$C275,$C$12:$C$260,$D275)</f>
        <v>0.6605999999999999</v>
      </c>
      <c r="L275">
        <f>SUMIFS(L$12:L$260,$A$12:$A$260,$C275,$C$12:$C$260,$D275)</f>
        <v>0</v>
      </c>
      <c r="M275">
        <f>SUMIFS(M$12:M$260,$A$12:$A$260,$C275,$C$12:$C$260,$D275)</f>
        <v>0</v>
      </c>
      <c r="N275">
        <f>SUMIFS(N$12:N$260,$A$12:$A$260,$C275,$C$12:$C$260,$D275)</f>
        <v>22.224825000000003</v>
      </c>
      <c r="O275">
        <f>SUMIFS(O$12:O$260,$A$12:$A$260,$C275,$C$12:$C$260,$D275)</f>
        <v>0</v>
      </c>
      <c r="P275">
        <f>SUMIFS(P$12:P$260,$A$12:$A$260,$C275,$C$12:$C$260,$D275)</f>
        <v>42.02537472</v>
      </c>
      <c r="Q275">
        <f>SUMIFS(Q$12:Q$260,$A$12:$A$260,$C275,$C$12:$C$260,$D275)</f>
        <v>0</v>
      </c>
      <c r="R275">
        <f>SUMIFS(R$12:R$260,$A$12:$A$260,$C275,$C$12:$C$260,$D275)</f>
        <v>0</v>
      </c>
      <c r="S275">
        <f>SUMIFS(S$12:S$260,$A$12:$A$260,$C275,$C$12:$C$260,$D275)</f>
        <v>0</v>
      </c>
      <c r="T275">
        <f>SUMIFS(T$12:T$260,$A$12:$A$260,$C275,$C$12:$C$260,$D275)</f>
        <v>0</v>
      </c>
      <c r="U275">
        <f>SUM(L275:T275)</f>
        <v>64.25019972000001</v>
      </c>
      <c r="W275">
        <f>IF(G275&gt;0,H275/G275,0)</f>
        <v>10</v>
      </c>
      <c r="X275">
        <f>IF(G275&gt;0,U275/G275,0)</f>
        <v>350.137328174387</v>
      </c>
    </row>
    <row r="276">
      <c r="C276" t="str">
        <f>C275</f>
        <v>Lantai 1</v>
      </c>
      <c r="D276" t="str">
        <v>CL24-1</v>
      </c>
      <c r="G276">
        <f>SUMIFS($V$12:$V$260,$A$12:$A$260,$C276,$C$12:$C$260,$D276)</f>
        <v>0</v>
      </c>
      <c r="H276">
        <f>SUMIFS($W$12:$W$260,$A$12:$A$260,$C276,$C$12:$C$260,$D276)</f>
        <v>0</v>
      </c>
      <c r="I276">
        <f>SUMIFS($X$12:$X$260,$A$12:$A$260,$C276,$C$12:$C$260,$D276)</f>
        <v>0</v>
      </c>
      <c r="J276">
        <f>SUMIFS($Y$12:$Y$260,$A$12:$A$260,$C276,$C$12:$C$260,$D276)</f>
        <v>0</v>
      </c>
      <c r="K276">
        <f>SUMIFS($Z$12:$Z$260,$A$12:$A$260,$C276,$C$12:$C$260,$D276)</f>
        <v>0</v>
      </c>
      <c r="L276">
        <f>SUMIFS(L$12:L$260,$A$12:$A$260,$C276,$C$12:$C$260,$D276)</f>
        <v>0</v>
      </c>
      <c r="M276">
        <f>SUMIFS(M$12:M$260,$A$12:$A$260,$C276,$C$12:$C$260,$D276)</f>
        <v>0</v>
      </c>
      <c r="N276">
        <f>SUMIFS(N$12:N$260,$A$12:$A$260,$C276,$C$12:$C$260,$D276)</f>
        <v>0</v>
      </c>
      <c r="O276">
        <f>SUMIFS(O$12:O$260,$A$12:$A$260,$C276,$C$12:$C$260,$D276)</f>
        <v>0</v>
      </c>
      <c r="P276">
        <f>SUMIFS(P$12:P$260,$A$12:$A$260,$C276,$C$12:$C$260,$D276)</f>
        <v>0</v>
      </c>
      <c r="Q276">
        <f>SUMIFS(Q$12:Q$260,$A$12:$A$260,$C276,$C$12:$C$260,$D276)</f>
        <v>0</v>
      </c>
      <c r="R276">
        <f>SUMIFS(R$12:R$260,$A$12:$A$260,$C276,$C$12:$C$260,$D276)</f>
        <v>0</v>
      </c>
      <c r="S276">
        <f>SUMIFS(S$12:S$260,$A$12:$A$260,$C276,$C$12:$C$260,$D276)</f>
        <v>0</v>
      </c>
      <c r="T276">
        <f>SUMIFS(T$12:T$260,$A$12:$A$260,$C276,$C$12:$C$260,$D276)</f>
        <v>0</v>
      </c>
      <c r="U276">
        <f>SUM(L276:T276)</f>
        <v>0</v>
      </c>
      <c r="W276">
        <f>IF(G276&gt;0,H276/G276,0)</f>
        <v>0</v>
      </c>
      <c r="X276">
        <f>IF(G276&gt;0,U276/G276,0)</f>
        <v>0</v>
      </c>
    </row>
    <row r="277">
      <c r="C277" t="str">
        <f>C276</f>
        <v>Lantai 1</v>
      </c>
      <c r="D277" t="str">
        <v>B25-1</v>
      </c>
      <c r="G277">
        <f>SUMIFS($V$12:$V$260,$A$12:$A$260,$C277,$C$12:$C$260,$D277)</f>
        <v>3.1496500000000003</v>
      </c>
      <c r="H277">
        <f>SUMIFS($W$12:$W$260,$A$12:$A$260,$C277,$C$12:$C$260,$D277)</f>
        <v>31.496499999999997</v>
      </c>
      <c r="I277">
        <f>SUMIFS($X$12:$X$260,$A$12:$A$260,$C277,$C$12:$C$260,$D277)</f>
        <v>0</v>
      </c>
      <c r="J277">
        <f>SUMIFS($Y$12:$Y$260,$A$12:$A$260,$C277,$C$12:$C$260,$D277)</f>
        <v>0.8563999999999998</v>
      </c>
      <c r="K277">
        <f>SUMIFS($Z$12:$Z$260,$A$12:$A$260,$C277,$C$12:$C$260,$D277)</f>
        <v>9.4204</v>
      </c>
      <c r="L277">
        <f>SUMIFS(L$12:L$260,$A$12:$A$260,$C277,$C$12:$C$260,$D277)</f>
        <v>0</v>
      </c>
      <c r="M277">
        <f>SUMIFS(M$12:M$260,$A$12:$A$260,$C277,$C$12:$C$260,$D277)</f>
        <v>0</v>
      </c>
      <c r="N277">
        <f>SUMIFS(N$12:N$260,$A$12:$A$260,$C277,$C$12:$C$260,$D277)</f>
        <v>254.30008500000002</v>
      </c>
      <c r="O277">
        <f>SUMIFS(O$12:O$260,$A$12:$A$260,$C277,$C$12:$C$260,$D277)</f>
        <v>0</v>
      </c>
      <c r="P277">
        <f>SUMIFS(P$12:P$260,$A$12:$A$260,$C277,$C$12:$C$260,$D277)</f>
        <v>574.5803673600001</v>
      </c>
      <c r="Q277">
        <f>SUMIFS(Q$12:Q$260,$A$12:$A$260,$C277,$C$12:$C$260,$D277)</f>
        <v>0</v>
      </c>
      <c r="R277">
        <f>SUMIFS(R$12:R$260,$A$12:$A$260,$C277,$C$12:$C$260,$D277)</f>
        <v>0</v>
      </c>
      <c r="S277">
        <f>SUMIFS(S$12:S$260,$A$12:$A$260,$C277,$C$12:$C$260,$D277)</f>
        <v>0</v>
      </c>
      <c r="T277">
        <f>SUMIFS(T$12:T$260,$A$12:$A$260,$C277,$C$12:$C$260,$D277)</f>
        <v>0</v>
      </c>
      <c r="U277">
        <f>SUM(L277:T277)</f>
        <v>828.8804523600002</v>
      </c>
      <c r="W277">
        <f>IF(G277&gt;0,H277/G277,0)</f>
        <v>9.999999999999998</v>
      </c>
      <c r="X277">
        <f>IF(G277&gt;0,U277/G277,0)</f>
        <v>263.16589219754576</v>
      </c>
    </row>
    <row r="278">
      <c r="C278" t="str">
        <f>C277</f>
        <v>Lantai 1</v>
      </c>
      <c r="D278" t="str">
        <v>B26-1</v>
      </c>
      <c r="G278">
        <f>SUMIFS($V$12:$V$260,$A$12:$A$260,$C278,$C$12:$C$260,$D278)</f>
        <v>0</v>
      </c>
      <c r="H278">
        <f>SUMIFS($W$12:$W$260,$A$12:$A$260,$C278,$C$12:$C$260,$D278)</f>
        <v>0</v>
      </c>
      <c r="I278">
        <f>SUMIFS($X$12:$X$260,$A$12:$A$260,$C278,$C$12:$C$260,$D278)</f>
        <v>0</v>
      </c>
      <c r="J278">
        <f>SUMIFS($Y$12:$Y$260,$A$12:$A$260,$C278,$C$12:$C$260,$D278)</f>
        <v>0</v>
      </c>
      <c r="K278">
        <f>SUMIFS($Z$12:$Z$260,$A$12:$A$260,$C278,$C$12:$C$260,$D278)</f>
        <v>0</v>
      </c>
      <c r="L278">
        <f>SUMIFS(L$12:L$260,$A$12:$A$260,$C278,$C$12:$C$260,$D278)</f>
        <v>0</v>
      </c>
      <c r="M278">
        <f>SUMIFS(M$12:M$260,$A$12:$A$260,$C278,$C$12:$C$260,$D278)</f>
        <v>0</v>
      </c>
      <c r="N278">
        <f>SUMIFS(N$12:N$260,$A$12:$A$260,$C278,$C$12:$C$260,$D278)</f>
        <v>0</v>
      </c>
      <c r="O278">
        <f>SUMIFS(O$12:O$260,$A$12:$A$260,$C278,$C$12:$C$260,$D278)</f>
        <v>0</v>
      </c>
      <c r="P278">
        <f>SUMIFS(P$12:P$260,$A$12:$A$260,$C278,$C$12:$C$260,$D278)</f>
        <v>0</v>
      </c>
      <c r="Q278">
        <f>SUMIFS(Q$12:Q$260,$A$12:$A$260,$C278,$C$12:$C$260,$D278)</f>
        <v>0</v>
      </c>
      <c r="R278">
        <f>SUMIFS(R$12:R$260,$A$12:$A$260,$C278,$C$12:$C$260,$D278)</f>
        <v>0</v>
      </c>
      <c r="S278">
        <f>SUMIFS(S$12:S$260,$A$12:$A$260,$C278,$C$12:$C$260,$D278)</f>
        <v>0</v>
      </c>
      <c r="T278">
        <f>SUMIFS(T$12:T$260,$A$12:$A$260,$C278,$C$12:$C$260,$D278)</f>
        <v>0</v>
      </c>
      <c r="U278">
        <f>SUM(L278:T278)</f>
        <v>0</v>
      </c>
      <c r="W278">
        <f>IF(G278&gt;0,H278/G278,0)</f>
        <v>0</v>
      </c>
      <c r="X278">
        <f>IF(G278&gt;0,U278/G278,0)</f>
        <v>0</v>
      </c>
    </row>
    <row r="279">
      <c r="C279" t="str">
        <f>C278</f>
        <v>Lantai 1</v>
      </c>
      <c r="D279" t="str">
        <v>B2A4A-1</v>
      </c>
      <c r="G279">
        <f>SUMIFS($V$12:$V$260,$A$12:$A$260,$C279,$C$12:$C$260,$D279)</f>
        <v>0</v>
      </c>
      <c r="H279">
        <f>SUMIFS($W$12:$W$260,$A$12:$A$260,$C279,$C$12:$C$260,$D279)</f>
        <v>0</v>
      </c>
      <c r="I279">
        <f>SUMIFS($X$12:$X$260,$A$12:$A$260,$C279,$C$12:$C$260,$D279)</f>
        <v>0</v>
      </c>
      <c r="J279">
        <f>SUMIFS($Y$12:$Y$260,$A$12:$A$260,$C279,$C$12:$C$260,$D279)</f>
        <v>0</v>
      </c>
      <c r="K279">
        <f>SUMIFS($Z$12:$Z$260,$A$12:$A$260,$C279,$C$12:$C$260,$D279)</f>
        <v>0</v>
      </c>
      <c r="L279">
        <f>SUMIFS(L$12:L$260,$A$12:$A$260,$C279,$C$12:$C$260,$D279)</f>
        <v>0</v>
      </c>
      <c r="M279">
        <f>SUMIFS(M$12:M$260,$A$12:$A$260,$C279,$C$12:$C$260,$D279)</f>
        <v>0</v>
      </c>
      <c r="N279">
        <f>SUMIFS(N$12:N$260,$A$12:$A$260,$C279,$C$12:$C$260,$D279)</f>
        <v>0</v>
      </c>
      <c r="O279">
        <f>SUMIFS(O$12:O$260,$A$12:$A$260,$C279,$C$12:$C$260,$D279)</f>
        <v>0</v>
      </c>
      <c r="P279">
        <f>SUMIFS(P$12:P$260,$A$12:$A$260,$C279,$C$12:$C$260,$D279)</f>
        <v>0</v>
      </c>
      <c r="Q279">
        <f>SUMIFS(Q$12:Q$260,$A$12:$A$260,$C279,$C$12:$C$260,$D279)</f>
        <v>0</v>
      </c>
      <c r="R279">
        <f>SUMIFS(R$12:R$260,$A$12:$A$260,$C279,$C$12:$C$260,$D279)</f>
        <v>0</v>
      </c>
      <c r="S279">
        <f>SUMIFS(S$12:S$260,$A$12:$A$260,$C279,$C$12:$C$260,$D279)</f>
        <v>0</v>
      </c>
      <c r="T279">
        <f>SUMIFS(T$12:T$260,$A$12:$A$260,$C279,$C$12:$C$260,$D279)</f>
        <v>0</v>
      </c>
      <c r="U279">
        <f>SUM(L279:T279)</f>
        <v>0</v>
      </c>
      <c r="W279">
        <f>IF(G279&gt;0,H279/G279,0)</f>
        <v>0</v>
      </c>
      <c r="X279">
        <f>IF(G279&gt;0,U279/G279,0)</f>
        <v>0</v>
      </c>
    </row>
    <row r="280">
      <c r="C280" t="str">
        <f>C279</f>
        <v>Lantai 1</v>
      </c>
      <c r="D280" t="str">
        <v>B36-1</v>
      </c>
      <c r="G280">
        <f>SUMIFS($V$12:$V$260,$A$12:$A$260,$C280,$C$12:$C$260,$D280)</f>
        <v>0</v>
      </c>
      <c r="H280">
        <f>SUMIFS($W$12:$W$260,$A$12:$A$260,$C280,$C$12:$C$260,$D280)</f>
        <v>0</v>
      </c>
      <c r="I280">
        <f>SUMIFS($X$12:$X$260,$A$12:$A$260,$C280,$C$12:$C$260,$D280)</f>
        <v>0</v>
      </c>
      <c r="J280">
        <f>SUMIFS($Y$12:$Y$260,$A$12:$A$260,$C280,$C$12:$C$260,$D280)</f>
        <v>0</v>
      </c>
      <c r="K280">
        <f>SUMIFS($Z$12:$Z$260,$A$12:$A$260,$C280,$C$12:$C$260,$D280)</f>
        <v>0</v>
      </c>
      <c r="L280">
        <f>SUMIFS(L$12:L$260,$A$12:$A$260,$C280,$C$12:$C$260,$D280)</f>
        <v>0</v>
      </c>
      <c r="M280">
        <f>SUMIFS(M$12:M$260,$A$12:$A$260,$C280,$C$12:$C$260,$D280)</f>
        <v>0</v>
      </c>
      <c r="N280">
        <f>SUMIFS(N$12:N$260,$A$12:$A$260,$C280,$C$12:$C$260,$D280)</f>
        <v>0</v>
      </c>
      <c r="O280">
        <f>SUMIFS(O$12:O$260,$A$12:$A$260,$C280,$C$12:$C$260,$D280)</f>
        <v>0</v>
      </c>
      <c r="P280">
        <f>SUMIFS(P$12:P$260,$A$12:$A$260,$C280,$C$12:$C$260,$D280)</f>
        <v>0</v>
      </c>
      <c r="Q280">
        <f>SUMIFS(Q$12:Q$260,$A$12:$A$260,$C280,$C$12:$C$260,$D280)</f>
        <v>0</v>
      </c>
      <c r="R280">
        <f>SUMIFS(R$12:R$260,$A$12:$A$260,$C280,$C$12:$C$260,$D280)</f>
        <v>0</v>
      </c>
      <c r="S280">
        <f>SUMIFS(S$12:S$260,$A$12:$A$260,$C280,$C$12:$C$260,$D280)</f>
        <v>0</v>
      </c>
      <c r="T280">
        <f>SUMIFS(T$12:T$260,$A$12:$A$260,$C280,$C$12:$C$260,$D280)</f>
        <v>0</v>
      </c>
      <c r="U280">
        <f>SUM(L280:T280)</f>
        <v>0</v>
      </c>
      <c r="W280">
        <f>IF(G280&gt;0,H280/G280,0)</f>
        <v>0</v>
      </c>
      <c r="X280">
        <f>IF(G280&gt;0,U280/G280,0)</f>
        <v>0</v>
      </c>
    </row>
    <row r="281">
      <c r="C281" t="str">
        <v>Subtotal Lantai 1</v>
      </c>
      <c r="G281">
        <f>SUM(G265:G280)</f>
        <v>32.3541</v>
      </c>
      <c r="H281">
        <f>SUM(H265:H280)</f>
        <v>300.41099999999994</v>
      </c>
      <c r="I281">
        <f>SUM(I265:I280)</f>
        <v>0</v>
      </c>
      <c r="J281">
        <f>SUM(J265:J280)</f>
        <v>9.113900000000001</v>
      </c>
      <c r="K281">
        <f>SUM(K265:K280)</f>
        <v>92.43029999999999</v>
      </c>
      <c r="L281">
        <f>SUM(L265:L280)</f>
        <v>0</v>
      </c>
      <c r="M281">
        <f>SUM(M265:M280)</f>
        <v>1110.1340160000002</v>
      </c>
      <c r="N281">
        <f>SUM(N265:N280)</f>
        <v>495.60508980000003</v>
      </c>
      <c r="O281">
        <f>SUM(O265:O280)</f>
        <v>1121.820292593</v>
      </c>
      <c r="P281">
        <f>SUM(P265:P280)</f>
        <v>3096.1041131520005</v>
      </c>
      <c r="Q281">
        <f>SUM(Q265:Q280)</f>
        <v>0</v>
      </c>
      <c r="R281">
        <f>SUM(R265:R280)</f>
        <v>0</v>
      </c>
      <c r="S281">
        <f>SUM(S265:S280)</f>
        <v>0</v>
      </c>
      <c r="T281">
        <f>SUM(T265:T280)</f>
        <v>0</v>
      </c>
      <c r="U281">
        <f>SUM(U265:U280)</f>
        <v>5823.663511545001</v>
      </c>
    </row>
    <row r="283">
      <c r="C283" t="str">
        <v>Lantai 2</v>
      </c>
      <c r="D283" t="str">
        <v>S23-1</v>
      </c>
      <c r="G283">
        <f>SUMIFS($V$12:$V$260,$A$12:$A$260,$C283,$C$12:$C$260,$D283)</f>
        <v>0</v>
      </c>
      <c r="H283">
        <f>SUMIFS($W$12:$W$260,$A$12:$A$260,$C283,$C$12:$C$260,$D283)</f>
        <v>0</v>
      </c>
      <c r="I283">
        <f>SUMIFS($X$12:$X$260,$A$12:$A$260,$C283,$C$12:$C$260,$D283)</f>
        <v>0</v>
      </c>
      <c r="J283">
        <f>SUMIFS($Y$12:$Y$260,$A$12:$A$260,$C283,$C$12:$C$260,$D283)</f>
        <v>0</v>
      </c>
      <c r="K283">
        <f>SUMIFS($Z$12:$Z$260,$A$12:$A$260,$C283,$C$12:$C$260,$D283)</f>
        <v>0</v>
      </c>
      <c r="L283">
        <f>SUMIFS(L$12:L$260,$A$12:$A$260,$C283,$C$12:$C$260,$D283)</f>
        <v>0</v>
      </c>
      <c r="M283">
        <f>SUMIFS(M$12:M$260,$A$12:$A$260,$C283,$C$12:$C$260,$D283)</f>
        <v>0</v>
      </c>
      <c r="N283">
        <f>SUMIFS(N$12:N$260,$A$12:$A$260,$C283,$C$12:$C$260,$D283)</f>
        <v>0</v>
      </c>
      <c r="O283">
        <f>SUMIFS(O$12:O$260,$A$12:$A$260,$C283,$C$12:$C$260,$D283)</f>
        <v>0</v>
      </c>
      <c r="P283">
        <f>SUMIFS(P$12:P$260,$A$12:$A$260,$C283,$C$12:$C$260,$D283)</f>
        <v>0</v>
      </c>
      <c r="Q283">
        <f>SUMIFS(Q$12:Q$260,$A$12:$A$260,$C283,$C$12:$C$260,$D283)</f>
        <v>0</v>
      </c>
      <c r="R283">
        <f>SUMIFS(R$12:R$260,$A$12:$A$260,$C283,$C$12:$C$260,$D283)</f>
        <v>0</v>
      </c>
      <c r="S283">
        <f>SUMIFS(S$12:S$260,$A$12:$A$260,$C283,$C$12:$C$260,$D283)</f>
        <v>0</v>
      </c>
      <c r="T283">
        <f>SUMIFS(T$12:T$260,$A$12:$A$260,$C283,$C$12:$C$260,$D283)</f>
        <v>0</v>
      </c>
      <c r="U283">
        <f>SUM(L283:T283)</f>
        <v>0</v>
      </c>
      <c r="W283">
        <f>IF(G283&gt;0,H283/G283,0)</f>
        <v>0</v>
      </c>
      <c r="X283">
        <f>IF(G283&gt;0,U283/G283,0)</f>
        <v>0</v>
      </c>
    </row>
    <row r="284">
      <c r="C284" t="str">
        <f>C283</f>
        <v>Lantai 2</v>
      </c>
      <c r="D284" t="str">
        <v>S24-1</v>
      </c>
      <c r="G284">
        <f>SUMIFS($V$12:$V$260,$A$12:$A$260,$C284,$C$12:$C$260,$D284)</f>
        <v>0</v>
      </c>
      <c r="H284">
        <f>SUMIFS($W$12:$W$260,$A$12:$A$260,$C284,$C$12:$C$260,$D284)</f>
        <v>0</v>
      </c>
      <c r="I284">
        <f>SUMIFS($X$12:$X$260,$A$12:$A$260,$C284,$C$12:$C$260,$D284)</f>
        <v>0</v>
      </c>
      <c r="J284">
        <f>SUMIFS($Y$12:$Y$260,$A$12:$A$260,$C284,$C$12:$C$260,$D284)</f>
        <v>0</v>
      </c>
      <c r="K284">
        <f>SUMIFS($Z$12:$Z$260,$A$12:$A$260,$C284,$C$12:$C$260,$D284)</f>
        <v>0</v>
      </c>
      <c r="L284">
        <f>SUMIFS(L$12:L$260,$A$12:$A$260,$C284,$C$12:$C$260,$D284)</f>
        <v>0</v>
      </c>
      <c r="M284">
        <f>SUMIFS(M$12:M$260,$A$12:$A$260,$C284,$C$12:$C$260,$D284)</f>
        <v>0</v>
      </c>
      <c r="N284">
        <f>SUMIFS(N$12:N$260,$A$12:$A$260,$C284,$C$12:$C$260,$D284)</f>
        <v>0</v>
      </c>
      <c r="O284">
        <f>SUMIFS(O$12:O$260,$A$12:$A$260,$C284,$C$12:$C$260,$D284)</f>
        <v>0</v>
      </c>
      <c r="P284">
        <f>SUMIFS(P$12:P$260,$A$12:$A$260,$C284,$C$12:$C$260,$D284)</f>
        <v>0</v>
      </c>
      <c r="Q284">
        <f>SUMIFS(Q$12:Q$260,$A$12:$A$260,$C284,$C$12:$C$260,$D284)</f>
        <v>0</v>
      </c>
      <c r="R284">
        <f>SUMIFS(R$12:R$260,$A$12:$A$260,$C284,$C$12:$C$260,$D284)</f>
        <v>0</v>
      </c>
      <c r="S284">
        <f>SUMIFS(S$12:S$260,$A$12:$A$260,$C284,$C$12:$C$260,$D284)</f>
        <v>0</v>
      </c>
      <c r="T284">
        <f>SUMIFS(T$12:T$260,$A$12:$A$260,$C284,$C$12:$C$260,$D284)</f>
        <v>0</v>
      </c>
      <c r="U284">
        <f>SUM(L284:T284)</f>
        <v>0</v>
      </c>
      <c r="W284">
        <f>IF(G284&gt;0,H284/G284,0)</f>
        <v>0</v>
      </c>
      <c r="X284">
        <f>IF(G284&gt;0,U284/G284,0)</f>
        <v>0</v>
      </c>
    </row>
    <row r="285">
      <c r="C285" t="str">
        <f>C284</f>
        <v>Lantai 2</v>
      </c>
      <c r="D285" t="str">
        <v>S24-2</v>
      </c>
      <c r="G285">
        <f>SUMIFS($V$12:$V$260,$A$12:$A$260,$C285,$C$12:$C$260,$D285)</f>
        <v>0</v>
      </c>
      <c r="H285">
        <f>SUMIFS($W$12:$W$260,$A$12:$A$260,$C285,$C$12:$C$260,$D285)</f>
        <v>0</v>
      </c>
      <c r="I285">
        <f>SUMIFS($X$12:$X$260,$A$12:$A$260,$C285,$C$12:$C$260,$D285)</f>
        <v>0</v>
      </c>
      <c r="J285">
        <f>SUMIFS($Y$12:$Y$260,$A$12:$A$260,$C285,$C$12:$C$260,$D285)</f>
        <v>0</v>
      </c>
      <c r="K285">
        <f>SUMIFS($Z$12:$Z$260,$A$12:$A$260,$C285,$C$12:$C$260,$D285)</f>
        <v>0</v>
      </c>
      <c r="L285">
        <f>SUMIFS(L$12:L$260,$A$12:$A$260,$C285,$C$12:$C$260,$D285)</f>
        <v>0</v>
      </c>
      <c r="M285">
        <f>SUMIFS(M$12:M$260,$A$12:$A$260,$C285,$C$12:$C$260,$D285)</f>
        <v>0</v>
      </c>
      <c r="N285">
        <f>SUMIFS(N$12:N$260,$A$12:$A$260,$C285,$C$12:$C$260,$D285)</f>
        <v>0</v>
      </c>
      <c r="O285">
        <f>SUMIFS(O$12:O$260,$A$12:$A$260,$C285,$C$12:$C$260,$D285)</f>
        <v>0</v>
      </c>
      <c r="P285">
        <f>SUMIFS(P$12:P$260,$A$12:$A$260,$C285,$C$12:$C$260,$D285)</f>
        <v>0</v>
      </c>
      <c r="Q285">
        <f>SUMIFS(Q$12:Q$260,$A$12:$A$260,$C285,$C$12:$C$260,$D285)</f>
        <v>0</v>
      </c>
      <c r="R285">
        <f>SUMIFS(R$12:R$260,$A$12:$A$260,$C285,$C$12:$C$260,$D285)</f>
        <v>0</v>
      </c>
      <c r="S285">
        <f>SUMIFS(S$12:S$260,$A$12:$A$260,$C285,$C$12:$C$260,$D285)</f>
        <v>0</v>
      </c>
      <c r="T285">
        <f>SUMIFS(T$12:T$260,$A$12:$A$260,$C285,$C$12:$C$260,$D285)</f>
        <v>0</v>
      </c>
      <c r="U285">
        <f>SUM(L285:T285)</f>
        <v>0</v>
      </c>
      <c r="W285">
        <f>IF(G285&gt;0,H285/G285,0)</f>
        <v>0</v>
      </c>
      <c r="X285">
        <f>IF(G285&gt;0,U285/G285,0)</f>
        <v>0</v>
      </c>
    </row>
    <row r="286">
      <c r="C286" t="str">
        <f>C285</f>
        <v>Lantai 2</v>
      </c>
      <c r="D286" t="str">
        <v>S25-1</v>
      </c>
      <c r="G286">
        <f>SUMIFS($V$12:$V$260,$A$12:$A$260,$C286,$C$12:$C$260,$D286)</f>
        <v>0</v>
      </c>
      <c r="H286">
        <f>SUMIFS($W$12:$W$260,$A$12:$A$260,$C286,$C$12:$C$260,$D286)</f>
        <v>0</v>
      </c>
      <c r="I286">
        <f>SUMIFS($X$12:$X$260,$A$12:$A$260,$C286,$C$12:$C$260,$D286)</f>
        <v>0</v>
      </c>
      <c r="J286">
        <f>SUMIFS($Y$12:$Y$260,$A$12:$A$260,$C286,$C$12:$C$260,$D286)</f>
        <v>0</v>
      </c>
      <c r="K286">
        <f>SUMIFS($Z$12:$Z$260,$A$12:$A$260,$C286,$C$12:$C$260,$D286)</f>
        <v>0</v>
      </c>
      <c r="L286">
        <f>SUMIFS(L$12:L$260,$A$12:$A$260,$C286,$C$12:$C$260,$D286)</f>
        <v>0</v>
      </c>
      <c r="M286">
        <f>SUMIFS(M$12:M$260,$A$12:$A$260,$C286,$C$12:$C$260,$D286)</f>
        <v>0</v>
      </c>
      <c r="N286">
        <f>SUMIFS(N$12:N$260,$A$12:$A$260,$C286,$C$12:$C$260,$D286)</f>
        <v>0</v>
      </c>
      <c r="O286">
        <f>SUMIFS(O$12:O$260,$A$12:$A$260,$C286,$C$12:$C$260,$D286)</f>
        <v>0</v>
      </c>
      <c r="P286">
        <f>SUMIFS(P$12:P$260,$A$12:$A$260,$C286,$C$12:$C$260,$D286)</f>
        <v>0</v>
      </c>
      <c r="Q286">
        <f>SUMIFS(Q$12:Q$260,$A$12:$A$260,$C286,$C$12:$C$260,$D286)</f>
        <v>0</v>
      </c>
      <c r="R286">
        <f>SUMIFS(R$12:R$260,$A$12:$A$260,$C286,$C$12:$C$260,$D286)</f>
        <v>0</v>
      </c>
      <c r="S286">
        <f>SUMIFS(S$12:S$260,$A$12:$A$260,$C286,$C$12:$C$260,$D286)</f>
        <v>0</v>
      </c>
      <c r="T286">
        <f>SUMIFS(T$12:T$260,$A$12:$A$260,$C286,$C$12:$C$260,$D286)</f>
        <v>0</v>
      </c>
      <c r="U286">
        <f>SUM(L286:T286)</f>
        <v>0</v>
      </c>
      <c r="W286">
        <f>IF(G286&gt;0,H286/G286,0)</f>
        <v>0</v>
      </c>
      <c r="X286">
        <f>IF(G286&gt;0,U286/G286,0)</f>
        <v>0</v>
      </c>
    </row>
    <row r="287">
      <c r="C287" t="str">
        <f>C286</f>
        <v>Lantai 2</v>
      </c>
      <c r="D287" t="str">
        <v>S36-1</v>
      </c>
      <c r="G287">
        <f>SUMIFS($V$12:$V$260,$A$12:$A$260,$C287,$C$12:$C$260,$D287)</f>
        <v>0</v>
      </c>
      <c r="H287">
        <f>SUMIFS($W$12:$W$260,$A$12:$A$260,$C287,$C$12:$C$260,$D287)</f>
        <v>0</v>
      </c>
      <c r="I287">
        <f>SUMIFS($X$12:$X$260,$A$12:$A$260,$C287,$C$12:$C$260,$D287)</f>
        <v>0</v>
      </c>
      <c r="J287">
        <f>SUMIFS($Y$12:$Y$260,$A$12:$A$260,$C287,$C$12:$C$260,$D287)</f>
        <v>0</v>
      </c>
      <c r="K287">
        <f>SUMIFS($Z$12:$Z$260,$A$12:$A$260,$C287,$C$12:$C$260,$D287)</f>
        <v>0</v>
      </c>
      <c r="L287">
        <f>SUMIFS(L$12:L$260,$A$12:$A$260,$C287,$C$12:$C$260,$D287)</f>
        <v>0</v>
      </c>
      <c r="M287">
        <f>SUMIFS(M$12:M$260,$A$12:$A$260,$C287,$C$12:$C$260,$D287)</f>
        <v>0</v>
      </c>
      <c r="N287">
        <f>SUMIFS(N$12:N$260,$A$12:$A$260,$C287,$C$12:$C$260,$D287)</f>
        <v>0</v>
      </c>
      <c r="O287">
        <f>SUMIFS(O$12:O$260,$A$12:$A$260,$C287,$C$12:$C$260,$D287)</f>
        <v>0</v>
      </c>
      <c r="P287">
        <f>SUMIFS(P$12:P$260,$A$12:$A$260,$C287,$C$12:$C$260,$D287)</f>
        <v>0</v>
      </c>
      <c r="Q287">
        <f>SUMIFS(Q$12:Q$260,$A$12:$A$260,$C287,$C$12:$C$260,$D287)</f>
        <v>0</v>
      </c>
      <c r="R287">
        <f>SUMIFS(R$12:R$260,$A$12:$A$260,$C287,$C$12:$C$260,$D287)</f>
        <v>0</v>
      </c>
      <c r="S287">
        <f>SUMIFS(S$12:S$260,$A$12:$A$260,$C287,$C$12:$C$260,$D287)</f>
        <v>0</v>
      </c>
      <c r="T287">
        <f>SUMIFS(T$12:T$260,$A$12:$A$260,$C287,$C$12:$C$260,$D287)</f>
        <v>0</v>
      </c>
      <c r="U287">
        <f>SUM(L287:T287)</f>
        <v>0</v>
      </c>
      <c r="W287">
        <f>IF(G287&gt;0,H287/G287,0)</f>
        <v>0</v>
      </c>
      <c r="X287">
        <f>IF(G287&gt;0,U287/G287,0)</f>
        <v>0</v>
      </c>
    </row>
    <row r="288">
      <c r="C288" t="str">
        <f>C287</f>
        <v>Lantai 2</v>
      </c>
      <c r="D288" t="str">
        <v>B4-1</v>
      </c>
      <c r="G288">
        <f>SUMIFS($V$12:$V$260,$A$12:$A$260,$C288,$C$12:$C$260,$D288)</f>
        <v>0.572</v>
      </c>
      <c r="H288">
        <f>SUMIFS($W$12:$W$260,$A$12:$A$260,$C288,$C$12:$C$260,$D288)</f>
        <v>10.23</v>
      </c>
      <c r="I288">
        <f>SUMIFS($X$12:$X$260,$A$12:$A$260,$C288,$C$12:$C$260,$D288)</f>
        <v>0</v>
      </c>
      <c r="J288">
        <f>SUMIFS($Y$12:$Y$260,$A$12:$A$260,$C288,$C$12:$C$260,$D288)</f>
        <v>0</v>
      </c>
      <c r="K288">
        <f>SUMIFS($Z$12:$Z$260,$A$12:$A$260,$C288,$C$12:$C$260,$D288)</f>
        <v>0</v>
      </c>
      <c r="L288">
        <f>SUMIFS(L$12:L$260,$A$12:$A$260,$C288,$C$12:$C$260,$D288)</f>
        <v>0</v>
      </c>
      <c r="M288">
        <f>SUMIFS(M$12:M$260,$A$12:$A$260,$C288,$C$12:$C$260,$D288)</f>
        <v>23.176454400000004</v>
      </c>
      <c r="N288">
        <f>SUMIFS(N$12:N$260,$A$12:$A$260,$C288,$C$12:$C$260,$D288)</f>
        <v>0</v>
      </c>
      <c r="O288">
        <f>SUMIFS(O$12:O$260,$A$12:$A$260,$C288,$C$12:$C$260,$D288)</f>
        <v>47.14321248</v>
      </c>
      <c r="P288">
        <f>SUMIFS(P$12:P$260,$A$12:$A$260,$C288,$C$12:$C$260,$D288)</f>
        <v>0</v>
      </c>
      <c r="Q288">
        <f>SUMIFS(Q$12:Q$260,$A$12:$A$260,$C288,$C$12:$C$260,$D288)</f>
        <v>0</v>
      </c>
      <c r="R288">
        <f>SUMIFS(R$12:R$260,$A$12:$A$260,$C288,$C$12:$C$260,$D288)</f>
        <v>0</v>
      </c>
      <c r="S288">
        <f>SUMIFS(S$12:S$260,$A$12:$A$260,$C288,$C$12:$C$260,$D288)</f>
        <v>0</v>
      </c>
      <c r="T288">
        <f>SUMIFS(T$12:T$260,$A$12:$A$260,$C288,$C$12:$C$260,$D288)</f>
        <v>0</v>
      </c>
      <c r="U288">
        <f>SUM(L288:T288)</f>
        <v>70.31966688</v>
      </c>
      <c r="W288">
        <f>IF(G288&gt;0,H288/G288,0)</f>
        <v>17.884615384615387</v>
      </c>
      <c r="X288">
        <f>IF(G288&gt;0,U288/G288,0)</f>
        <v>122.93648055944057</v>
      </c>
    </row>
    <row r="289">
      <c r="C289" t="str">
        <f>C288</f>
        <v>Lantai 2</v>
      </c>
      <c r="D289" t="str">
        <v>B5-1</v>
      </c>
      <c r="G289">
        <f>SUMIFS($V$12:$V$260,$A$12:$A$260,$C289,$C$12:$C$260,$D289)</f>
        <v>0</v>
      </c>
      <c r="H289">
        <f>SUMIFS($W$12:$W$260,$A$12:$A$260,$C289,$C$12:$C$260,$D289)</f>
        <v>0</v>
      </c>
      <c r="I289">
        <f>SUMIFS($X$12:$X$260,$A$12:$A$260,$C289,$C$12:$C$260,$D289)</f>
        <v>0</v>
      </c>
      <c r="J289">
        <f>SUMIFS($Y$12:$Y$260,$A$12:$A$260,$C289,$C$12:$C$260,$D289)</f>
        <v>0</v>
      </c>
      <c r="K289">
        <f>SUMIFS($Z$12:$Z$260,$A$12:$A$260,$C289,$C$12:$C$260,$D289)</f>
        <v>0</v>
      </c>
      <c r="L289">
        <f>SUMIFS(L$12:L$260,$A$12:$A$260,$C289,$C$12:$C$260,$D289)</f>
        <v>0</v>
      </c>
      <c r="M289">
        <f>SUMIFS(M$12:M$260,$A$12:$A$260,$C289,$C$12:$C$260,$D289)</f>
        <v>0</v>
      </c>
      <c r="N289">
        <f>SUMIFS(N$12:N$260,$A$12:$A$260,$C289,$C$12:$C$260,$D289)</f>
        <v>0</v>
      </c>
      <c r="O289">
        <f>SUMIFS(O$12:O$260,$A$12:$A$260,$C289,$C$12:$C$260,$D289)</f>
        <v>0</v>
      </c>
      <c r="P289">
        <f>SUMIFS(P$12:P$260,$A$12:$A$260,$C289,$C$12:$C$260,$D289)</f>
        <v>0</v>
      </c>
      <c r="Q289">
        <f>SUMIFS(Q$12:Q$260,$A$12:$A$260,$C289,$C$12:$C$260,$D289)</f>
        <v>0</v>
      </c>
      <c r="R289">
        <f>SUMIFS(R$12:R$260,$A$12:$A$260,$C289,$C$12:$C$260,$D289)</f>
        <v>0</v>
      </c>
      <c r="S289">
        <f>SUMIFS(S$12:S$260,$A$12:$A$260,$C289,$C$12:$C$260,$D289)</f>
        <v>0</v>
      </c>
      <c r="T289">
        <f>SUMIFS(T$12:T$260,$A$12:$A$260,$C289,$C$12:$C$260,$D289)</f>
        <v>0</v>
      </c>
      <c r="U289">
        <f>SUM(L289:T289)</f>
        <v>0</v>
      </c>
      <c r="W289">
        <f>IF(G289&gt;0,H289/G289,0)</f>
        <v>0</v>
      </c>
      <c r="X289">
        <f>IF(G289&gt;0,U289/G289,0)</f>
        <v>0</v>
      </c>
    </row>
    <row r="290">
      <c r="C290" t="str">
        <f>C289</f>
        <v>Lantai 2</v>
      </c>
      <c r="D290" t="str">
        <v>B23-1</v>
      </c>
      <c r="G290">
        <f>SUMIFS($V$12:$V$260,$A$12:$A$260,$C290,$C$12:$C$260,$D290)</f>
        <v>0.2952</v>
      </c>
      <c r="H290">
        <f>SUMIFS($W$12:$W$260,$A$12:$A$260,$C290,$C$12:$C$260,$D290)</f>
        <v>2.952</v>
      </c>
      <c r="I290">
        <f>SUMIFS($X$12:$X$260,$A$12:$A$260,$C290,$C$12:$C$260,$D290)</f>
        <v>0</v>
      </c>
      <c r="J290">
        <f>SUMIFS($Y$12:$Y$260,$A$12:$A$260,$C290,$C$12:$C$260,$D290)</f>
        <v>0</v>
      </c>
      <c r="K290">
        <f>SUMIFS($Z$12:$Z$260,$A$12:$A$260,$C290,$C$12:$C$260,$D290)</f>
        <v>0</v>
      </c>
      <c r="L290">
        <f>SUMIFS(L$12:L$260,$A$12:$A$260,$C290,$C$12:$C$260,$D290)</f>
        <v>0</v>
      </c>
      <c r="M290">
        <f>SUMIFS(M$12:M$260,$A$12:$A$260,$C290,$C$12:$C$260,$D290)</f>
        <v>0</v>
      </c>
      <c r="N290">
        <f>SUMIFS(N$12:N$260,$A$12:$A$260,$C290,$C$12:$C$260,$D290)</f>
        <v>43.49407500000001</v>
      </c>
      <c r="O290">
        <f>SUMIFS(O$12:O$260,$A$12:$A$260,$C290,$C$12:$C$260,$D290)</f>
        <v>69.31452528</v>
      </c>
      <c r="P290">
        <f>SUMIFS(P$12:P$260,$A$12:$A$260,$C290,$C$12:$C$260,$D290)</f>
        <v>0</v>
      </c>
      <c r="Q290">
        <f>SUMIFS(Q$12:Q$260,$A$12:$A$260,$C290,$C$12:$C$260,$D290)</f>
        <v>0</v>
      </c>
      <c r="R290">
        <f>SUMIFS(R$12:R$260,$A$12:$A$260,$C290,$C$12:$C$260,$D290)</f>
        <v>0</v>
      </c>
      <c r="S290">
        <f>SUMIFS(S$12:S$260,$A$12:$A$260,$C290,$C$12:$C$260,$D290)</f>
        <v>0</v>
      </c>
      <c r="T290">
        <f>SUMIFS(T$12:T$260,$A$12:$A$260,$C290,$C$12:$C$260,$D290)</f>
        <v>0</v>
      </c>
      <c r="U290">
        <f>SUM(L290:T290)</f>
        <v>112.80860028000001</v>
      </c>
      <c r="W290">
        <f>IF(G290&gt;0,H290/G290,0)</f>
        <v>10</v>
      </c>
      <c r="X290">
        <f>IF(G290&gt;0,U290/G290,0)</f>
        <v>382.1429548780488</v>
      </c>
    </row>
    <row r="291">
      <c r="C291" t="str">
        <f>C290</f>
        <v>Lantai 2</v>
      </c>
      <c r="D291" t="str">
        <v>B24-1</v>
      </c>
      <c r="G291">
        <f>SUMIFS($V$12:$V$260,$A$12:$A$260,$C291,$C$12:$C$260,$D291)</f>
        <v>2.7522</v>
      </c>
      <c r="H291">
        <f>SUMIFS($W$12:$W$260,$A$12:$A$260,$C291,$C$12:$C$260,$D291)</f>
        <v>30.485000000000003</v>
      </c>
      <c r="I291">
        <f>SUMIFS($X$12:$X$260,$A$12:$A$260,$C291,$C$12:$C$260,$D291)</f>
        <v>0</v>
      </c>
      <c r="J291">
        <f>SUMIFS($Y$12:$Y$260,$A$12:$A$260,$C291,$C$12:$C$260,$D291)</f>
        <v>0</v>
      </c>
      <c r="K291">
        <f>SUMIFS($Z$12:$Z$260,$A$12:$A$260,$C291,$C$12:$C$260,$D291)</f>
        <v>0</v>
      </c>
      <c r="L291">
        <f>SUMIFS(L$12:L$260,$A$12:$A$260,$C291,$C$12:$C$260,$D291)</f>
        <v>0</v>
      </c>
      <c r="M291">
        <f>SUMIFS(M$12:M$260,$A$12:$A$260,$C291,$C$12:$C$260,$D291)</f>
        <v>0</v>
      </c>
      <c r="N291">
        <f>SUMIFS(N$12:N$260,$A$12:$A$260,$C291,$C$12:$C$260,$D291)</f>
        <v>251.45802000000003</v>
      </c>
      <c r="O291">
        <f>SUMIFS(O$12:O$260,$A$12:$A$260,$C291,$C$12:$C$260,$D291)</f>
        <v>317.78534385</v>
      </c>
      <c r="P291">
        <f>SUMIFS(P$12:P$260,$A$12:$A$260,$C291,$C$12:$C$260,$D291)</f>
        <v>0</v>
      </c>
      <c r="Q291">
        <f>SUMIFS(Q$12:Q$260,$A$12:$A$260,$C291,$C$12:$C$260,$D291)</f>
        <v>0</v>
      </c>
      <c r="R291">
        <f>SUMIFS(R$12:R$260,$A$12:$A$260,$C291,$C$12:$C$260,$D291)</f>
        <v>0</v>
      </c>
      <c r="S291">
        <f>SUMIFS(S$12:S$260,$A$12:$A$260,$C291,$C$12:$C$260,$D291)</f>
        <v>0</v>
      </c>
      <c r="T291">
        <f>SUMIFS(T$12:T$260,$A$12:$A$260,$C291,$C$12:$C$260,$D291)</f>
        <v>0</v>
      </c>
      <c r="U291">
        <f>SUM(L291:T291)</f>
        <v>569.24336385</v>
      </c>
      <c r="W291">
        <f>IF(G291&gt;0,H291/G291,0)</f>
        <v>11.076593270837876</v>
      </c>
      <c r="X291">
        <f>IF(G291&gt;0,U291/G291,0)</f>
        <v>206.83212115761935</v>
      </c>
    </row>
    <row r="292">
      <c r="C292" t="str">
        <f>C291</f>
        <v>Lantai 2</v>
      </c>
      <c r="D292" t="str">
        <v>B24-2</v>
      </c>
      <c r="G292">
        <f>SUMIFS($V$12:$V$260,$A$12:$A$260,$C292,$C$12:$C$260,$D292)</f>
        <v>1.0412499999999998</v>
      </c>
      <c r="H292">
        <f>SUMIFS($W$12:$W$260,$A$12:$A$260,$C292,$C$12:$C$260,$D292)</f>
        <v>10.412500000000001</v>
      </c>
      <c r="I292">
        <f>SUMIFS($X$12:$X$260,$A$12:$A$260,$C292,$C$12:$C$260,$D292)</f>
        <v>0</v>
      </c>
      <c r="J292">
        <f>SUMIFS($Y$12:$Y$260,$A$12:$A$260,$C292,$C$12:$C$260,$D292)</f>
        <v>0</v>
      </c>
      <c r="K292">
        <f>SUMIFS($Z$12:$Z$260,$A$12:$A$260,$C292,$C$12:$C$260,$D292)</f>
        <v>0</v>
      </c>
      <c r="L292">
        <f>SUMIFS(L$12:L$260,$A$12:$A$260,$C292,$C$12:$C$260,$D292)</f>
        <v>0</v>
      </c>
      <c r="M292">
        <f>SUMIFS(M$12:M$260,$A$12:$A$260,$C292,$C$12:$C$260,$D292)</f>
        <v>0</v>
      </c>
      <c r="N292">
        <f>SUMIFS(N$12:N$260,$A$12:$A$260,$C292,$C$12:$C$260,$D292)</f>
        <v>104.77417500000001</v>
      </c>
      <c r="O292">
        <f>SUMIFS(O$12:O$260,$A$12:$A$260,$C292,$C$12:$C$260,$D292)</f>
        <v>0</v>
      </c>
      <c r="P292">
        <f>SUMIFS(P$12:P$260,$A$12:$A$260,$C292,$C$12:$C$260,$D292)</f>
        <v>211.74614784000002</v>
      </c>
      <c r="Q292">
        <f>SUMIFS(Q$12:Q$260,$A$12:$A$260,$C292,$C$12:$C$260,$D292)</f>
        <v>0</v>
      </c>
      <c r="R292">
        <f>SUMIFS(R$12:R$260,$A$12:$A$260,$C292,$C$12:$C$260,$D292)</f>
        <v>0</v>
      </c>
      <c r="S292">
        <f>SUMIFS(S$12:S$260,$A$12:$A$260,$C292,$C$12:$C$260,$D292)</f>
        <v>0</v>
      </c>
      <c r="T292">
        <f>SUMIFS(T$12:T$260,$A$12:$A$260,$C292,$C$12:$C$260,$D292)</f>
        <v>0</v>
      </c>
      <c r="U292">
        <f>SUM(L292:T292)</f>
        <v>316.52032284000006</v>
      </c>
      <c r="W292">
        <f>IF(G292&gt;0,H292/G292,0)</f>
        <v>10.000000000000004</v>
      </c>
      <c r="X292">
        <f>IF(G292&gt;0,U292/G292,0)</f>
        <v>303.98110236734703</v>
      </c>
    </row>
    <row r="293">
      <c r="C293" t="str">
        <f>C292</f>
        <v>Lantai 2</v>
      </c>
      <c r="D293" t="str">
        <v>CL24-1</v>
      </c>
      <c r="G293">
        <f>SUMIFS($V$12:$V$260,$A$12:$A$260,$C293,$C$12:$C$260,$D293)</f>
        <v>0.7932499999999999</v>
      </c>
      <c r="H293">
        <f>SUMIFS($W$12:$W$260,$A$12:$A$260,$C293,$C$12:$C$260,$D293)</f>
        <v>7.932499999999999</v>
      </c>
      <c r="I293">
        <f>SUMIFS($X$12:$X$260,$A$12:$A$260,$C293,$C$12:$C$260,$D293)</f>
        <v>0</v>
      </c>
      <c r="J293">
        <f>SUMIFS($Y$12:$Y$260,$A$12:$A$260,$C293,$C$12:$C$260,$D293)</f>
        <v>0</v>
      </c>
      <c r="K293">
        <f>SUMIFS($Z$12:$Z$260,$A$12:$A$260,$C293,$C$12:$C$260,$D293)</f>
        <v>0</v>
      </c>
      <c r="L293">
        <f>SUMIFS(L$12:L$260,$A$12:$A$260,$C293,$C$12:$C$260,$D293)</f>
        <v>0</v>
      </c>
      <c r="M293">
        <f>SUMIFS(M$12:M$260,$A$12:$A$260,$C293,$C$12:$C$260,$D293)</f>
        <v>0</v>
      </c>
      <c r="N293">
        <f>SUMIFS(N$12:N$260,$A$12:$A$260,$C293,$C$12:$C$260,$D293)</f>
        <v>108.584145</v>
      </c>
      <c r="O293">
        <f>SUMIFS(O$12:O$260,$A$12:$A$260,$C293,$C$12:$C$260,$D293)</f>
        <v>0</v>
      </c>
      <c r="P293">
        <f>SUMIFS(P$12:P$260,$A$12:$A$260,$C293,$C$12:$C$260,$D293)</f>
        <v>172.05025536</v>
      </c>
      <c r="Q293">
        <f>SUMIFS(Q$12:Q$260,$A$12:$A$260,$C293,$C$12:$C$260,$D293)</f>
        <v>0</v>
      </c>
      <c r="R293">
        <f>SUMIFS(R$12:R$260,$A$12:$A$260,$C293,$C$12:$C$260,$D293)</f>
        <v>0</v>
      </c>
      <c r="S293">
        <f>SUMIFS(S$12:S$260,$A$12:$A$260,$C293,$C$12:$C$260,$D293)</f>
        <v>0</v>
      </c>
      <c r="T293">
        <f>SUMIFS(T$12:T$260,$A$12:$A$260,$C293,$C$12:$C$260,$D293)</f>
        <v>0</v>
      </c>
      <c r="U293">
        <f>SUM(L293:T293)</f>
        <v>280.63440036</v>
      </c>
      <c r="W293">
        <f>IF(G293&gt;0,H293/G293,0)</f>
        <v>10</v>
      </c>
      <c r="X293">
        <f>IF(G293&gt;0,U293/G293,0)</f>
        <v>353.7780023447841</v>
      </c>
    </row>
    <row r="294">
      <c r="C294" t="str">
        <f>C293</f>
        <v>Lantai 2</v>
      </c>
      <c r="D294" t="str">
        <v>B25-1</v>
      </c>
      <c r="G294">
        <f>SUMIFS($V$12:$V$260,$A$12:$A$260,$C294,$C$12:$C$260,$D294)</f>
        <v>6.7695500000000015</v>
      </c>
      <c r="H294">
        <f>SUMIFS($W$12:$W$260,$A$12:$A$260,$C294,$C$12:$C$260,$D294)</f>
        <v>69.76050000000001</v>
      </c>
      <c r="I294">
        <f>SUMIFS($X$12:$X$260,$A$12:$A$260,$C294,$C$12:$C$260,$D294)</f>
        <v>0</v>
      </c>
      <c r="J294">
        <f>SUMIFS($Y$12:$Y$260,$A$12:$A$260,$C294,$C$12:$C$260,$D294)</f>
        <v>0</v>
      </c>
      <c r="K294">
        <f>SUMIFS($Z$12:$Z$260,$A$12:$A$260,$C294,$C$12:$C$260,$D294)</f>
        <v>0</v>
      </c>
      <c r="L294">
        <f>SUMIFS(L$12:L$260,$A$12:$A$260,$C294,$C$12:$C$260,$D294)</f>
        <v>0</v>
      </c>
      <c r="M294">
        <f>SUMIFS(M$12:M$260,$A$12:$A$260,$C294,$C$12:$C$260,$D294)</f>
        <v>0</v>
      </c>
      <c r="N294">
        <f>SUMIFS(N$12:N$260,$A$12:$A$260,$C294,$C$12:$C$260,$D294)</f>
        <v>531.1154898</v>
      </c>
      <c r="O294">
        <f>SUMIFS(O$12:O$260,$A$12:$A$260,$C294,$C$12:$C$260,$D294)</f>
        <v>0</v>
      </c>
      <c r="P294">
        <f>SUMIFS(P$12:P$260,$A$12:$A$260,$C294,$C$12:$C$260,$D294)</f>
        <v>1193.3615554560001</v>
      </c>
      <c r="Q294">
        <f>SUMIFS(Q$12:Q$260,$A$12:$A$260,$C294,$C$12:$C$260,$D294)</f>
        <v>0</v>
      </c>
      <c r="R294">
        <f>SUMIFS(R$12:R$260,$A$12:$A$260,$C294,$C$12:$C$260,$D294)</f>
        <v>0</v>
      </c>
      <c r="S294">
        <f>SUMIFS(S$12:S$260,$A$12:$A$260,$C294,$C$12:$C$260,$D294)</f>
        <v>0</v>
      </c>
      <c r="T294">
        <f>SUMIFS(T$12:T$260,$A$12:$A$260,$C294,$C$12:$C$260,$D294)</f>
        <v>0</v>
      </c>
      <c r="U294">
        <f>SUM(L294:T294)</f>
        <v>1724.477045256</v>
      </c>
      <c r="W294">
        <f>IF(G294&gt;0,H294/G294,0)</f>
        <v>10.305042432658004</v>
      </c>
      <c r="X294">
        <f>IF(G294&gt;0,U294/G294,0)</f>
        <v>254.74027745655172</v>
      </c>
    </row>
    <row r="295">
      <c r="C295" t="str">
        <f>C294</f>
        <v>Lantai 2</v>
      </c>
      <c r="D295" t="str">
        <v>B26-1</v>
      </c>
      <c r="G295">
        <f>SUMIFS($V$12:$V$260,$A$12:$A$260,$C295,$C$12:$C$260,$D295)</f>
        <v>2.72025</v>
      </c>
      <c r="H295">
        <f>SUMIFS($W$12:$W$260,$A$12:$A$260,$C295,$C$12:$C$260,$D295)</f>
        <v>27.202499999999997</v>
      </c>
      <c r="I295">
        <f>SUMIFS($X$12:$X$260,$A$12:$A$260,$C295,$C$12:$C$260,$D295)</f>
        <v>0</v>
      </c>
      <c r="J295">
        <f>SUMIFS($Y$12:$Y$260,$A$12:$A$260,$C295,$C$12:$C$260,$D295)</f>
        <v>0</v>
      </c>
      <c r="K295">
        <f>SUMIFS($Z$12:$Z$260,$A$12:$A$260,$C295,$C$12:$C$260,$D295)</f>
        <v>0</v>
      </c>
      <c r="L295">
        <f>SUMIFS(L$12:L$260,$A$12:$A$260,$C295,$C$12:$C$260,$D295)</f>
        <v>0</v>
      </c>
      <c r="M295">
        <f>SUMIFS(M$12:M$260,$A$12:$A$260,$C295,$C$12:$C$260,$D295)</f>
        <v>0</v>
      </c>
      <c r="N295">
        <f>SUMIFS(N$12:N$260,$A$12:$A$260,$C295,$C$12:$C$260,$D295)</f>
        <v>274.42881000000006</v>
      </c>
      <c r="O295">
        <f>SUMIFS(O$12:O$260,$A$12:$A$260,$C295,$C$12:$C$260,$D295)</f>
        <v>0</v>
      </c>
      <c r="P295">
        <f>SUMIFS(P$12:P$260,$A$12:$A$260,$C295,$C$12:$C$260,$D295)</f>
        <v>373.45577472</v>
      </c>
      <c r="Q295">
        <f>SUMIFS(Q$12:Q$260,$A$12:$A$260,$C295,$C$12:$C$260,$D295)</f>
        <v>0</v>
      </c>
      <c r="R295">
        <f>SUMIFS(R$12:R$260,$A$12:$A$260,$C295,$C$12:$C$260,$D295)</f>
        <v>0</v>
      </c>
      <c r="S295">
        <f>SUMIFS(S$12:S$260,$A$12:$A$260,$C295,$C$12:$C$260,$D295)</f>
        <v>0</v>
      </c>
      <c r="T295">
        <f>SUMIFS(T$12:T$260,$A$12:$A$260,$C295,$C$12:$C$260,$D295)</f>
        <v>0</v>
      </c>
      <c r="U295">
        <f>SUM(L295:T295)</f>
        <v>647.88458472</v>
      </c>
      <c r="W295">
        <f>IF(G295&gt;0,H295/G295,0)</f>
        <v>9.999999999999998</v>
      </c>
      <c r="X295">
        <f>IF(G295&gt;0,U295/G295,0)</f>
        <v>238.17097131513648</v>
      </c>
    </row>
    <row r="296">
      <c r="C296" t="str">
        <f>C295</f>
        <v>Lantai 2</v>
      </c>
      <c r="D296" t="str">
        <v>B2A4A-1</v>
      </c>
      <c r="G296">
        <f>SUMIFS($V$12:$V$260,$A$12:$A$260,$C296,$C$12:$C$260,$D296)</f>
        <v>0</v>
      </c>
      <c r="H296">
        <f>SUMIFS($W$12:$W$260,$A$12:$A$260,$C296,$C$12:$C$260,$D296)</f>
        <v>0</v>
      </c>
      <c r="I296">
        <f>SUMIFS($X$12:$X$260,$A$12:$A$260,$C296,$C$12:$C$260,$D296)</f>
        <v>0</v>
      </c>
      <c r="J296">
        <f>SUMIFS($Y$12:$Y$260,$A$12:$A$260,$C296,$C$12:$C$260,$D296)</f>
        <v>0</v>
      </c>
      <c r="K296">
        <f>SUMIFS($Z$12:$Z$260,$A$12:$A$260,$C296,$C$12:$C$260,$D296)</f>
        <v>0</v>
      </c>
      <c r="L296">
        <f>SUMIFS(L$12:L$260,$A$12:$A$260,$C296,$C$12:$C$260,$D296)</f>
        <v>0</v>
      </c>
      <c r="M296">
        <f>SUMIFS(M$12:M$260,$A$12:$A$260,$C296,$C$12:$C$260,$D296)</f>
        <v>0</v>
      </c>
      <c r="N296">
        <f>SUMIFS(N$12:N$260,$A$12:$A$260,$C296,$C$12:$C$260,$D296)</f>
        <v>0</v>
      </c>
      <c r="O296">
        <f>SUMIFS(O$12:O$260,$A$12:$A$260,$C296,$C$12:$C$260,$D296)</f>
        <v>0</v>
      </c>
      <c r="P296">
        <f>SUMIFS(P$12:P$260,$A$12:$A$260,$C296,$C$12:$C$260,$D296)</f>
        <v>0</v>
      </c>
      <c r="Q296">
        <f>SUMIFS(Q$12:Q$260,$A$12:$A$260,$C296,$C$12:$C$260,$D296)</f>
        <v>0</v>
      </c>
      <c r="R296">
        <f>SUMIFS(R$12:R$260,$A$12:$A$260,$C296,$C$12:$C$260,$D296)</f>
        <v>0</v>
      </c>
      <c r="S296">
        <f>SUMIFS(S$12:S$260,$A$12:$A$260,$C296,$C$12:$C$260,$D296)</f>
        <v>0</v>
      </c>
      <c r="T296">
        <f>SUMIFS(T$12:T$260,$A$12:$A$260,$C296,$C$12:$C$260,$D296)</f>
        <v>0</v>
      </c>
      <c r="U296">
        <f>SUM(L296:T296)</f>
        <v>0</v>
      </c>
      <c r="W296">
        <f>IF(G296&gt;0,H296/G296,0)</f>
        <v>0</v>
      </c>
      <c r="X296">
        <f>IF(G296&gt;0,U296/G296,0)</f>
        <v>0</v>
      </c>
    </row>
    <row r="297">
      <c r="C297" t="str">
        <f>C296</f>
        <v>Lantai 2</v>
      </c>
      <c r="D297" t="str">
        <v>B36-1</v>
      </c>
      <c r="G297">
        <f>SUMIFS($V$12:$V$260,$A$12:$A$260,$C297,$C$12:$C$260,$D297)</f>
        <v>4.311225</v>
      </c>
      <c r="H297">
        <f>SUMIFS($W$12:$W$260,$A$12:$A$260,$C297,$C$12:$C$260,$D297)</f>
        <v>28.741500000000002</v>
      </c>
      <c r="I297">
        <f>SUMIFS($X$12:$X$260,$A$12:$A$260,$C297,$C$12:$C$260,$D297)</f>
        <v>0</v>
      </c>
      <c r="J297">
        <f>SUMIFS($Y$12:$Y$260,$A$12:$A$260,$C297,$C$12:$C$260,$D297)</f>
        <v>0</v>
      </c>
      <c r="K297">
        <f>SUMIFS($Z$12:$Z$260,$A$12:$A$260,$C297,$C$12:$C$260,$D297)</f>
        <v>0</v>
      </c>
      <c r="L297">
        <f>SUMIFS(L$12:L$260,$A$12:$A$260,$C297,$C$12:$C$260,$D297)</f>
        <v>0</v>
      </c>
      <c r="M297">
        <f>SUMIFS(M$12:M$260,$A$12:$A$260,$C297,$C$12:$C$260,$D297)</f>
        <v>0</v>
      </c>
      <c r="N297">
        <f>SUMIFS(N$12:N$260,$A$12:$A$260,$C297,$C$12:$C$260,$D297)</f>
        <v>319.21137000000004</v>
      </c>
      <c r="O297">
        <f>SUMIFS(O$12:O$260,$A$12:$A$260,$C297,$C$12:$C$260,$D297)</f>
        <v>0</v>
      </c>
      <c r="P297">
        <f>SUMIFS(P$12:P$260,$A$12:$A$260,$C297,$C$12:$C$260,$D297)</f>
        <v>534.3131520000001</v>
      </c>
      <c r="Q297">
        <f>SUMIFS(Q$12:Q$260,$A$12:$A$260,$C297,$C$12:$C$260,$D297)</f>
        <v>0</v>
      </c>
      <c r="R297">
        <f>SUMIFS(R$12:R$260,$A$12:$A$260,$C297,$C$12:$C$260,$D297)</f>
        <v>0</v>
      </c>
      <c r="S297">
        <f>SUMIFS(S$12:S$260,$A$12:$A$260,$C297,$C$12:$C$260,$D297)</f>
        <v>0</v>
      </c>
      <c r="T297">
        <f>SUMIFS(T$12:T$260,$A$12:$A$260,$C297,$C$12:$C$260,$D297)</f>
        <v>0</v>
      </c>
      <c r="U297">
        <f>SUM(L297:T297)</f>
        <v>853.5245220000002</v>
      </c>
      <c r="W297">
        <f>IF(G297&gt;0,H297/G297,0)</f>
        <v>6.666666666666667</v>
      </c>
      <c r="X297">
        <f>IF(G297&gt;0,U297/G297,0)</f>
        <v>197.97726214706958</v>
      </c>
    </row>
    <row r="298">
      <c r="C298" t="str">
        <v>Subtotal Lantai 2</v>
      </c>
      <c r="G298">
        <f>SUM(G282:G297)</f>
        <v>19.254925</v>
      </c>
      <c r="H298">
        <f>SUM(H282:H297)</f>
        <v>187.7165</v>
      </c>
      <c r="I298">
        <f>SUM(I282:I297)</f>
        <v>0</v>
      </c>
      <c r="J298">
        <f>SUM(J282:J297)</f>
        <v>0</v>
      </c>
      <c r="K298">
        <f>SUM(K282:K297)</f>
        <v>0</v>
      </c>
      <c r="L298">
        <f>SUM(L282:L297)</f>
        <v>0</v>
      </c>
      <c r="M298">
        <f>SUM(M282:M297)</f>
        <v>23.176454400000004</v>
      </c>
      <c r="N298">
        <f>SUM(N282:N297)</f>
        <v>1633.0660848</v>
      </c>
      <c r="O298">
        <f>SUM(O282:O297)</f>
        <v>434.24308161</v>
      </c>
      <c r="P298">
        <f>SUM(P282:P297)</f>
        <v>2484.9268853760004</v>
      </c>
      <c r="Q298">
        <f>SUM(Q282:Q297)</f>
        <v>0</v>
      </c>
      <c r="R298">
        <f>SUM(R282:R297)</f>
        <v>0</v>
      </c>
      <c r="S298">
        <f>SUM(S282:S297)</f>
        <v>0</v>
      </c>
      <c r="T298">
        <f>SUM(T282:T297)</f>
        <v>0</v>
      </c>
      <c r="U298">
        <f>SUM(U282:U297)</f>
        <v>4575.412506186</v>
      </c>
    </row>
    <row r="300">
      <c r="C300" t="str">
        <v>Lantai 3</v>
      </c>
      <c r="D300" t="str">
        <v>S23-1</v>
      </c>
      <c r="G300">
        <f>SUMIFS($V$12:$V$260,$A$12:$A$260,$C300,$C$12:$C$260,$D300)</f>
        <v>0</v>
      </c>
      <c r="H300">
        <f>SUMIFS($W$12:$W$260,$A$12:$A$260,$C300,$C$12:$C$260,$D300)</f>
        <v>0</v>
      </c>
      <c r="I300">
        <f>SUMIFS($X$12:$X$260,$A$12:$A$260,$C300,$C$12:$C$260,$D300)</f>
        <v>0</v>
      </c>
      <c r="J300">
        <f>SUMIFS($Y$12:$Y$260,$A$12:$A$260,$C300,$C$12:$C$260,$D300)</f>
        <v>0</v>
      </c>
      <c r="K300">
        <f>SUMIFS($Z$12:$Z$260,$A$12:$A$260,$C300,$C$12:$C$260,$D300)</f>
        <v>0</v>
      </c>
      <c r="L300">
        <f>SUMIFS(L$12:L$260,$A$12:$A$260,$C300,$C$12:$C$260,$D300)</f>
        <v>0</v>
      </c>
      <c r="M300">
        <f>SUMIFS(M$12:M$260,$A$12:$A$260,$C300,$C$12:$C$260,$D300)</f>
        <v>0</v>
      </c>
      <c r="N300">
        <f>SUMIFS(N$12:N$260,$A$12:$A$260,$C300,$C$12:$C$260,$D300)</f>
        <v>0</v>
      </c>
      <c r="O300">
        <f>SUMIFS(O$12:O$260,$A$12:$A$260,$C300,$C$12:$C$260,$D300)</f>
        <v>0</v>
      </c>
      <c r="P300">
        <f>SUMIFS(P$12:P$260,$A$12:$A$260,$C300,$C$12:$C$260,$D300)</f>
        <v>0</v>
      </c>
      <c r="Q300">
        <f>SUMIFS(Q$12:Q$260,$A$12:$A$260,$C300,$C$12:$C$260,$D300)</f>
        <v>0</v>
      </c>
      <c r="R300">
        <f>SUMIFS(R$12:R$260,$A$12:$A$260,$C300,$C$12:$C$260,$D300)</f>
        <v>0</v>
      </c>
      <c r="S300">
        <f>SUMIFS(S$12:S$260,$A$12:$A$260,$C300,$C$12:$C$260,$D300)</f>
        <v>0</v>
      </c>
      <c r="T300">
        <f>SUMIFS(T$12:T$260,$A$12:$A$260,$C300,$C$12:$C$260,$D300)</f>
        <v>0</v>
      </c>
      <c r="U300">
        <f>SUM(L300:T300)</f>
        <v>0</v>
      </c>
      <c r="W300">
        <f>IF(G300&gt;0,H300/G300,0)</f>
        <v>0</v>
      </c>
      <c r="X300">
        <f>IF(G300&gt;0,U300/G300,0)</f>
        <v>0</v>
      </c>
    </row>
    <row r="301">
      <c r="C301" t="str">
        <f>C300</f>
        <v>Lantai 3</v>
      </c>
      <c r="D301" t="str">
        <v>S24-1</v>
      </c>
      <c r="G301">
        <f>SUMIFS($V$12:$V$260,$A$12:$A$260,$C301,$C$12:$C$260,$D301)</f>
        <v>0</v>
      </c>
      <c r="H301">
        <f>SUMIFS($W$12:$W$260,$A$12:$A$260,$C301,$C$12:$C$260,$D301)</f>
        <v>0</v>
      </c>
      <c r="I301">
        <f>SUMIFS($X$12:$X$260,$A$12:$A$260,$C301,$C$12:$C$260,$D301)</f>
        <v>0</v>
      </c>
      <c r="J301">
        <f>SUMIFS($Y$12:$Y$260,$A$12:$A$260,$C301,$C$12:$C$260,$D301)</f>
        <v>0</v>
      </c>
      <c r="K301">
        <f>SUMIFS($Z$12:$Z$260,$A$12:$A$260,$C301,$C$12:$C$260,$D301)</f>
        <v>0</v>
      </c>
      <c r="L301">
        <f>SUMIFS(L$12:L$260,$A$12:$A$260,$C301,$C$12:$C$260,$D301)</f>
        <v>0</v>
      </c>
      <c r="M301">
        <f>SUMIFS(M$12:M$260,$A$12:$A$260,$C301,$C$12:$C$260,$D301)</f>
        <v>0</v>
      </c>
      <c r="N301">
        <f>SUMIFS(N$12:N$260,$A$12:$A$260,$C301,$C$12:$C$260,$D301)</f>
        <v>0</v>
      </c>
      <c r="O301">
        <f>SUMIFS(O$12:O$260,$A$12:$A$260,$C301,$C$12:$C$260,$D301)</f>
        <v>0</v>
      </c>
      <c r="P301">
        <f>SUMIFS(P$12:P$260,$A$12:$A$260,$C301,$C$12:$C$260,$D301)</f>
        <v>0</v>
      </c>
      <c r="Q301">
        <f>SUMIFS(Q$12:Q$260,$A$12:$A$260,$C301,$C$12:$C$260,$D301)</f>
        <v>0</v>
      </c>
      <c r="R301">
        <f>SUMIFS(R$12:R$260,$A$12:$A$260,$C301,$C$12:$C$260,$D301)</f>
        <v>0</v>
      </c>
      <c r="S301">
        <f>SUMIFS(S$12:S$260,$A$12:$A$260,$C301,$C$12:$C$260,$D301)</f>
        <v>0</v>
      </c>
      <c r="T301">
        <f>SUMIFS(T$12:T$260,$A$12:$A$260,$C301,$C$12:$C$260,$D301)</f>
        <v>0</v>
      </c>
      <c r="U301">
        <f>SUM(L301:T301)</f>
        <v>0</v>
      </c>
      <c r="W301">
        <f>IF(G301&gt;0,H301/G301,0)</f>
        <v>0</v>
      </c>
      <c r="X301">
        <f>IF(G301&gt;0,U301/G301,0)</f>
        <v>0</v>
      </c>
    </row>
    <row r="302">
      <c r="C302" t="str">
        <f>C301</f>
        <v>Lantai 3</v>
      </c>
      <c r="D302" t="str">
        <v>S24-2</v>
      </c>
      <c r="G302">
        <f>SUMIFS($V$12:$V$260,$A$12:$A$260,$C302,$C$12:$C$260,$D302)</f>
        <v>0</v>
      </c>
      <c r="H302">
        <f>SUMIFS($W$12:$W$260,$A$12:$A$260,$C302,$C$12:$C$260,$D302)</f>
        <v>0</v>
      </c>
      <c r="I302">
        <f>SUMIFS($X$12:$X$260,$A$12:$A$260,$C302,$C$12:$C$260,$D302)</f>
        <v>0</v>
      </c>
      <c r="J302">
        <f>SUMIFS($Y$12:$Y$260,$A$12:$A$260,$C302,$C$12:$C$260,$D302)</f>
        <v>0</v>
      </c>
      <c r="K302">
        <f>SUMIFS($Z$12:$Z$260,$A$12:$A$260,$C302,$C$12:$C$260,$D302)</f>
        <v>0</v>
      </c>
      <c r="L302">
        <f>SUMIFS(L$12:L$260,$A$12:$A$260,$C302,$C$12:$C$260,$D302)</f>
        <v>0</v>
      </c>
      <c r="M302">
        <f>SUMIFS(M$12:M$260,$A$12:$A$260,$C302,$C$12:$C$260,$D302)</f>
        <v>0</v>
      </c>
      <c r="N302">
        <f>SUMIFS(N$12:N$260,$A$12:$A$260,$C302,$C$12:$C$260,$D302)</f>
        <v>0</v>
      </c>
      <c r="O302">
        <f>SUMIFS(O$12:O$260,$A$12:$A$260,$C302,$C$12:$C$260,$D302)</f>
        <v>0</v>
      </c>
      <c r="P302">
        <f>SUMIFS(P$12:P$260,$A$12:$A$260,$C302,$C$12:$C$260,$D302)</f>
        <v>0</v>
      </c>
      <c r="Q302">
        <f>SUMIFS(Q$12:Q$260,$A$12:$A$260,$C302,$C$12:$C$260,$D302)</f>
        <v>0</v>
      </c>
      <c r="R302">
        <f>SUMIFS(R$12:R$260,$A$12:$A$260,$C302,$C$12:$C$260,$D302)</f>
        <v>0</v>
      </c>
      <c r="S302">
        <f>SUMIFS(S$12:S$260,$A$12:$A$260,$C302,$C$12:$C$260,$D302)</f>
        <v>0</v>
      </c>
      <c r="T302">
        <f>SUMIFS(T$12:T$260,$A$12:$A$260,$C302,$C$12:$C$260,$D302)</f>
        <v>0</v>
      </c>
      <c r="U302">
        <f>SUM(L302:T302)</f>
        <v>0</v>
      </c>
      <c r="W302">
        <f>IF(G302&gt;0,H302/G302,0)</f>
        <v>0</v>
      </c>
      <c r="X302">
        <f>IF(G302&gt;0,U302/G302,0)</f>
        <v>0</v>
      </c>
    </row>
    <row r="303">
      <c r="C303" t="str">
        <f>C302</f>
        <v>Lantai 3</v>
      </c>
      <c r="D303" t="str">
        <v>S25-1</v>
      </c>
      <c r="G303">
        <f>SUMIFS($V$12:$V$260,$A$12:$A$260,$C303,$C$12:$C$260,$D303)</f>
        <v>0</v>
      </c>
      <c r="H303">
        <f>SUMIFS($W$12:$W$260,$A$12:$A$260,$C303,$C$12:$C$260,$D303)</f>
        <v>0</v>
      </c>
      <c r="I303">
        <f>SUMIFS($X$12:$X$260,$A$12:$A$260,$C303,$C$12:$C$260,$D303)</f>
        <v>0</v>
      </c>
      <c r="J303">
        <f>SUMIFS($Y$12:$Y$260,$A$12:$A$260,$C303,$C$12:$C$260,$D303)</f>
        <v>0</v>
      </c>
      <c r="K303">
        <f>SUMIFS($Z$12:$Z$260,$A$12:$A$260,$C303,$C$12:$C$260,$D303)</f>
        <v>0</v>
      </c>
      <c r="L303">
        <f>SUMIFS(L$12:L$260,$A$12:$A$260,$C303,$C$12:$C$260,$D303)</f>
        <v>0</v>
      </c>
      <c r="M303">
        <f>SUMIFS(M$12:M$260,$A$12:$A$260,$C303,$C$12:$C$260,$D303)</f>
        <v>0</v>
      </c>
      <c r="N303">
        <f>SUMIFS(N$12:N$260,$A$12:$A$260,$C303,$C$12:$C$260,$D303)</f>
        <v>0</v>
      </c>
      <c r="O303">
        <f>SUMIFS(O$12:O$260,$A$12:$A$260,$C303,$C$12:$C$260,$D303)</f>
        <v>0</v>
      </c>
      <c r="P303">
        <f>SUMIFS(P$12:P$260,$A$12:$A$260,$C303,$C$12:$C$260,$D303)</f>
        <v>0</v>
      </c>
      <c r="Q303">
        <f>SUMIFS(Q$12:Q$260,$A$12:$A$260,$C303,$C$12:$C$260,$D303)</f>
        <v>0</v>
      </c>
      <c r="R303">
        <f>SUMIFS(R$12:R$260,$A$12:$A$260,$C303,$C$12:$C$260,$D303)</f>
        <v>0</v>
      </c>
      <c r="S303">
        <f>SUMIFS(S$12:S$260,$A$12:$A$260,$C303,$C$12:$C$260,$D303)</f>
        <v>0</v>
      </c>
      <c r="T303">
        <f>SUMIFS(T$12:T$260,$A$12:$A$260,$C303,$C$12:$C$260,$D303)</f>
        <v>0</v>
      </c>
      <c r="U303">
        <f>SUM(L303:T303)</f>
        <v>0</v>
      </c>
      <c r="W303">
        <f>IF(G303&gt;0,H303/G303,0)</f>
        <v>0</v>
      </c>
      <c r="X303">
        <f>IF(G303&gt;0,U303/G303,0)</f>
        <v>0</v>
      </c>
    </row>
    <row r="304">
      <c r="C304" t="str">
        <f>C303</f>
        <v>Lantai 3</v>
      </c>
      <c r="D304" t="str">
        <v>S36-1</v>
      </c>
      <c r="G304">
        <f>SUMIFS($V$12:$V$260,$A$12:$A$260,$C304,$C$12:$C$260,$D304)</f>
        <v>0</v>
      </c>
      <c r="H304">
        <f>SUMIFS($W$12:$W$260,$A$12:$A$260,$C304,$C$12:$C$260,$D304)</f>
        <v>0</v>
      </c>
      <c r="I304">
        <f>SUMIFS($X$12:$X$260,$A$12:$A$260,$C304,$C$12:$C$260,$D304)</f>
        <v>0</v>
      </c>
      <c r="J304">
        <f>SUMIFS($Y$12:$Y$260,$A$12:$A$260,$C304,$C$12:$C$260,$D304)</f>
        <v>0</v>
      </c>
      <c r="K304">
        <f>SUMIFS($Z$12:$Z$260,$A$12:$A$260,$C304,$C$12:$C$260,$D304)</f>
        <v>0</v>
      </c>
      <c r="L304">
        <f>SUMIFS(L$12:L$260,$A$12:$A$260,$C304,$C$12:$C$260,$D304)</f>
        <v>0</v>
      </c>
      <c r="M304">
        <f>SUMIFS(M$12:M$260,$A$12:$A$260,$C304,$C$12:$C$260,$D304)</f>
        <v>0</v>
      </c>
      <c r="N304">
        <f>SUMIFS(N$12:N$260,$A$12:$A$260,$C304,$C$12:$C$260,$D304)</f>
        <v>0</v>
      </c>
      <c r="O304">
        <f>SUMIFS(O$12:O$260,$A$12:$A$260,$C304,$C$12:$C$260,$D304)</f>
        <v>0</v>
      </c>
      <c r="P304">
        <f>SUMIFS(P$12:P$260,$A$12:$A$260,$C304,$C$12:$C$260,$D304)</f>
        <v>0</v>
      </c>
      <c r="Q304">
        <f>SUMIFS(Q$12:Q$260,$A$12:$A$260,$C304,$C$12:$C$260,$D304)</f>
        <v>0</v>
      </c>
      <c r="R304">
        <f>SUMIFS(R$12:R$260,$A$12:$A$260,$C304,$C$12:$C$260,$D304)</f>
        <v>0</v>
      </c>
      <c r="S304">
        <f>SUMIFS(S$12:S$260,$A$12:$A$260,$C304,$C$12:$C$260,$D304)</f>
        <v>0</v>
      </c>
      <c r="T304">
        <f>SUMIFS(T$12:T$260,$A$12:$A$260,$C304,$C$12:$C$260,$D304)</f>
        <v>0</v>
      </c>
      <c r="U304">
        <f>SUM(L304:T304)</f>
        <v>0</v>
      </c>
      <c r="W304">
        <f>IF(G304&gt;0,H304/G304,0)</f>
        <v>0</v>
      </c>
      <c r="X304">
        <f>IF(G304&gt;0,U304/G304,0)</f>
        <v>0</v>
      </c>
    </row>
    <row r="305">
      <c r="C305" t="str">
        <f>C304</f>
        <v>Lantai 3</v>
      </c>
      <c r="D305" t="str">
        <v>B4-1</v>
      </c>
      <c r="G305">
        <f>SUMIFS($V$12:$V$260,$A$12:$A$260,$C305,$C$12:$C$260,$D305)</f>
        <v>0.9006400000000001</v>
      </c>
      <c r="H305">
        <f>SUMIFS($W$12:$W$260,$A$12:$A$260,$C305,$C$12:$C$260,$D305)</f>
        <v>16.1076</v>
      </c>
      <c r="I305">
        <f>SUMIFS($X$12:$X$260,$A$12:$A$260,$C305,$C$12:$C$260,$D305)</f>
        <v>0</v>
      </c>
      <c r="J305">
        <f>SUMIFS($Y$12:$Y$260,$A$12:$A$260,$C305,$C$12:$C$260,$D305)</f>
        <v>0</v>
      </c>
      <c r="K305">
        <f>SUMIFS($Z$12:$Z$260,$A$12:$A$260,$C305,$C$12:$C$260,$D305)</f>
        <v>0</v>
      </c>
      <c r="L305">
        <f>SUMIFS(L$12:L$260,$A$12:$A$260,$C305,$C$12:$C$260,$D305)</f>
        <v>0</v>
      </c>
      <c r="M305">
        <f>SUMIFS(M$12:M$260,$A$12:$A$260,$C305,$C$12:$C$260,$D305)</f>
        <v>36.871632000000005</v>
      </c>
      <c r="N305">
        <f>SUMIFS(N$12:N$260,$A$12:$A$260,$C305,$C$12:$C$260,$D305)</f>
        <v>0</v>
      </c>
      <c r="O305">
        <f>SUMIFS(O$12:O$260,$A$12:$A$260,$C305,$C$12:$C$260,$D305)</f>
        <v>74.78233776</v>
      </c>
      <c r="P305">
        <f>SUMIFS(P$12:P$260,$A$12:$A$260,$C305,$C$12:$C$260,$D305)</f>
        <v>0</v>
      </c>
      <c r="Q305">
        <f>SUMIFS(Q$12:Q$260,$A$12:$A$260,$C305,$C$12:$C$260,$D305)</f>
        <v>0</v>
      </c>
      <c r="R305">
        <f>SUMIFS(R$12:R$260,$A$12:$A$260,$C305,$C$12:$C$260,$D305)</f>
        <v>0</v>
      </c>
      <c r="S305">
        <f>SUMIFS(S$12:S$260,$A$12:$A$260,$C305,$C$12:$C$260,$D305)</f>
        <v>0</v>
      </c>
      <c r="T305">
        <f>SUMIFS(T$12:T$260,$A$12:$A$260,$C305,$C$12:$C$260,$D305)</f>
        <v>0</v>
      </c>
      <c r="U305">
        <f>SUM(L305:T305)</f>
        <v>111.65396976000001</v>
      </c>
      <c r="W305">
        <f>IF(G305&gt;0,H305/G305,0)</f>
        <v>17.884615384615383</v>
      </c>
      <c r="X305">
        <f>IF(G305&gt;0,U305/G305,0)</f>
        <v>123.97180866939065</v>
      </c>
    </row>
    <row r="306">
      <c r="C306" t="str">
        <f>C305</f>
        <v>Lantai 3</v>
      </c>
      <c r="D306" t="str">
        <v>B5-1</v>
      </c>
      <c r="G306">
        <f>SUMIFS($V$12:$V$260,$A$12:$A$260,$C306,$C$12:$C$260,$D306)</f>
        <v>0</v>
      </c>
      <c r="H306">
        <f>SUMIFS($W$12:$W$260,$A$12:$A$260,$C306,$C$12:$C$260,$D306)</f>
        <v>0</v>
      </c>
      <c r="I306">
        <f>SUMIFS($X$12:$X$260,$A$12:$A$260,$C306,$C$12:$C$260,$D306)</f>
        <v>0</v>
      </c>
      <c r="J306">
        <f>SUMIFS($Y$12:$Y$260,$A$12:$A$260,$C306,$C$12:$C$260,$D306)</f>
        <v>0</v>
      </c>
      <c r="K306">
        <f>SUMIFS($Z$12:$Z$260,$A$12:$A$260,$C306,$C$12:$C$260,$D306)</f>
        <v>0</v>
      </c>
      <c r="L306">
        <f>SUMIFS(L$12:L$260,$A$12:$A$260,$C306,$C$12:$C$260,$D306)</f>
        <v>0</v>
      </c>
      <c r="M306">
        <f>SUMIFS(M$12:M$260,$A$12:$A$260,$C306,$C$12:$C$260,$D306)</f>
        <v>0</v>
      </c>
      <c r="N306">
        <f>SUMIFS(N$12:N$260,$A$12:$A$260,$C306,$C$12:$C$260,$D306)</f>
        <v>0</v>
      </c>
      <c r="O306">
        <f>SUMIFS(O$12:O$260,$A$12:$A$260,$C306,$C$12:$C$260,$D306)</f>
        <v>0</v>
      </c>
      <c r="P306">
        <f>SUMIFS(P$12:P$260,$A$12:$A$260,$C306,$C$12:$C$260,$D306)</f>
        <v>0</v>
      </c>
      <c r="Q306">
        <f>SUMIFS(Q$12:Q$260,$A$12:$A$260,$C306,$C$12:$C$260,$D306)</f>
        <v>0</v>
      </c>
      <c r="R306">
        <f>SUMIFS(R$12:R$260,$A$12:$A$260,$C306,$C$12:$C$260,$D306)</f>
        <v>0</v>
      </c>
      <c r="S306">
        <f>SUMIFS(S$12:S$260,$A$12:$A$260,$C306,$C$12:$C$260,$D306)</f>
        <v>0</v>
      </c>
      <c r="T306">
        <f>SUMIFS(T$12:T$260,$A$12:$A$260,$C306,$C$12:$C$260,$D306)</f>
        <v>0</v>
      </c>
      <c r="U306">
        <f>SUM(L306:T306)</f>
        <v>0</v>
      </c>
      <c r="W306">
        <f>IF(G306&gt;0,H306/G306,0)</f>
        <v>0</v>
      </c>
      <c r="X306">
        <f>IF(G306&gt;0,U306/G306,0)</f>
        <v>0</v>
      </c>
    </row>
    <row r="307">
      <c r="C307" t="str">
        <f>C306</f>
        <v>Lantai 3</v>
      </c>
      <c r="D307" t="str">
        <v>B23-1</v>
      </c>
      <c r="G307">
        <f>SUMIFS($V$12:$V$260,$A$12:$A$260,$C307,$C$12:$C$260,$D307)</f>
        <v>0.2505</v>
      </c>
      <c r="H307">
        <f>SUMIFS($W$12:$W$260,$A$12:$A$260,$C307,$C$12:$C$260,$D307)</f>
        <v>2.505</v>
      </c>
      <c r="I307">
        <f>SUMIFS($X$12:$X$260,$A$12:$A$260,$C307,$C$12:$C$260,$D307)</f>
        <v>0</v>
      </c>
      <c r="J307">
        <f>SUMIFS($Y$12:$Y$260,$A$12:$A$260,$C307,$C$12:$C$260,$D307)</f>
        <v>0</v>
      </c>
      <c r="K307">
        <f>SUMIFS($Z$12:$Z$260,$A$12:$A$260,$C307,$C$12:$C$260,$D307)</f>
        <v>0</v>
      </c>
      <c r="L307">
        <f>SUMIFS(L$12:L$260,$A$12:$A$260,$C307,$C$12:$C$260,$D307)</f>
        <v>0</v>
      </c>
      <c r="M307">
        <f>SUMIFS(M$12:M$260,$A$12:$A$260,$C307,$C$12:$C$260,$D307)</f>
        <v>0</v>
      </c>
      <c r="N307">
        <f>SUMIFS(N$12:N$260,$A$12:$A$260,$C307,$C$12:$C$260,$D307)</f>
        <v>32.74848000000001</v>
      </c>
      <c r="O307">
        <f>SUMIFS(O$12:O$260,$A$12:$A$260,$C307,$C$12:$C$260,$D307)</f>
        <v>56.09925593999999</v>
      </c>
      <c r="P307">
        <f>SUMIFS(P$12:P$260,$A$12:$A$260,$C307,$C$12:$C$260,$D307)</f>
        <v>0</v>
      </c>
      <c r="Q307">
        <f>SUMIFS(Q$12:Q$260,$A$12:$A$260,$C307,$C$12:$C$260,$D307)</f>
        <v>0</v>
      </c>
      <c r="R307">
        <f>SUMIFS(R$12:R$260,$A$12:$A$260,$C307,$C$12:$C$260,$D307)</f>
        <v>0</v>
      </c>
      <c r="S307">
        <f>SUMIFS(S$12:S$260,$A$12:$A$260,$C307,$C$12:$C$260,$D307)</f>
        <v>0</v>
      </c>
      <c r="T307">
        <f>SUMIFS(T$12:T$260,$A$12:$A$260,$C307,$C$12:$C$260,$D307)</f>
        <v>0</v>
      </c>
      <c r="U307">
        <f>SUM(L307:T307)</f>
        <v>88.84773594</v>
      </c>
      <c r="W307">
        <f>IF(G307&gt;0,H307/G307,0)</f>
        <v>10</v>
      </c>
      <c r="X307">
        <f>IF(G307&gt;0,U307/G307,0)</f>
        <v>354.68158059880244</v>
      </c>
    </row>
    <row r="308">
      <c r="C308" t="str">
        <f>C307</f>
        <v>Lantai 3</v>
      </c>
      <c r="D308" t="str">
        <v>B24-1</v>
      </c>
      <c r="G308">
        <f>SUMIFS($V$12:$V$260,$A$12:$A$260,$C308,$C$12:$C$260,$D308)</f>
        <v>1.7806500000000003</v>
      </c>
      <c r="H308">
        <f>SUMIFS($W$12:$W$260,$A$12:$A$260,$C308,$C$12:$C$260,$D308)</f>
        <v>19.3675</v>
      </c>
      <c r="I308">
        <f>SUMIFS($X$12:$X$260,$A$12:$A$260,$C308,$C$12:$C$260,$D308)</f>
        <v>0</v>
      </c>
      <c r="J308">
        <f>SUMIFS($Y$12:$Y$260,$A$12:$A$260,$C308,$C$12:$C$260,$D308)</f>
        <v>0</v>
      </c>
      <c r="K308">
        <f>SUMIFS($Z$12:$Z$260,$A$12:$A$260,$C308,$C$12:$C$260,$D308)</f>
        <v>0</v>
      </c>
      <c r="L308">
        <f>SUMIFS(L$12:L$260,$A$12:$A$260,$C308,$C$12:$C$260,$D308)</f>
        <v>0</v>
      </c>
      <c r="M308">
        <f>SUMIFS(M$12:M$260,$A$12:$A$260,$C308,$C$12:$C$260,$D308)</f>
        <v>0</v>
      </c>
      <c r="N308">
        <f>SUMIFS(N$12:N$260,$A$12:$A$260,$C308,$C$12:$C$260,$D308)</f>
        <v>168.27367500000005</v>
      </c>
      <c r="O308">
        <f>SUMIFS(O$12:O$260,$A$12:$A$260,$C308,$C$12:$C$260,$D308)</f>
        <v>210.90669678000003</v>
      </c>
      <c r="P308">
        <f>SUMIFS(P$12:P$260,$A$12:$A$260,$C308,$C$12:$C$260,$D308)</f>
        <v>0</v>
      </c>
      <c r="Q308">
        <f>SUMIFS(Q$12:Q$260,$A$12:$A$260,$C308,$C$12:$C$260,$D308)</f>
        <v>0</v>
      </c>
      <c r="R308">
        <f>SUMIFS(R$12:R$260,$A$12:$A$260,$C308,$C$12:$C$260,$D308)</f>
        <v>0</v>
      </c>
      <c r="S308">
        <f>SUMIFS(S$12:S$260,$A$12:$A$260,$C308,$C$12:$C$260,$D308)</f>
        <v>0</v>
      </c>
      <c r="T308">
        <f>SUMIFS(T$12:T$260,$A$12:$A$260,$C308,$C$12:$C$260,$D308)</f>
        <v>0</v>
      </c>
      <c r="U308">
        <f>SUM(L308:T308)</f>
        <v>379.1803717800001</v>
      </c>
      <c r="W308">
        <f>IF(G308&gt;0,H308/G308,0)</f>
        <v>10.876646168533961</v>
      </c>
      <c r="X308">
        <f>IF(G308&gt;0,U308/G308,0)</f>
        <v>212.94491998989133</v>
      </c>
    </row>
    <row r="309">
      <c r="C309" t="str">
        <f>C308</f>
        <v>Lantai 3</v>
      </c>
      <c r="D309" t="str">
        <v>B24-2</v>
      </c>
      <c r="G309">
        <f>SUMIFS($V$12:$V$260,$A$12:$A$260,$C309,$C$12:$C$260,$D309)</f>
        <v>2.49125</v>
      </c>
      <c r="H309">
        <f>SUMIFS($W$12:$W$260,$A$12:$A$260,$C309,$C$12:$C$260,$D309)</f>
        <v>24.9125</v>
      </c>
      <c r="I309">
        <f>SUMIFS($X$12:$X$260,$A$12:$A$260,$C309,$C$12:$C$260,$D309)</f>
        <v>0</v>
      </c>
      <c r="J309">
        <f>SUMIFS($Y$12:$Y$260,$A$12:$A$260,$C309,$C$12:$C$260,$D309)</f>
        <v>0</v>
      </c>
      <c r="K309">
        <f>SUMIFS($Z$12:$Z$260,$A$12:$A$260,$C309,$C$12:$C$260,$D309)</f>
        <v>0</v>
      </c>
      <c r="L309">
        <f>SUMIFS(L$12:L$260,$A$12:$A$260,$C309,$C$12:$C$260,$D309)</f>
        <v>0</v>
      </c>
      <c r="M309">
        <f>SUMIFS(M$12:M$260,$A$12:$A$260,$C309,$C$12:$C$260,$D309)</f>
        <v>0</v>
      </c>
      <c r="N309">
        <f>SUMIFS(N$12:N$260,$A$12:$A$260,$C309,$C$12:$C$260,$D309)</f>
        <v>247.64805000000004</v>
      </c>
      <c r="O309">
        <f>SUMIFS(O$12:O$260,$A$12:$A$260,$C309,$C$12:$C$260,$D309)</f>
        <v>0</v>
      </c>
      <c r="P309">
        <f>SUMIFS(P$12:P$260,$A$12:$A$260,$C309,$C$12:$C$260,$D309)</f>
        <v>493.647588864</v>
      </c>
      <c r="Q309">
        <f>SUMIFS(Q$12:Q$260,$A$12:$A$260,$C309,$C$12:$C$260,$D309)</f>
        <v>0</v>
      </c>
      <c r="R309">
        <f>SUMIFS(R$12:R$260,$A$12:$A$260,$C309,$C$12:$C$260,$D309)</f>
        <v>0</v>
      </c>
      <c r="S309">
        <f>SUMIFS(S$12:S$260,$A$12:$A$260,$C309,$C$12:$C$260,$D309)</f>
        <v>0</v>
      </c>
      <c r="T309">
        <f>SUMIFS(T$12:T$260,$A$12:$A$260,$C309,$C$12:$C$260,$D309)</f>
        <v>0</v>
      </c>
      <c r="U309">
        <f>SUM(L309:T309)</f>
        <v>741.295638864</v>
      </c>
      <c r="W309">
        <f>IF(G309&gt;0,H309/G309,0)</f>
        <v>10</v>
      </c>
      <c r="X309">
        <f>IF(G309&gt;0,U309/G309,0)</f>
        <v>297.5597145465128</v>
      </c>
    </row>
    <row r="310">
      <c r="C310" t="str">
        <f>C309</f>
        <v>Lantai 3</v>
      </c>
      <c r="D310" t="str">
        <v>CL24-1</v>
      </c>
      <c r="G310">
        <f>SUMIFS($V$12:$V$260,$A$12:$A$260,$C310,$C$12:$C$260,$D310)</f>
        <v>3.04175</v>
      </c>
      <c r="H310">
        <f>SUMIFS($W$12:$W$260,$A$12:$A$260,$C310,$C$12:$C$260,$D310)</f>
        <v>30.7875</v>
      </c>
      <c r="I310">
        <f>SUMIFS($X$12:$X$260,$A$12:$A$260,$C310,$C$12:$C$260,$D310)</f>
        <v>0</v>
      </c>
      <c r="J310">
        <f>SUMIFS($Y$12:$Y$260,$A$12:$A$260,$C310,$C$12:$C$260,$D310)</f>
        <v>0</v>
      </c>
      <c r="K310">
        <f>SUMIFS($Z$12:$Z$260,$A$12:$A$260,$C310,$C$12:$C$260,$D310)</f>
        <v>0</v>
      </c>
      <c r="L310">
        <f>SUMIFS(L$12:L$260,$A$12:$A$260,$C310,$C$12:$C$260,$D310)</f>
        <v>0</v>
      </c>
      <c r="M310">
        <f>SUMIFS(M$12:M$260,$A$12:$A$260,$C310,$C$12:$C$260,$D310)</f>
        <v>0</v>
      </c>
      <c r="N310">
        <f>SUMIFS(N$12:N$260,$A$12:$A$260,$C310,$C$12:$C$260,$D310)</f>
        <v>400.68184499999995</v>
      </c>
      <c r="O310">
        <f>SUMIFS(O$12:O$260,$A$12:$A$260,$C310,$C$12:$C$260,$D310)</f>
        <v>0</v>
      </c>
      <c r="P310">
        <f>SUMIFS(P$12:P$260,$A$12:$A$260,$C310,$C$12:$C$260,$D310)</f>
        <v>645.5677086719999</v>
      </c>
      <c r="Q310">
        <f>SUMIFS(Q$12:Q$260,$A$12:$A$260,$C310,$C$12:$C$260,$D310)</f>
        <v>0</v>
      </c>
      <c r="R310">
        <f>SUMIFS(R$12:R$260,$A$12:$A$260,$C310,$C$12:$C$260,$D310)</f>
        <v>0</v>
      </c>
      <c r="S310">
        <f>SUMIFS(S$12:S$260,$A$12:$A$260,$C310,$C$12:$C$260,$D310)</f>
        <v>0</v>
      </c>
      <c r="T310">
        <f>SUMIFS(T$12:T$260,$A$12:$A$260,$C310,$C$12:$C$260,$D310)</f>
        <v>0</v>
      </c>
      <c r="U310">
        <f>SUM(L310:T310)</f>
        <v>1046.2495536719998</v>
      </c>
      <c r="W310">
        <f>IF(G310&gt;0,H310/G310,0)</f>
        <v>10.121640502999918</v>
      </c>
      <c r="X310">
        <f>IF(G310&gt;0,U310/G310,0)</f>
        <v>343.96303235703124</v>
      </c>
    </row>
    <row r="311">
      <c r="C311" t="str">
        <f>C310</f>
        <v>Lantai 3</v>
      </c>
      <c r="D311" t="str">
        <v>B25-1</v>
      </c>
      <c r="G311">
        <f>SUMIFS($V$12:$V$260,$A$12:$A$260,$C311,$C$12:$C$260,$D311)</f>
        <v>3.9059999999999997</v>
      </c>
      <c r="H311">
        <f>SUMIFS($W$12:$W$260,$A$12:$A$260,$C311,$C$12:$C$260,$D311)</f>
        <v>39.06</v>
      </c>
      <c r="I311">
        <f>SUMIFS($X$12:$X$260,$A$12:$A$260,$C311,$C$12:$C$260,$D311)</f>
        <v>0</v>
      </c>
      <c r="J311">
        <f>SUMIFS($Y$12:$Y$260,$A$12:$A$260,$C311,$C$12:$C$260,$D311)</f>
        <v>0</v>
      </c>
      <c r="K311">
        <f>SUMIFS($Z$12:$Z$260,$A$12:$A$260,$C311,$C$12:$C$260,$D311)</f>
        <v>0</v>
      </c>
      <c r="L311">
        <f>SUMIFS(L$12:L$260,$A$12:$A$260,$C311,$C$12:$C$260,$D311)</f>
        <v>0</v>
      </c>
      <c r="M311">
        <f>SUMIFS(M$12:M$260,$A$12:$A$260,$C311,$C$12:$C$260,$D311)</f>
        <v>0</v>
      </c>
      <c r="N311">
        <f>SUMIFS(N$12:N$260,$A$12:$A$260,$C311,$C$12:$C$260,$D311)</f>
        <v>333.07645500000007</v>
      </c>
      <c r="O311">
        <f>SUMIFS(O$12:O$260,$A$12:$A$260,$C311,$C$12:$C$260,$D311)</f>
        <v>0</v>
      </c>
      <c r="P311">
        <f>SUMIFS(P$12:P$260,$A$12:$A$260,$C311,$C$12:$C$260,$D311)</f>
        <v>748.1615155200001</v>
      </c>
      <c r="Q311">
        <f>SUMIFS(Q$12:Q$260,$A$12:$A$260,$C311,$C$12:$C$260,$D311)</f>
        <v>0</v>
      </c>
      <c r="R311">
        <f>SUMIFS(R$12:R$260,$A$12:$A$260,$C311,$C$12:$C$260,$D311)</f>
        <v>0</v>
      </c>
      <c r="S311">
        <f>SUMIFS(S$12:S$260,$A$12:$A$260,$C311,$C$12:$C$260,$D311)</f>
        <v>0</v>
      </c>
      <c r="T311">
        <f>SUMIFS(T$12:T$260,$A$12:$A$260,$C311,$C$12:$C$260,$D311)</f>
        <v>0</v>
      </c>
      <c r="U311">
        <f>SUM(L311:T311)</f>
        <v>1081.23797052</v>
      </c>
      <c r="W311">
        <f>IF(G311&gt;0,H311/G311,0)</f>
        <v>10.000000000000002</v>
      </c>
      <c r="X311">
        <f>IF(G311&gt;0,U311/G311,0)</f>
        <v>276.8146365898618</v>
      </c>
    </row>
    <row r="312">
      <c r="C312" t="str">
        <f>C311</f>
        <v>Lantai 3</v>
      </c>
      <c r="D312" t="str">
        <v>B26-1</v>
      </c>
      <c r="G312">
        <f>SUMIFS($V$12:$V$260,$A$12:$A$260,$C312,$C$12:$C$260,$D312)</f>
        <v>8.198850000000002</v>
      </c>
      <c r="H312">
        <f>SUMIFS($W$12:$W$260,$A$12:$A$260,$C312,$C$12:$C$260,$D312)</f>
        <v>83.2535</v>
      </c>
      <c r="I312">
        <f>SUMIFS($X$12:$X$260,$A$12:$A$260,$C312,$C$12:$C$260,$D312)</f>
        <v>0</v>
      </c>
      <c r="J312">
        <f>SUMIFS($Y$12:$Y$260,$A$12:$A$260,$C312,$C$12:$C$260,$D312)</f>
        <v>0</v>
      </c>
      <c r="K312">
        <f>SUMIFS($Z$12:$Z$260,$A$12:$A$260,$C312,$C$12:$C$260,$D312)</f>
        <v>0</v>
      </c>
      <c r="L312">
        <f>SUMIFS(L$12:L$260,$A$12:$A$260,$C312,$C$12:$C$260,$D312)</f>
        <v>0</v>
      </c>
      <c r="M312">
        <f>SUMIFS(M$12:M$260,$A$12:$A$260,$C312,$C$12:$C$260,$D312)</f>
        <v>0</v>
      </c>
      <c r="N312">
        <f>SUMIFS(N$12:N$260,$A$12:$A$260,$C312,$C$12:$C$260,$D312)</f>
        <v>797.9860098</v>
      </c>
      <c r="O312">
        <f>SUMIFS(O$12:O$260,$A$12:$A$260,$C312,$C$12:$C$260,$D312)</f>
        <v>0</v>
      </c>
      <c r="P312">
        <f>SUMIFS(P$12:P$260,$A$12:$A$260,$C312,$C$12:$C$260,$D312)</f>
        <v>1081.2206592</v>
      </c>
      <c r="Q312">
        <f>SUMIFS(Q$12:Q$260,$A$12:$A$260,$C312,$C$12:$C$260,$D312)</f>
        <v>0</v>
      </c>
      <c r="R312">
        <f>SUMIFS(R$12:R$260,$A$12:$A$260,$C312,$C$12:$C$260,$D312)</f>
        <v>0</v>
      </c>
      <c r="S312">
        <f>SUMIFS(S$12:S$260,$A$12:$A$260,$C312,$C$12:$C$260,$D312)</f>
        <v>0</v>
      </c>
      <c r="T312">
        <f>SUMIFS(T$12:T$260,$A$12:$A$260,$C312,$C$12:$C$260,$D312)</f>
        <v>0</v>
      </c>
      <c r="U312">
        <f>SUM(L312:T312)</f>
        <v>1879.2066690000001</v>
      </c>
      <c r="W312">
        <f>IF(G312&gt;0,H312/G312,0)</f>
        <v>10.154289930904941</v>
      </c>
      <c r="X312">
        <f>IF(G312&gt;0,U312/G312,0)</f>
        <v>229.20368941985762</v>
      </c>
    </row>
    <row r="313">
      <c r="C313" t="str">
        <f>C312</f>
        <v>Lantai 3</v>
      </c>
      <c r="D313" t="str">
        <v>B2A4A-1</v>
      </c>
      <c r="G313">
        <f>SUMIFS($V$12:$V$260,$A$12:$A$260,$C313,$C$12:$C$260,$D313)</f>
        <v>0</v>
      </c>
      <c r="H313">
        <f>SUMIFS($W$12:$W$260,$A$12:$A$260,$C313,$C$12:$C$260,$D313)</f>
        <v>0</v>
      </c>
      <c r="I313">
        <f>SUMIFS($X$12:$X$260,$A$12:$A$260,$C313,$C$12:$C$260,$D313)</f>
        <v>0</v>
      </c>
      <c r="J313">
        <f>SUMIFS($Y$12:$Y$260,$A$12:$A$260,$C313,$C$12:$C$260,$D313)</f>
        <v>0</v>
      </c>
      <c r="K313">
        <f>SUMIFS($Z$12:$Z$260,$A$12:$A$260,$C313,$C$12:$C$260,$D313)</f>
        <v>0</v>
      </c>
      <c r="L313">
        <f>SUMIFS(L$12:L$260,$A$12:$A$260,$C313,$C$12:$C$260,$D313)</f>
        <v>0</v>
      </c>
      <c r="M313">
        <f>SUMIFS(M$12:M$260,$A$12:$A$260,$C313,$C$12:$C$260,$D313)</f>
        <v>0</v>
      </c>
      <c r="N313">
        <f>SUMIFS(N$12:N$260,$A$12:$A$260,$C313,$C$12:$C$260,$D313)</f>
        <v>0</v>
      </c>
      <c r="O313">
        <f>SUMIFS(O$12:O$260,$A$12:$A$260,$C313,$C$12:$C$260,$D313)</f>
        <v>0</v>
      </c>
      <c r="P313">
        <f>SUMIFS(P$12:P$260,$A$12:$A$260,$C313,$C$12:$C$260,$D313)</f>
        <v>0</v>
      </c>
      <c r="Q313">
        <f>SUMIFS(Q$12:Q$260,$A$12:$A$260,$C313,$C$12:$C$260,$D313)</f>
        <v>0</v>
      </c>
      <c r="R313">
        <f>SUMIFS(R$12:R$260,$A$12:$A$260,$C313,$C$12:$C$260,$D313)</f>
        <v>0</v>
      </c>
      <c r="S313">
        <f>SUMIFS(S$12:S$260,$A$12:$A$260,$C313,$C$12:$C$260,$D313)</f>
        <v>0</v>
      </c>
      <c r="T313">
        <f>SUMIFS(T$12:T$260,$A$12:$A$260,$C313,$C$12:$C$260,$D313)</f>
        <v>0</v>
      </c>
      <c r="U313">
        <f>SUM(L313:T313)</f>
        <v>0</v>
      </c>
      <c r="W313">
        <f>IF(G313&gt;0,H313/G313,0)</f>
        <v>0</v>
      </c>
      <c r="X313">
        <f>IF(G313&gt;0,U313/G313,0)</f>
        <v>0</v>
      </c>
    </row>
    <row r="314">
      <c r="C314" t="str">
        <f>C313</f>
        <v>Lantai 3</v>
      </c>
      <c r="D314" t="str">
        <v>B36-1</v>
      </c>
      <c r="G314">
        <f>SUMIFS($V$12:$V$260,$A$12:$A$260,$C314,$C$12:$C$260,$D314)</f>
        <v>0</v>
      </c>
      <c r="H314">
        <f>SUMIFS($W$12:$W$260,$A$12:$A$260,$C314,$C$12:$C$260,$D314)</f>
        <v>0</v>
      </c>
      <c r="I314">
        <f>SUMIFS($X$12:$X$260,$A$12:$A$260,$C314,$C$12:$C$260,$D314)</f>
        <v>0</v>
      </c>
      <c r="J314">
        <f>SUMIFS($Y$12:$Y$260,$A$12:$A$260,$C314,$C$12:$C$260,$D314)</f>
        <v>0</v>
      </c>
      <c r="K314">
        <f>SUMIFS($Z$12:$Z$260,$A$12:$A$260,$C314,$C$12:$C$260,$D314)</f>
        <v>0</v>
      </c>
      <c r="L314">
        <f>SUMIFS(L$12:L$260,$A$12:$A$260,$C314,$C$12:$C$260,$D314)</f>
        <v>0</v>
      </c>
      <c r="M314">
        <f>SUMIFS(M$12:M$260,$A$12:$A$260,$C314,$C$12:$C$260,$D314)</f>
        <v>0</v>
      </c>
      <c r="N314">
        <f>SUMIFS(N$12:N$260,$A$12:$A$260,$C314,$C$12:$C$260,$D314)</f>
        <v>0</v>
      </c>
      <c r="O314">
        <f>SUMIFS(O$12:O$260,$A$12:$A$260,$C314,$C$12:$C$260,$D314)</f>
        <v>0</v>
      </c>
      <c r="P314">
        <f>SUMIFS(P$12:P$260,$A$12:$A$260,$C314,$C$12:$C$260,$D314)</f>
        <v>0</v>
      </c>
      <c r="Q314">
        <f>SUMIFS(Q$12:Q$260,$A$12:$A$260,$C314,$C$12:$C$260,$D314)</f>
        <v>0</v>
      </c>
      <c r="R314">
        <f>SUMIFS(R$12:R$260,$A$12:$A$260,$C314,$C$12:$C$260,$D314)</f>
        <v>0</v>
      </c>
      <c r="S314">
        <f>SUMIFS(S$12:S$260,$A$12:$A$260,$C314,$C$12:$C$260,$D314)</f>
        <v>0</v>
      </c>
      <c r="T314">
        <f>SUMIFS(T$12:T$260,$A$12:$A$260,$C314,$C$12:$C$260,$D314)</f>
        <v>0</v>
      </c>
      <c r="U314">
        <f>SUM(L314:T314)</f>
        <v>0</v>
      </c>
      <c r="W314">
        <f>IF(G314&gt;0,H314/G314,0)</f>
        <v>0</v>
      </c>
      <c r="X314">
        <f>IF(G314&gt;0,U314/G314,0)</f>
        <v>0</v>
      </c>
    </row>
    <row r="315">
      <c r="C315" t="str">
        <v>Subtotal Lantai 3</v>
      </c>
      <c r="G315">
        <f>SUM(G299:G314)</f>
        <v>20.56964</v>
      </c>
      <c r="H315">
        <f>SUM(H299:H314)</f>
        <v>215.99360000000001</v>
      </c>
      <c r="I315">
        <f>SUM(I299:I314)</f>
        <v>0</v>
      </c>
      <c r="J315">
        <f>SUM(J299:J314)</f>
        <v>0</v>
      </c>
      <c r="K315">
        <f>SUM(K299:K314)</f>
        <v>0</v>
      </c>
      <c r="L315">
        <f>SUM(L299:L314)</f>
        <v>0</v>
      </c>
      <c r="M315">
        <f>SUM(M299:M314)</f>
        <v>36.871632000000005</v>
      </c>
      <c r="N315">
        <f>SUM(N299:N314)</f>
        <v>1980.4145148000002</v>
      </c>
      <c r="O315">
        <f>SUM(O299:O314)</f>
        <v>341.78829048</v>
      </c>
      <c r="P315">
        <f>SUM(P299:P314)</f>
        <v>2968.5974722560004</v>
      </c>
      <c r="Q315">
        <f>SUM(Q299:Q314)</f>
        <v>0</v>
      </c>
      <c r="R315">
        <f>SUM(R299:R314)</f>
        <v>0</v>
      </c>
      <c r="S315">
        <f>SUM(S299:S314)</f>
        <v>0</v>
      </c>
      <c r="T315">
        <f>SUM(T299:T314)</f>
        <v>0</v>
      </c>
      <c r="U315">
        <f>SUM(U299:U314)</f>
        <v>5327.671909536</v>
      </c>
    </row>
    <row r="317">
      <c r="C317" t="str">
        <v>Lantai Atap</v>
      </c>
      <c r="D317" t="str">
        <v>S23-1</v>
      </c>
      <c r="G317">
        <f>SUMIFS($V$12:$V$260,$A$12:$A$260,$C317,$C$12:$C$260,$D317)</f>
        <v>0</v>
      </c>
      <c r="H317">
        <f>SUMIFS($W$12:$W$260,$A$12:$A$260,$C317,$C$12:$C$260,$D317)</f>
        <v>0</v>
      </c>
      <c r="I317">
        <f>SUMIFS($X$12:$X$260,$A$12:$A$260,$C317,$C$12:$C$260,$D317)</f>
        <v>0</v>
      </c>
      <c r="J317">
        <f>SUMIFS($Y$12:$Y$260,$A$12:$A$260,$C317,$C$12:$C$260,$D317)</f>
        <v>0</v>
      </c>
      <c r="K317">
        <f>SUMIFS($Z$12:$Z$260,$A$12:$A$260,$C317,$C$12:$C$260,$D317)</f>
        <v>0</v>
      </c>
      <c r="L317">
        <f>SUMIFS(L$12:L$260,$A$12:$A$260,$C317,$C$12:$C$260,$D317)</f>
        <v>0</v>
      </c>
      <c r="M317">
        <f>SUMIFS(M$12:M$260,$A$12:$A$260,$C317,$C$12:$C$260,$D317)</f>
        <v>0</v>
      </c>
      <c r="N317">
        <f>SUMIFS(N$12:N$260,$A$12:$A$260,$C317,$C$12:$C$260,$D317)</f>
        <v>0</v>
      </c>
      <c r="O317">
        <f>SUMIFS(O$12:O$260,$A$12:$A$260,$C317,$C$12:$C$260,$D317)</f>
        <v>0</v>
      </c>
      <c r="P317">
        <f>SUMIFS(P$12:P$260,$A$12:$A$260,$C317,$C$12:$C$260,$D317)</f>
        <v>0</v>
      </c>
      <c r="Q317">
        <f>SUMIFS(Q$12:Q$260,$A$12:$A$260,$C317,$C$12:$C$260,$D317)</f>
        <v>0</v>
      </c>
      <c r="R317">
        <f>SUMIFS(R$12:R$260,$A$12:$A$260,$C317,$C$12:$C$260,$D317)</f>
        <v>0</v>
      </c>
      <c r="S317">
        <f>SUMIFS(S$12:S$260,$A$12:$A$260,$C317,$C$12:$C$260,$D317)</f>
        <v>0</v>
      </c>
      <c r="T317">
        <f>SUMIFS(T$12:T$260,$A$12:$A$260,$C317,$C$12:$C$260,$D317)</f>
        <v>0</v>
      </c>
      <c r="U317">
        <f>SUM(L317:T317)</f>
        <v>0</v>
      </c>
      <c r="W317">
        <f>IF(G317&gt;0,H317/G317,0)</f>
        <v>0</v>
      </c>
      <c r="X317">
        <f>IF(G317&gt;0,U317/G317,0)</f>
        <v>0</v>
      </c>
    </row>
    <row r="318">
      <c r="C318" t="str">
        <f>C317</f>
        <v>Lantai Atap</v>
      </c>
      <c r="D318" t="str">
        <v>S24-1</v>
      </c>
      <c r="G318">
        <f>SUMIFS($V$12:$V$260,$A$12:$A$260,$C318,$C$12:$C$260,$D318)</f>
        <v>0</v>
      </c>
      <c r="H318">
        <f>SUMIFS($W$12:$W$260,$A$12:$A$260,$C318,$C$12:$C$260,$D318)</f>
        <v>0</v>
      </c>
      <c r="I318">
        <f>SUMIFS($X$12:$X$260,$A$12:$A$260,$C318,$C$12:$C$260,$D318)</f>
        <v>0</v>
      </c>
      <c r="J318">
        <f>SUMIFS($Y$12:$Y$260,$A$12:$A$260,$C318,$C$12:$C$260,$D318)</f>
        <v>0</v>
      </c>
      <c r="K318">
        <f>SUMIFS($Z$12:$Z$260,$A$12:$A$260,$C318,$C$12:$C$260,$D318)</f>
        <v>0</v>
      </c>
      <c r="L318">
        <f>SUMIFS(L$12:L$260,$A$12:$A$260,$C318,$C$12:$C$260,$D318)</f>
        <v>0</v>
      </c>
      <c r="M318">
        <f>SUMIFS(M$12:M$260,$A$12:$A$260,$C318,$C$12:$C$260,$D318)</f>
        <v>0</v>
      </c>
      <c r="N318">
        <f>SUMIFS(N$12:N$260,$A$12:$A$260,$C318,$C$12:$C$260,$D318)</f>
        <v>0</v>
      </c>
      <c r="O318">
        <f>SUMIFS(O$12:O$260,$A$12:$A$260,$C318,$C$12:$C$260,$D318)</f>
        <v>0</v>
      </c>
      <c r="P318">
        <f>SUMIFS(P$12:P$260,$A$12:$A$260,$C318,$C$12:$C$260,$D318)</f>
        <v>0</v>
      </c>
      <c r="Q318">
        <f>SUMIFS(Q$12:Q$260,$A$12:$A$260,$C318,$C$12:$C$260,$D318)</f>
        <v>0</v>
      </c>
      <c r="R318">
        <f>SUMIFS(R$12:R$260,$A$12:$A$260,$C318,$C$12:$C$260,$D318)</f>
        <v>0</v>
      </c>
      <c r="S318">
        <f>SUMIFS(S$12:S$260,$A$12:$A$260,$C318,$C$12:$C$260,$D318)</f>
        <v>0</v>
      </c>
      <c r="T318">
        <f>SUMIFS(T$12:T$260,$A$12:$A$260,$C318,$C$12:$C$260,$D318)</f>
        <v>0</v>
      </c>
      <c r="U318">
        <f>SUM(L318:T318)</f>
        <v>0</v>
      </c>
      <c r="W318">
        <f>IF(G318&gt;0,H318/G318,0)</f>
        <v>0</v>
      </c>
      <c r="X318">
        <f>IF(G318&gt;0,U318/G318,0)</f>
        <v>0</v>
      </c>
    </row>
    <row r="319">
      <c r="C319" t="str">
        <f>C318</f>
        <v>Lantai Atap</v>
      </c>
      <c r="D319" t="str">
        <v>S24-2</v>
      </c>
      <c r="G319">
        <f>SUMIFS($V$12:$V$260,$A$12:$A$260,$C319,$C$12:$C$260,$D319)</f>
        <v>0</v>
      </c>
      <c r="H319">
        <f>SUMIFS($W$12:$W$260,$A$12:$A$260,$C319,$C$12:$C$260,$D319)</f>
        <v>0</v>
      </c>
      <c r="I319">
        <f>SUMIFS($X$12:$X$260,$A$12:$A$260,$C319,$C$12:$C$260,$D319)</f>
        <v>0</v>
      </c>
      <c r="J319">
        <f>SUMIFS($Y$12:$Y$260,$A$12:$A$260,$C319,$C$12:$C$260,$D319)</f>
        <v>0</v>
      </c>
      <c r="K319">
        <f>SUMIFS($Z$12:$Z$260,$A$12:$A$260,$C319,$C$12:$C$260,$D319)</f>
        <v>0</v>
      </c>
      <c r="L319">
        <f>SUMIFS(L$12:L$260,$A$12:$A$260,$C319,$C$12:$C$260,$D319)</f>
        <v>0</v>
      </c>
      <c r="M319">
        <f>SUMIFS(M$12:M$260,$A$12:$A$260,$C319,$C$12:$C$260,$D319)</f>
        <v>0</v>
      </c>
      <c r="N319">
        <f>SUMIFS(N$12:N$260,$A$12:$A$260,$C319,$C$12:$C$260,$D319)</f>
        <v>0</v>
      </c>
      <c r="O319">
        <f>SUMIFS(O$12:O$260,$A$12:$A$260,$C319,$C$12:$C$260,$D319)</f>
        <v>0</v>
      </c>
      <c r="P319">
        <f>SUMIFS(P$12:P$260,$A$12:$A$260,$C319,$C$12:$C$260,$D319)</f>
        <v>0</v>
      </c>
      <c r="Q319">
        <f>SUMIFS(Q$12:Q$260,$A$12:$A$260,$C319,$C$12:$C$260,$D319)</f>
        <v>0</v>
      </c>
      <c r="R319">
        <f>SUMIFS(R$12:R$260,$A$12:$A$260,$C319,$C$12:$C$260,$D319)</f>
        <v>0</v>
      </c>
      <c r="S319">
        <f>SUMIFS(S$12:S$260,$A$12:$A$260,$C319,$C$12:$C$260,$D319)</f>
        <v>0</v>
      </c>
      <c r="T319">
        <f>SUMIFS(T$12:T$260,$A$12:$A$260,$C319,$C$12:$C$260,$D319)</f>
        <v>0</v>
      </c>
      <c r="U319">
        <f>SUM(L319:T319)</f>
        <v>0</v>
      </c>
      <c r="W319">
        <f>IF(G319&gt;0,H319/G319,0)</f>
        <v>0</v>
      </c>
      <c r="X319">
        <f>IF(G319&gt;0,U319/G319,0)</f>
        <v>0</v>
      </c>
    </row>
    <row r="320">
      <c r="C320" t="str">
        <f>C319</f>
        <v>Lantai Atap</v>
      </c>
      <c r="D320" t="str">
        <v>S25-1</v>
      </c>
      <c r="G320">
        <f>SUMIFS($V$12:$V$260,$A$12:$A$260,$C320,$C$12:$C$260,$D320)</f>
        <v>0</v>
      </c>
      <c r="H320">
        <f>SUMIFS($W$12:$W$260,$A$12:$A$260,$C320,$C$12:$C$260,$D320)</f>
        <v>0</v>
      </c>
      <c r="I320">
        <f>SUMIFS($X$12:$X$260,$A$12:$A$260,$C320,$C$12:$C$260,$D320)</f>
        <v>0</v>
      </c>
      <c r="J320">
        <f>SUMIFS($Y$12:$Y$260,$A$12:$A$260,$C320,$C$12:$C$260,$D320)</f>
        <v>0</v>
      </c>
      <c r="K320">
        <f>SUMIFS($Z$12:$Z$260,$A$12:$A$260,$C320,$C$12:$C$260,$D320)</f>
        <v>0</v>
      </c>
      <c r="L320">
        <f>SUMIFS(L$12:L$260,$A$12:$A$260,$C320,$C$12:$C$260,$D320)</f>
        <v>0</v>
      </c>
      <c r="M320">
        <f>SUMIFS(M$12:M$260,$A$12:$A$260,$C320,$C$12:$C$260,$D320)</f>
        <v>0</v>
      </c>
      <c r="N320">
        <f>SUMIFS(N$12:N$260,$A$12:$A$260,$C320,$C$12:$C$260,$D320)</f>
        <v>0</v>
      </c>
      <c r="O320">
        <f>SUMIFS(O$12:O$260,$A$12:$A$260,$C320,$C$12:$C$260,$D320)</f>
        <v>0</v>
      </c>
      <c r="P320">
        <f>SUMIFS(P$12:P$260,$A$12:$A$260,$C320,$C$12:$C$260,$D320)</f>
        <v>0</v>
      </c>
      <c r="Q320">
        <f>SUMIFS(Q$12:Q$260,$A$12:$A$260,$C320,$C$12:$C$260,$D320)</f>
        <v>0</v>
      </c>
      <c r="R320">
        <f>SUMIFS(R$12:R$260,$A$12:$A$260,$C320,$C$12:$C$260,$D320)</f>
        <v>0</v>
      </c>
      <c r="S320">
        <f>SUMIFS(S$12:S$260,$A$12:$A$260,$C320,$C$12:$C$260,$D320)</f>
        <v>0</v>
      </c>
      <c r="T320">
        <f>SUMIFS(T$12:T$260,$A$12:$A$260,$C320,$C$12:$C$260,$D320)</f>
        <v>0</v>
      </c>
      <c r="U320">
        <f>SUM(L320:T320)</f>
        <v>0</v>
      </c>
      <c r="W320">
        <f>IF(G320&gt;0,H320/G320,0)</f>
        <v>0</v>
      </c>
      <c r="X320">
        <f>IF(G320&gt;0,U320/G320,0)</f>
        <v>0</v>
      </c>
    </row>
    <row r="321">
      <c r="C321" t="str">
        <f>C320</f>
        <v>Lantai Atap</v>
      </c>
      <c r="D321" t="str">
        <v>S36-1</v>
      </c>
      <c r="G321">
        <f>SUMIFS($V$12:$V$260,$A$12:$A$260,$C321,$C$12:$C$260,$D321)</f>
        <v>0</v>
      </c>
      <c r="H321">
        <f>SUMIFS($W$12:$W$260,$A$12:$A$260,$C321,$C$12:$C$260,$D321)</f>
        <v>0</v>
      </c>
      <c r="I321">
        <f>SUMIFS($X$12:$X$260,$A$12:$A$260,$C321,$C$12:$C$260,$D321)</f>
        <v>0</v>
      </c>
      <c r="J321">
        <f>SUMIFS($Y$12:$Y$260,$A$12:$A$260,$C321,$C$12:$C$260,$D321)</f>
        <v>0</v>
      </c>
      <c r="K321">
        <f>SUMIFS($Z$12:$Z$260,$A$12:$A$260,$C321,$C$12:$C$260,$D321)</f>
        <v>0</v>
      </c>
      <c r="L321">
        <f>SUMIFS(L$12:L$260,$A$12:$A$260,$C321,$C$12:$C$260,$D321)</f>
        <v>0</v>
      </c>
      <c r="M321">
        <f>SUMIFS(M$12:M$260,$A$12:$A$260,$C321,$C$12:$C$260,$D321)</f>
        <v>0</v>
      </c>
      <c r="N321">
        <f>SUMIFS(N$12:N$260,$A$12:$A$260,$C321,$C$12:$C$260,$D321)</f>
        <v>0</v>
      </c>
      <c r="O321">
        <f>SUMIFS(O$12:O$260,$A$12:$A$260,$C321,$C$12:$C$260,$D321)</f>
        <v>0</v>
      </c>
      <c r="P321">
        <f>SUMIFS(P$12:P$260,$A$12:$A$260,$C321,$C$12:$C$260,$D321)</f>
        <v>0</v>
      </c>
      <c r="Q321">
        <f>SUMIFS(Q$12:Q$260,$A$12:$A$260,$C321,$C$12:$C$260,$D321)</f>
        <v>0</v>
      </c>
      <c r="R321">
        <f>SUMIFS(R$12:R$260,$A$12:$A$260,$C321,$C$12:$C$260,$D321)</f>
        <v>0</v>
      </c>
      <c r="S321">
        <f>SUMIFS(S$12:S$260,$A$12:$A$260,$C321,$C$12:$C$260,$D321)</f>
        <v>0</v>
      </c>
      <c r="T321">
        <f>SUMIFS(T$12:T$260,$A$12:$A$260,$C321,$C$12:$C$260,$D321)</f>
        <v>0</v>
      </c>
      <c r="U321">
        <f>SUM(L321:T321)</f>
        <v>0</v>
      </c>
      <c r="W321">
        <f>IF(G321&gt;0,H321/G321,0)</f>
        <v>0</v>
      </c>
      <c r="X321">
        <f>IF(G321&gt;0,U321/G321,0)</f>
        <v>0</v>
      </c>
    </row>
    <row r="322">
      <c r="C322" t="str">
        <f>C321</f>
        <v>Lantai Atap</v>
      </c>
      <c r="D322" t="str">
        <v>B4-1</v>
      </c>
      <c r="G322">
        <f>SUMIFS($V$12:$V$260,$A$12:$A$260,$C322,$C$12:$C$260,$D322)</f>
        <v>1.8280599999999998</v>
      </c>
      <c r="H322">
        <f>SUMIFS($W$12:$W$260,$A$12:$A$260,$C322,$C$12:$C$260,$D322)</f>
        <v>32.69415</v>
      </c>
      <c r="I322">
        <f>SUMIFS($X$12:$X$260,$A$12:$A$260,$C322,$C$12:$C$260,$D322)</f>
        <v>0</v>
      </c>
      <c r="J322">
        <f>SUMIFS($Y$12:$Y$260,$A$12:$A$260,$C322,$C$12:$C$260,$D322)</f>
        <v>0</v>
      </c>
      <c r="K322">
        <f>SUMIFS($Z$12:$Z$260,$A$12:$A$260,$C322,$C$12:$C$260,$D322)</f>
        <v>0</v>
      </c>
      <c r="L322">
        <f>SUMIFS(L$12:L$260,$A$12:$A$260,$C322,$C$12:$C$260,$D322)</f>
        <v>0</v>
      </c>
      <c r="M322">
        <f>SUMIFS(M$12:M$260,$A$12:$A$260,$C322,$C$12:$C$260,$D322)</f>
        <v>79.01064000000002</v>
      </c>
      <c r="N322">
        <f>SUMIFS(N$12:N$260,$A$12:$A$260,$C322,$C$12:$C$260,$D322)</f>
        <v>0</v>
      </c>
      <c r="O322">
        <f>SUMIFS(O$12:O$260,$A$12:$A$260,$C322,$C$12:$C$260,$D322)</f>
        <v>158.21232102000002</v>
      </c>
      <c r="P322">
        <f>SUMIFS(P$12:P$260,$A$12:$A$260,$C322,$C$12:$C$260,$D322)</f>
        <v>0</v>
      </c>
      <c r="Q322">
        <f>SUMIFS(Q$12:Q$260,$A$12:$A$260,$C322,$C$12:$C$260,$D322)</f>
        <v>0</v>
      </c>
      <c r="R322">
        <f>SUMIFS(R$12:R$260,$A$12:$A$260,$C322,$C$12:$C$260,$D322)</f>
        <v>0</v>
      </c>
      <c r="S322">
        <f>SUMIFS(S$12:S$260,$A$12:$A$260,$C322,$C$12:$C$260,$D322)</f>
        <v>0</v>
      </c>
      <c r="T322">
        <f>SUMIFS(T$12:T$260,$A$12:$A$260,$C322,$C$12:$C$260,$D322)</f>
        <v>0</v>
      </c>
      <c r="U322">
        <f>SUM(L322:T322)</f>
        <v>237.22296102000004</v>
      </c>
      <c r="W322">
        <f>IF(G322&gt;0,H322/G322,0)</f>
        <v>17.884615384615387</v>
      </c>
      <c r="X322">
        <f>IF(G322&gt;0,U322/G322,0)</f>
        <v>129.76760118376862</v>
      </c>
    </row>
    <row r="323">
      <c r="C323" t="str">
        <f>C322</f>
        <v>Lantai Atap</v>
      </c>
      <c r="D323" t="str">
        <v>B5-1</v>
      </c>
      <c r="G323">
        <f>SUMIFS($V$12:$V$260,$A$12:$A$260,$C323,$C$12:$C$260,$D323)</f>
        <v>1.42748125</v>
      </c>
      <c r="H323">
        <f>SUMIFS($W$12:$W$260,$A$12:$A$260,$C323,$C$12:$C$260,$D323)</f>
        <v>23.5427</v>
      </c>
      <c r="I323">
        <f>SUMIFS($X$12:$X$260,$A$12:$A$260,$C323,$C$12:$C$260,$D323)</f>
        <v>0</v>
      </c>
      <c r="J323">
        <f>SUMIFS($Y$12:$Y$260,$A$12:$A$260,$C323,$C$12:$C$260,$D323)</f>
        <v>0</v>
      </c>
      <c r="K323">
        <f>SUMIFS($Z$12:$Z$260,$A$12:$A$260,$C323,$C$12:$C$260,$D323)</f>
        <v>0</v>
      </c>
      <c r="L323">
        <f>SUMIFS(L$12:L$260,$A$12:$A$260,$C323,$C$12:$C$260,$D323)</f>
        <v>0</v>
      </c>
      <c r="M323">
        <f>SUMIFS(M$12:M$260,$A$12:$A$260,$C323,$C$12:$C$260,$D323)</f>
        <v>61.50006719999999</v>
      </c>
      <c r="N323">
        <f>SUMIFS(N$12:N$260,$A$12:$A$260,$C323,$C$12:$C$260,$D323)</f>
        <v>30.097530000000006</v>
      </c>
      <c r="O323">
        <f>SUMIFS(O$12:O$260,$A$12:$A$260,$C323,$C$12:$C$260,$D323)</f>
        <v>153.94476005999996</v>
      </c>
      <c r="P323">
        <f>SUMIFS(P$12:P$260,$A$12:$A$260,$C323,$C$12:$C$260,$D323)</f>
        <v>0</v>
      </c>
      <c r="Q323">
        <f>SUMIFS(Q$12:Q$260,$A$12:$A$260,$C323,$C$12:$C$260,$D323)</f>
        <v>0</v>
      </c>
      <c r="R323">
        <f>SUMIFS(R$12:R$260,$A$12:$A$260,$C323,$C$12:$C$260,$D323)</f>
        <v>0</v>
      </c>
      <c r="S323">
        <f>SUMIFS(S$12:S$260,$A$12:$A$260,$C323,$C$12:$C$260,$D323)</f>
        <v>0</v>
      </c>
      <c r="T323">
        <f>SUMIFS(T$12:T$260,$A$12:$A$260,$C323,$C$12:$C$260,$D323)</f>
        <v>0</v>
      </c>
      <c r="U323">
        <f>SUM(L323:T323)</f>
        <v>245.54235725999996</v>
      </c>
      <c r="W323">
        <f>IF(G323&gt;0,H323/G323,0)</f>
        <v>16.492475820610604</v>
      </c>
      <c r="X323">
        <f>IF(G323&gt;0,U323/G323,0)</f>
        <v>172.01091591220546</v>
      </c>
    </row>
    <row r="324">
      <c r="C324" t="str">
        <f>C323</f>
        <v>Lantai Atap</v>
      </c>
      <c r="D324" t="str">
        <v>B23-1</v>
      </c>
      <c r="G324">
        <f>SUMIFS($V$12:$V$260,$A$12:$A$260,$C324,$C$12:$C$260,$D324)</f>
        <v>0</v>
      </c>
      <c r="H324">
        <f>SUMIFS($W$12:$W$260,$A$12:$A$260,$C324,$C$12:$C$260,$D324)</f>
        <v>0</v>
      </c>
      <c r="I324">
        <f>SUMIFS($X$12:$X$260,$A$12:$A$260,$C324,$C$12:$C$260,$D324)</f>
        <v>0</v>
      </c>
      <c r="J324">
        <f>SUMIFS($Y$12:$Y$260,$A$12:$A$260,$C324,$C$12:$C$260,$D324)</f>
        <v>0</v>
      </c>
      <c r="K324">
        <f>SUMIFS($Z$12:$Z$260,$A$12:$A$260,$C324,$C$12:$C$260,$D324)</f>
        <v>0</v>
      </c>
      <c r="L324">
        <f>SUMIFS(L$12:L$260,$A$12:$A$260,$C324,$C$12:$C$260,$D324)</f>
        <v>0</v>
      </c>
      <c r="M324">
        <f>SUMIFS(M$12:M$260,$A$12:$A$260,$C324,$C$12:$C$260,$D324)</f>
        <v>0</v>
      </c>
      <c r="N324">
        <f>SUMIFS(N$12:N$260,$A$12:$A$260,$C324,$C$12:$C$260,$D324)</f>
        <v>0</v>
      </c>
      <c r="O324">
        <f>SUMIFS(O$12:O$260,$A$12:$A$260,$C324,$C$12:$C$260,$D324)</f>
        <v>0</v>
      </c>
      <c r="P324">
        <f>SUMIFS(P$12:P$260,$A$12:$A$260,$C324,$C$12:$C$260,$D324)</f>
        <v>0</v>
      </c>
      <c r="Q324">
        <f>SUMIFS(Q$12:Q$260,$A$12:$A$260,$C324,$C$12:$C$260,$D324)</f>
        <v>0</v>
      </c>
      <c r="R324">
        <f>SUMIFS(R$12:R$260,$A$12:$A$260,$C324,$C$12:$C$260,$D324)</f>
        <v>0</v>
      </c>
      <c r="S324">
        <f>SUMIFS(S$12:S$260,$A$12:$A$260,$C324,$C$12:$C$260,$D324)</f>
        <v>0</v>
      </c>
      <c r="T324">
        <f>SUMIFS(T$12:T$260,$A$12:$A$260,$C324,$C$12:$C$260,$D324)</f>
        <v>0</v>
      </c>
      <c r="U324">
        <f>SUM(L324:T324)</f>
        <v>0</v>
      </c>
      <c r="W324">
        <f>IF(G324&gt;0,H324/G324,0)</f>
        <v>0</v>
      </c>
      <c r="X324">
        <f>IF(G324&gt;0,U324/G324,0)</f>
        <v>0</v>
      </c>
    </row>
    <row r="325">
      <c r="C325" t="str">
        <f>C324</f>
        <v>Lantai Atap</v>
      </c>
      <c r="D325" t="str">
        <v>B24-1</v>
      </c>
      <c r="G325">
        <f>SUMIFS($V$12:$V$260,$A$12:$A$260,$C325,$C$12:$C$260,$D325)</f>
        <v>5.28285</v>
      </c>
      <c r="H325">
        <f>SUMIFS($W$12:$W$260,$A$12:$A$260,$C325,$C$12:$C$260,$D325)</f>
        <v>60.59250000000001</v>
      </c>
      <c r="I325">
        <f>SUMIFS($X$12:$X$260,$A$12:$A$260,$C325,$C$12:$C$260,$D325)</f>
        <v>0</v>
      </c>
      <c r="J325">
        <f>SUMIFS($Y$12:$Y$260,$A$12:$A$260,$C325,$C$12:$C$260,$D325)</f>
        <v>0</v>
      </c>
      <c r="K325">
        <f>SUMIFS($Z$12:$Z$260,$A$12:$A$260,$C325,$C$12:$C$260,$D325)</f>
        <v>0</v>
      </c>
      <c r="L325">
        <f>SUMIFS(L$12:L$260,$A$12:$A$260,$C325,$C$12:$C$260,$D325)</f>
        <v>0</v>
      </c>
      <c r="M325">
        <f>SUMIFS(M$12:M$260,$A$12:$A$260,$C325,$C$12:$C$260,$D325)</f>
        <v>0</v>
      </c>
      <c r="N325">
        <f>SUMIFS(N$12:N$260,$A$12:$A$260,$C325,$C$12:$C$260,$D325)</f>
        <v>415.2867300000001</v>
      </c>
      <c r="O325">
        <f>SUMIFS(O$12:O$260,$A$12:$A$260,$C325,$C$12:$C$260,$D325)</f>
        <v>544.1493423014999</v>
      </c>
      <c r="P325">
        <f>SUMIFS(P$12:P$260,$A$12:$A$260,$C325,$C$12:$C$260,$D325)</f>
        <v>0</v>
      </c>
      <c r="Q325">
        <f>SUMIFS(Q$12:Q$260,$A$12:$A$260,$C325,$C$12:$C$260,$D325)</f>
        <v>0</v>
      </c>
      <c r="R325">
        <f>SUMIFS(R$12:R$260,$A$12:$A$260,$C325,$C$12:$C$260,$D325)</f>
        <v>0</v>
      </c>
      <c r="S325">
        <f>SUMIFS(S$12:S$260,$A$12:$A$260,$C325,$C$12:$C$260,$D325)</f>
        <v>0</v>
      </c>
      <c r="T325">
        <f>SUMIFS(T$12:T$260,$A$12:$A$260,$C325,$C$12:$C$260,$D325)</f>
        <v>0</v>
      </c>
      <c r="U325">
        <f>SUM(L325:T325)</f>
        <v>959.4360723015</v>
      </c>
      <c r="W325">
        <f>IF(G325&gt;0,H325/G325,0)</f>
        <v>11.469661262386781</v>
      </c>
      <c r="X325">
        <f>IF(G325&gt;0,U325/G325,0)</f>
        <v>181.6133473979954</v>
      </c>
    </row>
    <row r="326">
      <c r="C326" t="str">
        <f>C325</f>
        <v>Lantai Atap</v>
      </c>
      <c r="D326" t="str">
        <v>B24-2</v>
      </c>
      <c r="G326">
        <f>SUMIFS($V$12:$V$260,$A$12:$A$260,$C326,$C$12:$C$260,$D326)</f>
        <v>0</v>
      </c>
      <c r="H326">
        <f>SUMIFS($W$12:$W$260,$A$12:$A$260,$C326,$C$12:$C$260,$D326)</f>
        <v>0</v>
      </c>
      <c r="I326">
        <f>SUMIFS($X$12:$X$260,$A$12:$A$260,$C326,$C$12:$C$260,$D326)</f>
        <v>0</v>
      </c>
      <c r="J326">
        <f>SUMIFS($Y$12:$Y$260,$A$12:$A$260,$C326,$C$12:$C$260,$D326)</f>
        <v>0</v>
      </c>
      <c r="K326">
        <f>SUMIFS($Z$12:$Z$260,$A$12:$A$260,$C326,$C$12:$C$260,$D326)</f>
        <v>0</v>
      </c>
      <c r="L326">
        <f>SUMIFS(L$12:L$260,$A$12:$A$260,$C326,$C$12:$C$260,$D326)</f>
        <v>0</v>
      </c>
      <c r="M326">
        <f>SUMIFS(M$12:M$260,$A$12:$A$260,$C326,$C$12:$C$260,$D326)</f>
        <v>0</v>
      </c>
      <c r="N326">
        <f>SUMIFS(N$12:N$260,$A$12:$A$260,$C326,$C$12:$C$260,$D326)</f>
        <v>0</v>
      </c>
      <c r="O326">
        <f>SUMIFS(O$12:O$260,$A$12:$A$260,$C326,$C$12:$C$260,$D326)</f>
        <v>0</v>
      </c>
      <c r="P326">
        <f>SUMIFS(P$12:P$260,$A$12:$A$260,$C326,$C$12:$C$260,$D326)</f>
        <v>0</v>
      </c>
      <c r="Q326">
        <f>SUMIFS(Q$12:Q$260,$A$12:$A$260,$C326,$C$12:$C$260,$D326)</f>
        <v>0</v>
      </c>
      <c r="R326">
        <f>SUMIFS(R$12:R$260,$A$12:$A$260,$C326,$C$12:$C$260,$D326)</f>
        <v>0</v>
      </c>
      <c r="S326">
        <f>SUMIFS(S$12:S$260,$A$12:$A$260,$C326,$C$12:$C$260,$D326)</f>
        <v>0</v>
      </c>
      <c r="T326">
        <f>SUMIFS(T$12:T$260,$A$12:$A$260,$C326,$C$12:$C$260,$D326)</f>
        <v>0</v>
      </c>
      <c r="U326">
        <f>SUM(L326:T326)</f>
        <v>0</v>
      </c>
      <c r="W326">
        <f>IF(G326&gt;0,H326/G326,0)</f>
        <v>0</v>
      </c>
      <c r="X326">
        <f>IF(G326&gt;0,U326/G326,0)</f>
        <v>0</v>
      </c>
    </row>
    <row r="327">
      <c r="C327" t="str">
        <f>C326</f>
        <v>Lantai Atap</v>
      </c>
      <c r="D327" t="str">
        <v>CL24-1</v>
      </c>
      <c r="G327">
        <f>SUMIFS($V$12:$V$260,$A$12:$A$260,$C327,$C$12:$C$260,$D327)</f>
        <v>0</v>
      </c>
      <c r="H327">
        <f>SUMIFS($W$12:$W$260,$A$12:$A$260,$C327,$C$12:$C$260,$D327)</f>
        <v>0</v>
      </c>
      <c r="I327">
        <f>SUMIFS($X$12:$X$260,$A$12:$A$260,$C327,$C$12:$C$260,$D327)</f>
        <v>0</v>
      </c>
      <c r="J327">
        <f>SUMIFS($Y$12:$Y$260,$A$12:$A$260,$C327,$C$12:$C$260,$D327)</f>
        <v>0</v>
      </c>
      <c r="K327">
        <f>SUMIFS($Z$12:$Z$260,$A$12:$A$260,$C327,$C$12:$C$260,$D327)</f>
        <v>0</v>
      </c>
      <c r="L327">
        <f>SUMIFS(L$12:L$260,$A$12:$A$260,$C327,$C$12:$C$260,$D327)</f>
        <v>0</v>
      </c>
      <c r="M327">
        <f>SUMIFS(M$12:M$260,$A$12:$A$260,$C327,$C$12:$C$260,$D327)</f>
        <v>0</v>
      </c>
      <c r="N327">
        <f>SUMIFS(N$12:N$260,$A$12:$A$260,$C327,$C$12:$C$260,$D327)</f>
        <v>0</v>
      </c>
      <c r="O327">
        <f>SUMIFS(O$12:O$260,$A$12:$A$260,$C327,$C$12:$C$260,$D327)</f>
        <v>0</v>
      </c>
      <c r="P327">
        <f>SUMIFS(P$12:P$260,$A$12:$A$260,$C327,$C$12:$C$260,$D327)</f>
        <v>0</v>
      </c>
      <c r="Q327">
        <f>SUMIFS(Q$12:Q$260,$A$12:$A$260,$C327,$C$12:$C$260,$D327)</f>
        <v>0</v>
      </c>
      <c r="R327">
        <f>SUMIFS(R$12:R$260,$A$12:$A$260,$C327,$C$12:$C$260,$D327)</f>
        <v>0</v>
      </c>
      <c r="S327">
        <f>SUMIFS(S$12:S$260,$A$12:$A$260,$C327,$C$12:$C$260,$D327)</f>
        <v>0</v>
      </c>
      <c r="T327">
        <f>SUMIFS(T$12:T$260,$A$12:$A$260,$C327,$C$12:$C$260,$D327)</f>
        <v>0</v>
      </c>
      <c r="U327">
        <f>SUM(L327:T327)</f>
        <v>0</v>
      </c>
      <c r="W327">
        <f>IF(G327&gt;0,H327/G327,0)</f>
        <v>0</v>
      </c>
      <c r="X327">
        <f>IF(G327&gt;0,U327/G327,0)</f>
        <v>0</v>
      </c>
    </row>
    <row r="328">
      <c r="C328" t="str">
        <f>C327</f>
        <v>Lantai Atap</v>
      </c>
      <c r="D328" t="str">
        <v>B25-1</v>
      </c>
      <c r="G328">
        <f>SUMIFS($V$12:$V$260,$A$12:$A$260,$C328,$C$12:$C$260,$D328)</f>
        <v>1.065</v>
      </c>
      <c r="H328">
        <f>SUMIFS($W$12:$W$260,$A$12:$A$260,$C328,$C$12:$C$260,$D328)</f>
        <v>12.78</v>
      </c>
      <c r="I328">
        <f>SUMIFS($X$12:$X$260,$A$12:$A$260,$C328,$C$12:$C$260,$D328)</f>
        <v>0</v>
      </c>
      <c r="J328">
        <f>SUMIFS($Y$12:$Y$260,$A$12:$A$260,$C328,$C$12:$C$260,$D328)</f>
        <v>0</v>
      </c>
      <c r="K328">
        <f>SUMIFS($Z$12:$Z$260,$A$12:$A$260,$C328,$C$12:$C$260,$D328)</f>
        <v>0</v>
      </c>
      <c r="L328">
        <f>SUMIFS(L$12:L$260,$A$12:$A$260,$C328,$C$12:$C$260,$D328)</f>
        <v>0</v>
      </c>
      <c r="M328">
        <f>SUMIFS(M$12:M$260,$A$12:$A$260,$C328,$C$12:$C$260,$D328)</f>
        <v>0</v>
      </c>
      <c r="N328">
        <f>SUMIFS(N$12:N$260,$A$12:$A$260,$C328,$C$12:$C$260,$D328)</f>
        <v>62.716544999999996</v>
      </c>
      <c r="O328">
        <f>SUMIFS(O$12:O$260,$A$12:$A$260,$C328,$C$12:$C$260,$D328)</f>
        <v>0</v>
      </c>
      <c r="P328">
        <f>SUMIFS(P$12:P$260,$A$12:$A$260,$C328,$C$12:$C$260,$D328)</f>
        <v>139.31440128000003</v>
      </c>
      <c r="Q328">
        <f>SUMIFS(Q$12:Q$260,$A$12:$A$260,$C328,$C$12:$C$260,$D328)</f>
        <v>0</v>
      </c>
      <c r="R328">
        <f>SUMIFS(R$12:R$260,$A$12:$A$260,$C328,$C$12:$C$260,$D328)</f>
        <v>0</v>
      </c>
      <c r="S328">
        <f>SUMIFS(S$12:S$260,$A$12:$A$260,$C328,$C$12:$C$260,$D328)</f>
        <v>0</v>
      </c>
      <c r="T328">
        <f>SUMIFS(T$12:T$260,$A$12:$A$260,$C328,$C$12:$C$260,$D328)</f>
        <v>0</v>
      </c>
      <c r="U328">
        <f>SUM(L328:T328)</f>
        <v>202.03094628000002</v>
      </c>
      <c r="W328">
        <f>IF(G328&gt;0,H328/G328,0)</f>
        <v>12</v>
      </c>
      <c r="X328">
        <f>IF(G328&gt;0,U328/G328,0)</f>
        <v>189.70041904225354</v>
      </c>
    </row>
    <row r="329">
      <c r="C329" t="str">
        <f>C328</f>
        <v>Lantai Atap</v>
      </c>
      <c r="D329" t="str">
        <v>B26-1</v>
      </c>
      <c r="G329">
        <f>SUMIFS($V$12:$V$260,$A$12:$A$260,$C329,$C$12:$C$260,$D329)</f>
        <v>0</v>
      </c>
      <c r="H329">
        <f>SUMIFS($W$12:$W$260,$A$12:$A$260,$C329,$C$12:$C$260,$D329)</f>
        <v>0</v>
      </c>
      <c r="I329">
        <f>SUMIFS($X$12:$X$260,$A$12:$A$260,$C329,$C$12:$C$260,$D329)</f>
        <v>0</v>
      </c>
      <c r="J329">
        <f>SUMIFS($Y$12:$Y$260,$A$12:$A$260,$C329,$C$12:$C$260,$D329)</f>
        <v>0</v>
      </c>
      <c r="K329">
        <f>SUMIFS($Z$12:$Z$260,$A$12:$A$260,$C329,$C$12:$C$260,$D329)</f>
        <v>0</v>
      </c>
      <c r="L329">
        <f>SUMIFS(L$12:L$260,$A$12:$A$260,$C329,$C$12:$C$260,$D329)</f>
        <v>0</v>
      </c>
      <c r="M329">
        <f>SUMIFS(M$12:M$260,$A$12:$A$260,$C329,$C$12:$C$260,$D329)</f>
        <v>0</v>
      </c>
      <c r="N329">
        <f>SUMIFS(N$12:N$260,$A$12:$A$260,$C329,$C$12:$C$260,$D329)</f>
        <v>0</v>
      </c>
      <c r="O329">
        <f>SUMIFS(O$12:O$260,$A$12:$A$260,$C329,$C$12:$C$260,$D329)</f>
        <v>0</v>
      </c>
      <c r="P329">
        <f>SUMIFS(P$12:P$260,$A$12:$A$260,$C329,$C$12:$C$260,$D329)</f>
        <v>0</v>
      </c>
      <c r="Q329">
        <f>SUMIFS(Q$12:Q$260,$A$12:$A$260,$C329,$C$12:$C$260,$D329)</f>
        <v>0</v>
      </c>
      <c r="R329">
        <f>SUMIFS(R$12:R$260,$A$12:$A$260,$C329,$C$12:$C$260,$D329)</f>
        <v>0</v>
      </c>
      <c r="S329">
        <f>SUMIFS(S$12:S$260,$A$12:$A$260,$C329,$C$12:$C$260,$D329)</f>
        <v>0</v>
      </c>
      <c r="T329">
        <f>SUMIFS(T$12:T$260,$A$12:$A$260,$C329,$C$12:$C$260,$D329)</f>
        <v>0</v>
      </c>
      <c r="U329">
        <f>SUM(L329:T329)</f>
        <v>0</v>
      </c>
      <c r="W329">
        <f>IF(G329&gt;0,H329/G329,0)</f>
        <v>0</v>
      </c>
      <c r="X329">
        <f>IF(G329&gt;0,U329/G329,0)</f>
        <v>0</v>
      </c>
    </row>
    <row r="330">
      <c r="C330" t="str">
        <f>C329</f>
        <v>Lantai Atap</v>
      </c>
      <c r="D330" t="str">
        <v>B2A4A-1</v>
      </c>
      <c r="G330">
        <f>SUMIFS($V$12:$V$260,$A$12:$A$260,$C330,$C$12:$C$260,$D330)</f>
        <v>4.91625</v>
      </c>
      <c r="H330">
        <f>SUMIFS($W$12:$W$260,$A$12:$A$260,$C330,$C$12:$C$260,$D330)</f>
        <v>50.255</v>
      </c>
      <c r="I330">
        <f>SUMIFS($X$12:$X$260,$A$12:$A$260,$C330,$C$12:$C$260,$D330)</f>
        <v>0</v>
      </c>
      <c r="J330">
        <f>SUMIFS($Y$12:$Y$260,$A$12:$A$260,$C330,$C$12:$C$260,$D330)</f>
        <v>0</v>
      </c>
      <c r="K330">
        <f>SUMIFS($Z$12:$Z$260,$A$12:$A$260,$C330,$C$12:$C$260,$D330)</f>
        <v>0</v>
      </c>
      <c r="L330">
        <f>SUMIFS(L$12:L$260,$A$12:$A$260,$C330,$C$12:$C$260,$D330)</f>
        <v>0</v>
      </c>
      <c r="M330">
        <f>SUMIFS(M$12:M$260,$A$12:$A$260,$C330,$C$12:$C$260,$D330)</f>
        <v>0</v>
      </c>
      <c r="N330">
        <f>SUMIFS(N$12:N$260,$A$12:$A$260,$C330,$C$12:$C$260,$D330)</f>
        <v>260.85348</v>
      </c>
      <c r="O330">
        <f>SUMIFS(O$12:O$260,$A$12:$A$260,$C330,$C$12:$C$260,$D330)</f>
        <v>286.83510803999997</v>
      </c>
      <c r="P330">
        <f>SUMIFS(P$12:P$260,$A$12:$A$260,$C330,$C$12:$C$260,$D330)</f>
        <v>0</v>
      </c>
      <c r="Q330">
        <f>SUMIFS(Q$12:Q$260,$A$12:$A$260,$C330,$C$12:$C$260,$D330)</f>
        <v>0</v>
      </c>
      <c r="R330">
        <f>SUMIFS(R$12:R$260,$A$12:$A$260,$C330,$C$12:$C$260,$D330)</f>
        <v>0</v>
      </c>
      <c r="S330">
        <f>SUMIFS(S$12:S$260,$A$12:$A$260,$C330,$C$12:$C$260,$D330)</f>
        <v>0</v>
      </c>
      <c r="T330">
        <f>SUMIFS(T$12:T$260,$A$12:$A$260,$C330,$C$12:$C$260,$D330)</f>
        <v>0</v>
      </c>
      <c r="U330">
        <f>SUM(L330:T330)</f>
        <v>547.68858804</v>
      </c>
      <c r="W330">
        <f>IF(G330&gt;0,H330/G330,0)</f>
        <v>10.222222222222223</v>
      </c>
      <c r="X330">
        <f>IF(G330&gt;0,U330/G330,0)</f>
        <v>111.40373008695653</v>
      </c>
    </row>
    <row r="331">
      <c r="C331" t="str">
        <f>C330</f>
        <v>Lantai Atap</v>
      </c>
      <c r="D331" t="str">
        <v>B36-1</v>
      </c>
      <c r="G331">
        <f>SUMIFS($V$12:$V$260,$A$12:$A$260,$C331,$C$12:$C$260,$D331)</f>
        <v>0</v>
      </c>
      <c r="H331">
        <f>SUMIFS($W$12:$W$260,$A$12:$A$260,$C331,$C$12:$C$260,$D331)</f>
        <v>0</v>
      </c>
      <c r="I331">
        <f>SUMIFS($X$12:$X$260,$A$12:$A$260,$C331,$C$12:$C$260,$D331)</f>
        <v>0</v>
      </c>
      <c r="J331">
        <f>SUMIFS($Y$12:$Y$260,$A$12:$A$260,$C331,$C$12:$C$260,$D331)</f>
        <v>0</v>
      </c>
      <c r="K331">
        <f>SUMIFS($Z$12:$Z$260,$A$12:$A$260,$C331,$C$12:$C$260,$D331)</f>
        <v>0</v>
      </c>
      <c r="L331">
        <f>SUMIFS(L$12:L$260,$A$12:$A$260,$C331,$C$12:$C$260,$D331)</f>
        <v>0</v>
      </c>
      <c r="M331">
        <f>SUMIFS(M$12:M$260,$A$12:$A$260,$C331,$C$12:$C$260,$D331)</f>
        <v>0</v>
      </c>
      <c r="N331">
        <f>SUMIFS(N$12:N$260,$A$12:$A$260,$C331,$C$12:$C$260,$D331)</f>
        <v>0</v>
      </c>
      <c r="O331">
        <f>SUMIFS(O$12:O$260,$A$12:$A$260,$C331,$C$12:$C$260,$D331)</f>
        <v>0</v>
      </c>
      <c r="P331">
        <f>SUMIFS(P$12:P$260,$A$12:$A$260,$C331,$C$12:$C$260,$D331)</f>
        <v>0</v>
      </c>
      <c r="Q331">
        <f>SUMIFS(Q$12:Q$260,$A$12:$A$260,$C331,$C$12:$C$260,$D331)</f>
        <v>0</v>
      </c>
      <c r="R331">
        <f>SUMIFS(R$12:R$260,$A$12:$A$260,$C331,$C$12:$C$260,$D331)</f>
        <v>0</v>
      </c>
      <c r="S331">
        <f>SUMIFS(S$12:S$260,$A$12:$A$260,$C331,$C$12:$C$260,$D331)</f>
        <v>0</v>
      </c>
      <c r="T331">
        <f>SUMIFS(T$12:T$260,$A$12:$A$260,$C331,$C$12:$C$260,$D331)</f>
        <v>0</v>
      </c>
      <c r="U331">
        <f>SUM(L331:T331)</f>
        <v>0</v>
      </c>
      <c r="W331">
        <f>IF(G331&gt;0,H331/G331,0)</f>
        <v>0</v>
      </c>
      <c r="X331">
        <f>IF(G331&gt;0,U331/G331,0)</f>
        <v>0</v>
      </c>
    </row>
    <row r="332">
      <c r="C332" t="str">
        <v>Subtotal Lantai Atap</v>
      </c>
      <c r="G332">
        <f>SUM(G316:G331)</f>
        <v>14.51964125</v>
      </c>
      <c r="H332">
        <f>SUM(H316:H331)</f>
        <v>179.86435</v>
      </c>
      <c r="I332">
        <f>SUM(I316:I331)</f>
        <v>0</v>
      </c>
      <c r="J332">
        <f>SUM(J316:J331)</f>
        <v>0</v>
      </c>
      <c r="K332">
        <f>SUM(K316:K331)</f>
        <v>0</v>
      </c>
      <c r="L332">
        <f>SUM(L316:L331)</f>
        <v>0</v>
      </c>
      <c r="M332">
        <f>SUM(M316:M331)</f>
        <v>140.5107072</v>
      </c>
      <c r="N332">
        <f>SUM(N316:N331)</f>
        <v>768.954285</v>
      </c>
      <c r="O332">
        <f>SUM(O316:O331)</f>
        <v>1143.1415314214998</v>
      </c>
      <c r="P332">
        <f>SUM(P316:P331)</f>
        <v>139.31440128000003</v>
      </c>
      <c r="Q332">
        <f>SUM(Q316:Q331)</f>
        <v>0</v>
      </c>
      <c r="R332">
        <f>SUM(R316:R331)</f>
        <v>0</v>
      </c>
      <c r="S332">
        <f>SUM(S316:S331)</f>
        <v>0</v>
      </c>
      <c r="T332">
        <f>SUM(T316:T331)</f>
        <v>0</v>
      </c>
      <c r="U332">
        <f>SUM(U316:U331)</f>
        <v>2191.9209249015003</v>
      </c>
    </row>
    <row r="334">
      <c r="C334" t="str">
        <v>TOTAL</v>
      </c>
      <c r="G334">
        <f>SUM(G265:G333)/2</f>
        <v>86.69830625</v>
      </c>
      <c r="H334">
        <f>SUM(H265:H333)/2</f>
        <v>883.9854499999999</v>
      </c>
      <c r="I334">
        <f>SUM(I265:I333)/2</f>
        <v>0</v>
      </c>
      <c r="J334">
        <f>SUM(J265:J333)/2</f>
        <v>9.113900000000001</v>
      </c>
      <c r="K334">
        <f>SUM(K265:K333)/2</f>
        <v>92.43029999999999</v>
      </c>
      <c r="L334">
        <f>SUM(L265:L333)/2</f>
        <v>0</v>
      </c>
      <c r="M334">
        <f>SUM(M265:M333)/2</f>
        <v>1310.6928096</v>
      </c>
      <c r="N334">
        <f>SUM(N265:N333)/2</f>
        <v>4878.0399744</v>
      </c>
      <c r="O334">
        <f>SUM(O265:O333)/2</f>
        <v>3040.9931961045</v>
      </c>
      <c r="P334">
        <f>SUM(P265:P333)/2</f>
        <v>8688.942872064003</v>
      </c>
      <c r="Q334">
        <f>SUM(Q265:Q333)/2</f>
        <v>0</v>
      </c>
      <c r="R334">
        <f>SUM(R265:R333)/2</f>
        <v>0</v>
      </c>
      <c r="S334">
        <f>SUM(S265:S333)/2</f>
        <v>0</v>
      </c>
      <c r="T334">
        <f>SUM(T265:T333)/2</f>
        <v>0</v>
      </c>
      <c r="U334">
        <f>SUM(U265:U333)/2</f>
        <v>17918.6688521685</v>
      </c>
    </row>
    <row r="335">
      <c r="O335" t="str">
        <v>CEK</v>
      </c>
      <c r="P335" t="str">
        <f>IF(AND(U334=SUM(U265:U333)/2,U334=U259),"OK","SALAH")</f>
        <v>OK</v>
      </c>
    </row>
  </sheetData>
  <autoFilter ref="A12:Z257"/>
  <mergeCells count="31">
    <mergeCell ref="C334:F334"/>
    <mergeCell ref="C281:F281"/>
    <mergeCell ref="C332:F332"/>
    <mergeCell ref="L263:T263"/>
    <mergeCell ref="U263:U264"/>
    <mergeCell ref="G263:G264"/>
    <mergeCell ref="H263:H264"/>
    <mergeCell ref="I263:I264"/>
    <mergeCell ref="J263:J264"/>
    <mergeCell ref="K263:K264"/>
    <mergeCell ref="C298:F298"/>
    <mergeCell ref="C315:F315"/>
    <mergeCell ref="W263:X263"/>
    <mergeCell ref="L10:T10"/>
    <mergeCell ref="U10:U11"/>
    <mergeCell ref="V10:V11"/>
    <mergeCell ref="W10:W11"/>
    <mergeCell ref="X10:X11"/>
    <mergeCell ref="G9:Z9"/>
    <mergeCell ref="G10:G11"/>
    <mergeCell ref="H10:H11"/>
    <mergeCell ref="I10:I11"/>
    <mergeCell ref="J10:J11"/>
    <mergeCell ref="K10:K11"/>
    <mergeCell ref="Z10:Z11"/>
    <mergeCell ref="Y10:Y11"/>
    <mergeCell ref="A9:A11"/>
    <mergeCell ref="B9:B11"/>
    <mergeCell ref="C9:C11"/>
    <mergeCell ref="D9:F11"/>
    <mergeCell ref="C263:F264"/>
  </mergeCells>
  <pageMargins left="0.45" right="0.45" top="0.75" bottom="0.75" header="0.3" footer="0.3"/>
  <ignoredErrors>
    <ignoredError numberStoredAsText="1" sqref="A1:AC33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263"/>
  <sheetViews>
    <sheetView workbookViewId="0" rightToLeft="0"/>
  </sheetViews>
  <sheetData>
    <row r="1">
      <c r="B1" t="str">
        <v>DATA BALOK</v>
      </c>
      <c r="G1" t="str">
        <v>S1, S2</v>
      </c>
      <c r="I1" t="str">
        <v>S6A-C</v>
      </c>
      <c r="K1" t="str">
        <v>SP</v>
      </c>
    </row>
    <row r="2">
      <c r="G2" t="str">
        <v>S3</v>
      </c>
      <c r="I2" t="str">
        <v>S7</v>
      </c>
    </row>
    <row r="3">
      <c r="B3" t="str">
        <v>Proyek</v>
      </c>
      <c r="C3" t="str">
        <v>: Ernawati</v>
      </c>
      <c r="G3" t="str">
        <v>S4</v>
      </c>
      <c r="I3" t="str">
        <v>ST1</v>
      </c>
    </row>
    <row r="4">
      <c r="B4" t="str">
        <v>Area</v>
      </c>
      <c r="G4" t="str">
        <v>S5</v>
      </c>
      <c r="I4" t="str">
        <v>ST2-3</v>
      </c>
    </row>
    <row r="6" xml:space="preserve">
      <c r="A6" t="str">
        <v>Lantai / Elevasi</v>
      </c>
      <c r="B6" t="str">
        <v>Nomor Balok</v>
      </c>
      <c r="C6" t="str">
        <v>Lantai / Elevasi &amp; No. Balok</v>
      </c>
      <c r="D6" t="str">
        <v>Tipe Balok</v>
      </c>
      <c r="E6" t="str">
        <v>Jumlah</v>
      </c>
      <c r="F6" t="str">
        <v>Panjang Bruto</v>
      </c>
      <c r="G6" t="str">
        <v>- Kiri</v>
      </c>
      <c r="H6" t="str">
        <v>- Kanan</v>
      </c>
      <c r="I6" t="str">
        <v>Panjang Netto</v>
      </c>
      <c r="J6" t="str">
        <v>Tebal Plat</v>
      </c>
      <c r="K6" t="str">
        <v>Kolom / Balok Kiri</v>
      </c>
      <c r="L6" t="str">
        <v>Kolom / Balok Kanan</v>
      </c>
      <c r="M6" t="str">
        <v>Elv. Top</v>
      </c>
      <c r="N6" t="str">
        <v>Keterangan</v>
      </c>
      <c r="Q6" t="str" xml:space="preserve">
        <v xml:space="preserve">Tebal Plat_x000d_
(real)</v>
      </c>
    </row>
    <row r="8">
      <c r="F8" t="str">
        <v>mm</v>
      </c>
      <c r="G8" t="str">
        <v>mm</v>
      </c>
      <c r="H8" t="str">
        <v>mm</v>
      </c>
      <c r="I8" t="str">
        <v>mm</v>
      </c>
      <c r="K8" t="str">
        <v>mm</v>
      </c>
      <c r="L8" t="str">
        <v>mm</v>
      </c>
    </row>
    <row r="10">
      <c r="A10" t="str">
        <v>Lantai 1</v>
      </c>
      <c r="B10">
        <v>1</v>
      </c>
      <c r="C10" t="str">
        <f>CONCATENATE(A10," no. ",B10)</f>
        <v>Lantai 1 no. 1</v>
      </c>
      <c r="D10" t="str">
        <v>S36-1</v>
      </c>
      <c r="E10">
        <v>1</v>
      </c>
      <c r="F10">
        <v>4825</v>
      </c>
      <c r="I10">
        <f>+F10-G10-H10</f>
        <v>4825</v>
      </c>
      <c r="J10">
        <v>150</v>
      </c>
    </row>
    <row r="11">
      <c r="A11" t="str">
        <f>A10</f>
        <v>Lantai 1</v>
      </c>
      <c r="B11">
        <f>B10+1</f>
        <v>2</v>
      </c>
      <c r="C11" t="str">
        <f>CONCATENATE(A11," no. ",B11)</f>
        <v>Lantai 1 no. 2</v>
      </c>
      <c r="D11" t="str">
        <v>S24-1</v>
      </c>
      <c r="E11">
        <v>1</v>
      </c>
      <c r="F11">
        <v>4175</v>
      </c>
      <c r="I11">
        <f>+F11-G11-H11</f>
        <v>4175</v>
      </c>
      <c r="J11">
        <v>150</v>
      </c>
    </row>
    <row r="12">
      <c r="A12" t="str">
        <f>A11</f>
        <v>Lantai 1</v>
      </c>
      <c r="B12">
        <f>B11+1</f>
        <v>3</v>
      </c>
      <c r="C12" t="str">
        <f>CONCATENATE(A12," no. ",B12)</f>
        <v>Lantai 1 no. 3</v>
      </c>
      <c r="D12" t="str">
        <v>S24-1</v>
      </c>
      <c r="E12">
        <v>1</v>
      </c>
      <c r="F12">
        <v>3000</v>
      </c>
      <c r="I12">
        <f>+F12-G12-H12</f>
        <v>3000</v>
      </c>
      <c r="J12">
        <v>150</v>
      </c>
    </row>
    <row r="13">
      <c r="A13" t="str">
        <f>A12</f>
        <v>Lantai 1</v>
      </c>
      <c r="B13">
        <f>B12+1</f>
        <v>4</v>
      </c>
      <c r="C13" t="str">
        <f>CONCATENATE(A13," no. ",B13)</f>
        <v>Lantai 1 no. 4</v>
      </c>
      <c r="D13" t="str">
        <v>S24-1</v>
      </c>
      <c r="E13">
        <v>1</v>
      </c>
      <c r="F13">
        <v>3000</v>
      </c>
      <c r="I13">
        <f>+F13-G13-H13</f>
        <v>3000</v>
      </c>
    </row>
    <row r="14">
      <c r="A14" t="str">
        <f>A13</f>
        <v>Lantai 1</v>
      </c>
      <c r="B14">
        <f>B13+1</f>
        <v>5</v>
      </c>
      <c r="C14" t="str">
        <f>CONCATENATE(A14," no. ",B14)</f>
        <v>Lantai 1 no. 5</v>
      </c>
      <c r="D14" t="str">
        <v>S24-1</v>
      </c>
      <c r="E14">
        <v>1</v>
      </c>
      <c r="F14">
        <v>2590</v>
      </c>
      <c r="I14">
        <f>+F14-G14-H14</f>
        <v>2590</v>
      </c>
    </row>
    <row r="15">
      <c r="A15" t="str">
        <f>A14</f>
        <v>Lantai 1</v>
      </c>
      <c r="B15">
        <f>B14+1</f>
        <v>6</v>
      </c>
      <c r="C15" t="str">
        <f>CONCATENATE(A15," no. ",B15)</f>
        <v>Lantai 1 no. 6</v>
      </c>
      <c r="D15" t="str">
        <v>S24-1</v>
      </c>
      <c r="E15">
        <v>1</v>
      </c>
      <c r="F15">
        <v>2415</v>
      </c>
      <c r="I15">
        <f>+F15-G15-H15</f>
        <v>2415</v>
      </c>
    </row>
    <row r="16">
      <c r="A16" t="str">
        <f>A15</f>
        <v>Lantai 1</v>
      </c>
      <c r="B16">
        <f>B15+1</f>
        <v>7</v>
      </c>
      <c r="C16" t="str">
        <f>CONCATENATE(A16," no. ",B16)</f>
        <v>Lantai 1 no. 7</v>
      </c>
      <c r="D16" t="str">
        <v>S24-2</v>
      </c>
      <c r="E16">
        <v>2</v>
      </c>
      <c r="F16">
        <v>9445</v>
      </c>
      <c r="I16">
        <f>+F16-G16-H16</f>
        <v>9445</v>
      </c>
      <c r="J16">
        <v>100</v>
      </c>
    </row>
    <row r="17">
      <c r="A17" t="str">
        <f>A16</f>
        <v>Lantai 1</v>
      </c>
      <c r="B17">
        <f>B16+1</f>
        <v>8</v>
      </c>
      <c r="C17" t="str">
        <f>CONCATENATE(A17," no. ",B17)</f>
        <v>Lantai 1 no. 8</v>
      </c>
      <c r="D17" t="str">
        <v>S24-1</v>
      </c>
      <c r="E17">
        <v>1</v>
      </c>
      <c r="F17">
        <v>1720</v>
      </c>
      <c r="I17">
        <f>+F17-G17-H17</f>
        <v>1720</v>
      </c>
    </row>
    <row r="18">
      <c r="A18" t="str">
        <f>A17</f>
        <v>Lantai 1</v>
      </c>
      <c r="B18">
        <f>B17+1</f>
        <v>9</v>
      </c>
      <c r="C18" t="str">
        <f>CONCATENATE(A18," no. ",B18)</f>
        <v>Lantai 1 no. 9</v>
      </c>
      <c r="D18" t="str">
        <v>S23-1</v>
      </c>
      <c r="E18">
        <v>1</v>
      </c>
      <c r="F18">
        <v>5000</v>
      </c>
      <c r="I18">
        <f>+F18-G18-H18</f>
        <v>5000</v>
      </c>
      <c r="J18">
        <v>150</v>
      </c>
    </row>
    <row r="19">
      <c r="A19" t="str">
        <f>A18</f>
        <v>Lantai 1</v>
      </c>
      <c r="B19">
        <f>B18+1</f>
        <v>10</v>
      </c>
      <c r="C19" t="str">
        <f>CONCATENATE(A19," no. ",B19)</f>
        <v>Lantai 1 no. 10</v>
      </c>
      <c r="D19" t="str">
        <v>S36-1</v>
      </c>
      <c r="E19">
        <v>1</v>
      </c>
      <c r="F19">
        <v>5000</v>
      </c>
      <c r="I19">
        <f>+F19-G19-H19</f>
        <v>5000</v>
      </c>
      <c r="J19">
        <v>150</v>
      </c>
    </row>
    <row r="20">
      <c r="A20" t="str">
        <f>A19</f>
        <v>Lantai 1</v>
      </c>
      <c r="B20">
        <f>B19+1</f>
        <v>11</v>
      </c>
      <c r="C20" t="str">
        <f>CONCATENATE(A20," no. ",B20)</f>
        <v>Lantai 1 no. 11</v>
      </c>
      <c r="D20" t="str">
        <v>S24-1</v>
      </c>
      <c r="E20">
        <v>1</v>
      </c>
      <c r="F20">
        <v>4020</v>
      </c>
      <c r="I20">
        <f>+F20-G20-H20</f>
        <v>4020</v>
      </c>
      <c r="J20">
        <v>150</v>
      </c>
    </row>
    <row r="21">
      <c r="A21" t="str">
        <f>A20</f>
        <v>Lantai 1</v>
      </c>
      <c r="B21">
        <f>B20+1</f>
        <v>12</v>
      </c>
      <c r="C21" t="str">
        <f>CONCATENATE(A21," no. ",B21)</f>
        <v>Lantai 1 no. 12</v>
      </c>
      <c r="D21" t="str">
        <v>S36-1</v>
      </c>
      <c r="E21">
        <v>1</v>
      </c>
      <c r="F21">
        <v>4000</v>
      </c>
      <c r="I21">
        <f>+F21-G21-H21</f>
        <v>4000</v>
      </c>
      <c r="J21">
        <v>150</v>
      </c>
    </row>
    <row r="22">
      <c r="A22" t="str">
        <f>A21</f>
        <v>Lantai 1</v>
      </c>
      <c r="B22">
        <f>B21+1</f>
        <v>13</v>
      </c>
      <c r="C22" t="str">
        <f>CONCATENATE(A22," no. ",B22)</f>
        <v>Lantai 1 no. 13</v>
      </c>
      <c r="D22" t="str">
        <v>S24-2</v>
      </c>
      <c r="E22">
        <v>1</v>
      </c>
      <c r="F22">
        <v>9515</v>
      </c>
      <c r="I22">
        <f>+F22-G22-H22</f>
        <v>9515</v>
      </c>
      <c r="J22">
        <v>200</v>
      </c>
    </row>
    <row r="23">
      <c r="A23" t="str">
        <f>A21</f>
        <v>Lantai 1</v>
      </c>
      <c r="B23" t="str">
        <v>13A</v>
      </c>
      <c r="C23" t="str">
        <f>CONCATENATE(A23," no. ",B23)</f>
        <v>Lantai 1 no. 13A</v>
      </c>
      <c r="D23" t="str">
        <v>S24-2</v>
      </c>
      <c r="E23">
        <v>1</v>
      </c>
      <c r="F23">
        <v>7925</v>
      </c>
      <c r="I23">
        <f>+F23-G23-H23</f>
        <v>7925</v>
      </c>
    </row>
    <row r="24">
      <c r="A24" t="str">
        <f>A22</f>
        <v>Lantai 1</v>
      </c>
      <c r="B24">
        <f>B22+1</f>
        <v>14</v>
      </c>
      <c r="C24" t="str">
        <f>CONCATENATE(A24," no. ",B24)</f>
        <v>Lantai 1 no. 14</v>
      </c>
      <c r="D24" t="str">
        <v>S36-1</v>
      </c>
      <c r="E24">
        <v>1</v>
      </c>
      <c r="F24">
        <v>6000</v>
      </c>
      <c r="I24">
        <f>+F24-G24-H24</f>
        <v>6000</v>
      </c>
      <c r="J24">
        <v>150</v>
      </c>
    </row>
    <row r="25">
      <c r="A25" t="str">
        <f>A24</f>
        <v>Lantai 1</v>
      </c>
      <c r="B25">
        <f>B24+1</f>
        <v>15</v>
      </c>
      <c r="C25" t="str">
        <f>CONCATENATE(A25," no. ",B25)</f>
        <v>Lantai 1 no. 15</v>
      </c>
      <c r="D25" t="str">
        <v>S24-1</v>
      </c>
      <c r="E25">
        <v>1</v>
      </c>
      <c r="F25">
        <v>2575</v>
      </c>
      <c r="I25">
        <f>+F25-G25-H25</f>
        <v>2575</v>
      </c>
      <c r="J25">
        <v>150</v>
      </c>
    </row>
    <row r="26">
      <c r="A26" t="str">
        <f>A25</f>
        <v>Lantai 1</v>
      </c>
      <c r="B26">
        <f>B25+1</f>
        <v>16</v>
      </c>
      <c r="C26" t="str">
        <f>CONCATENATE(A26," no. ",B26)</f>
        <v>Lantai 1 no. 16</v>
      </c>
      <c r="D26" t="str">
        <v>S24-1</v>
      </c>
      <c r="E26">
        <v>1</v>
      </c>
      <c r="F26">
        <v>2675</v>
      </c>
      <c r="I26">
        <f>+F26-G26-H26</f>
        <v>2675</v>
      </c>
      <c r="J26">
        <v>150</v>
      </c>
    </row>
    <row r="27">
      <c r="A27" t="str">
        <f>A26</f>
        <v>Lantai 1</v>
      </c>
      <c r="B27">
        <f>B26+1</f>
        <v>17</v>
      </c>
      <c r="C27" t="str">
        <f>CONCATENATE(A27," no. ",B27)</f>
        <v>Lantai 1 no. 17</v>
      </c>
      <c r="D27" t="str">
        <v>S24-1</v>
      </c>
      <c r="E27">
        <v>1</v>
      </c>
      <c r="F27">
        <v>3100</v>
      </c>
      <c r="I27">
        <f>+F27-G27-H27</f>
        <v>3100</v>
      </c>
    </row>
    <row r="28">
      <c r="A28" t="str">
        <f>A27</f>
        <v>Lantai 1</v>
      </c>
      <c r="B28">
        <f>B27+1</f>
        <v>18</v>
      </c>
      <c r="C28" t="str">
        <f>CONCATENATE(A28," no. ",B28)</f>
        <v>Lantai 1 no. 18</v>
      </c>
      <c r="D28" t="str">
        <v>S25-1</v>
      </c>
      <c r="E28">
        <v>1</v>
      </c>
      <c r="F28">
        <v>13400</v>
      </c>
      <c r="I28">
        <f>+F28-G28-H28</f>
        <v>13400</v>
      </c>
      <c r="J28">
        <v>150</v>
      </c>
    </row>
    <row r="29">
      <c r="A29" t="str">
        <f>A28</f>
        <v>Lantai 1</v>
      </c>
      <c r="B29">
        <f>B28+1</f>
        <v>19</v>
      </c>
      <c r="C29" t="str">
        <f>CONCATENATE(A29," no. ",B29)</f>
        <v>Lantai 1 no. 19</v>
      </c>
      <c r="D29" t="str">
        <v>S24-1</v>
      </c>
      <c r="E29">
        <v>1</v>
      </c>
      <c r="F29">
        <v>4075</v>
      </c>
      <c r="I29">
        <f>+F29-G29-H29</f>
        <v>4075</v>
      </c>
      <c r="J29">
        <v>150</v>
      </c>
    </row>
    <row r="30">
      <c r="A30" t="str">
        <f>A29</f>
        <v>Lantai 1</v>
      </c>
      <c r="B30">
        <f>B29+1</f>
        <v>20</v>
      </c>
      <c r="C30" t="str">
        <f>CONCATENATE(A30," no. ",B30)</f>
        <v>Lantai 1 no. 20</v>
      </c>
      <c r="D30" t="str">
        <v>S24-2</v>
      </c>
      <c r="E30">
        <v>1</v>
      </c>
      <c r="F30">
        <v>4000</v>
      </c>
      <c r="I30">
        <f>+F30-G30-H30</f>
        <v>4000</v>
      </c>
      <c r="J30">
        <v>150</v>
      </c>
    </row>
    <row r="31">
      <c r="A31" t="str">
        <f>A30</f>
        <v>Lantai 1</v>
      </c>
      <c r="B31">
        <f>B30+1</f>
        <v>21</v>
      </c>
      <c r="C31" t="str">
        <f>CONCATENATE(A31," no. ",B31)</f>
        <v>Lantai 1 no. 21</v>
      </c>
      <c r="D31" t="str">
        <v>S24-2</v>
      </c>
      <c r="E31">
        <v>1</v>
      </c>
      <c r="F31">
        <v>4000</v>
      </c>
      <c r="I31">
        <f>+F31-G31-H31</f>
        <v>4000</v>
      </c>
      <c r="J31">
        <v>150</v>
      </c>
    </row>
    <row r="32">
      <c r="A32" t="str">
        <f>A31</f>
        <v>Lantai 1</v>
      </c>
      <c r="B32">
        <f>B31+1</f>
        <v>22</v>
      </c>
      <c r="C32" t="str">
        <f>CONCATENATE(A32," no. ",B32)</f>
        <v>Lantai 1 no. 22</v>
      </c>
      <c r="D32" t="str">
        <v>S24-1</v>
      </c>
      <c r="E32">
        <v>1</v>
      </c>
      <c r="F32">
        <v>1600</v>
      </c>
      <c r="I32">
        <f>+F32-G32-H32</f>
        <v>1600</v>
      </c>
      <c r="J32">
        <v>150</v>
      </c>
    </row>
    <row r="33">
      <c r="A33" t="str">
        <f>A32</f>
        <v>Lantai 1</v>
      </c>
      <c r="B33">
        <f>B32+1</f>
        <v>23</v>
      </c>
      <c r="C33" t="str">
        <f>CONCATENATE(A33," no. ",B33)</f>
        <v>Lantai 1 no. 23</v>
      </c>
      <c r="D33" t="str">
        <v>S24-1</v>
      </c>
      <c r="E33">
        <v>1</v>
      </c>
      <c r="F33">
        <v>2200</v>
      </c>
      <c r="I33">
        <f>+F33-G33-H33</f>
        <v>2200</v>
      </c>
      <c r="J33">
        <v>150</v>
      </c>
    </row>
    <row r="34">
      <c r="A34" t="str">
        <f>A33</f>
        <v>Lantai 1</v>
      </c>
      <c r="B34">
        <f>B33+1</f>
        <v>24</v>
      </c>
      <c r="C34" t="str">
        <f>CONCATENATE(A34," no. ",B34)</f>
        <v>Lantai 1 no. 24</v>
      </c>
      <c r="D34" t="str">
        <v>S24-1</v>
      </c>
      <c r="E34">
        <v>1</v>
      </c>
      <c r="F34">
        <v>1675</v>
      </c>
      <c r="I34">
        <f>+F34-G34-H34</f>
        <v>1675</v>
      </c>
      <c r="J34">
        <v>150</v>
      </c>
    </row>
    <row r="35">
      <c r="A35" t="str">
        <f>A34</f>
        <v>Lantai 1</v>
      </c>
      <c r="B35">
        <f>B34+1</f>
        <v>25</v>
      </c>
      <c r="C35" t="str">
        <f>CONCATENATE(A35," no. ",B35)</f>
        <v>Lantai 1 no. 25</v>
      </c>
      <c r="D35" t="str">
        <v>S25-1</v>
      </c>
      <c r="E35">
        <v>1</v>
      </c>
      <c r="F35">
        <v>11000</v>
      </c>
      <c r="I35">
        <f>+F35-G35-H35</f>
        <v>11000</v>
      </c>
      <c r="J35">
        <v>150</v>
      </c>
    </row>
    <row r="36">
      <c r="A36" t="str">
        <f>A35</f>
        <v>Lantai 1</v>
      </c>
      <c r="B36">
        <f>B35+1</f>
        <v>26</v>
      </c>
      <c r="C36" t="str">
        <f>CONCATENATE(A36," no. ",B36)</f>
        <v>Lantai 1 no. 26</v>
      </c>
      <c r="D36" t="str">
        <v>S36-1</v>
      </c>
      <c r="E36">
        <v>1</v>
      </c>
      <c r="F36">
        <v>6150</v>
      </c>
      <c r="I36">
        <f>+F36-G36-H36</f>
        <v>6150</v>
      </c>
      <c r="J36">
        <v>150</v>
      </c>
    </row>
    <row r="37">
      <c r="A37" t="str">
        <f>A36</f>
        <v>Lantai 1</v>
      </c>
      <c r="B37">
        <f>B36+1</f>
        <v>27</v>
      </c>
      <c r="C37" t="str">
        <f>CONCATENATE(A37," no. ",B37)</f>
        <v>Lantai 1 no. 27</v>
      </c>
      <c r="D37" t="str">
        <v>S24-1</v>
      </c>
      <c r="E37">
        <v>1</v>
      </c>
      <c r="F37">
        <v>2390</v>
      </c>
      <c r="I37">
        <f>+F37-G37-H37</f>
        <v>2390</v>
      </c>
      <c r="J37">
        <v>150</v>
      </c>
    </row>
    <row r="38">
      <c r="A38" t="str">
        <f>A37</f>
        <v>Lantai 1</v>
      </c>
      <c r="B38">
        <f>B37+1</f>
        <v>28</v>
      </c>
      <c r="C38" t="str">
        <f>CONCATENATE(A38," no. ",B38)</f>
        <v>Lantai 1 no. 28</v>
      </c>
      <c r="D38" t="str">
        <v>S24-1</v>
      </c>
      <c r="E38">
        <v>1</v>
      </c>
      <c r="F38">
        <v>2650</v>
      </c>
      <c r="I38">
        <f>+F38-G38-H38</f>
        <v>2650</v>
      </c>
      <c r="J38">
        <v>150</v>
      </c>
    </row>
    <row r="39">
      <c r="A39" t="str">
        <f>A38</f>
        <v>Lantai 1</v>
      </c>
      <c r="B39">
        <f>B38+1</f>
        <v>29</v>
      </c>
      <c r="C39" t="str">
        <f>CONCATENATE(A39," no. ",B39)</f>
        <v>Lantai 1 no. 29</v>
      </c>
      <c r="D39" t="str">
        <v>S24-1</v>
      </c>
      <c r="E39">
        <v>1</v>
      </c>
      <c r="F39">
        <v>2890</v>
      </c>
      <c r="I39">
        <f>+F39-G39-H39</f>
        <v>2890</v>
      </c>
    </row>
    <row r="40">
      <c r="A40" t="str">
        <f>A39</f>
        <v>Lantai 1</v>
      </c>
      <c r="B40">
        <f>B39+1</f>
        <v>30</v>
      </c>
      <c r="C40" t="str">
        <f>CONCATENATE(A40," no. ",B40)</f>
        <v>Lantai 1 no. 30</v>
      </c>
      <c r="D40" t="str">
        <v>S24-1</v>
      </c>
      <c r="E40">
        <v>1</v>
      </c>
      <c r="F40">
        <v>2120</v>
      </c>
      <c r="I40">
        <f>+F40-G40-H40</f>
        <v>2120</v>
      </c>
      <c r="J40">
        <v>150</v>
      </c>
    </row>
    <row r="41">
      <c r="A41" t="str">
        <f>A40</f>
        <v>Lantai 1</v>
      </c>
      <c r="B41">
        <f>B40+1</f>
        <v>31</v>
      </c>
      <c r="C41" t="str">
        <f>CONCATENATE(A41," no. ",B41)</f>
        <v>Lantai 1 no. 31</v>
      </c>
      <c r="D41" t="str">
        <v>S25-1</v>
      </c>
      <c r="E41">
        <v>1</v>
      </c>
      <c r="F41">
        <v>6150</v>
      </c>
      <c r="I41">
        <f>+F41-G41-H41</f>
        <v>6150</v>
      </c>
      <c r="J41">
        <v>150</v>
      </c>
    </row>
    <row r="42">
      <c r="A42" t="str">
        <f>A41</f>
        <v>Lantai 1</v>
      </c>
      <c r="B42">
        <f>B41+1</f>
        <v>32</v>
      </c>
      <c r="C42" t="str">
        <f>CONCATENATE(A42," no. ",B42)</f>
        <v>Lantai 1 no. 32</v>
      </c>
      <c r="D42" t="str">
        <v>S24-1</v>
      </c>
      <c r="E42">
        <v>1</v>
      </c>
      <c r="F42">
        <v>5150</v>
      </c>
      <c r="I42">
        <f>+F42-G42-H42</f>
        <v>5150</v>
      </c>
      <c r="J42">
        <v>150</v>
      </c>
    </row>
    <row r="43">
      <c r="A43" t="str">
        <f>A42</f>
        <v>Lantai 1</v>
      </c>
      <c r="B43">
        <f>B42+1</f>
        <v>33</v>
      </c>
      <c r="C43" t="str">
        <f>CONCATENATE(A43," no. ",B43)</f>
        <v>Lantai 1 no. 33</v>
      </c>
      <c r="D43" t="str">
        <v>S24-2</v>
      </c>
      <c r="E43">
        <v>1</v>
      </c>
      <c r="F43">
        <v>4000</v>
      </c>
      <c r="I43">
        <f>+F43-G43-H43</f>
        <v>4000</v>
      </c>
      <c r="J43">
        <v>150</v>
      </c>
    </row>
    <row r="44">
      <c r="A44" t="str">
        <f>A43</f>
        <v>Lantai 1</v>
      </c>
      <c r="B44">
        <f>B43+1</f>
        <v>34</v>
      </c>
      <c r="C44" t="str">
        <f>CONCATENATE(A44," no. ",B44)</f>
        <v>Lantai 1 no. 34</v>
      </c>
      <c r="D44" t="str">
        <v>S25-1</v>
      </c>
      <c r="E44">
        <v>1</v>
      </c>
      <c r="F44">
        <v>5075</v>
      </c>
      <c r="I44">
        <f>+F44-G44-H44</f>
        <v>5075</v>
      </c>
      <c r="J44">
        <v>150</v>
      </c>
    </row>
    <row r="45">
      <c r="A45" t="str">
        <f>A44</f>
        <v>Lantai 1</v>
      </c>
      <c r="B45">
        <f>B44+1</f>
        <v>35</v>
      </c>
      <c r="C45" t="str">
        <f>CONCATENATE(A45," no. ",B45)</f>
        <v>Lantai 1 no. 35</v>
      </c>
      <c r="D45" t="str">
        <v>S36-1</v>
      </c>
      <c r="E45">
        <v>1</v>
      </c>
      <c r="F45">
        <v>6075</v>
      </c>
      <c r="I45">
        <f>+F45-G45-H45</f>
        <v>6075</v>
      </c>
      <c r="J45">
        <v>150</v>
      </c>
    </row>
    <row r="46">
      <c r="A46" t="str">
        <f>A45</f>
        <v>Lantai 1</v>
      </c>
      <c r="B46">
        <f>B45+1</f>
        <v>36</v>
      </c>
      <c r="C46" t="str">
        <f>CONCATENATE(A46," no. ",B46)</f>
        <v>Lantai 1 no. 36</v>
      </c>
      <c r="D46" t="str">
        <v>S24-1</v>
      </c>
      <c r="E46">
        <v>1</v>
      </c>
      <c r="F46">
        <v>5370</v>
      </c>
      <c r="I46">
        <f>+F46-G46-H46</f>
        <v>5370</v>
      </c>
    </row>
    <row r="47">
      <c r="A47" t="str">
        <f>A46</f>
        <v>Lantai 1</v>
      </c>
      <c r="B47">
        <f>B46+1</f>
        <v>37</v>
      </c>
      <c r="C47" t="str">
        <f>CONCATENATE(A47," no. ",B47)</f>
        <v>Lantai 1 no. 37</v>
      </c>
      <c r="D47" t="str">
        <v>S24-2</v>
      </c>
      <c r="E47">
        <v>1</v>
      </c>
      <c r="F47">
        <v>5500</v>
      </c>
      <c r="I47">
        <f>+F47-G47-H47</f>
        <v>5500</v>
      </c>
      <c r="J47">
        <v>150</v>
      </c>
    </row>
    <row r="48">
      <c r="A48" t="str">
        <f>A47</f>
        <v>Lantai 1</v>
      </c>
      <c r="B48">
        <f>B47+1</f>
        <v>38</v>
      </c>
      <c r="C48" t="str">
        <f>CONCATENATE(A48," no. ",B48)</f>
        <v>Lantai 1 no. 38</v>
      </c>
      <c r="D48" t="str">
        <v>S24-1</v>
      </c>
      <c r="E48">
        <v>1</v>
      </c>
      <c r="F48">
        <v>8825</v>
      </c>
      <c r="I48">
        <f>+F48-G48-H48</f>
        <v>8825</v>
      </c>
      <c r="J48">
        <v>150</v>
      </c>
    </row>
    <row r="49">
      <c r="A49" t="str">
        <f>A48</f>
        <v>Lantai 1</v>
      </c>
      <c r="B49">
        <f>B48+1</f>
        <v>39</v>
      </c>
      <c r="C49" t="str">
        <f>CONCATENATE(A49," no. ",B49)</f>
        <v>Lantai 1 no. 39</v>
      </c>
      <c r="D49" t="str">
        <v>S24-1</v>
      </c>
      <c r="E49">
        <v>1</v>
      </c>
      <c r="F49">
        <v>8825</v>
      </c>
      <c r="I49">
        <f>+F49-G49-H49</f>
        <v>8825</v>
      </c>
    </row>
    <row r="50">
      <c r="A50" t="str">
        <f>A49</f>
        <v>Lantai 1</v>
      </c>
      <c r="B50">
        <f>B49+1</f>
        <v>40</v>
      </c>
      <c r="C50" t="str">
        <f>CONCATENATE(A50," no. ",B50)</f>
        <v>Lantai 1 no. 40</v>
      </c>
      <c r="D50" t="str">
        <v>S24-1</v>
      </c>
      <c r="E50">
        <v>1</v>
      </c>
      <c r="F50">
        <v>16710</v>
      </c>
      <c r="I50">
        <f>+F50-G50-H50</f>
        <v>16710</v>
      </c>
    </row>
    <row r="51">
      <c r="A51" t="str">
        <f>A50</f>
        <v>Lantai 1</v>
      </c>
      <c r="B51">
        <f>B50+1</f>
        <v>41</v>
      </c>
      <c r="C51" t="str">
        <f>CONCATENATE(A51," no. ",B51)</f>
        <v>Lantai 1 no. 41</v>
      </c>
      <c r="D51" t="str">
        <v>S24-1</v>
      </c>
      <c r="E51">
        <v>1</v>
      </c>
      <c r="F51">
        <v>7090</v>
      </c>
      <c r="I51">
        <f>+F51-G51-H51</f>
        <v>7090</v>
      </c>
    </row>
    <row r="52">
      <c r="A52" t="str">
        <f>A51</f>
        <v>Lantai 1</v>
      </c>
      <c r="B52">
        <f>B51+1</f>
        <v>42</v>
      </c>
      <c r="C52" t="str">
        <f>CONCATENATE(A52," no. ",B52)</f>
        <v>Lantai 1 no. 42</v>
      </c>
      <c r="D52" t="str">
        <v>S25-1</v>
      </c>
      <c r="E52">
        <v>1</v>
      </c>
      <c r="F52">
        <v>5500</v>
      </c>
      <c r="I52">
        <f>+F52-G52-H52</f>
        <v>5500</v>
      </c>
      <c r="J52">
        <v>150</v>
      </c>
    </row>
    <row r="53">
      <c r="A53" t="str">
        <f>A52</f>
        <v>Lantai 1</v>
      </c>
      <c r="B53">
        <f>B52+1</f>
        <v>43</v>
      </c>
      <c r="C53" t="str">
        <f>CONCATENATE(A53," no. ",B53)</f>
        <v>Lantai 1 no. 43</v>
      </c>
      <c r="D53" t="str">
        <v>S25-1</v>
      </c>
      <c r="E53">
        <v>1</v>
      </c>
      <c r="F53">
        <v>5575</v>
      </c>
      <c r="I53">
        <f>+F53-G53-H53</f>
        <v>5575</v>
      </c>
      <c r="J53">
        <v>150</v>
      </c>
    </row>
    <row r="54">
      <c r="A54" t="str">
        <f>A53</f>
        <v>Lantai 1</v>
      </c>
      <c r="B54">
        <f>B53+1</f>
        <v>44</v>
      </c>
      <c r="C54" t="str">
        <f>CONCATENATE(A54," no. ",B54)</f>
        <v>Lantai 1 no. 44</v>
      </c>
      <c r="D54" t="str">
        <v>S36-1</v>
      </c>
      <c r="E54">
        <v>1</v>
      </c>
      <c r="F54">
        <v>5585</v>
      </c>
      <c r="I54">
        <f>+F54-G54-H54</f>
        <v>5585</v>
      </c>
      <c r="J54">
        <v>150</v>
      </c>
    </row>
    <row r="55">
      <c r="A55" t="str">
        <f>A54</f>
        <v>Lantai 1</v>
      </c>
      <c r="B55">
        <f>B54+1</f>
        <v>45</v>
      </c>
      <c r="C55" t="str">
        <f>CONCATENATE(A55," no. ",B55)</f>
        <v>Lantai 1 no. 45</v>
      </c>
      <c r="D55" t="str">
        <v>S25-1</v>
      </c>
      <c r="E55">
        <v>1</v>
      </c>
      <c r="F55">
        <v>5575</v>
      </c>
      <c r="I55">
        <f>+F55-G55-H55</f>
        <v>5575</v>
      </c>
      <c r="J55">
        <v>150</v>
      </c>
    </row>
    <row r="56">
      <c r="A56" t="str">
        <f>A55</f>
        <v>Lantai 1</v>
      </c>
      <c r="B56">
        <f>B55+1</f>
        <v>46</v>
      </c>
      <c r="C56" t="str">
        <f>CONCATENATE(A56," no. ",B56)</f>
        <v>Lantai 1 no. 46</v>
      </c>
      <c r="D56" t="str">
        <v>S25-1</v>
      </c>
      <c r="E56">
        <v>2</v>
      </c>
      <c r="F56">
        <v>5575</v>
      </c>
      <c r="I56">
        <f>+F56-G56-H56</f>
        <v>5575</v>
      </c>
      <c r="J56">
        <v>100</v>
      </c>
    </row>
    <row r="57">
      <c r="A57" t="str">
        <f>A56</f>
        <v>Lantai 1</v>
      </c>
      <c r="B57">
        <f>B56+1</f>
        <v>47</v>
      </c>
      <c r="C57" t="str">
        <f>CONCATENATE(A57," no. ",B57)</f>
        <v>Lantai 1 no. 47</v>
      </c>
      <c r="D57" t="str">
        <v>S25-1</v>
      </c>
      <c r="E57">
        <v>1</v>
      </c>
      <c r="F57">
        <v>3850</v>
      </c>
      <c r="I57">
        <f>+F57-G57-H57</f>
        <v>3850</v>
      </c>
      <c r="J57">
        <v>200</v>
      </c>
    </row>
    <row r="58">
      <c r="A58" t="str">
        <f>A57</f>
        <v>Lantai 1</v>
      </c>
      <c r="B58">
        <f>B57+1</f>
        <v>48</v>
      </c>
      <c r="C58" t="str">
        <f>CONCATENATE(A58," no. ",B58)</f>
        <v>Lantai 1 no. 48</v>
      </c>
      <c r="D58" t="str">
        <v>S24-2</v>
      </c>
      <c r="E58">
        <v>1</v>
      </c>
      <c r="F58">
        <v>3850</v>
      </c>
      <c r="I58">
        <f>+F58-G58-H58</f>
        <v>3850</v>
      </c>
      <c r="J58">
        <v>200</v>
      </c>
    </row>
    <row r="59">
      <c r="A59" t="str">
        <f>A58</f>
        <v>Lantai 1</v>
      </c>
      <c r="B59">
        <f>B58+1</f>
        <v>49</v>
      </c>
      <c r="C59" t="str">
        <f>CONCATENATE(A59," no. ",B59)</f>
        <v>Lantai 1 no. 49</v>
      </c>
      <c r="D59" t="str">
        <v>S25-1</v>
      </c>
      <c r="E59">
        <v>1</v>
      </c>
      <c r="F59">
        <v>3850</v>
      </c>
      <c r="I59">
        <f>+F59-G59-H59</f>
        <v>3850</v>
      </c>
      <c r="J59">
        <v>200</v>
      </c>
    </row>
    <row r="60">
      <c r="A60" t="str">
        <f>A58</f>
        <v>Lantai 1</v>
      </c>
      <c r="B60" t="str">
        <v>49A</v>
      </c>
      <c r="C60" t="str">
        <f>CONCATENATE(A60," no. ",B60)</f>
        <v>Lantai 1 no. 49A</v>
      </c>
      <c r="D60" t="str">
        <v>S24-2</v>
      </c>
      <c r="E60">
        <v>2</v>
      </c>
      <c r="F60">
        <v>3100</v>
      </c>
      <c r="I60">
        <f>+F60-G60-H60</f>
        <v>3100</v>
      </c>
      <c r="J60">
        <v>100</v>
      </c>
    </row>
    <row r="61">
      <c r="A61" t="str">
        <f>A59</f>
        <v>Lantai 1</v>
      </c>
      <c r="B61">
        <f>B59+1</f>
        <v>50</v>
      </c>
      <c r="C61" t="str">
        <f>CONCATENATE(A61," no. ",B61)</f>
        <v>Lantai 1 no. 50</v>
      </c>
      <c r="D61" t="str">
        <v>S24-1</v>
      </c>
      <c r="E61">
        <v>1</v>
      </c>
      <c r="F61">
        <v>1975</v>
      </c>
      <c r="I61">
        <f>+F61-G61-H61</f>
        <v>1975</v>
      </c>
      <c r="J61">
        <v>150</v>
      </c>
    </row>
    <row r="62">
      <c r="A62" t="str">
        <f>A61</f>
        <v>Lantai 1</v>
      </c>
      <c r="B62">
        <f>B61+1</f>
        <v>51</v>
      </c>
      <c r="C62" t="str">
        <f>CONCATENATE(A62," no. ",B62)</f>
        <v>Lantai 1 no. 51</v>
      </c>
      <c r="D62" t="str">
        <v>S25-1</v>
      </c>
      <c r="E62">
        <v>1</v>
      </c>
      <c r="F62">
        <v>4000</v>
      </c>
      <c r="I62">
        <f>+F62-G62-H62</f>
        <v>4000</v>
      </c>
      <c r="J62">
        <v>150</v>
      </c>
    </row>
    <row r="63">
      <c r="A63" t="str">
        <f>A62</f>
        <v>Lantai 1</v>
      </c>
      <c r="B63">
        <f>B62+1</f>
        <v>52</v>
      </c>
      <c r="C63" t="str">
        <f>CONCATENATE(A63," no. ",B63)</f>
        <v>Lantai 1 no. 52</v>
      </c>
      <c r="D63" t="str">
        <v>S25-1</v>
      </c>
      <c r="E63">
        <v>1</v>
      </c>
      <c r="F63">
        <v>1300</v>
      </c>
      <c r="I63">
        <f>+F63-G63-H63</f>
        <v>1300</v>
      </c>
      <c r="J63">
        <v>150</v>
      </c>
    </row>
    <row r="64">
      <c r="A64" t="str">
        <f>A63</f>
        <v>Lantai 1</v>
      </c>
      <c r="B64">
        <f>B63+1</f>
        <v>53</v>
      </c>
      <c r="C64" t="str">
        <f>CONCATENATE(A64," no. ",B64)</f>
        <v>Lantai 1 no. 53</v>
      </c>
      <c r="D64" t="str">
        <v>S24-1</v>
      </c>
      <c r="E64">
        <v>1</v>
      </c>
      <c r="F64">
        <v>4150</v>
      </c>
      <c r="I64">
        <f>+F64-G64-H64</f>
        <v>4150</v>
      </c>
      <c r="J64">
        <v>150</v>
      </c>
    </row>
    <row r="65">
      <c r="A65" t="str">
        <f>A64</f>
        <v>Lantai 1</v>
      </c>
      <c r="B65">
        <f>B64+1</f>
        <v>54</v>
      </c>
      <c r="C65" t="str">
        <f>CONCATENATE(A65," no. ",B65)</f>
        <v>Lantai 1 no. 54</v>
      </c>
      <c r="D65" t="str">
        <v>S36-1</v>
      </c>
      <c r="E65">
        <v>1</v>
      </c>
      <c r="F65">
        <v>4075</v>
      </c>
      <c r="I65">
        <f>+F65-G65-H65</f>
        <v>4075</v>
      </c>
      <c r="J65">
        <v>150</v>
      </c>
    </row>
    <row r="66">
      <c r="A66" t="str">
        <f>A65</f>
        <v>Lantai 1</v>
      </c>
      <c r="B66">
        <f>B65+1</f>
        <v>55</v>
      </c>
      <c r="C66" t="str">
        <f>CONCATENATE(A66," no. ",B66)</f>
        <v>Lantai 1 no. 55</v>
      </c>
      <c r="D66" t="str">
        <v>S24-1</v>
      </c>
      <c r="E66">
        <v>1</v>
      </c>
      <c r="F66">
        <v>1780</v>
      </c>
      <c r="I66">
        <f>+F66-G66-H66</f>
        <v>1780</v>
      </c>
      <c r="J66">
        <v>150</v>
      </c>
    </row>
    <row r="67">
      <c r="A67" t="str">
        <f>A66</f>
        <v>Lantai 1</v>
      </c>
      <c r="B67">
        <f>B66+1</f>
        <v>56</v>
      </c>
      <c r="C67" t="str">
        <f>CONCATENATE(A67," no. ",B67)</f>
        <v>Lantai 1 no. 56</v>
      </c>
      <c r="D67" t="str">
        <v>S36-1</v>
      </c>
      <c r="E67">
        <v>1</v>
      </c>
      <c r="F67">
        <v>5690</v>
      </c>
      <c r="I67">
        <f>+F67-G67-H67</f>
        <v>5690</v>
      </c>
      <c r="J67">
        <v>150</v>
      </c>
    </row>
    <row r="68">
      <c r="A68" t="str">
        <f>A67</f>
        <v>Lantai 1</v>
      </c>
      <c r="B68">
        <f>B67+1</f>
        <v>57</v>
      </c>
      <c r="C68" t="str">
        <f>CONCATENATE(A68," no. ",B68)</f>
        <v>Lantai 1 no. 57</v>
      </c>
      <c r="D68" t="str">
        <v>S36-1</v>
      </c>
      <c r="E68">
        <v>1</v>
      </c>
      <c r="F68">
        <v>4000</v>
      </c>
      <c r="I68">
        <f>+F68-G68-H68</f>
        <v>4000</v>
      </c>
      <c r="J68">
        <v>150</v>
      </c>
    </row>
    <row r="69">
      <c r="A69" t="str">
        <f>A68</f>
        <v>Lantai 1</v>
      </c>
      <c r="B69">
        <f>B68+1</f>
        <v>58</v>
      </c>
      <c r="C69" t="str">
        <f>CONCATENATE(A69," no. ",B69)</f>
        <v>Lantai 1 no. 58</v>
      </c>
      <c r="D69" t="str">
        <v>S25-1</v>
      </c>
      <c r="E69">
        <v>1</v>
      </c>
      <c r="F69">
        <v>1600</v>
      </c>
      <c r="I69">
        <f>+F69-G69-H69</f>
        <v>1600</v>
      </c>
      <c r="J69">
        <v>150</v>
      </c>
    </row>
    <row r="70">
      <c r="A70" t="str">
        <f>A69</f>
        <v>Lantai 1</v>
      </c>
      <c r="B70">
        <f>B69+1</f>
        <v>59</v>
      </c>
      <c r="C70" t="str">
        <f>CONCATENATE(A70," no. ",B70)</f>
        <v>Lantai 1 no. 59</v>
      </c>
      <c r="D70" t="str">
        <v>S24-1</v>
      </c>
      <c r="E70">
        <v>1</v>
      </c>
      <c r="F70">
        <v>6975</v>
      </c>
      <c r="I70">
        <f>+F70-G70-H70</f>
        <v>6975</v>
      </c>
      <c r="J70">
        <v>150</v>
      </c>
    </row>
    <row r="71">
      <c r="A71" t="str">
        <f>A70</f>
        <v>Lantai 1</v>
      </c>
      <c r="B71">
        <f>B70+1</f>
        <v>60</v>
      </c>
      <c r="C71" t="str">
        <f>CONCATENATE(A71," no. ",B71)</f>
        <v>Lantai 1 no. 60</v>
      </c>
      <c r="D71" t="str">
        <v>S24-1</v>
      </c>
      <c r="E71">
        <v>1</v>
      </c>
      <c r="F71">
        <v>17030</v>
      </c>
      <c r="I71">
        <f>+F71-G71-H71</f>
        <v>17030</v>
      </c>
    </row>
    <row r="72">
      <c r="A72" t="str">
        <f>A71</f>
        <v>Lantai 1</v>
      </c>
      <c r="B72">
        <f>B71+1</f>
        <v>61</v>
      </c>
      <c r="C72" t="str">
        <f>CONCATENATE(A72," no. ",B72)</f>
        <v>Lantai 1 no. 61</v>
      </c>
      <c r="D72" t="str">
        <v>S24-1</v>
      </c>
      <c r="E72">
        <v>1</v>
      </c>
      <c r="F72">
        <v>5675</v>
      </c>
      <c r="I72">
        <f>+F72-G72-H72</f>
        <v>5675</v>
      </c>
      <c r="J72">
        <v>150</v>
      </c>
    </row>
    <row r="73">
      <c r="A73" t="str">
        <f>A72</f>
        <v>Lantai 1</v>
      </c>
      <c r="B73">
        <f>B72+1</f>
        <v>62</v>
      </c>
      <c r="C73" t="str">
        <f>CONCATENATE(A73," no. ",B73)</f>
        <v>Lantai 1 no. 62</v>
      </c>
      <c r="D73" t="str">
        <v>S25-1</v>
      </c>
      <c r="E73">
        <v>1</v>
      </c>
      <c r="F73">
        <v>4300</v>
      </c>
      <c r="I73">
        <f>+F73-G73-H73</f>
        <v>4300</v>
      </c>
      <c r="J73">
        <v>150</v>
      </c>
    </row>
    <row r="74">
      <c r="A74" t="str">
        <f>A73</f>
        <v>Lantai 1</v>
      </c>
      <c r="B74">
        <f>B73+1</f>
        <v>63</v>
      </c>
      <c r="C74" t="str">
        <f>CONCATENATE(A74," no. ",B74)</f>
        <v>Lantai 1 no. 63</v>
      </c>
      <c r="D74" t="str">
        <v>S24-1</v>
      </c>
      <c r="E74">
        <v>1</v>
      </c>
      <c r="F74">
        <v>2100</v>
      </c>
      <c r="I74">
        <f>+F74-G74-H74</f>
        <v>2100</v>
      </c>
      <c r="J74">
        <v>150</v>
      </c>
    </row>
    <row r="75">
      <c r="A75" t="str">
        <f>A74</f>
        <v>Lantai 1</v>
      </c>
      <c r="B75">
        <f>B74+1</f>
        <v>64</v>
      </c>
      <c r="C75" t="str">
        <f>CONCATENATE(A75," no. ",B75)</f>
        <v>Lantai 1 no. 64</v>
      </c>
      <c r="D75" t="str">
        <v>S24-1</v>
      </c>
      <c r="E75">
        <v>1</v>
      </c>
      <c r="F75">
        <v>925</v>
      </c>
      <c r="I75">
        <f>+F75-G75-H75</f>
        <v>925</v>
      </c>
      <c r="J75">
        <v>150</v>
      </c>
    </row>
    <row r="76">
      <c r="A76" t="str">
        <f>A75</f>
        <v>Lantai 1</v>
      </c>
      <c r="B76">
        <f>B75+1</f>
        <v>65</v>
      </c>
      <c r="C76" t="str">
        <f>CONCATENATE(A76," no. ",B76)</f>
        <v>Lantai 1 no. 65</v>
      </c>
      <c r="D76" t="str">
        <v>S25-1</v>
      </c>
      <c r="E76">
        <v>1</v>
      </c>
      <c r="F76">
        <v>1875</v>
      </c>
      <c r="I76">
        <f>+F76-G76-H76</f>
        <v>1875</v>
      </c>
      <c r="J76">
        <v>150</v>
      </c>
    </row>
    <row r="77">
      <c r="A77" t="str">
        <f>A76</f>
        <v>Lantai 1</v>
      </c>
      <c r="B77">
        <f>B76+1</f>
        <v>66</v>
      </c>
      <c r="C77" t="str">
        <f>CONCATENATE(A77," no. ",B77)</f>
        <v>Lantai 1 no. 66</v>
      </c>
      <c r="D77" t="str">
        <v>S24-1</v>
      </c>
      <c r="E77">
        <v>1</v>
      </c>
      <c r="F77">
        <v>2100</v>
      </c>
      <c r="I77">
        <f>+F77-G77-H77</f>
        <v>2100</v>
      </c>
      <c r="J77">
        <v>150</v>
      </c>
    </row>
    <row r="78">
      <c r="A78" t="str">
        <f>A77</f>
        <v>Lantai 1</v>
      </c>
      <c r="B78">
        <f>B77+1</f>
        <v>67</v>
      </c>
      <c r="C78" t="str">
        <f>CONCATENATE(A78," no. ",B78)</f>
        <v>Lantai 1 no. 67</v>
      </c>
      <c r="D78" t="str">
        <v>S24-1</v>
      </c>
      <c r="E78">
        <v>1</v>
      </c>
      <c r="F78">
        <v>925</v>
      </c>
      <c r="I78">
        <f>+F78-G78-H78</f>
        <v>925</v>
      </c>
      <c r="J78">
        <v>150</v>
      </c>
    </row>
    <row r="79">
      <c r="A79" t="str">
        <f>A78</f>
        <v>Lantai 1</v>
      </c>
      <c r="B79">
        <f>B78+1</f>
        <v>68</v>
      </c>
      <c r="C79" t="str">
        <f>CONCATENATE(A79," no. ",B79)</f>
        <v>Lantai 1 no. 68</v>
      </c>
      <c r="D79" t="str">
        <v>S25-1</v>
      </c>
      <c r="E79">
        <v>1</v>
      </c>
      <c r="F79">
        <v>4805</v>
      </c>
      <c r="I79">
        <f>+F79-G79-H79</f>
        <v>4805</v>
      </c>
      <c r="J79">
        <v>150</v>
      </c>
    </row>
    <row r="80">
      <c r="A80" t="str">
        <f>A79</f>
        <v>Lantai 1</v>
      </c>
      <c r="B80">
        <f>B79+1</f>
        <v>69</v>
      </c>
      <c r="C80" t="str">
        <f>CONCATENATE(A80," no. ",B80)</f>
        <v>Lantai 1 no. 69</v>
      </c>
      <c r="D80" t="str">
        <v>S25-1</v>
      </c>
      <c r="E80">
        <v>1</v>
      </c>
      <c r="F80">
        <v>4805</v>
      </c>
      <c r="I80">
        <f>+F80-G80-H80</f>
        <v>4805</v>
      </c>
      <c r="J80">
        <v>150</v>
      </c>
    </row>
    <row r="81">
      <c r="A81" t="str">
        <f>A80</f>
        <v>Lantai 1</v>
      </c>
      <c r="B81">
        <f>B80+1</f>
        <v>70</v>
      </c>
      <c r="C81" t="str">
        <f>CONCATENATE(A81," no. ",B81)</f>
        <v>Lantai 1 no. 70</v>
      </c>
      <c r="D81" t="str">
        <v>S24-1</v>
      </c>
      <c r="E81">
        <v>1</v>
      </c>
      <c r="F81">
        <v>6825</v>
      </c>
      <c r="I81">
        <f>+F81-G81-H81</f>
        <v>6825</v>
      </c>
      <c r="J81">
        <v>150</v>
      </c>
    </row>
    <row r="82">
      <c r="A82" t="str">
        <f>A81</f>
        <v>Lantai 1</v>
      </c>
      <c r="B82">
        <f>B81+1</f>
        <v>71</v>
      </c>
      <c r="C82" t="str">
        <f>CONCATENATE(A82," no. ",B82)</f>
        <v>Lantai 1 no. 71</v>
      </c>
      <c r="D82" t="str">
        <v>S24-2</v>
      </c>
      <c r="E82">
        <v>1</v>
      </c>
      <c r="F82">
        <v>6575</v>
      </c>
      <c r="I82">
        <f>+F82-G82-H82</f>
        <v>6575</v>
      </c>
      <c r="J82">
        <v>150</v>
      </c>
    </row>
    <row r="83">
      <c r="A83" t="str">
        <f>A82</f>
        <v>Lantai 1</v>
      </c>
      <c r="B83">
        <f>B82+1</f>
        <v>72</v>
      </c>
      <c r="C83" t="str">
        <f>CONCATENATE(A83," no. ",B83)</f>
        <v>Lantai 1 no. 72</v>
      </c>
      <c r="D83" t="str">
        <v>S24-1</v>
      </c>
      <c r="E83">
        <v>1</v>
      </c>
      <c r="F83">
        <v>6575</v>
      </c>
      <c r="I83">
        <f>+F83-G83-H83</f>
        <v>6575</v>
      </c>
    </row>
    <row r="84">
      <c r="A84" t="str">
        <f>A83</f>
        <v>Lantai 1</v>
      </c>
      <c r="B84">
        <f>B83+1</f>
        <v>73</v>
      </c>
      <c r="C84" t="str">
        <f>CONCATENATE(A84," no. ",B84)</f>
        <v>Lantai 1 no. 73</v>
      </c>
      <c r="D84" t="str">
        <v>S24-2</v>
      </c>
      <c r="E84">
        <v>1</v>
      </c>
      <c r="F84">
        <v>6075</v>
      </c>
      <c r="I84">
        <f>+F84-G84-H84</f>
        <v>6075</v>
      </c>
    </row>
    <row r="85">
      <c r="A85" t="str">
        <f>A84</f>
        <v>Lantai 1</v>
      </c>
      <c r="B85">
        <f>B84+1</f>
        <v>74</v>
      </c>
      <c r="C85" t="str">
        <f>CONCATENATE(A85," no. ",B85)</f>
        <v>Lantai 1 no. 74</v>
      </c>
      <c r="D85" t="str">
        <v>S24-2</v>
      </c>
      <c r="E85">
        <v>1</v>
      </c>
      <c r="F85">
        <v>5560</v>
      </c>
      <c r="I85">
        <f>+F85-G85-H85</f>
        <v>5560</v>
      </c>
    </row>
    <row r="86">
      <c r="A86" t="str">
        <f>A85</f>
        <v>Lantai 1</v>
      </c>
      <c r="B86">
        <f>B85+1</f>
        <v>75</v>
      </c>
      <c r="C86" t="str">
        <f>CONCATENATE(A86," no. ",B86)</f>
        <v>Lantai 1 no. 75</v>
      </c>
      <c r="D86" t="str">
        <v>B25-1</v>
      </c>
      <c r="E86">
        <v>1</v>
      </c>
      <c r="F86">
        <v>4000</v>
      </c>
      <c r="I86">
        <f>+F86-G86-H86</f>
        <v>4000</v>
      </c>
      <c r="J86">
        <v>150</v>
      </c>
      <c r="N86" t="str">
        <v>Kanopi</v>
      </c>
    </row>
    <row r="87">
      <c r="A87" t="str">
        <f>A86</f>
        <v>Lantai 1</v>
      </c>
      <c r="B87">
        <f>B86+1</f>
        <v>76</v>
      </c>
      <c r="C87" t="str">
        <f>CONCATENATE(A87," no. ",B87)</f>
        <v>Lantai 1 no. 76</v>
      </c>
      <c r="D87" t="str">
        <v>B25-1</v>
      </c>
      <c r="E87">
        <v>1</v>
      </c>
      <c r="F87">
        <v>5075</v>
      </c>
      <c r="I87">
        <f>+F87-G87-H87</f>
        <v>5075</v>
      </c>
      <c r="N87" t="str">
        <v>Kanopi</v>
      </c>
    </row>
    <row r="88">
      <c r="A88" t="str">
        <f>A87</f>
        <v>Lantai 1</v>
      </c>
      <c r="B88">
        <f>B87+1</f>
        <v>77</v>
      </c>
      <c r="C88" t="str">
        <f>CONCATENATE(A88," no. ",B88)</f>
        <v>Lantai 1 no. 77</v>
      </c>
      <c r="D88" t="str">
        <v>B24-2</v>
      </c>
      <c r="E88">
        <v>1</v>
      </c>
      <c r="F88">
        <v>2540</v>
      </c>
      <c r="I88">
        <f>+F88-G88-H88</f>
        <v>2540</v>
      </c>
      <c r="J88">
        <v>150</v>
      </c>
      <c r="N88" t="str">
        <v>Kanopi</v>
      </c>
    </row>
    <row r="89">
      <c r="A89" t="str">
        <f>A88</f>
        <v>Lantai 1</v>
      </c>
      <c r="B89">
        <f>B88+1</f>
        <v>78</v>
      </c>
      <c r="C89" t="str">
        <f>CONCATENATE(A89," no. ",B89)</f>
        <v>Lantai 1 no. 78</v>
      </c>
      <c r="D89" t="str">
        <v>B25-1</v>
      </c>
      <c r="E89">
        <v>1</v>
      </c>
      <c r="F89">
        <v>7075</v>
      </c>
      <c r="I89">
        <f>+F89-G89-H89</f>
        <v>7075</v>
      </c>
      <c r="J89">
        <v>150</v>
      </c>
      <c r="N89" t="str">
        <v>Kanopi</v>
      </c>
    </row>
    <row r="90">
      <c r="A90" t="str">
        <f>A89</f>
        <v>Lantai 1</v>
      </c>
      <c r="B90">
        <f>B89+1</f>
        <v>79</v>
      </c>
      <c r="C90" t="str">
        <f>CONCATENATE(A90," no. ",B90)</f>
        <v>Lantai 1 no. 79</v>
      </c>
      <c r="D90" t="str">
        <v>B24-2</v>
      </c>
      <c r="E90">
        <v>1</v>
      </c>
      <c r="F90">
        <v>1130</v>
      </c>
      <c r="I90">
        <f>+F90-G90-H90</f>
        <v>1130</v>
      </c>
      <c r="J90">
        <v>150</v>
      </c>
      <c r="N90" t="str">
        <v>Kanopi</v>
      </c>
    </row>
    <row r="91">
      <c r="A91" t="str">
        <f>A90</f>
        <v>Lantai 1</v>
      </c>
      <c r="B91">
        <f>B90+1</f>
        <v>80</v>
      </c>
      <c r="C91" t="str">
        <f>CONCATENATE(A91," no. ",B91)</f>
        <v>Lantai 1 no. 80</v>
      </c>
      <c r="D91" t="str">
        <v>B24-1</v>
      </c>
      <c r="E91">
        <v>1</v>
      </c>
      <c r="F91">
        <v>3090</v>
      </c>
      <c r="I91">
        <f>+F91-G91-H91</f>
        <v>3090</v>
      </c>
      <c r="J91">
        <v>150</v>
      </c>
      <c r="N91" t="str">
        <v>Kanopi</v>
      </c>
    </row>
    <row r="92">
      <c r="A92" t="str">
        <f>A91</f>
        <v>Lantai 1</v>
      </c>
      <c r="B92">
        <f>B91+1</f>
        <v>81</v>
      </c>
      <c r="C92" t="str">
        <f>CONCATENATE(A92," no. ",B92)</f>
        <v>Lantai 1 no. 81</v>
      </c>
      <c r="D92" t="str">
        <v>B25-1</v>
      </c>
      <c r="E92">
        <v>1</v>
      </c>
      <c r="F92">
        <v>6030</v>
      </c>
      <c r="I92">
        <f>+F92-G92-H92</f>
        <v>6030</v>
      </c>
      <c r="J92">
        <v>150</v>
      </c>
      <c r="N92" t="str">
        <v>Kanopi</v>
      </c>
    </row>
    <row r="93">
      <c r="A93" t="str">
        <f>A92</f>
        <v>Lantai 1</v>
      </c>
      <c r="B93">
        <f>B92+1</f>
        <v>82</v>
      </c>
      <c r="C93" t="str">
        <f>CONCATENATE(A93," no. ",B93)</f>
        <v>Lantai 1 no. 82</v>
      </c>
      <c r="D93" t="str">
        <v>B25-1</v>
      </c>
      <c r="E93">
        <v>1</v>
      </c>
      <c r="F93">
        <v>6035</v>
      </c>
      <c r="I93">
        <f>+F93-G93-H93</f>
        <v>6035</v>
      </c>
      <c r="J93">
        <v>150</v>
      </c>
      <c r="N93" t="str">
        <v>Kanopi</v>
      </c>
    </row>
    <row r="94">
      <c r="A94" t="str">
        <f>A93</f>
        <v>Lantai 1</v>
      </c>
      <c r="B94">
        <f>B93+1</f>
        <v>83</v>
      </c>
      <c r="C94" t="str">
        <f>CONCATENATE(A94," no. ",B94)</f>
        <v>Lantai 1 no. 83</v>
      </c>
      <c r="D94" t="str">
        <v>B24-1</v>
      </c>
      <c r="E94">
        <v>1</v>
      </c>
      <c r="F94">
        <v>3090</v>
      </c>
      <c r="I94">
        <f>+F94-G94-H94</f>
        <v>3090</v>
      </c>
      <c r="J94">
        <v>150</v>
      </c>
      <c r="N94" t="str">
        <v>Kanopi</v>
      </c>
    </row>
    <row r="95">
      <c r="A95" t="str">
        <f>A94</f>
        <v>Lantai 1</v>
      </c>
      <c r="B95">
        <f>B94+1</f>
        <v>84</v>
      </c>
      <c r="C95" t="str">
        <f>CONCATENATE(A95," no. ",B95)</f>
        <v>Lantai 1 no. 84</v>
      </c>
      <c r="D95" t="str">
        <v>B25-1</v>
      </c>
      <c r="E95">
        <v>1</v>
      </c>
      <c r="F95">
        <v>6170</v>
      </c>
      <c r="I95">
        <f>+F95-G95-H95</f>
        <v>6170</v>
      </c>
      <c r="J95">
        <v>150</v>
      </c>
      <c r="N95" t="str">
        <v>Kanopi</v>
      </c>
    </row>
    <row r="96">
      <c r="A96" t="str">
        <f>A95</f>
        <v>Lantai 1</v>
      </c>
      <c r="B96">
        <f>B95+1</f>
        <v>85</v>
      </c>
      <c r="C96" t="str">
        <f>CONCATENATE(A96," no. ",B96)</f>
        <v>Lantai 1 no. 85</v>
      </c>
      <c r="D96" t="str">
        <v>B25-1</v>
      </c>
      <c r="E96">
        <v>1</v>
      </c>
      <c r="F96">
        <v>8435</v>
      </c>
      <c r="I96">
        <f>+F96-G96-H96</f>
        <v>8435</v>
      </c>
      <c r="J96">
        <v>150</v>
      </c>
      <c r="N96" t="str">
        <v>Kanopi</v>
      </c>
    </row>
    <row r="98">
      <c r="A98" t="str">
        <v>Lantai 2</v>
      </c>
      <c r="B98">
        <v>1</v>
      </c>
      <c r="C98" t="str">
        <f>CONCATENATE(A98," no. ",B98)</f>
        <v>Lantai 2 no. 1</v>
      </c>
      <c r="D98" t="str">
        <v>B26-1</v>
      </c>
      <c r="E98">
        <v>1</v>
      </c>
      <c r="F98">
        <v>4825</v>
      </c>
      <c r="I98">
        <f>+F98-G98-H98</f>
        <v>4825</v>
      </c>
      <c r="J98">
        <v>150</v>
      </c>
    </row>
    <row r="99">
      <c r="A99" t="str">
        <f>A98</f>
        <v>Lantai 2</v>
      </c>
      <c r="B99">
        <f>B98+1</f>
        <v>2</v>
      </c>
      <c r="C99" t="str">
        <f>CONCATENATE(A99," no. ",B99)</f>
        <v>Lantai 2 no. 2</v>
      </c>
      <c r="D99" t="str">
        <v>B26-1</v>
      </c>
      <c r="E99">
        <v>1</v>
      </c>
      <c r="F99">
        <v>4175</v>
      </c>
      <c r="I99">
        <f>+F99-G99-H99</f>
        <v>4175</v>
      </c>
      <c r="J99">
        <v>150</v>
      </c>
    </row>
    <row r="100">
      <c r="A100" t="str">
        <f>A99</f>
        <v>Lantai 2</v>
      </c>
      <c r="B100">
        <f>B99+1</f>
        <v>3</v>
      </c>
      <c r="C100" t="str">
        <f>CONCATENATE(A100," no. ",B100)</f>
        <v>Lantai 2 no. 3</v>
      </c>
      <c r="D100" t="str">
        <v>B4-1</v>
      </c>
      <c r="E100">
        <v>1</v>
      </c>
      <c r="F100">
        <v>11000</v>
      </c>
      <c r="I100">
        <f>+F100-G100-H100</f>
        <v>11000</v>
      </c>
    </row>
    <row r="101">
      <c r="A101" t="str">
        <f>A100</f>
        <v>Lantai 2</v>
      </c>
      <c r="B101">
        <f>B100+1</f>
        <v>4</v>
      </c>
      <c r="C101" t="str">
        <f>CONCATENATE(A101," no. ",B101)</f>
        <v>Lantai 2 no. 4</v>
      </c>
      <c r="D101" t="str">
        <v>B25-1</v>
      </c>
      <c r="E101">
        <v>1</v>
      </c>
      <c r="F101">
        <v>9075</v>
      </c>
      <c r="I101">
        <f>+F101-G101-H101</f>
        <v>9075</v>
      </c>
      <c r="J101">
        <v>150</v>
      </c>
    </row>
    <row r="102">
      <c r="A102" t="str">
        <f>A101</f>
        <v>Lantai 2</v>
      </c>
      <c r="B102">
        <f>B101+1</f>
        <v>5</v>
      </c>
      <c r="C102" t="str">
        <f>CONCATENATE(A102," no. ",B102)</f>
        <v>Lantai 2 no. 5</v>
      </c>
      <c r="D102" t="str">
        <v>CL24-1</v>
      </c>
      <c r="E102">
        <v>1</v>
      </c>
      <c r="F102">
        <v>2475</v>
      </c>
      <c r="I102">
        <f>+F102-G102-H102</f>
        <v>2475</v>
      </c>
      <c r="J102">
        <v>150</v>
      </c>
    </row>
    <row r="103">
      <c r="A103" t="str">
        <f>A102</f>
        <v>Lantai 2</v>
      </c>
      <c r="B103">
        <f>B102+1</f>
        <v>6</v>
      </c>
      <c r="C103" t="str">
        <f>CONCATENATE(A103," no. ",B103)</f>
        <v>Lantai 2 no. 6</v>
      </c>
      <c r="D103" t="str">
        <v>B36-1</v>
      </c>
      <c r="E103">
        <v>1</v>
      </c>
      <c r="F103">
        <v>9000</v>
      </c>
      <c r="I103">
        <f>+F103-G103-H103</f>
        <v>9000</v>
      </c>
      <c r="J103">
        <v>150</v>
      </c>
    </row>
    <row r="104">
      <c r="A104" t="str">
        <f>A103</f>
        <v>Lantai 2</v>
      </c>
      <c r="B104">
        <f>B103+1</f>
        <v>7</v>
      </c>
      <c r="C104" t="str">
        <f>CONCATENATE(A104," no. ",B104)</f>
        <v>Lantai 2 no. 7</v>
      </c>
      <c r="D104" t="str">
        <v>B24-2</v>
      </c>
      <c r="E104">
        <v>1</v>
      </c>
      <c r="F104">
        <v>2475</v>
      </c>
      <c r="I104">
        <f>+F104-G104-H104</f>
        <v>2475</v>
      </c>
      <c r="J104">
        <v>150</v>
      </c>
    </row>
    <row r="105">
      <c r="A105" t="str">
        <f>A104</f>
        <v>Lantai 2</v>
      </c>
      <c r="B105">
        <f>B104+1</f>
        <v>8</v>
      </c>
      <c r="C105" t="str">
        <f>CONCATENATE(A105," no. ",B105)</f>
        <v>Lantai 2 no. 8</v>
      </c>
      <c r="D105" t="str">
        <v>B25-1</v>
      </c>
      <c r="E105">
        <v>1</v>
      </c>
      <c r="F105">
        <v>6075</v>
      </c>
      <c r="I105">
        <f>+F105-G105-H105</f>
        <v>6075</v>
      </c>
    </row>
    <row r="106">
      <c r="A106" t="str">
        <f>A105</f>
        <v>Lantai 2</v>
      </c>
      <c r="B106">
        <f>B105+1</f>
        <v>9</v>
      </c>
      <c r="C106" t="str">
        <f>CONCATENATE(A106," no. ",B106)</f>
        <v>Lantai 2 no. 9</v>
      </c>
      <c r="D106" t="str">
        <v>B24-1</v>
      </c>
      <c r="E106">
        <v>1</v>
      </c>
      <c r="F106">
        <v>4075</v>
      </c>
      <c r="I106">
        <f>+F106-G106-H106</f>
        <v>4075</v>
      </c>
      <c r="J106">
        <v>150</v>
      </c>
    </row>
    <row r="107">
      <c r="A107" t="str">
        <f>A106</f>
        <v>Lantai 2</v>
      </c>
      <c r="B107">
        <f>B106+1</f>
        <v>10</v>
      </c>
      <c r="C107" t="str">
        <f>CONCATENATE(A107," no. ",B107)</f>
        <v>Lantai 2 no. 10</v>
      </c>
      <c r="D107" t="str">
        <v>B26-1</v>
      </c>
      <c r="E107">
        <v>1</v>
      </c>
      <c r="F107">
        <v>4000</v>
      </c>
      <c r="I107">
        <f>+F107-G107-H107</f>
        <v>4000</v>
      </c>
      <c r="J107">
        <v>150</v>
      </c>
    </row>
    <row r="108">
      <c r="A108" t="str">
        <f>A107</f>
        <v>Lantai 2</v>
      </c>
      <c r="B108">
        <f>B107+1</f>
        <v>11</v>
      </c>
      <c r="C108" t="str">
        <f>CONCATENATE(A108," no. ",B108)</f>
        <v>Lantai 2 no. 11</v>
      </c>
      <c r="D108" t="str">
        <v>B26-1</v>
      </c>
      <c r="E108">
        <v>1</v>
      </c>
      <c r="F108">
        <v>5175</v>
      </c>
      <c r="I108">
        <f>+F108-G108-H108</f>
        <v>5175</v>
      </c>
      <c r="J108">
        <v>150</v>
      </c>
    </row>
    <row r="109">
      <c r="A109" t="str">
        <f>A108</f>
        <v>Lantai 2</v>
      </c>
      <c r="B109">
        <f>B108+1</f>
        <v>12</v>
      </c>
      <c r="C109" t="str">
        <f>CONCATENATE(A109," no. ",B109)</f>
        <v>Lantai 2 no. 12</v>
      </c>
      <c r="D109" t="str">
        <v>B26-1</v>
      </c>
      <c r="E109">
        <v>1</v>
      </c>
      <c r="F109">
        <v>5900</v>
      </c>
      <c r="I109">
        <f>+F109-G109-H109</f>
        <v>5900</v>
      </c>
      <c r="J109">
        <v>150</v>
      </c>
    </row>
    <row r="110">
      <c r="A110" t="str">
        <f>A109</f>
        <v>Lantai 2</v>
      </c>
      <c r="B110">
        <f>B109+1</f>
        <v>13</v>
      </c>
      <c r="C110" t="str">
        <f>CONCATENATE(A110," no. ",B110)</f>
        <v>Lantai 2 no. 13</v>
      </c>
      <c r="D110" t="str">
        <v>B23-1</v>
      </c>
      <c r="E110">
        <v>1</v>
      </c>
      <c r="F110">
        <v>2040</v>
      </c>
      <c r="I110">
        <f>+F110-G110-H110</f>
        <v>2040</v>
      </c>
      <c r="J110">
        <v>150</v>
      </c>
    </row>
    <row r="111">
      <c r="A111" t="str">
        <f>A110</f>
        <v>Lantai 2</v>
      </c>
      <c r="B111">
        <f>B110+1</f>
        <v>14</v>
      </c>
      <c r="C111" t="str">
        <f>CONCATENATE(A111," no. ",B111)</f>
        <v>Lantai 2 no. 14</v>
      </c>
      <c r="D111" t="str">
        <v>B25-1</v>
      </c>
      <c r="E111">
        <v>1</v>
      </c>
      <c r="F111">
        <v>4000</v>
      </c>
      <c r="I111">
        <f>+F111-G111-H111</f>
        <v>4000</v>
      </c>
      <c r="J111">
        <v>150</v>
      </c>
    </row>
    <row r="112">
      <c r="A112" t="str">
        <f>A111</f>
        <v>Lantai 2</v>
      </c>
      <c r="B112">
        <f>B111+1</f>
        <v>15</v>
      </c>
      <c r="C112" t="str">
        <f>CONCATENATE(A112," no. ",B112)</f>
        <v>Lantai 2 no. 15</v>
      </c>
      <c r="D112" t="str">
        <v>B25-1</v>
      </c>
      <c r="E112">
        <v>1</v>
      </c>
      <c r="F112">
        <v>5000</v>
      </c>
      <c r="I112">
        <f>+F112-G112-H112</f>
        <v>5000</v>
      </c>
      <c r="J112">
        <v>150</v>
      </c>
    </row>
    <row r="113">
      <c r="A113" t="str">
        <f>A112</f>
        <v>Lantai 2</v>
      </c>
      <c r="B113">
        <f>B112+1</f>
        <v>16</v>
      </c>
      <c r="C113" t="str">
        <f>CONCATENATE(A113," no. ",B113)</f>
        <v>Lantai 2 no. 16</v>
      </c>
      <c r="D113" t="str">
        <v>B36-1</v>
      </c>
      <c r="E113">
        <v>1</v>
      </c>
      <c r="F113">
        <v>6075</v>
      </c>
      <c r="I113">
        <f>+F113-G113-H113</f>
        <v>6075</v>
      </c>
      <c r="J113">
        <v>150</v>
      </c>
    </row>
    <row r="114">
      <c r="A114" t="str">
        <f>A113</f>
        <v>Lantai 2</v>
      </c>
      <c r="B114">
        <f>B113+1</f>
        <v>17</v>
      </c>
      <c r="C114" t="str">
        <f>CONCATENATE(A114," no. ",B114)</f>
        <v>Lantai 2 no. 17</v>
      </c>
      <c r="D114" t="str">
        <v>B24-2</v>
      </c>
      <c r="E114">
        <v>1</v>
      </c>
      <c r="F114">
        <v>4065</v>
      </c>
      <c r="I114">
        <f>+F114-G114-H114</f>
        <v>4065</v>
      </c>
      <c r="J114">
        <v>150</v>
      </c>
    </row>
    <row r="115">
      <c r="A115" t="str">
        <f>A114</f>
        <v>Lantai 2</v>
      </c>
      <c r="B115">
        <f>B114+1</f>
        <v>18</v>
      </c>
      <c r="C115" t="str">
        <f>CONCATENATE(A115," no. ",B115)</f>
        <v>Lantai 2 no. 18</v>
      </c>
      <c r="D115" t="str">
        <v>B24-1</v>
      </c>
      <c r="E115">
        <v>1</v>
      </c>
      <c r="F115">
        <v>1855</v>
      </c>
      <c r="I115">
        <f>+F115-G115-H115</f>
        <v>1855</v>
      </c>
    </row>
    <row r="116">
      <c r="A116" t="str">
        <f>A115</f>
        <v>Lantai 2</v>
      </c>
      <c r="B116">
        <f>B115+1</f>
        <v>19</v>
      </c>
      <c r="C116" t="str">
        <f>CONCATENATE(A116," no. ",B116)</f>
        <v>Lantai 2 no. 19</v>
      </c>
      <c r="D116" t="str">
        <v>B23-1</v>
      </c>
      <c r="E116">
        <v>1</v>
      </c>
      <c r="F116">
        <v>2075</v>
      </c>
      <c r="I116">
        <f>+F116-G116-H116</f>
        <v>2075</v>
      </c>
      <c r="J116">
        <v>150</v>
      </c>
    </row>
    <row r="117">
      <c r="A117" t="str">
        <f>A116</f>
        <v>Lantai 2</v>
      </c>
      <c r="B117">
        <f>B116+1</f>
        <v>20</v>
      </c>
      <c r="C117" t="str">
        <f>CONCATENATE(A117," no. ",B117)</f>
        <v>Lantai 2 no. 20</v>
      </c>
      <c r="D117" t="str">
        <v>B24-2</v>
      </c>
      <c r="E117">
        <v>1</v>
      </c>
      <c r="F117">
        <v>3010</v>
      </c>
      <c r="I117">
        <f>+F117-G117-H117</f>
        <v>3010</v>
      </c>
      <c r="J117">
        <v>150</v>
      </c>
    </row>
    <row r="118">
      <c r="A118" t="str">
        <f>A117</f>
        <v>Lantai 2</v>
      </c>
      <c r="B118">
        <f>B117+1</f>
        <v>21</v>
      </c>
      <c r="C118" t="str">
        <f>CONCATENATE(A118," no. ",B118)</f>
        <v>Lantai 2 no. 21</v>
      </c>
      <c r="D118" t="str">
        <v>B25-1</v>
      </c>
      <c r="E118">
        <v>1</v>
      </c>
      <c r="F118">
        <v>4075</v>
      </c>
      <c r="I118">
        <f>+F118-G118-H118</f>
        <v>4075</v>
      </c>
      <c r="J118">
        <v>150</v>
      </c>
    </row>
    <row r="119">
      <c r="A119" t="str">
        <f>A118</f>
        <v>Lantai 2</v>
      </c>
      <c r="B119">
        <f>B118+1</f>
        <v>22</v>
      </c>
      <c r="C119" t="str">
        <f>CONCATENATE(A119," no. ",B119)</f>
        <v>Lantai 2 no. 22</v>
      </c>
      <c r="D119" t="str">
        <v>B24-1</v>
      </c>
      <c r="E119">
        <v>1</v>
      </c>
      <c r="F119">
        <v>1760</v>
      </c>
      <c r="I119">
        <f>+F119-G119-H119</f>
        <v>1760</v>
      </c>
    </row>
    <row r="120">
      <c r="A120" t="str">
        <f>A119</f>
        <v>Lantai 2</v>
      </c>
      <c r="B120">
        <f>B119+1</f>
        <v>23</v>
      </c>
      <c r="C120" t="str">
        <f>CONCATENATE(A120," no. ",B120)</f>
        <v>Lantai 2 no. 23</v>
      </c>
      <c r="D120" t="str">
        <v>CL24-1</v>
      </c>
      <c r="E120">
        <v>1</v>
      </c>
      <c r="F120">
        <v>3010</v>
      </c>
      <c r="I120">
        <f>+F120-G120-H120</f>
        <v>3010</v>
      </c>
      <c r="J120">
        <v>150</v>
      </c>
    </row>
    <row r="121">
      <c r="A121" t="str">
        <f>A120</f>
        <v>Lantai 2</v>
      </c>
      <c r="B121">
        <f>B120+1</f>
        <v>24</v>
      </c>
      <c r="C121" t="str">
        <f>CONCATENATE(A121," no. ",B121)</f>
        <v>Lantai 2 no. 24</v>
      </c>
      <c r="D121" t="str">
        <v>B24-1</v>
      </c>
      <c r="E121">
        <v>1</v>
      </c>
      <c r="F121">
        <v>2800</v>
      </c>
      <c r="I121">
        <f>+F121-G121-H121</f>
        <v>2800</v>
      </c>
      <c r="J121">
        <v>150</v>
      </c>
    </row>
    <row r="122">
      <c r="A122" t="str">
        <f>A121</f>
        <v>Lantai 2</v>
      </c>
      <c r="B122">
        <f>B121+1</f>
        <v>25</v>
      </c>
      <c r="C122" t="str">
        <f>CONCATENATE(A122," no. ",B122)</f>
        <v>Lantai 2 no. 25</v>
      </c>
      <c r="D122" t="str">
        <v>B24-1</v>
      </c>
      <c r="E122">
        <v>1</v>
      </c>
      <c r="F122">
        <v>5150</v>
      </c>
      <c r="I122">
        <f>+F122-G122-H122</f>
        <v>5150</v>
      </c>
    </row>
    <row r="123">
      <c r="A123" t="str">
        <f>A122</f>
        <v>Lantai 2</v>
      </c>
      <c r="B123">
        <f>B122+1</f>
        <v>26</v>
      </c>
      <c r="C123" t="str">
        <f>CONCATENATE(A123," no. ",B123)</f>
        <v>Lantai 2 no. 26</v>
      </c>
      <c r="D123" t="str">
        <v>B26-1</v>
      </c>
      <c r="E123">
        <v>1</v>
      </c>
      <c r="F123">
        <v>6150</v>
      </c>
      <c r="I123">
        <f>+F123-G123-H123</f>
        <v>6150</v>
      </c>
      <c r="J123">
        <v>150</v>
      </c>
    </row>
    <row r="124">
      <c r="A124" t="str">
        <f>A123</f>
        <v>Lantai 2</v>
      </c>
      <c r="B124">
        <f>B123+1</f>
        <v>27</v>
      </c>
      <c r="C124" t="str">
        <f>CONCATENATE(A124," no. ",B124)</f>
        <v>Lantai 2 no. 27</v>
      </c>
      <c r="D124" t="str">
        <v>B24-1</v>
      </c>
      <c r="E124">
        <v>1</v>
      </c>
      <c r="F124">
        <v>5050</v>
      </c>
      <c r="I124">
        <f>+F124-G124-H124</f>
        <v>5050</v>
      </c>
      <c r="J124">
        <v>150</v>
      </c>
    </row>
    <row r="125">
      <c r="A125" t="str">
        <f>A124</f>
        <v>Lantai 2</v>
      </c>
      <c r="B125">
        <f>B124+1</f>
        <v>28</v>
      </c>
      <c r="C125" t="str">
        <f>CONCATENATE(A125," no. ",B125)</f>
        <v>Lantai 2 no. 28</v>
      </c>
      <c r="D125" t="str">
        <v>B24-1</v>
      </c>
      <c r="E125">
        <v>1</v>
      </c>
      <c r="F125">
        <v>5050</v>
      </c>
      <c r="I125">
        <f>+F125-G125-H125</f>
        <v>5050</v>
      </c>
      <c r="J125">
        <v>150</v>
      </c>
    </row>
    <row r="126">
      <c r="A126" t="str">
        <f>A125</f>
        <v>Lantai 2</v>
      </c>
      <c r="B126">
        <f>B125+1</f>
        <v>29</v>
      </c>
      <c r="C126" t="str">
        <f>CONCATENATE(A126," no. ",B126)</f>
        <v>Lantai 2 no. 29</v>
      </c>
      <c r="D126" t="str">
        <v>B23-1</v>
      </c>
      <c r="E126">
        <v>1</v>
      </c>
      <c r="F126">
        <v>3075</v>
      </c>
      <c r="I126">
        <f>+F126-G126-H126</f>
        <v>3075</v>
      </c>
      <c r="J126">
        <v>150</v>
      </c>
    </row>
    <row r="127">
      <c r="A127" t="str">
        <f>A126</f>
        <v>Lantai 2</v>
      </c>
      <c r="B127">
        <f>B126+1</f>
        <v>30</v>
      </c>
      <c r="C127" t="str">
        <f>CONCATENATE(A127," no. ",B127)</f>
        <v>Lantai 2 no. 30</v>
      </c>
      <c r="D127" t="str">
        <v>B36-1</v>
      </c>
      <c r="E127">
        <v>1</v>
      </c>
      <c r="F127">
        <v>5585</v>
      </c>
      <c r="I127">
        <f>+F127-G127-H127</f>
        <v>5585</v>
      </c>
      <c r="J127">
        <v>150</v>
      </c>
    </row>
    <row r="128">
      <c r="A128" t="str">
        <f>A127</f>
        <v>Lantai 2</v>
      </c>
      <c r="B128">
        <f>B127+1</f>
        <v>31</v>
      </c>
      <c r="C128" t="str">
        <f>CONCATENATE(A128," no. ",B128)</f>
        <v>Lantai 2 no. 31</v>
      </c>
      <c r="D128" t="str">
        <v>B23-1</v>
      </c>
      <c r="E128">
        <v>1</v>
      </c>
      <c r="F128">
        <v>2650</v>
      </c>
      <c r="I128">
        <f>+F128-G128-H128</f>
        <v>2650</v>
      </c>
      <c r="J128">
        <v>150</v>
      </c>
    </row>
    <row r="129">
      <c r="A129" t="str">
        <f>A128</f>
        <v>Lantai 2</v>
      </c>
      <c r="B129">
        <f>B128+1</f>
        <v>32</v>
      </c>
      <c r="C129" t="str">
        <f>CONCATENATE(A129," no. ",B129)</f>
        <v>Lantai 2 no. 32</v>
      </c>
      <c r="D129" t="str">
        <v>B36-1</v>
      </c>
      <c r="E129">
        <v>1</v>
      </c>
      <c r="F129">
        <v>5325</v>
      </c>
      <c r="I129">
        <f>+F129-G129-H129</f>
        <v>5325</v>
      </c>
      <c r="J129">
        <v>150</v>
      </c>
    </row>
    <row r="130">
      <c r="A130" t="str">
        <f>A129</f>
        <v>Lantai 2</v>
      </c>
      <c r="B130">
        <f>B129+1</f>
        <v>33</v>
      </c>
      <c r="C130" t="str">
        <f>CONCATENATE(A130," no. ",B130)</f>
        <v>Lantai 2 no. 33</v>
      </c>
      <c r="D130" t="str">
        <v>B24-1</v>
      </c>
      <c r="E130">
        <v>1</v>
      </c>
      <c r="F130">
        <v>3645</v>
      </c>
      <c r="I130">
        <f>+F130-G130-H130</f>
        <v>3645</v>
      </c>
      <c r="J130">
        <v>150</v>
      </c>
    </row>
    <row r="131">
      <c r="A131" t="str">
        <f>A130</f>
        <v>Lantai 2</v>
      </c>
      <c r="B131">
        <f>B130+1</f>
        <v>34</v>
      </c>
      <c r="C131" t="str">
        <f>CONCATENATE(A131," no. ",B131)</f>
        <v>Lantai 2 no. 34</v>
      </c>
      <c r="D131" t="str">
        <v>B24-1</v>
      </c>
      <c r="E131">
        <v>1</v>
      </c>
      <c r="F131">
        <v>3965</v>
      </c>
      <c r="I131">
        <f>+F131-G131-H131</f>
        <v>3965</v>
      </c>
      <c r="J131">
        <v>150</v>
      </c>
    </row>
    <row r="132">
      <c r="A132" t="str">
        <f>A131</f>
        <v>Lantai 2</v>
      </c>
      <c r="B132">
        <f>B131+1</f>
        <v>35</v>
      </c>
      <c r="C132" t="str">
        <f>CONCATENATE(A132," no. ",B132)</f>
        <v>Lantai 2 no. 35</v>
      </c>
      <c r="D132" t="str">
        <v>B25-1</v>
      </c>
      <c r="E132">
        <v>1</v>
      </c>
      <c r="F132">
        <v>4075</v>
      </c>
      <c r="I132">
        <f>+F132-G132-H132</f>
        <v>4075</v>
      </c>
      <c r="J132">
        <v>150</v>
      </c>
    </row>
    <row r="133">
      <c r="A133" t="str">
        <f>A132</f>
        <v>Lantai 2</v>
      </c>
      <c r="B133">
        <f>B132+1</f>
        <v>36</v>
      </c>
      <c r="C133" t="str">
        <f>CONCATENATE(A133," no. ",B133)</f>
        <v>Lantai 2 no. 36</v>
      </c>
      <c r="D133" t="str">
        <v>B24-1</v>
      </c>
      <c r="E133">
        <v>1</v>
      </c>
      <c r="F133">
        <v>4000</v>
      </c>
      <c r="I133">
        <f>+F133-G133-H133</f>
        <v>4000</v>
      </c>
      <c r="J133">
        <v>150</v>
      </c>
    </row>
    <row r="134">
      <c r="A134" t="str">
        <f>A133</f>
        <v>Lantai 2</v>
      </c>
      <c r="B134">
        <f>B133+1</f>
        <v>37</v>
      </c>
      <c r="C134" t="str">
        <f>CONCATENATE(A134," no. ",B134)</f>
        <v>Lantai 2 no. 37</v>
      </c>
      <c r="D134" t="str">
        <v>B24-2</v>
      </c>
      <c r="E134">
        <v>1</v>
      </c>
      <c r="F134">
        <v>11275</v>
      </c>
      <c r="I134">
        <f>+F134-G134-H134</f>
        <v>11275</v>
      </c>
      <c r="J134">
        <v>150</v>
      </c>
    </row>
    <row r="135">
      <c r="A135" t="str">
        <f>A134</f>
        <v>Lantai 2</v>
      </c>
      <c r="B135">
        <f>B134+1</f>
        <v>38</v>
      </c>
      <c r="C135" t="str">
        <f>CONCATENATE(A135," no. ",B135)</f>
        <v>Lantai 2 no. 38</v>
      </c>
      <c r="D135" t="str">
        <v>B36-1</v>
      </c>
      <c r="E135">
        <v>1</v>
      </c>
      <c r="F135">
        <v>5950</v>
      </c>
      <c r="I135">
        <f>+F135-G135-H135</f>
        <v>5950</v>
      </c>
      <c r="J135">
        <v>150</v>
      </c>
    </row>
    <row r="136">
      <c r="A136" t="str">
        <f>A135</f>
        <v>Lantai 2</v>
      </c>
      <c r="B136">
        <f>B135+1</f>
        <v>39</v>
      </c>
      <c r="C136" t="str">
        <f>CONCATENATE(A136," no. ",B136)</f>
        <v>Lantai 2 no. 39</v>
      </c>
      <c r="D136" t="str">
        <v>B25-1</v>
      </c>
      <c r="E136">
        <v>1</v>
      </c>
      <c r="F136">
        <v>4250</v>
      </c>
      <c r="I136">
        <f>+F136-G136-H136</f>
        <v>4250</v>
      </c>
    </row>
    <row r="137">
      <c r="A137" t="str">
        <f>A136</f>
        <v>Lantai 2</v>
      </c>
      <c r="B137">
        <f>B136+1</f>
        <v>40</v>
      </c>
      <c r="C137" t="str">
        <f>CONCATENATE(A137," no. ",B137)</f>
        <v>Lantai 2 no. 40</v>
      </c>
      <c r="D137" t="str">
        <v>B25-1</v>
      </c>
      <c r="E137">
        <v>1</v>
      </c>
      <c r="F137">
        <v>1600</v>
      </c>
      <c r="I137">
        <f>+F137-G137-H137</f>
        <v>1600</v>
      </c>
      <c r="J137">
        <v>150</v>
      </c>
    </row>
    <row r="138">
      <c r="A138" t="str">
        <f>A137</f>
        <v>Lantai 2</v>
      </c>
      <c r="B138">
        <f>B137+1</f>
        <v>41</v>
      </c>
      <c r="C138" t="str">
        <f>CONCATENATE(A138," no. ",B138)</f>
        <v>Lantai 2 no. 41</v>
      </c>
      <c r="D138" t="str">
        <v>B25-1</v>
      </c>
      <c r="E138">
        <v>1</v>
      </c>
      <c r="F138">
        <v>22000</v>
      </c>
      <c r="I138">
        <f>+F138-G138-H138</f>
        <v>22000</v>
      </c>
      <c r="J138">
        <v>100</v>
      </c>
    </row>
    <row r="139">
      <c r="A139" t="str">
        <f>A138</f>
        <v>Lantai 2</v>
      </c>
      <c r="B139">
        <f>B138+1</f>
        <v>42</v>
      </c>
      <c r="C139" t="str">
        <f>CONCATENATE(A139," no. ",B139)</f>
        <v>Lantai 2 no. 42</v>
      </c>
      <c r="D139" t="str">
        <v>CL24-1</v>
      </c>
      <c r="E139">
        <v>1</v>
      </c>
      <c r="F139">
        <v>3090</v>
      </c>
      <c r="I139">
        <f>+F139-G139-H139</f>
        <v>3090</v>
      </c>
      <c r="J139">
        <v>150</v>
      </c>
    </row>
    <row r="140">
      <c r="A140" t="str">
        <f>A139</f>
        <v>Lantai 2</v>
      </c>
      <c r="B140">
        <f>B139+1</f>
        <v>43</v>
      </c>
      <c r="C140" t="str">
        <f>CONCATENATE(A140," no. ",B140)</f>
        <v>Lantai 2 no. 43</v>
      </c>
      <c r="D140" t="str">
        <v>CL24-1</v>
      </c>
      <c r="E140">
        <v>1</v>
      </c>
      <c r="F140">
        <v>3090</v>
      </c>
      <c r="I140">
        <f>+F140-G140-H140</f>
        <v>3090</v>
      </c>
      <c r="J140">
        <v>150</v>
      </c>
    </row>
    <row r="141">
      <c r="A141" t="str">
        <f>A140</f>
        <v>Lantai 2</v>
      </c>
      <c r="B141">
        <f>B140+1</f>
        <v>44</v>
      </c>
      <c r="C141" t="str">
        <f>CONCATENATE(A141," no. ",B141)</f>
        <v>Lantai 2 no. 44</v>
      </c>
      <c r="D141" t="str">
        <v>B25-1</v>
      </c>
      <c r="E141">
        <v>1</v>
      </c>
      <c r="F141">
        <v>6080</v>
      </c>
      <c r="I141">
        <f>+F141-G141-H141</f>
        <v>6080</v>
      </c>
      <c r="J141">
        <v>150</v>
      </c>
    </row>
    <row r="142">
      <c r="A142" t="str">
        <f>A141</f>
        <v>Lantai 2</v>
      </c>
      <c r="B142">
        <f>B141+1</f>
        <v>45</v>
      </c>
      <c r="C142" t="str">
        <f>CONCATENATE(A142," no. ",B142)</f>
        <v>Lantai 2 no. 45</v>
      </c>
      <c r="D142" t="str">
        <v>B24-1</v>
      </c>
      <c r="E142">
        <v>1</v>
      </c>
      <c r="F142">
        <v>2125</v>
      </c>
      <c r="I142">
        <f>+F142-G142-H142</f>
        <v>2125</v>
      </c>
    </row>
    <row r="143">
      <c r="A143" t="str">
        <f>A142</f>
        <v>Lantai 2</v>
      </c>
      <c r="B143">
        <f>B142+1</f>
        <v>46</v>
      </c>
      <c r="C143" t="str">
        <f>CONCATENATE(A143," no. ",B143)</f>
        <v>Lantai 2 no. 46</v>
      </c>
      <c r="D143" t="str">
        <v>B24-1</v>
      </c>
      <c r="E143">
        <v>1</v>
      </c>
      <c r="F143">
        <v>900</v>
      </c>
      <c r="I143">
        <f>+F143-G143-H143</f>
        <v>900</v>
      </c>
    </row>
    <row r="144">
      <c r="A144" t="str">
        <f>A143</f>
        <v>Lantai 2</v>
      </c>
      <c r="B144">
        <f>B143+1</f>
        <v>47</v>
      </c>
      <c r="C144" t="str">
        <f>CONCATENATE(A144," no. ",B144)</f>
        <v>Lantai 2 no. 47</v>
      </c>
      <c r="D144" t="str">
        <v>B24-1</v>
      </c>
      <c r="E144">
        <v>1</v>
      </c>
      <c r="F144">
        <v>2125</v>
      </c>
      <c r="I144">
        <f>+F144-G144-H144</f>
        <v>2125</v>
      </c>
    </row>
    <row r="145">
      <c r="A145" t="str">
        <f>A144</f>
        <v>Lantai 2</v>
      </c>
      <c r="B145">
        <f>B144+1</f>
        <v>48</v>
      </c>
      <c r="C145" t="str">
        <f>CONCATENATE(A145," no. ",B145)</f>
        <v>Lantai 2 no. 48</v>
      </c>
      <c r="D145" t="str">
        <v>B24-1</v>
      </c>
      <c r="E145">
        <v>1</v>
      </c>
      <c r="F145">
        <v>900</v>
      </c>
      <c r="I145">
        <f>+F145-G145-H145</f>
        <v>900</v>
      </c>
    </row>
    <row r="146">
      <c r="A146" t="str">
        <f>A145</f>
        <v>Lantai 2</v>
      </c>
      <c r="B146">
        <f>B145+1</f>
        <v>49</v>
      </c>
      <c r="C146" t="str">
        <f>CONCATENATE(A146," no. ",B146)</f>
        <v>Lantai 2 no. 49</v>
      </c>
      <c r="D146" t="str">
        <v>B25-1</v>
      </c>
      <c r="E146">
        <v>1</v>
      </c>
      <c r="F146">
        <v>4805</v>
      </c>
      <c r="I146">
        <f>+F146-G146-H146</f>
        <v>4805</v>
      </c>
      <c r="J146">
        <v>150</v>
      </c>
    </row>
    <row r="147">
      <c r="A147" t="str">
        <f>A146</f>
        <v>Lantai 2</v>
      </c>
      <c r="B147">
        <f>B146+1</f>
        <v>50</v>
      </c>
      <c r="C147" t="str">
        <f>CONCATENATE(A147," no. ",B147)</f>
        <v>Lantai 2 no. 50</v>
      </c>
      <c r="D147" t="str">
        <v>B25-1</v>
      </c>
      <c r="E147">
        <v>1</v>
      </c>
      <c r="F147">
        <v>6650</v>
      </c>
      <c r="I147">
        <f>+F147-G147-H147</f>
        <v>6650</v>
      </c>
      <c r="J147">
        <v>150</v>
      </c>
    </row>
    <row r="148">
      <c r="A148" t="str">
        <f>A147</f>
        <v>Lantai 2</v>
      </c>
      <c r="B148">
        <f>B147+1</f>
        <v>51</v>
      </c>
      <c r="C148" t="str">
        <f>CONCATENATE(A148," no. ",B148)</f>
        <v>Lantai 2 no. 51</v>
      </c>
      <c r="D148" t="str">
        <v>B25-1</v>
      </c>
      <c r="E148">
        <v>1</v>
      </c>
      <c r="F148">
        <v>6650</v>
      </c>
      <c r="I148">
        <f>+F148-G148-H148</f>
        <v>6650</v>
      </c>
      <c r="J148">
        <v>150</v>
      </c>
    </row>
    <row r="149">
      <c r="A149" t="str">
        <f>A148</f>
        <v>Lantai 2</v>
      </c>
      <c r="B149">
        <f>B148+1</f>
        <v>52</v>
      </c>
      <c r="C149" t="str">
        <f>CONCATENATE(A149," no. ",B149)</f>
        <v>Lantai 2 no. 52</v>
      </c>
      <c r="D149" t="str">
        <v>B25-1</v>
      </c>
      <c r="E149">
        <v>1</v>
      </c>
      <c r="F149">
        <v>4805</v>
      </c>
      <c r="I149">
        <f>+F149-G149-H149</f>
        <v>4805</v>
      </c>
      <c r="J149">
        <v>150</v>
      </c>
    </row>
    <row r="150">
      <c r="A150" t="str">
        <f>A149</f>
        <v>Lantai 2</v>
      </c>
      <c r="B150">
        <f>B149+1</f>
        <v>53</v>
      </c>
      <c r="C150" t="str">
        <f>CONCATENATE(A150," no. ",B150)</f>
        <v>Lantai 2 no. 53</v>
      </c>
      <c r="D150" t="str">
        <v>B24-1</v>
      </c>
      <c r="E150">
        <v>1</v>
      </c>
      <c r="F150">
        <v>2755</v>
      </c>
      <c r="I150">
        <f>+F150-G150-H150</f>
        <v>2755</v>
      </c>
      <c r="J150">
        <v>150</v>
      </c>
    </row>
    <row r="151">
      <c r="A151" t="str">
        <f>A150</f>
        <v>Lantai 2</v>
      </c>
      <c r="B151">
        <f>B150+1</f>
        <v>54</v>
      </c>
      <c r="C151" t="str">
        <f>CONCATENATE(A151," no. ",B151)</f>
        <v>Lantai 2 no. 54</v>
      </c>
      <c r="D151" t="str">
        <v>CL24-1</v>
      </c>
      <c r="E151">
        <v>1</v>
      </c>
      <c r="F151">
        <v>2100</v>
      </c>
      <c r="I151">
        <f>+F151-G151-H151</f>
        <v>2100</v>
      </c>
      <c r="J151">
        <v>150</v>
      </c>
    </row>
    <row r="152">
      <c r="A152" t="str">
        <f>A151</f>
        <v>Lantai 2</v>
      </c>
      <c r="B152">
        <f>B151+1</f>
        <v>55</v>
      </c>
      <c r="C152" t="str">
        <f>CONCATENATE(A152," no. ",B152)</f>
        <v>Lantai 2 no. 55</v>
      </c>
      <c r="D152" t="str">
        <v>CL24-1</v>
      </c>
      <c r="E152">
        <v>1</v>
      </c>
      <c r="F152">
        <v>2100</v>
      </c>
      <c r="I152">
        <f>+F152-G152-H152</f>
        <v>2100</v>
      </c>
      <c r="J152">
        <v>150</v>
      </c>
    </row>
    <row r="154">
      <c r="A154" t="str">
        <v>Lantai 3</v>
      </c>
      <c r="B154">
        <v>1</v>
      </c>
      <c r="C154" t="str">
        <f>CONCATENATE(A154," no. ",B154)</f>
        <v>Lantai 3 no. 1</v>
      </c>
      <c r="D154" t="str">
        <v>B24-1</v>
      </c>
      <c r="E154">
        <v>1</v>
      </c>
      <c r="F154">
        <v>9250</v>
      </c>
      <c r="I154">
        <f>+F154-G154-H154</f>
        <v>9250</v>
      </c>
      <c r="J154">
        <v>150</v>
      </c>
    </row>
    <row r="155">
      <c r="A155" t="str">
        <f>A154</f>
        <v>Lantai 3</v>
      </c>
      <c r="B155">
        <f>B154+1</f>
        <v>2</v>
      </c>
      <c r="C155" t="str">
        <f>CONCATENATE(A155," no. ",B155)</f>
        <v>Lantai 3 no. 2</v>
      </c>
      <c r="D155" t="str">
        <v>B24-2</v>
      </c>
      <c r="E155">
        <v>1</v>
      </c>
      <c r="F155">
        <v>9000</v>
      </c>
      <c r="I155">
        <f>+F155-G155-H155</f>
        <v>9000</v>
      </c>
      <c r="J155">
        <v>150</v>
      </c>
    </row>
    <row r="156">
      <c r="A156" t="str">
        <f>A155</f>
        <v>Lantai 3</v>
      </c>
      <c r="B156">
        <f>B155+1</f>
        <v>3</v>
      </c>
      <c r="C156" t="str">
        <f>CONCATENATE(A156," no. ",B156)</f>
        <v>Lantai 3 no. 3</v>
      </c>
      <c r="D156" t="str">
        <v>CL24-1</v>
      </c>
      <c r="E156">
        <v>1</v>
      </c>
      <c r="F156">
        <v>1075</v>
      </c>
      <c r="I156">
        <f>+F156-G156-H156</f>
        <v>1075</v>
      </c>
      <c r="J156">
        <v>150</v>
      </c>
    </row>
    <row r="157">
      <c r="A157" t="str">
        <f>A156</f>
        <v>Lantai 3</v>
      </c>
      <c r="B157">
        <f>B156+1</f>
        <v>4</v>
      </c>
      <c r="C157" t="str">
        <f>CONCATENATE(A157," no. ",B157)</f>
        <v>Lantai 3 no. 4</v>
      </c>
      <c r="D157" t="str">
        <v>CL24-1</v>
      </c>
      <c r="E157">
        <v>1</v>
      </c>
      <c r="F157">
        <v>1075</v>
      </c>
      <c r="I157">
        <f>+F157-G157-H157</f>
        <v>1075</v>
      </c>
      <c r="J157">
        <v>150</v>
      </c>
    </row>
    <row r="158">
      <c r="A158" t="str">
        <f>A157</f>
        <v>Lantai 3</v>
      </c>
      <c r="B158">
        <f>B157+1</f>
        <v>5</v>
      </c>
      <c r="C158" t="str">
        <f>CONCATENATE(A158," no. ",B158)</f>
        <v>Lantai 3 no. 5</v>
      </c>
      <c r="D158" t="str">
        <v>B24-2</v>
      </c>
      <c r="E158">
        <v>1</v>
      </c>
      <c r="F158">
        <v>9075</v>
      </c>
      <c r="I158">
        <f>+F158-G158-H158</f>
        <v>9075</v>
      </c>
      <c r="J158">
        <v>150</v>
      </c>
    </row>
    <row r="159">
      <c r="A159" t="str">
        <f>A158</f>
        <v>Lantai 3</v>
      </c>
      <c r="B159">
        <f>B158+1</f>
        <v>6</v>
      </c>
      <c r="C159" t="str">
        <f>CONCATENATE(A159," no. ",B159)</f>
        <v>Lantai 3 no. 6</v>
      </c>
      <c r="D159" t="str">
        <v>B26-1</v>
      </c>
      <c r="E159">
        <v>1</v>
      </c>
      <c r="F159">
        <v>9000</v>
      </c>
      <c r="I159">
        <f>+F159-G159-H159</f>
        <v>9000</v>
      </c>
      <c r="J159">
        <v>150</v>
      </c>
    </row>
    <row r="160">
      <c r="A160" t="str">
        <f>A159</f>
        <v>Lantai 3</v>
      </c>
      <c r="B160">
        <f>B159+1</f>
        <v>7</v>
      </c>
      <c r="C160" t="str">
        <f>CONCATENATE(A160," no. ",B160)</f>
        <v>Lantai 3 no. 7</v>
      </c>
      <c r="D160" t="str">
        <v>CL24-1</v>
      </c>
      <c r="E160">
        <v>1</v>
      </c>
      <c r="F160">
        <v>7150</v>
      </c>
      <c r="I160">
        <f>+F160-G160-H160</f>
        <v>7150</v>
      </c>
      <c r="J160">
        <v>150</v>
      </c>
    </row>
    <row r="161">
      <c r="A161" t="str">
        <f>A160</f>
        <v>Lantai 3</v>
      </c>
      <c r="B161">
        <f>B160+1</f>
        <v>8</v>
      </c>
      <c r="C161" t="str">
        <f>CONCATENATE(A161," no. ",B161)</f>
        <v>Lantai 3 no. 8</v>
      </c>
      <c r="D161" t="str">
        <v>B26-1</v>
      </c>
      <c r="E161">
        <v>1</v>
      </c>
      <c r="F161">
        <v>6075</v>
      </c>
      <c r="I161">
        <f>+F161-G161-H161</f>
        <v>6075</v>
      </c>
      <c r="J161">
        <v>150</v>
      </c>
    </row>
    <row r="162">
      <c r="A162" t="str">
        <f>A161</f>
        <v>Lantai 3</v>
      </c>
      <c r="B162">
        <f>B161+1</f>
        <v>9</v>
      </c>
      <c r="C162" t="str">
        <f>CONCATENATE(A162," no. ",B162)</f>
        <v>Lantai 3 no. 9</v>
      </c>
      <c r="D162" t="str">
        <v>CL24-1</v>
      </c>
      <c r="E162">
        <v>1</v>
      </c>
      <c r="F162">
        <v>1000</v>
      </c>
      <c r="I162">
        <f>+F162-G162-H162</f>
        <v>1000</v>
      </c>
      <c r="J162">
        <v>150</v>
      </c>
    </row>
    <row r="163">
      <c r="A163" t="str">
        <f>A162</f>
        <v>Lantai 3</v>
      </c>
      <c r="B163">
        <f>B162+1</f>
        <v>10</v>
      </c>
      <c r="C163" t="str">
        <f>CONCATENATE(A163," no. ",B163)</f>
        <v>Lantai 3 no. 10</v>
      </c>
      <c r="D163" t="str">
        <v>B24-1</v>
      </c>
      <c r="E163">
        <v>1</v>
      </c>
      <c r="F163">
        <v>3425</v>
      </c>
      <c r="I163">
        <f>+F163-G163-H163</f>
        <v>3425</v>
      </c>
      <c r="J163">
        <v>150</v>
      </c>
    </row>
    <row r="164">
      <c r="A164" t="str">
        <f>A163</f>
        <v>Lantai 3</v>
      </c>
      <c r="B164">
        <f>B163+1</f>
        <v>11</v>
      </c>
      <c r="C164" t="str">
        <f>CONCATENATE(A164," no. ",B164)</f>
        <v>Lantai 3 no. 11</v>
      </c>
      <c r="D164" t="str">
        <v>B25-1</v>
      </c>
      <c r="E164">
        <v>1</v>
      </c>
      <c r="F164">
        <v>9075</v>
      </c>
      <c r="I164">
        <f>+F164-G164-H164</f>
        <v>9075</v>
      </c>
      <c r="J164">
        <v>150</v>
      </c>
    </row>
    <row r="165">
      <c r="A165" t="str">
        <f>A164</f>
        <v>Lantai 3</v>
      </c>
      <c r="B165">
        <f>B164+1</f>
        <v>12</v>
      </c>
      <c r="C165" t="str">
        <f>CONCATENATE(A165," no. ",B165)</f>
        <v>Lantai 3 no. 12</v>
      </c>
      <c r="D165" t="str">
        <v>B25-1</v>
      </c>
      <c r="E165">
        <v>1</v>
      </c>
      <c r="F165">
        <v>5925</v>
      </c>
      <c r="I165">
        <f>+F165-G165-H165</f>
        <v>5925</v>
      </c>
      <c r="J165">
        <v>150</v>
      </c>
    </row>
    <row r="166">
      <c r="A166" t="str">
        <f>A165</f>
        <v>Lantai 3</v>
      </c>
      <c r="B166">
        <f>B165+1</f>
        <v>13</v>
      </c>
      <c r="C166" t="str">
        <f>CONCATENATE(A166," no. ",B166)</f>
        <v>Lantai 3 no. 13</v>
      </c>
      <c r="D166" t="str">
        <v>CL24-1</v>
      </c>
      <c r="E166">
        <v>1</v>
      </c>
      <c r="F166">
        <v>1175</v>
      </c>
      <c r="I166">
        <f>+F166-G166-H166</f>
        <v>1175</v>
      </c>
      <c r="J166">
        <v>150</v>
      </c>
    </row>
    <row r="167">
      <c r="A167" t="str">
        <f>A166</f>
        <v>Lantai 3</v>
      </c>
      <c r="B167">
        <f>B166+1</f>
        <v>14</v>
      </c>
      <c r="C167" t="str">
        <f>CONCATENATE(A167," no. ",B167)</f>
        <v>Lantai 3 no. 14</v>
      </c>
      <c r="D167" t="str">
        <v>B26-1</v>
      </c>
      <c r="E167">
        <v>1</v>
      </c>
      <c r="F167">
        <v>9175</v>
      </c>
      <c r="I167">
        <f>+F167-G167-H167</f>
        <v>9175</v>
      </c>
      <c r="J167">
        <v>150</v>
      </c>
    </row>
    <row r="168">
      <c r="A168" t="str">
        <f>A167</f>
        <v>Lantai 3</v>
      </c>
      <c r="B168">
        <f>B167+1</f>
        <v>15</v>
      </c>
      <c r="C168" t="str">
        <f>CONCATENATE(A168," no. ",B168)</f>
        <v>Lantai 3 no. 15</v>
      </c>
      <c r="D168" t="str">
        <v>B26-1</v>
      </c>
      <c r="E168">
        <v>1</v>
      </c>
      <c r="F168">
        <v>5825</v>
      </c>
      <c r="I168">
        <f>+F168-G168-H168</f>
        <v>5825</v>
      </c>
      <c r="J168">
        <v>150</v>
      </c>
    </row>
    <row r="169">
      <c r="A169" t="str">
        <f>A168</f>
        <v>Lantai 3</v>
      </c>
      <c r="B169">
        <f>B168+1</f>
        <v>16</v>
      </c>
      <c r="C169" t="str">
        <f>CONCATENATE(A169," no. ",B169)</f>
        <v>Lantai 3 no. 16</v>
      </c>
      <c r="D169" t="str">
        <v>CL24-1</v>
      </c>
      <c r="E169">
        <v>1</v>
      </c>
      <c r="F169">
        <v>1075</v>
      </c>
      <c r="I169">
        <f>+F169-G169-H169</f>
        <v>1075</v>
      </c>
      <c r="J169">
        <v>150</v>
      </c>
    </row>
    <row r="170">
      <c r="A170" t="str">
        <f>A169</f>
        <v>Lantai 3</v>
      </c>
      <c r="B170">
        <f>B169+1</f>
        <v>17</v>
      </c>
      <c r="C170" t="str">
        <f>CONCATENATE(A170," no. ",B170)</f>
        <v>Lantai 3 no. 17</v>
      </c>
      <c r="D170" t="str">
        <v>B25-1</v>
      </c>
      <c r="E170">
        <v>1</v>
      </c>
      <c r="F170">
        <v>9075</v>
      </c>
      <c r="I170">
        <f>+F170-G170-H170</f>
        <v>9075</v>
      </c>
      <c r="J170">
        <v>150</v>
      </c>
    </row>
    <row r="171">
      <c r="A171" t="str">
        <f>A170</f>
        <v>Lantai 3</v>
      </c>
      <c r="B171">
        <f>B170+1</f>
        <v>18</v>
      </c>
      <c r="C171" t="str">
        <f>CONCATENATE(A171," no. ",B171)</f>
        <v>Lantai 3 no. 18</v>
      </c>
      <c r="D171" t="str">
        <v>B26-1</v>
      </c>
      <c r="E171">
        <v>1</v>
      </c>
      <c r="F171">
        <v>5925</v>
      </c>
      <c r="I171">
        <f>+F171-G171-H171</f>
        <v>5925</v>
      </c>
      <c r="J171">
        <v>150</v>
      </c>
    </row>
    <row r="172">
      <c r="A172" t="str">
        <f>A171</f>
        <v>Lantai 3</v>
      </c>
      <c r="B172">
        <f>B171+1</f>
        <v>19</v>
      </c>
      <c r="C172" t="str">
        <f>CONCATENATE(A172," no. ",B172)</f>
        <v>Lantai 3 no. 19</v>
      </c>
      <c r="D172" t="str">
        <v>CL24-1</v>
      </c>
      <c r="E172">
        <v>1</v>
      </c>
      <c r="F172">
        <v>1075</v>
      </c>
      <c r="I172">
        <f>+F172-G172-H172</f>
        <v>1075</v>
      </c>
      <c r="J172">
        <v>150</v>
      </c>
    </row>
    <row r="173">
      <c r="A173" t="str">
        <f>A172</f>
        <v>Lantai 3</v>
      </c>
      <c r="B173">
        <f>B172+1</f>
        <v>20</v>
      </c>
      <c r="C173" t="str">
        <f>CONCATENATE(A173," no. ",B173)</f>
        <v>Lantai 3 no. 20</v>
      </c>
      <c r="D173" t="str">
        <v>B24-1</v>
      </c>
      <c r="E173">
        <v>1</v>
      </c>
      <c r="F173">
        <v>4075</v>
      </c>
      <c r="I173">
        <f>+F173-G173-H173</f>
        <v>4075</v>
      </c>
      <c r="J173">
        <v>150</v>
      </c>
    </row>
    <row r="174">
      <c r="A174" t="str">
        <f>A173</f>
        <v>Lantai 3</v>
      </c>
      <c r="B174">
        <f>B173+1</f>
        <v>21</v>
      </c>
      <c r="C174" t="str">
        <f>CONCATENATE(A174," no. ",B174)</f>
        <v>Lantai 3 no. 21</v>
      </c>
      <c r="D174" t="str">
        <v>B24-1</v>
      </c>
      <c r="E174">
        <v>1</v>
      </c>
      <c r="F174">
        <v>2195</v>
      </c>
      <c r="I174">
        <f>+F174-G174-H174</f>
        <v>2195</v>
      </c>
    </row>
    <row r="175">
      <c r="A175" t="str">
        <f>A174</f>
        <v>Lantai 3</v>
      </c>
      <c r="B175">
        <f>B174+1</f>
        <v>22</v>
      </c>
      <c r="C175" t="str">
        <f>CONCATENATE(A175," no. ",B175)</f>
        <v>Lantai 3 no. 22</v>
      </c>
      <c r="D175" t="str">
        <v>B24-1</v>
      </c>
      <c r="E175">
        <v>1</v>
      </c>
      <c r="F175">
        <v>2200</v>
      </c>
      <c r="I175">
        <f>+F175-G175-H175</f>
        <v>2200</v>
      </c>
    </row>
    <row r="176">
      <c r="A176" t="str">
        <f>A175</f>
        <v>Lantai 3</v>
      </c>
      <c r="B176">
        <f>B175+1</f>
        <v>23</v>
      </c>
      <c r="C176" t="str">
        <f>CONCATENATE(A176," no. ",B176)</f>
        <v>Lantai 3 no. 23</v>
      </c>
      <c r="D176" t="str">
        <v>CL24-1</v>
      </c>
      <c r="E176">
        <v>1</v>
      </c>
      <c r="F176">
        <v>3425</v>
      </c>
      <c r="I176">
        <f>+F176-G176-H176</f>
        <v>3425</v>
      </c>
      <c r="J176">
        <v>150</v>
      </c>
    </row>
    <row r="177">
      <c r="A177" t="str">
        <f>A176</f>
        <v>Lantai 3</v>
      </c>
      <c r="B177">
        <f>B176+1</f>
        <v>24</v>
      </c>
      <c r="C177" t="str">
        <f>CONCATENATE(A177," no. ",B177)</f>
        <v>Lantai 3 no. 24</v>
      </c>
      <c r="D177" t="str">
        <v>B25-1</v>
      </c>
      <c r="E177">
        <v>1</v>
      </c>
      <c r="F177">
        <v>4075</v>
      </c>
      <c r="I177">
        <f>+F177-G177-H177</f>
        <v>4075</v>
      </c>
      <c r="J177">
        <v>150</v>
      </c>
    </row>
    <row r="178">
      <c r="A178" t="str">
        <f>A177</f>
        <v>Lantai 3</v>
      </c>
      <c r="B178">
        <f>B177+1</f>
        <v>25</v>
      </c>
      <c r="C178" t="str">
        <f>CONCATENATE(A178," no. ",B178)</f>
        <v>Lantai 3 no. 25</v>
      </c>
      <c r="D178" t="str">
        <v>CL24-1</v>
      </c>
      <c r="E178">
        <v>1</v>
      </c>
      <c r="F178">
        <v>1075</v>
      </c>
      <c r="I178">
        <f>+F178-G178-H178</f>
        <v>1075</v>
      </c>
      <c r="J178">
        <v>150</v>
      </c>
    </row>
    <row r="179">
      <c r="A179" t="str">
        <f>A178</f>
        <v>Lantai 3</v>
      </c>
      <c r="B179">
        <f>B178+1</f>
        <v>26</v>
      </c>
      <c r="C179" t="str">
        <f>CONCATENATE(A179," no. ",B179)</f>
        <v>Lantai 3 no. 26</v>
      </c>
      <c r="D179" t="str">
        <v>B25-1</v>
      </c>
      <c r="E179">
        <v>1</v>
      </c>
      <c r="F179">
        <v>5075</v>
      </c>
      <c r="I179">
        <f>+F179-G179-H179</f>
        <v>5075</v>
      </c>
      <c r="J179">
        <v>150</v>
      </c>
    </row>
    <row r="180">
      <c r="A180" t="str">
        <f>A179</f>
        <v>Lantai 3</v>
      </c>
      <c r="B180">
        <f>B179+1</f>
        <v>27</v>
      </c>
      <c r="C180" t="str">
        <f>CONCATENATE(A180," no. ",B180)</f>
        <v>Lantai 3 no. 27</v>
      </c>
      <c r="D180" t="str">
        <v>CL24-1</v>
      </c>
      <c r="E180">
        <v>1</v>
      </c>
      <c r="F180">
        <v>5000</v>
      </c>
      <c r="I180">
        <f>+F180-G180-H180</f>
        <v>5000</v>
      </c>
      <c r="J180">
        <v>150</v>
      </c>
    </row>
    <row r="181">
      <c r="A181" t="str">
        <f>A180</f>
        <v>Lantai 3</v>
      </c>
      <c r="B181">
        <f>B180+1</f>
        <v>28</v>
      </c>
      <c r="C181" t="str">
        <f>CONCATENATE(A181," no. ",B181)</f>
        <v>Lantai 3 no. 28</v>
      </c>
      <c r="D181" t="str">
        <v>B25-1</v>
      </c>
      <c r="E181">
        <v>1</v>
      </c>
      <c r="F181">
        <v>7250</v>
      </c>
      <c r="I181">
        <f>+F181-G181-H181</f>
        <v>7250</v>
      </c>
      <c r="J181">
        <v>150</v>
      </c>
    </row>
    <row r="182">
      <c r="A182" t="str">
        <f>A181</f>
        <v>Lantai 3</v>
      </c>
      <c r="B182">
        <f>B181+1</f>
        <v>29</v>
      </c>
      <c r="C182" t="str">
        <f>CONCATENATE(A182," no. ",B182)</f>
        <v>Lantai 3 no. 29</v>
      </c>
      <c r="D182" t="str">
        <v>B26-1</v>
      </c>
      <c r="E182">
        <v>1</v>
      </c>
      <c r="F182">
        <v>6075</v>
      </c>
      <c r="I182">
        <f>+F182-G182-H182</f>
        <v>6075</v>
      </c>
      <c r="J182">
        <v>150</v>
      </c>
    </row>
    <row r="183">
      <c r="A183" t="str">
        <f>A182</f>
        <v>Lantai 3</v>
      </c>
      <c r="B183">
        <f>B182+1</f>
        <v>30</v>
      </c>
      <c r="C183" t="str">
        <f>CONCATENATE(A183," no. ",B183)</f>
        <v>Lantai 3 no. 30</v>
      </c>
      <c r="D183" t="str">
        <v>CL24-1</v>
      </c>
      <c r="E183">
        <v>1</v>
      </c>
      <c r="F183">
        <v>1075</v>
      </c>
      <c r="I183">
        <f>+F183-G183-H183</f>
        <v>1075</v>
      </c>
      <c r="J183">
        <v>150</v>
      </c>
    </row>
    <row r="184">
      <c r="A184" t="str">
        <f>A183</f>
        <v>Lantai 3</v>
      </c>
      <c r="B184">
        <f>B183+1</f>
        <v>31</v>
      </c>
      <c r="C184" t="str">
        <f>CONCATENATE(A184," no. ",B184)</f>
        <v>Lantai 3 no. 31</v>
      </c>
      <c r="D184" t="str">
        <v>CL24-1</v>
      </c>
      <c r="E184">
        <v>1</v>
      </c>
      <c r="F184">
        <v>8150</v>
      </c>
      <c r="I184">
        <f>+F184-G184-H184</f>
        <v>8150</v>
      </c>
      <c r="J184">
        <v>150</v>
      </c>
    </row>
    <row r="185">
      <c r="A185" t="str">
        <f>A184</f>
        <v>Lantai 3</v>
      </c>
      <c r="B185">
        <f>B184+1</f>
        <v>32</v>
      </c>
      <c r="C185" t="str">
        <f>CONCATENATE(A185," no. ",B185)</f>
        <v>Lantai 3 no. 32</v>
      </c>
      <c r="D185" t="str">
        <v>B25-1</v>
      </c>
      <c r="E185">
        <v>1</v>
      </c>
      <c r="F185">
        <v>5425</v>
      </c>
      <c r="I185">
        <f>+F185-G185-H185</f>
        <v>5425</v>
      </c>
      <c r="J185">
        <v>150</v>
      </c>
    </row>
    <row r="186">
      <c r="A186" t="str">
        <f>A185</f>
        <v>Lantai 3</v>
      </c>
      <c r="B186">
        <f>B185+1</f>
        <v>33</v>
      </c>
      <c r="C186" t="str">
        <f>CONCATENATE(A186," no. ",B186)</f>
        <v>Lantai 3 no. 33</v>
      </c>
      <c r="D186" t="str">
        <v>B26-1</v>
      </c>
      <c r="E186">
        <v>1</v>
      </c>
      <c r="F186">
        <v>5585</v>
      </c>
      <c r="I186">
        <f>+F186-G186-H186</f>
        <v>5585</v>
      </c>
      <c r="J186">
        <v>150</v>
      </c>
    </row>
    <row r="187">
      <c r="A187" t="str">
        <f>A186</f>
        <v>Lantai 3</v>
      </c>
      <c r="B187">
        <f>B186+1</f>
        <v>34</v>
      </c>
      <c r="C187" t="str">
        <f>CONCATENATE(A187," no. ",B187)</f>
        <v>Lantai 3 no. 34</v>
      </c>
      <c r="D187" t="str">
        <v>B26-1</v>
      </c>
      <c r="E187">
        <v>1</v>
      </c>
      <c r="F187">
        <v>5325</v>
      </c>
      <c r="I187">
        <f>+F187-G187-H187</f>
        <v>5325</v>
      </c>
      <c r="J187">
        <v>150</v>
      </c>
    </row>
    <row r="188">
      <c r="A188" t="str">
        <f>A187</f>
        <v>Lantai 3</v>
      </c>
      <c r="B188">
        <f>B187+1</f>
        <v>35</v>
      </c>
      <c r="C188" t="str">
        <f>CONCATENATE(A188," no. ",B188)</f>
        <v>Lantai 3 no. 35</v>
      </c>
      <c r="D188" t="str">
        <v>B24-1</v>
      </c>
      <c r="E188">
        <v>1</v>
      </c>
      <c r="F188">
        <v>3500</v>
      </c>
      <c r="I188">
        <f>+F188-G188-H188</f>
        <v>3500</v>
      </c>
      <c r="J188">
        <v>150</v>
      </c>
    </row>
    <row r="189">
      <c r="A189" t="str">
        <f>A188</f>
        <v>Lantai 3</v>
      </c>
      <c r="B189">
        <f>B188+1</f>
        <v>36</v>
      </c>
      <c r="C189" t="str">
        <f>CONCATENATE(A189," no. ",B189)</f>
        <v>Lantai 3 no. 36</v>
      </c>
      <c r="D189" t="str">
        <v>CL24-1</v>
      </c>
      <c r="E189">
        <v>1</v>
      </c>
      <c r="F189">
        <v>1250</v>
      </c>
      <c r="I189">
        <f>+F189-G189-H189</f>
        <v>1250</v>
      </c>
      <c r="J189">
        <v>150</v>
      </c>
    </row>
    <row r="190">
      <c r="A190" t="str">
        <f>A189</f>
        <v>Lantai 3</v>
      </c>
      <c r="B190">
        <f>B189+1</f>
        <v>37</v>
      </c>
      <c r="C190" t="str">
        <f>CONCATENATE(A190," no. ",B190)</f>
        <v>Lantai 3 no. 37</v>
      </c>
      <c r="D190" t="str">
        <v>B25-1</v>
      </c>
      <c r="E190">
        <v>1</v>
      </c>
      <c r="F190">
        <v>4075</v>
      </c>
      <c r="I190">
        <f>+F190-G190-H190</f>
        <v>4075</v>
      </c>
      <c r="J190">
        <v>150</v>
      </c>
    </row>
    <row r="191">
      <c r="A191" t="str">
        <f>A190</f>
        <v>Lantai 3</v>
      </c>
      <c r="B191">
        <f>B190+1</f>
        <v>38</v>
      </c>
      <c r="C191" t="str">
        <f>CONCATENATE(A191," no. ",B191)</f>
        <v>Lantai 3 no. 38</v>
      </c>
      <c r="D191" t="str">
        <v>B24-1</v>
      </c>
      <c r="E191">
        <v>1</v>
      </c>
      <c r="F191">
        <v>2875</v>
      </c>
      <c r="I191">
        <f>+F191-G191-H191</f>
        <v>2875</v>
      </c>
      <c r="J191">
        <v>150</v>
      </c>
    </row>
    <row r="192">
      <c r="A192" t="str">
        <f>A191</f>
        <v>Lantai 3</v>
      </c>
      <c r="B192">
        <f>B191+1</f>
        <v>39</v>
      </c>
      <c r="C192" t="str">
        <f>CONCATENATE(A192," no. ",B192)</f>
        <v>Lantai 3 no. 39</v>
      </c>
      <c r="D192" t="str">
        <v>B26-1</v>
      </c>
      <c r="E192">
        <v>1</v>
      </c>
      <c r="F192">
        <v>4100</v>
      </c>
      <c r="I192">
        <f>+F192-G192-H192</f>
        <v>4100</v>
      </c>
      <c r="J192">
        <v>150</v>
      </c>
    </row>
    <row r="193">
      <c r="A193" t="str">
        <f>A192</f>
        <v>Lantai 3</v>
      </c>
      <c r="B193">
        <f>B192+1</f>
        <v>40</v>
      </c>
      <c r="C193" t="str">
        <f>CONCATENATE(A193," no. ",B193)</f>
        <v>Lantai 3 no. 40</v>
      </c>
      <c r="D193" t="str">
        <v>B26-1</v>
      </c>
      <c r="E193">
        <v>1</v>
      </c>
      <c r="F193">
        <v>4000</v>
      </c>
      <c r="I193">
        <f>+F193-G193-H193</f>
        <v>4000</v>
      </c>
      <c r="J193">
        <v>150</v>
      </c>
    </row>
    <row r="194">
      <c r="A194" t="str">
        <f>A193</f>
        <v>Lantai 3</v>
      </c>
      <c r="B194">
        <f>B193+1</f>
        <v>41</v>
      </c>
      <c r="C194" t="str">
        <f>CONCATENATE(A194," no. ",B194)</f>
        <v>Lantai 3 no. 41</v>
      </c>
      <c r="D194" t="str">
        <v>B26-1</v>
      </c>
      <c r="E194">
        <v>1</v>
      </c>
      <c r="F194">
        <v>15425</v>
      </c>
      <c r="I194">
        <f>+F194-G194-H194</f>
        <v>15425</v>
      </c>
      <c r="J194">
        <v>150</v>
      </c>
    </row>
    <row r="195">
      <c r="A195" t="str">
        <f>A194</f>
        <v>Lantai 3</v>
      </c>
      <c r="B195">
        <f>B194+1</f>
        <v>42</v>
      </c>
      <c r="C195" t="str">
        <f>CONCATENATE(A195," no. ",B195)</f>
        <v>Lantai 3 no. 42</v>
      </c>
      <c r="D195" t="str">
        <v>B24-2</v>
      </c>
      <c r="E195">
        <v>1</v>
      </c>
      <c r="F195">
        <v>3125</v>
      </c>
      <c r="I195">
        <f>+F195-G195-H195</f>
        <v>3125</v>
      </c>
      <c r="J195">
        <v>150</v>
      </c>
    </row>
    <row r="196">
      <c r="A196" t="str">
        <f>A195</f>
        <v>Lantai 3</v>
      </c>
      <c r="B196">
        <f>B195+1</f>
        <v>43</v>
      </c>
      <c r="C196" t="str">
        <f>CONCATENATE(A196," no. ",B196)</f>
        <v>Lantai 3 no. 43</v>
      </c>
      <c r="D196" t="str">
        <v>B24-2</v>
      </c>
      <c r="E196">
        <v>1</v>
      </c>
      <c r="F196">
        <v>3125</v>
      </c>
      <c r="I196">
        <f>+F196-G196-H196</f>
        <v>3125</v>
      </c>
      <c r="J196">
        <v>150</v>
      </c>
    </row>
    <row r="197">
      <c r="A197" t="str">
        <f>A196</f>
        <v>Lantai 3</v>
      </c>
      <c r="B197">
        <f>B196+1</f>
        <v>44</v>
      </c>
      <c r="C197" t="str">
        <f>CONCATENATE(A197," no. ",B197)</f>
        <v>Lantai 3 no. 44</v>
      </c>
      <c r="D197" t="str">
        <v>B24-2</v>
      </c>
      <c r="E197">
        <v>1</v>
      </c>
      <c r="F197">
        <v>12750</v>
      </c>
      <c r="I197">
        <f>+F197-G197-H197</f>
        <v>12750</v>
      </c>
      <c r="J197">
        <v>150</v>
      </c>
    </row>
    <row r="198">
      <c r="A198" t="str">
        <f>A197</f>
        <v>Lantai 3</v>
      </c>
      <c r="B198">
        <f>B197+1</f>
        <v>45</v>
      </c>
      <c r="C198" t="str">
        <f>CONCATENATE(A198," no. ",B198)</f>
        <v>Lantai 3 no. 45</v>
      </c>
      <c r="D198" t="str">
        <v>B24-2</v>
      </c>
      <c r="E198">
        <v>1</v>
      </c>
      <c r="F198">
        <v>12750</v>
      </c>
      <c r="I198">
        <f>+F198-G198-H198</f>
        <v>12750</v>
      </c>
      <c r="J198">
        <v>150</v>
      </c>
    </row>
    <row r="199">
      <c r="A199" t="str">
        <f>A198</f>
        <v>Lantai 3</v>
      </c>
      <c r="B199">
        <f>B198+1</f>
        <v>46</v>
      </c>
      <c r="C199" t="str">
        <f>CONCATENATE(A199," no. ",B199)</f>
        <v>Lantai 3 no. 46</v>
      </c>
      <c r="D199" t="str">
        <v>B26-1</v>
      </c>
      <c r="E199">
        <v>1</v>
      </c>
      <c r="F199">
        <v>1600</v>
      </c>
      <c r="I199">
        <f>+F199-G199-H199</f>
        <v>1600</v>
      </c>
      <c r="J199">
        <v>150</v>
      </c>
    </row>
    <row r="200">
      <c r="A200" t="str">
        <f>A199</f>
        <v>Lantai 3</v>
      </c>
      <c r="B200">
        <f>B199+1</f>
        <v>47</v>
      </c>
      <c r="C200" t="str">
        <f>CONCATENATE(A200," no. ",B200)</f>
        <v>Lantai 3 no. 47</v>
      </c>
      <c r="D200" t="str">
        <v>CL24-1</v>
      </c>
      <c r="E200">
        <v>1</v>
      </c>
      <c r="F200">
        <v>12650</v>
      </c>
      <c r="I200">
        <f>+F200-G200-H200</f>
        <v>12650</v>
      </c>
      <c r="J200">
        <v>150</v>
      </c>
    </row>
    <row r="201">
      <c r="A201" t="str">
        <f>A200</f>
        <v>Lantai 3</v>
      </c>
      <c r="B201">
        <f>B200+1</f>
        <v>48</v>
      </c>
      <c r="C201" t="str">
        <f>CONCATENATE(A201," no. ",B201)</f>
        <v>Lantai 3 no. 48</v>
      </c>
      <c r="D201" t="str">
        <v>B25-1</v>
      </c>
      <c r="E201">
        <v>1</v>
      </c>
      <c r="F201">
        <v>5825</v>
      </c>
      <c r="I201">
        <f>+F201-G201-H201</f>
        <v>5825</v>
      </c>
      <c r="J201">
        <v>150</v>
      </c>
    </row>
    <row r="202">
      <c r="A202" t="str">
        <f>A201</f>
        <v>Lantai 3</v>
      </c>
      <c r="B202">
        <f>B201+1</f>
        <v>49</v>
      </c>
      <c r="C202" t="str">
        <f>CONCATENATE(A202," no. ",B202)</f>
        <v>Lantai 3 no. 49</v>
      </c>
      <c r="D202" t="str">
        <v>B24-1</v>
      </c>
      <c r="E202">
        <v>1</v>
      </c>
      <c r="F202">
        <v>1705</v>
      </c>
      <c r="I202">
        <f>+F202-G202-H202</f>
        <v>1705</v>
      </c>
    </row>
    <row r="203">
      <c r="A203" t="str">
        <f>A202</f>
        <v>Lantai 3</v>
      </c>
      <c r="B203">
        <f>B202+1</f>
        <v>50</v>
      </c>
      <c r="C203" t="str">
        <f>CONCATENATE(A203," no. ",B203)</f>
        <v>Lantai 3 no. 50</v>
      </c>
      <c r="D203" t="str">
        <v>B24-1</v>
      </c>
      <c r="E203">
        <v>1</v>
      </c>
      <c r="F203">
        <v>1705</v>
      </c>
      <c r="I203">
        <f>+F203-G203-H203</f>
        <v>1705</v>
      </c>
    </row>
    <row r="204">
      <c r="A204" t="str">
        <f>A203</f>
        <v>Lantai 3</v>
      </c>
      <c r="B204">
        <f>B203+1</f>
        <v>51</v>
      </c>
      <c r="C204" t="str">
        <f>CONCATENATE(A204," no. ",B204)</f>
        <v>Lantai 3 no. 51</v>
      </c>
      <c r="D204" t="str">
        <v>CL24-1</v>
      </c>
      <c r="E204">
        <v>1</v>
      </c>
      <c r="F204">
        <v>925</v>
      </c>
      <c r="I204">
        <f>+F204-G204-H204</f>
        <v>925</v>
      </c>
    </row>
    <row r="205">
      <c r="A205" t="str">
        <f>A204</f>
        <v>Lantai 3</v>
      </c>
      <c r="B205">
        <f>B204+1</f>
        <v>52</v>
      </c>
      <c r="C205" t="str">
        <f>CONCATENATE(A205," no. ",B205)</f>
        <v>Lantai 3 no. 52</v>
      </c>
      <c r="D205" t="str">
        <v>CL24-1</v>
      </c>
      <c r="E205">
        <v>1</v>
      </c>
      <c r="F205">
        <v>925</v>
      </c>
      <c r="I205">
        <f>+F205-G205-H205</f>
        <v>925</v>
      </c>
    </row>
    <row r="206">
      <c r="A206" t="str">
        <f>A205</f>
        <v>Lantai 3</v>
      </c>
      <c r="B206">
        <f>B205+1</f>
        <v>53</v>
      </c>
      <c r="C206" t="str">
        <f>CONCATENATE(A206," no. ",B206)</f>
        <v>Lantai 3 no. 53</v>
      </c>
      <c r="D206" t="str">
        <v>B26-1</v>
      </c>
      <c r="E206">
        <v>1</v>
      </c>
      <c r="F206">
        <v>6325</v>
      </c>
      <c r="I206">
        <f>+F206-G206-H206</f>
        <v>6325</v>
      </c>
    </row>
    <row r="207">
      <c r="A207" t="str">
        <f>A206</f>
        <v>Lantai 3</v>
      </c>
      <c r="B207">
        <f>B206+1</f>
        <v>54</v>
      </c>
      <c r="C207" t="str">
        <f>CONCATENATE(A207," no. ",B207)</f>
        <v>Lantai 3 no. 54</v>
      </c>
      <c r="D207" t="str">
        <v>B26-1</v>
      </c>
      <c r="E207">
        <v>1</v>
      </c>
      <c r="F207">
        <v>4555</v>
      </c>
      <c r="I207">
        <f>+F207-G207-H207</f>
        <v>4555</v>
      </c>
      <c r="J207">
        <v>150</v>
      </c>
    </row>
    <row r="208">
      <c r="A208" t="str">
        <f>A207</f>
        <v>Lantai 3</v>
      </c>
      <c r="B208">
        <f>B207+1</f>
        <v>55</v>
      </c>
      <c r="C208" t="str">
        <f>CONCATENATE(A208," no. ",B208)</f>
        <v>Lantai 3 no. 55</v>
      </c>
      <c r="D208" t="str">
        <v>CL24-1</v>
      </c>
      <c r="E208">
        <v>1</v>
      </c>
      <c r="F208">
        <v>5300</v>
      </c>
      <c r="I208">
        <f>+F208-G208-H208</f>
        <v>5300</v>
      </c>
      <c r="J208">
        <v>150</v>
      </c>
    </row>
    <row r="209">
      <c r="A209" t="str">
        <f>A208</f>
        <v>Lantai 3</v>
      </c>
      <c r="B209">
        <f>B208+1</f>
        <v>56</v>
      </c>
      <c r="C209" t="str">
        <f>CONCATENATE(A209," no. ",B209)</f>
        <v>Lantai 3 no. 56</v>
      </c>
      <c r="D209" t="str">
        <v>CL24-1</v>
      </c>
      <c r="E209">
        <v>1</v>
      </c>
      <c r="F209">
        <v>1250</v>
      </c>
      <c r="I209">
        <f>+F209-G209-H209</f>
        <v>1250</v>
      </c>
      <c r="J209">
        <v>150</v>
      </c>
    </row>
    <row r="210">
      <c r="A210" t="str">
        <f>A209</f>
        <v>Lantai 3</v>
      </c>
      <c r="B210">
        <f>B209+1</f>
        <v>57</v>
      </c>
      <c r="C210" t="str">
        <f>CONCATENATE(A210," no. ",B210)</f>
        <v>Lantai 3 no. 57</v>
      </c>
      <c r="D210" t="str">
        <v>CL24-1</v>
      </c>
      <c r="E210">
        <v>1</v>
      </c>
      <c r="F210">
        <v>1250</v>
      </c>
      <c r="I210">
        <f>+F210-G210-H210</f>
        <v>1250</v>
      </c>
      <c r="J210">
        <v>150</v>
      </c>
    </row>
    <row r="211">
      <c r="A211" t="str">
        <f>A210</f>
        <v>Lantai 3</v>
      </c>
      <c r="B211">
        <f>B210+1</f>
        <v>58</v>
      </c>
      <c r="C211" t="str">
        <f>CONCATENATE(A211," no. ",B211)</f>
        <v>Lantai 3 no. 58</v>
      </c>
      <c r="D211" t="str">
        <v>CL24-1</v>
      </c>
      <c r="E211">
        <v>1</v>
      </c>
      <c r="F211">
        <v>1250</v>
      </c>
      <c r="I211">
        <f>+F211-G211-H211</f>
        <v>1250</v>
      </c>
      <c r="J211">
        <v>150</v>
      </c>
    </row>
    <row r="212">
      <c r="A212" t="str">
        <f>A211</f>
        <v>Lantai 3</v>
      </c>
      <c r="B212">
        <f>B211+1</f>
        <v>59</v>
      </c>
      <c r="C212" t="str">
        <f>CONCATENATE(A212," no. ",B212)</f>
        <v>Lantai 3 no. 59</v>
      </c>
      <c r="D212" t="str">
        <v>CL24-1</v>
      </c>
      <c r="E212">
        <v>1</v>
      </c>
      <c r="F212">
        <v>1325</v>
      </c>
      <c r="I212">
        <f>+F212-G212-H212</f>
        <v>1325</v>
      </c>
      <c r="J212">
        <v>150</v>
      </c>
    </row>
    <row r="213">
      <c r="A213" t="str">
        <f>A212</f>
        <v>Lantai 3</v>
      </c>
      <c r="B213">
        <f>B212+1</f>
        <v>60</v>
      </c>
      <c r="C213" t="str">
        <f>CONCATENATE(A213," no. ",B213)</f>
        <v>Lantai 3 no. 60</v>
      </c>
      <c r="D213" t="str">
        <v>CL24-1</v>
      </c>
      <c r="E213">
        <v>1</v>
      </c>
      <c r="F213">
        <v>1250</v>
      </c>
      <c r="I213">
        <f>+F213-G213-H213</f>
        <v>1250</v>
      </c>
      <c r="J213">
        <v>150</v>
      </c>
    </row>
    <row r="214">
      <c r="A214" t="str">
        <f>A213</f>
        <v>Lantai 3</v>
      </c>
      <c r="B214">
        <f>B213+1</f>
        <v>61</v>
      </c>
      <c r="C214" t="str">
        <f>CONCATENATE(A214," no. ",B214)</f>
        <v>Lantai 3 no. 61</v>
      </c>
      <c r="D214" t="str">
        <v>B4-1</v>
      </c>
      <c r="E214">
        <v>1</v>
      </c>
      <c r="F214">
        <v>10750</v>
      </c>
      <c r="I214">
        <f>+F214-G214-H214</f>
        <v>10750</v>
      </c>
    </row>
    <row r="215">
      <c r="A215" t="str">
        <f>A214</f>
        <v>Lantai 3</v>
      </c>
      <c r="B215">
        <f>B214+1</f>
        <v>62</v>
      </c>
      <c r="C215" t="str">
        <f>CONCATENATE(A215," no. ",B215)</f>
        <v>Lantai 3 no. 62</v>
      </c>
      <c r="D215" t="str">
        <v>B23-1</v>
      </c>
      <c r="E215">
        <v>1</v>
      </c>
      <c r="F215">
        <v>4175</v>
      </c>
      <c r="I215">
        <f>+F215-G215-H215</f>
        <v>4175</v>
      </c>
      <c r="J215">
        <v>150</v>
      </c>
    </row>
    <row r="216">
      <c r="A216" t="str">
        <f>A215</f>
        <v>Lantai 3</v>
      </c>
      <c r="B216">
        <f>B215+1</f>
        <v>63</v>
      </c>
      <c r="C216" t="str">
        <f>CONCATENATE(A216," no. ",B216)</f>
        <v>Lantai 3 no. 63</v>
      </c>
      <c r="D216" t="str">
        <v>B23-1</v>
      </c>
      <c r="E216">
        <v>1</v>
      </c>
      <c r="F216">
        <v>4175</v>
      </c>
      <c r="I216">
        <f>+F216-G216-H216</f>
        <v>4175</v>
      </c>
      <c r="J216">
        <v>150</v>
      </c>
    </row>
    <row r="217">
      <c r="A217" t="str">
        <f>A216</f>
        <v>Lantai 3</v>
      </c>
      <c r="B217">
        <f>B216+1</f>
        <v>64</v>
      </c>
      <c r="C217" t="str">
        <f>CONCATENATE(A217," no. ",B217)</f>
        <v>Lantai 3 no. 64</v>
      </c>
      <c r="D217" t="str">
        <v>B4-1</v>
      </c>
      <c r="E217">
        <v>1</v>
      </c>
      <c r="F217">
        <v>6570</v>
      </c>
      <c r="I217">
        <f>+F217-G217-H217</f>
        <v>6570</v>
      </c>
    </row>
    <row r="219">
      <c r="A219" t="str">
        <v>Lantai Atap</v>
      </c>
      <c r="B219">
        <v>1</v>
      </c>
      <c r="C219" t="str">
        <f>CONCATENATE(A219," no. ",B219)</f>
        <v>Lantai Atap no. 1</v>
      </c>
      <c r="D219" t="str">
        <v>B4-1</v>
      </c>
      <c r="E219">
        <v>1</v>
      </c>
      <c r="F219">
        <v>9250</v>
      </c>
      <c r="I219">
        <f>+F219-G219-H219</f>
        <v>9250</v>
      </c>
    </row>
    <row r="220">
      <c r="A220" t="str">
        <f>A219</f>
        <v>Lantai Atap</v>
      </c>
      <c r="B220">
        <f>B219+1</f>
        <v>2</v>
      </c>
      <c r="C220" t="str">
        <f>CONCATENATE(A220," no. ",B220)</f>
        <v>Lantai Atap no. 2</v>
      </c>
      <c r="D220" t="str">
        <v>B4-1</v>
      </c>
      <c r="E220">
        <v>1</v>
      </c>
      <c r="F220">
        <v>5145</v>
      </c>
      <c r="I220">
        <f>+F220-G220-H220</f>
        <v>5145</v>
      </c>
    </row>
    <row r="221">
      <c r="A221" t="str">
        <f>A220</f>
        <v>Lantai Atap</v>
      </c>
      <c r="B221">
        <f>B220+1</f>
        <v>3</v>
      </c>
      <c r="C221" t="str">
        <f>CONCATENATE(A221," no. ",B221)</f>
        <v>Lantai Atap no. 3</v>
      </c>
      <c r="D221" t="str">
        <v>B4-1</v>
      </c>
      <c r="E221">
        <v>1</v>
      </c>
      <c r="F221">
        <v>4075</v>
      </c>
      <c r="I221">
        <f>+F221-G221-H221</f>
        <v>4075</v>
      </c>
    </row>
    <row r="222">
      <c r="A222" t="str">
        <f>A221</f>
        <v>Lantai Atap</v>
      </c>
      <c r="B222">
        <f>B221+1</f>
        <v>4</v>
      </c>
      <c r="C222" t="str">
        <f>CONCATENATE(A222," no. ",B222)</f>
        <v>Lantai Atap no. 4</v>
      </c>
      <c r="D222" t="str">
        <v>B4-1</v>
      </c>
      <c r="E222">
        <v>1</v>
      </c>
      <c r="F222">
        <v>5160</v>
      </c>
      <c r="I222">
        <f>+F222-G222-H222</f>
        <v>5160</v>
      </c>
    </row>
    <row r="223">
      <c r="A223" t="str">
        <f>A222</f>
        <v>Lantai Atap</v>
      </c>
      <c r="B223">
        <f>B222+1</f>
        <v>5</v>
      </c>
      <c r="C223" t="str">
        <f>CONCATENATE(A223," no. ",B223)</f>
        <v>Lantai Atap no. 5</v>
      </c>
      <c r="D223" t="str">
        <v>B5-1</v>
      </c>
      <c r="E223">
        <v>1</v>
      </c>
      <c r="F223">
        <v>6015</v>
      </c>
      <c r="I223">
        <f>+F223-G223-H223</f>
        <v>6015</v>
      </c>
    </row>
    <row r="224">
      <c r="A224" t="str">
        <f>A223</f>
        <v>Lantai Atap</v>
      </c>
      <c r="B224">
        <f>B223+1</f>
        <v>6</v>
      </c>
      <c r="C224" t="str">
        <f>CONCATENATE(A224," no. ",B224)</f>
        <v>Lantai Atap no. 6</v>
      </c>
      <c r="D224" t="str">
        <v>B24-1</v>
      </c>
      <c r="E224">
        <v>1</v>
      </c>
      <c r="F224">
        <v>3925</v>
      </c>
      <c r="I224">
        <f>+F224-G224-H224</f>
        <v>3925</v>
      </c>
      <c r="J224">
        <v>150</v>
      </c>
    </row>
    <row r="225">
      <c r="A225" t="str">
        <f>A224</f>
        <v>Lantai Atap</v>
      </c>
      <c r="B225">
        <f>B224+1</f>
        <v>7</v>
      </c>
      <c r="C225" t="str">
        <f>CONCATENATE(A225," no. ",B225)</f>
        <v>Lantai Atap no. 7</v>
      </c>
      <c r="D225" t="str">
        <v>B2A4A-1</v>
      </c>
      <c r="E225">
        <v>1</v>
      </c>
      <c r="F225">
        <v>11150</v>
      </c>
      <c r="I225">
        <f>+F225-G225-H225</f>
        <v>11150</v>
      </c>
    </row>
    <row r="226">
      <c r="A226" t="str">
        <f>A225</f>
        <v>Lantai Atap</v>
      </c>
      <c r="B226">
        <f>B225+1</f>
        <v>8</v>
      </c>
      <c r="C226" t="str">
        <f>CONCATENATE(A226," no. ",B226)</f>
        <v>Lantai Atap no. 8</v>
      </c>
      <c r="D226" t="str">
        <v>B24-1</v>
      </c>
      <c r="E226">
        <v>1</v>
      </c>
      <c r="F226">
        <v>3925</v>
      </c>
      <c r="I226">
        <f>+F226-G226-H226</f>
        <v>3925</v>
      </c>
      <c r="J226">
        <v>150</v>
      </c>
    </row>
    <row r="227">
      <c r="A227" t="str">
        <f>A226</f>
        <v>Lantai Atap</v>
      </c>
      <c r="B227">
        <f>B226+1</f>
        <v>9</v>
      </c>
      <c r="C227" t="str">
        <f>CONCATENATE(A227," no. ",B227)</f>
        <v>Lantai Atap no. 9</v>
      </c>
      <c r="D227" t="str">
        <v>B2A4A-1</v>
      </c>
      <c r="E227">
        <v>1</v>
      </c>
      <c r="F227">
        <v>6000</v>
      </c>
      <c r="I227">
        <f>+F227-G227-H227</f>
        <v>6000</v>
      </c>
    </row>
    <row r="228">
      <c r="A228" t="str">
        <f>A227</f>
        <v>Lantai Atap</v>
      </c>
      <c r="B228">
        <f>B227+1</f>
        <v>10</v>
      </c>
      <c r="C228" t="str">
        <f>CONCATENATE(A228," no. ",B228)</f>
        <v>Lantai Atap no. 10</v>
      </c>
      <c r="D228" t="str">
        <v>B24-1</v>
      </c>
      <c r="E228">
        <v>1</v>
      </c>
      <c r="F228">
        <v>4075</v>
      </c>
      <c r="I228">
        <f>+F228-G228-H228</f>
        <v>4075</v>
      </c>
      <c r="J228">
        <v>150</v>
      </c>
    </row>
    <row r="229">
      <c r="A229" t="str">
        <f>A228</f>
        <v>Lantai Atap</v>
      </c>
      <c r="B229">
        <f>B228+1</f>
        <v>11</v>
      </c>
      <c r="C229" t="str">
        <f>CONCATENATE(A229," no. ",B229)</f>
        <v>Lantai Atap no. 11</v>
      </c>
      <c r="D229" t="str">
        <v>B24-1</v>
      </c>
      <c r="E229">
        <v>1</v>
      </c>
      <c r="F229">
        <v>5150</v>
      </c>
      <c r="I229">
        <f>+F229-G229-H229</f>
        <v>5150</v>
      </c>
    </row>
    <row r="230">
      <c r="A230" t="str">
        <f>A229</f>
        <v>Lantai Atap</v>
      </c>
      <c r="B230">
        <f>B229+1</f>
        <v>12</v>
      </c>
      <c r="C230" t="str">
        <f>CONCATENATE(A230," no. ",B230)</f>
        <v>Lantai Atap no. 12</v>
      </c>
      <c r="D230" t="str">
        <v>B2A4A-1</v>
      </c>
      <c r="E230">
        <v>1</v>
      </c>
      <c r="F230">
        <v>6015</v>
      </c>
      <c r="I230">
        <f>+F230-G230-H230</f>
        <v>6015</v>
      </c>
    </row>
    <row r="231">
      <c r="A231" t="str">
        <f>A230</f>
        <v>Lantai Atap</v>
      </c>
      <c r="B231">
        <f>B230+1</f>
        <v>13</v>
      </c>
      <c r="C231" t="str">
        <f>CONCATENATE(A231," no. ",B231)</f>
        <v>Lantai Atap no. 13</v>
      </c>
      <c r="D231" t="str">
        <v>B2A4A-1</v>
      </c>
      <c r="E231">
        <v>1</v>
      </c>
      <c r="F231">
        <v>9685</v>
      </c>
      <c r="I231">
        <f>+F231-G231-H231</f>
        <v>9685</v>
      </c>
    </row>
    <row r="232">
      <c r="A232" t="str">
        <f>A231</f>
        <v>Lantai Atap</v>
      </c>
      <c r="B232" t="str">
        <v>13A</v>
      </c>
      <c r="C232" t="str">
        <f>CONCATENATE(A232," no. ",B232)</f>
        <v>Lantai Atap no. 13A</v>
      </c>
      <c r="D232" t="str">
        <v>B2A4A-1</v>
      </c>
      <c r="E232">
        <v>1</v>
      </c>
      <c r="F232">
        <v>1025</v>
      </c>
      <c r="I232">
        <f>+F232-G232-H232</f>
        <v>1025</v>
      </c>
    </row>
    <row r="233">
      <c r="A233" t="str">
        <f>A231</f>
        <v>Lantai Atap</v>
      </c>
      <c r="B233">
        <f>B231+1</f>
        <v>14</v>
      </c>
      <c r="C233" t="str">
        <f>CONCATENATE(A233," no. ",B233)</f>
        <v>Lantai Atap no. 14</v>
      </c>
      <c r="D233" t="str">
        <v>B24-1</v>
      </c>
      <c r="E233">
        <v>1</v>
      </c>
      <c r="F233">
        <v>5150</v>
      </c>
      <c r="I233">
        <f>+F233-G233-H233</f>
        <v>5150</v>
      </c>
    </row>
    <row r="234">
      <c r="A234" t="str">
        <f>A233</f>
        <v>Lantai Atap</v>
      </c>
      <c r="B234">
        <f>B233+1</f>
        <v>15</v>
      </c>
      <c r="C234" t="str">
        <f>CONCATENATE(A234," no. ",B234)</f>
        <v>Lantai Atap no. 15</v>
      </c>
      <c r="D234" t="str">
        <v>B5-1</v>
      </c>
      <c r="E234">
        <v>1</v>
      </c>
      <c r="F234">
        <v>6150</v>
      </c>
      <c r="I234">
        <f>+F234-G234-H234</f>
        <v>6150</v>
      </c>
    </row>
    <row r="235">
      <c r="A235" t="str">
        <f>A234</f>
        <v>Lantai Atap</v>
      </c>
      <c r="B235">
        <f>B234+1</f>
        <v>16</v>
      </c>
      <c r="C235" t="str">
        <f>CONCATENATE(A235," no. ",B235)</f>
        <v>Lantai Atap no. 16</v>
      </c>
      <c r="D235" t="str">
        <v>B4-1</v>
      </c>
      <c r="E235">
        <v>1</v>
      </c>
      <c r="F235">
        <v>2425</v>
      </c>
      <c r="I235">
        <f>+F235-G235-H235</f>
        <v>2425</v>
      </c>
    </row>
    <row r="236">
      <c r="A236" t="str">
        <f>A235</f>
        <v>Lantai Atap</v>
      </c>
      <c r="B236">
        <f>B235+1</f>
        <v>17</v>
      </c>
      <c r="C236" t="str">
        <f>CONCATENATE(A236," no. ",B236)</f>
        <v>Lantai Atap no. 17</v>
      </c>
      <c r="D236" t="str">
        <v>B5-1</v>
      </c>
      <c r="E236">
        <v>1</v>
      </c>
      <c r="F236">
        <v>11525</v>
      </c>
      <c r="I236">
        <f>+F236-G236-H236</f>
        <v>11525</v>
      </c>
      <c r="J236">
        <v>75</v>
      </c>
    </row>
    <row r="237">
      <c r="A237" t="str">
        <f>A236</f>
        <v>Lantai Atap</v>
      </c>
      <c r="B237">
        <f>B236+1</f>
        <v>18</v>
      </c>
      <c r="C237" t="str">
        <f>CONCATENATE(A237," no. ",B237)</f>
        <v>Lantai Atap no. 18</v>
      </c>
      <c r="D237" t="str">
        <v>B24-1</v>
      </c>
      <c r="E237">
        <v>1</v>
      </c>
      <c r="F237">
        <v>13650</v>
      </c>
      <c r="I237">
        <f>+F237-G237-H237</f>
        <v>13650</v>
      </c>
    </row>
    <row r="238">
      <c r="A238" t="str">
        <f>A237</f>
        <v>Lantai Atap</v>
      </c>
      <c r="B238">
        <f>B237+1</f>
        <v>19</v>
      </c>
      <c r="C238" t="str">
        <f>CONCATENATE(A238," no. ",B238)</f>
        <v>Lantai Atap no. 19</v>
      </c>
      <c r="D238" t="str">
        <v>B2A4A-1</v>
      </c>
      <c r="E238">
        <v>1</v>
      </c>
      <c r="F238">
        <v>4685</v>
      </c>
      <c r="I238">
        <f>+F238-G238-H238</f>
        <v>4685</v>
      </c>
    </row>
    <row r="239">
      <c r="A239" t="str">
        <f>A238</f>
        <v>Lantai Atap</v>
      </c>
      <c r="B239">
        <f>B238+1</f>
        <v>20</v>
      </c>
      <c r="C239" t="str">
        <f>CONCATENATE(A239," no. ",B239)</f>
        <v>Lantai Atap no. 20</v>
      </c>
      <c r="D239" t="str">
        <v>B24-1</v>
      </c>
      <c r="E239">
        <v>1</v>
      </c>
      <c r="F239">
        <v>9610</v>
      </c>
      <c r="I239">
        <f>+F239-G239-H239</f>
        <v>9610</v>
      </c>
    </row>
    <row r="240">
      <c r="A240" t="str">
        <f>A239</f>
        <v>Lantai Atap</v>
      </c>
      <c r="B240">
        <f>B239+1</f>
        <v>21</v>
      </c>
      <c r="C240" t="str">
        <f>CONCATENATE(A240," no. ",B240)</f>
        <v>Lantai Atap no. 21</v>
      </c>
      <c r="D240" t="str">
        <v>B2A4A-1</v>
      </c>
      <c r="E240">
        <v>1</v>
      </c>
      <c r="F240">
        <v>5140</v>
      </c>
      <c r="I240">
        <f>+F240-G240-H240</f>
        <v>5140</v>
      </c>
    </row>
    <row r="241">
      <c r="A241" t="str">
        <f>A240</f>
        <v>Lantai Atap</v>
      </c>
      <c r="B241">
        <f>B240+1</f>
        <v>22</v>
      </c>
      <c r="C241" t="str">
        <f>CONCATENATE(A241," no. ",B241)</f>
        <v>Lantai Atap no. 22</v>
      </c>
      <c r="D241" t="str">
        <v>B25-1</v>
      </c>
      <c r="E241">
        <v>1</v>
      </c>
      <c r="F241">
        <v>10650</v>
      </c>
      <c r="I241">
        <f>+F241-G241-H241</f>
        <v>10650</v>
      </c>
    </row>
    <row r="242">
      <c r="A242" t="str">
        <f>A241</f>
        <v>Lantai Atap</v>
      </c>
      <c r="B242">
        <f>B241+1</f>
        <v>23</v>
      </c>
      <c r="C242" t="str">
        <f>CONCATENATE(A242," no. ",B242)</f>
        <v>Lantai Atap no. 23</v>
      </c>
      <c r="D242" t="str">
        <v>B4-1</v>
      </c>
      <c r="E242">
        <v>1</v>
      </c>
      <c r="F242">
        <v>1950</v>
      </c>
      <c r="I242">
        <f>+F242-G242-H242</f>
        <v>1950</v>
      </c>
    </row>
    <row r="243">
      <c r="A243" t="str">
        <f>A242</f>
        <v>Lantai Atap</v>
      </c>
      <c r="B243">
        <f>B242+1</f>
        <v>24</v>
      </c>
      <c r="C243" t="str">
        <f>CONCATENATE(A243," no. ",B243)</f>
        <v>Lantai Atap no. 24</v>
      </c>
      <c r="D243" t="str">
        <v>B4-1</v>
      </c>
      <c r="E243">
        <v>1</v>
      </c>
      <c r="F243">
        <v>1950</v>
      </c>
      <c r="I243">
        <f>+F243-G243-H243</f>
        <v>1950</v>
      </c>
    </row>
    <row r="244">
      <c r="A244" t="str">
        <f>A243</f>
        <v>Lantai Atap</v>
      </c>
      <c r="B244">
        <f>B243+1</f>
        <v>25</v>
      </c>
      <c r="C244" t="str">
        <f>CONCATENATE(A244," no. ",B244)</f>
        <v>Lantai Atap no. 25</v>
      </c>
      <c r="D244" t="str">
        <v>B4-1</v>
      </c>
      <c r="E244">
        <v>1</v>
      </c>
      <c r="F244">
        <v>2600</v>
      </c>
      <c r="I244">
        <f>+F244-G244-H244</f>
        <v>2600</v>
      </c>
    </row>
    <row r="245">
      <c r="A245" t="str">
        <f>A244</f>
        <v>Lantai Atap</v>
      </c>
      <c r="B245">
        <f>B244+1</f>
        <v>26</v>
      </c>
      <c r="C245" t="str">
        <f>CONCATENATE(A245," no. ",B245)</f>
        <v>Lantai Atap no. 26</v>
      </c>
      <c r="D245" t="str">
        <v>B4-1</v>
      </c>
      <c r="E245">
        <v>1</v>
      </c>
      <c r="F245">
        <v>2600</v>
      </c>
      <c r="I245">
        <f>+F245-G245-H245</f>
        <v>2600</v>
      </c>
    </row>
    <row r="246">
      <c r="A246" t="str">
        <f>A245</f>
        <v>Lantai Atap</v>
      </c>
      <c r="B246">
        <f>B245+1</f>
        <v>27</v>
      </c>
      <c r="C246" t="str">
        <f>CONCATENATE(A246," no. ",B246)</f>
        <v>Lantai Atap no. 27</v>
      </c>
      <c r="D246" t="str">
        <v>B24-1</v>
      </c>
      <c r="E246">
        <v>1</v>
      </c>
      <c r="F246">
        <v>4555</v>
      </c>
      <c r="I246">
        <f>+F246-G246-H246</f>
        <v>4555</v>
      </c>
    </row>
    <row r="247">
      <c r="A247" t="str">
        <f>A246</f>
        <v>Lantai Atap</v>
      </c>
      <c r="B247" t="str">
        <v>27A</v>
      </c>
      <c r="C247" t="str">
        <f>CONCATENATE(A247," no. ",B247)</f>
        <v>Lantai Atap no. 27A</v>
      </c>
      <c r="D247" t="str">
        <v>B24-1</v>
      </c>
      <c r="E247">
        <v>1</v>
      </c>
      <c r="F247">
        <v>705</v>
      </c>
      <c r="I247">
        <f>+F247-G247-H247</f>
        <v>705</v>
      </c>
    </row>
    <row r="248">
      <c r="A248" t="str">
        <f>A246</f>
        <v>Lantai Atap</v>
      </c>
      <c r="B248">
        <f>B246+1</f>
        <v>28</v>
      </c>
      <c r="C248" t="str">
        <f>CONCATENATE(A248," no. ",B248)</f>
        <v>Lantai Atap no. 28</v>
      </c>
      <c r="D248" t="str">
        <v>B24-1</v>
      </c>
      <c r="E248">
        <v>1</v>
      </c>
      <c r="F248">
        <v>5905</v>
      </c>
      <c r="I248">
        <f>+F248-G248-H248</f>
        <v>5905</v>
      </c>
      <c r="J248">
        <v>150</v>
      </c>
      <c r="N248" t="str">
        <v>Dak Penutup Atap</v>
      </c>
    </row>
    <row r="249">
      <c r="A249" t="str">
        <f>A248</f>
        <v>Lantai Atap</v>
      </c>
      <c r="B249">
        <f>B248+1</f>
        <v>29</v>
      </c>
      <c r="C249" t="str">
        <f>CONCATENATE(A249," no. ",B249)</f>
        <v>Lantai Atap no. 29</v>
      </c>
      <c r="D249" t="str">
        <v>B24-1</v>
      </c>
      <c r="E249">
        <v>1</v>
      </c>
      <c r="F249">
        <v>4635</v>
      </c>
      <c r="I249">
        <f>+F249-G249-H249</f>
        <v>4635</v>
      </c>
      <c r="J249">
        <v>150</v>
      </c>
      <c r="N249" t="str">
        <v>Dak Penutup Atap</v>
      </c>
    </row>
    <row r="250">
      <c r="A250" t="str">
        <f>A249</f>
        <v>Lantai Atap</v>
      </c>
      <c r="B250">
        <f>B249+1</f>
        <v>30</v>
      </c>
      <c r="C250" t="str">
        <f>CONCATENATE(A250," no. ",B250)</f>
        <v>Lantai Atap no. 30</v>
      </c>
      <c r="D250" t="str">
        <v>B24-1</v>
      </c>
      <c r="E250">
        <v>1</v>
      </c>
      <c r="F250">
        <v>4635</v>
      </c>
      <c r="I250">
        <f>+F250-G250-H250</f>
        <v>4635</v>
      </c>
      <c r="J250">
        <v>150</v>
      </c>
      <c r="N250" t="str">
        <v>Dak Penutup Atap</v>
      </c>
    </row>
    <row r="251">
      <c r="A251" t="str">
        <f>A250</f>
        <v>Lantai Atap</v>
      </c>
      <c r="B251">
        <f>B250+1</f>
        <v>31</v>
      </c>
      <c r="C251" t="str">
        <f>CONCATENATE(A251," no. ",B251)</f>
        <v>Lantai Atap no. 31</v>
      </c>
      <c r="D251" t="str">
        <v>B24-1</v>
      </c>
      <c r="E251">
        <v>1</v>
      </c>
      <c r="F251">
        <v>5905</v>
      </c>
      <c r="I251">
        <f>+F251-G251-H251</f>
        <v>5905</v>
      </c>
      <c r="J251">
        <v>150</v>
      </c>
      <c r="N251" t="str">
        <v>Dak Penutup Atap</v>
      </c>
    </row>
    <row r="252">
      <c r="A252" t="str">
        <f>A251</f>
        <v>Lantai Atap</v>
      </c>
      <c r="B252">
        <f>B251+1</f>
        <v>32</v>
      </c>
      <c r="C252" t="str">
        <f>CONCATENATE(A252," no. ",B252)</f>
        <v>Lantai Atap no. 32</v>
      </c>
      <c r="D252" t="str">
        <v>B24-1</v>
      </c>
      <c r="E252">
        <v>1</v>
      </c>
      <c r="F252">
        <v>4635</v>
      </c>
      <c r="I252">
        <f>+F252-G252-H252</f>
        <v>4635</v>
      </c>
      <c r="J252">
        <v>150</v>
      </c>
      <c r="N252" t="str">
        <v>Dak Penutup Atap</v>
      </c>
    </row>
    <row r="253">
      <c r="A253" t="str">
        <f>A252</f>
        <v>Lantai Atap</v>
      </c>
      <c r="B253">
        <f>B252+1</f>
        <v>33</v>
      </c>
      <c r="C253" t="str">
        <f>CONCATENATE(A253," no. ",B253)</f>
        <v>Lantai Atap no. 33</v>
      </c>
      <c r="D253" t="str">
        <v>B24-1</v>
      </c>
      <c r="E253">
        <v>1</v>
      </c>
      <c r="F253">
        <v>5905</v>
      </c>
      <c r="I253">
        <f>+F253-G253-H253</f>
        <v>5905</v>
      </c>
      <c r="J253">
        <v>150</v>
      </c>
      <c r="N253" t="str">
        <v>Dak Penutup Atap</v>
      </c>
    </row>
  </sheetData>
  <autoFilter ref="A9:Q254"/>
  <mergeCells count="15">
    <mergeCell ref="M6:M8"/>
    <mergeCell ref="N6:N8"/>
    <mergeCell ref="Q6:Q8"/>
    <mergeCell ref="G6:G7"/>
    <mergeCell ref="H6:H7"/>
    <mergeCell ref="I6:I7"/>
    <mergeCell ref="J6:J8"/>
    <mergeCell ref="K6:K7"/>
    <mergeCell ref="L6:L7"/>
    <mergeCell ref="F6:F7"/>
    <mergeCell ref="A6:A8"/>
    <mergeCell ref="B6:B8"/>
    <mergeCell ref="C6:C8"/>
    <mergeCell ref="D6:D8"/>
    <mergeCell ref="E6:E8"/>
  </mergeCells>
  <pageMargins left="0.708661417322835" right="0.708661417322835" top="0.748031496062992" bottom="0.748031496062992" header="0.31496062992126" footer="0.31496062992126"/>
  <ignoredErrors>
    <ignoredError numberStoredAsText="1" sqref="A1:Q26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B1:BJ140"/>
  <sheetViews>
    <sheetView workbookViewId="0" rightToLeft="0"/>
  </sheetViews>
  <sheetData>
    <row r="1">
      <c r="B1" t="str">
        <v>CV. DUTA SARANA PRATAMA</v>
      </c>
      <c r="M1" t="str">
        <v>ADA TUL. SAMPING</v>
      </c>
    </row>
    <row r="2">
      <c r="B2" t="str">
        <v>SEMARANG TUMPANG 2-4</v>
      </c>
      <c r="M2" t="str">
        <v>TUMPUAN, LAPANGAN, TUMPUAN BEDA</v>
      </c>
    </row>
    <row r="5">
      <c r="B5" t="str">
        <v>DETAIL BALOK</v>
      </c>
    </row>
    <row r="6">
      <c r="X6">
        <f>16^2/19^2*7</f>
        <v>4.96398891966759</v>
      </c>
    </row>
    <row r="7">
      <c r="B7" t="str">
        <v>NO</v>
      </c>
      <c r="C7" t="str">
        <v>TIPE</v>
      </c>
      <c r="D7" t="str">
        <v>DIMENSI</v>
      </c>
      <c r="F7" t="str">
        <v>TUL. ATAS</v>
      </c>
      <c r="O7" t="str">
        <v>TUL. SAMPING</v>
      </c>
      <c r="X7" t="str">
        <v>TUL. BAWAH</v>
      </c>
      <c r="AG7" t="str">
        <v>SENGKANG</v>
      </c>
      <c r="AV7" t="str">
        <v>KAIT HORIZONTAL</v>
      </c>
    </row>
    <row r="8">
      <c r="D8" t="str">
        <v>B</v>
      </c>
      <c r="E8" t="str">
        <v>H</v>
      </c>
      <c r="F8" t="str">
        <v>TUMPUAN</v>
      </c>
      <c r="I8" t="str">
        <v>LAPANGAN</v>
      </c>
      <c r="L8" t="str">
        <v>TUMPUAN</v>
      </c>
      <c r="O8" t="str">
        <v>PEMINGGANG</v>
      </c>
      <c r="R8" t="str">
        <v>IKATAN TAMBAHAN</v>
      </c>
      <c r="X8" t="str">
        <v>TUMPUAN</v>
      </c>
      <c r="AA8" t="str">
        <v>LAPANGAN</v>
      </c>
      <c r="AD8" t="str">
        <v>TUMPUAN</v>
      </c>
      <c r="AG8" t="str">
        <v>TUMPUAN</v>
      </c>
      <c r="AL8" t="str">
        <v>LAPANGAN</v>
      </c>
      <c r="AQ8" t="str">
        <v>TUMPUAN</v>
      </c>
      <c r="AV8" t="str">
        <v>TUMPUAN</v>
      </c>
      <c r="BA8" t="str">
        <v>LAPANGAN</v>
      </c>
      <c r="BF8" t="str">
        <v>TUMPUAN</v>
      </c>
    </row>
    <row r="9">
      <c r="C9">
        <f>+B9+1</f>
        <v>1</v>
      </c>
      <c r="D9">
        <f>+C9+1</f>
        <v>2</v>
      </c>
      <c r="E9">
        <f>+D9+1</f>
        <v>3</v>
      </c>
      <c r="F9">
        <f>+E9+1</f>
        <v>4</v>
      </c>
      <c r="G9">
        <f>+F9+1</f>
        <v>5</v>
      </c>
      <c r="H9">
        <f>+G9+1</f>
        <v>6</v>
      </c>
      <c r="I9">
        <f>+H9+1</f>
        <v>7</v>
      </c>
      <c r="J9">
        <f>+I9+1</f>
        <v>8</v>
      </c>
      <c r="K9">
        <f>+J9+1</f>
        <v>9</v>
      </c>
      <c r="L9">
        <f>+K9+1</f>
        <v>10</v>
      </c>
      <c r="M9">
        <f>+L9+1</f>
        <v>11</v>
      </c>
      <c r="N9">
        <f>+M9+1</f>
        <v>12</v>
      </c>
      <c r="O9">
        <f>1+N9</f>
        <v>13</v>
      </c>
      <c r="P9">
        <f>+O9+1</f>
        <v>14</v>
      </c>
      <c r="Q9">
        <f>+P9+1</f>
        <v>15</v>
      </c>
      <c r="R9">
        <f>+Q9+1</f>
        <v>16</v>
      </c>
      <c r="S9">
        <f>+R9+1</f>
        <v>17</v>
      </c>
      <c r="T9">
        <f>+S9+1</f>
        <v>18</v>
      </c>
      <c r="U9">
        <f>1+T9</f>
        <v>19</v>
      </c>
      <c r="V9">
        <f>+U9+1</f>
        <v>20</v>
      </c>
      <c r="W9">
        <f>+V9+1</f>
        <v>21</v>
      </c>
      <c r="X9">
        <f>1+W9</f>
        <v>22</v>
      </c>
      <c r="Y9">
        <f>+X9+1</f>
        <v>23</v>
      </c>
      <c r="Z9">
        <f>+Y9+1</f>
        <v>24</v>
      </c>
      <c r="AA9">
        <f>+Z9+1</f>
        <v>25</v>
      </c>
      <c r="AB9">
        <f>+AA9+1</f>
        <v>26</v>
      </c>
      <c r="AC9">
        <f>+AB9+1</f>
        <v>27</v>
      </c>
      <c r="AD9">
        <f>1+AC9</f>
        <v>28</v>
      </c>
      <c r="AE9">
        <f>+AD9+1</f>
        <v>29</v>
      </c>
      <c r="AF9">
        <f>+AE9+1</f>
        <v>30</v>
      </c>
      <c r="AG9">
        <f>1+AF9</f>
        <v>31</v>
      </c>
      <c r="AH9">
        <f>+AG9+1</f>
        <v>32</v>
      </c>
      <c r="AI9">
        <f>+AH9+1</f>
        <v>33</v>
      </c>
      <c r="AJ9">
        <f>+AI9+1</f>
        <v>34</v>
      </c>
      <c r="AK9">
        <f>+AJ9+1</f>
        <v>35</v>
      </c>
      <c r="AL9">
        <f>+AK9+1</f>
        <v>36</v>
      </c>
      <c r="AM9">
        <f>+AL9+1</f>
        <v>37</v>
      </c>
      <c r="AN9">
        <f>+AM9+1</f>
        <v>38</v>
      </c>
      <c r="AO9">
        <f>+AN9+1</f>
        <v>39</v>
      </c>
      <c r="AP9">
        <f>+AO9+1</f>
        <v>40</v>
      </c>
      <c r="AQ9">
        <f>1+AP9</f>
        <v>41</v>
      </c>
      <c r="AR9">
        <f>+AQ9+1</f>
        <v>42</v>
      </c>
      <c r="AS9">
        <f>+AR9+1</f>
        <v>43</v>
      </c>
      <c r="AT9">
        <f>+AS9+1</f>
        <v>44</v>
      </c>
      <c r="AU9">
        <f>+AT9+1</f>
        <v>45</v>
      </c>
      <c r="AV9">
        <f>1+AU9</f>
        <v>46</v>
      </c>
      <c r="AW9">
        <f>+AV9+1</f>
        <v>47</v>
      </c>
      <c r="AX9">
        <f>+AW9+1</f>
        <v>48</v>
      </c>
      <c r="AY9">
        <f>+AX9+1</f>
        <v>49</v>
      </c>
      <c r="AZ9">
        <f>+AY9+1</f>
        <v>50</v>
      </c>
      <c r="BA9">
        <f>+AZ9+1</f>
        <v>51</v>
      </c>
      <c r="BB9">
        <f>+BA9+1</f>
        <v>52</v>
      </c>
      <c r="BC9">
        <f>+BB9+1</f>
        <v>53</v>
      </c>
      <c r="BD9">
        <f>+BC9+1</f>
        <v>54</v>
      </c>
      <c r="BE9">
        <f>+BD9+1</f>
        <v>55</v>
      </c>
      <c r="BF9">
        <f>1+BE9</f>
        <v>56</v>
      </c>
      <c r="BG9">
        <f>+BF9+1</f>
        <v>57</v>
      </c>
      <c r="BH9">
        <f>+BG9+1</f>
        <v>58</v>
      </c>
      <c r="BI9">
        <f>+BH9+1</f>
        <v>59</v>
      </c>
      <c r="BJ9">
        <f>+BI9+1</f>
        <v>60</v>
      </c>
    </row>
    <row r="12">
      <c r="C12" t="str">
        <v>S23-1</v>
      </c>
      <c r="D12">
        <v>200</v>
      </c>
      <c r="E12">
        <v>300</v>
      </c>
      <c r="F12">
        <v>2</v>
      </c>
      <c r="G12" t="str">
        <v>D</v>
      </c>
      <c r="H12">
        <v>13</v>
      </c>
      <c r="I12">
        <v>2</v>
      </c>
      <c r="J12" t="str">
        <v>D</v>
      </c>
      <c r="K12">
        <v>13</v>
      </c>
      <c r="L12">
        <v>2</v>
      </c>
      <c r="M12" t="str">
        <v>D</v>
      </c>
      <c r="N12">
        <v>13</v>
      </c>
      <c r="O12">
        <v>0</v>
      </c>
      <c r="P12" t="str">
        <v>D</v>
      </c>
      <c r="Q12">
        <v>8</v>
      </c>
      <c r="S12" t="str">
        <v>D</v>
      </c>
      <c r="T12">
        <v>10</v>
      </c>
      <c r="U12" t="str">
        <v>-</v>
      </c>
      <c r="V12">
        <v>1000</v>
      </c>
      <c r="X12">
        <v>2</v>
      </c>
      <c r="Y12" t="str">
        <v>D</v>
      </c>
      <c r="Z12">
        <v>13</v>
      </c>
      <c r="AA12">
        <v>2</v>
      </c>
      <c r="AB12" t="str">
        <v>D</v>
      </c>
      <c r="AC12">
        <v>13</v>
      </c>
      <c r="AD12">
        <v>2</v>
      </c>
      <c r="AE12" t="str">
        <v>D</v>
      </c>
      <c r="AF12">
        <v>13</v>
      </c>
      <c r="AH12" t="str">
        <v>D</v>
      </c>
      <c r="AI12">
        <v>8</v>
      </c>
      <c r="AJ12" t="str">
        <v>-</v>
      </c>
      <c r="AK12">
        <v>150</v>
      </c>
      <c r="AM12" t="str">
        <v>D</v>
      </c>
      <c r="AN12">
        <v>8</v>
      </c>
      <c r="AO12" t="str">
        <v>-</v>
      </c>
      <c r="AP12">
        <v>150</v>
      </c>
      <c r="AR12" t="str">
        <v>D</v>
      </c>
      <c r="AS12">
        <v>8</v>
      </c>
      <c r="AT12" t="str">
        <v>-</v>
      </c>
      <c r="AU12">
        <v>150</v>
      </c>
      <c r="AZ12">
        <v>100</v>
      </c>
      <c r="BE12">
        <v>100</v>
      </c>
      <c r="BJ12">
        <v>100</v>
      </c>
    </row>
    <row r="13">
      <c r="C13" t="str">
        <v>S24-1</v>
      </c>
      <c r="D13">
        <v>200</v>
      </c>
      <c r="E13">
        <v>400</v>
      </c>
      <c r="F13">
        <v>3</v>
      </c>
      <c r="G13" t="str">
        <v>D</v>
      </c>
      <c r="H13">
        <v>13</v>
      </c>
      <c r="I13">
        <v>3</v>
      </c>
      <c r="J13" t="str">
        <v>D</v>
      </c>
      <c r="K13">
        <v>13</v>
      </c>
      <c r="L13">
        <v>3</v>
      </c>
      <c r="M13" t="str">
        <v>D</v>
      </c>
      <c r="N13">
        <v>13</v>
      </c>
      <c r="O13">
        <v>0</v>
      </c>
      <c r="P13" t="str">
        <v>D</v>
      </c>
      <c r="Q13">
        <v>8</v>
      </c>
      <c r="S13" t="str">
        <v>D</v>
      </c>
      <c r="T13">
        <v>10</v>
      </c>
      <c r="U13" t="str">
        <v>-</v>
      </c>
      <c r="V13">
        <v>1000</v>
      </c>
      <c r="X13">
        <v>3</v>
      </c>
      <c r="Y13" t="str">
        <v>D</v>
      </c>
      <c r="Z13">
        <v>13</v>
      </c>
      <c r="AA13">
        <v>3</v>
      </c>
      <c r="AB13" t="str">
        <v>D</v>
      </c>
      <c r="AC13">
        <v>13</v>
      </c>
      <c r="AD13">
        <v>3</v>
      </c>
      <c r="AE13" t="str">
        <v>D</v>
      </c>
      <c r="AF13">
        <v>13</v>
      </c>
      <c r="AH13" t="str">
        <v>D</v>
      </c>
      <c r="AI13">
        <v>8</v>
      </c>
      <c r="AJ13" t="str">
        <v>-</v>
      </c>
      <c r="AK13">
        <v>150</v>
      </c>
      <c r="AM13" t="str">
        <v>D</v>
      </c>
      <c r="AN13">
        <v>8</v>
      </c>
      <c r="AO13" t="str">
        <v>-</v>
      </c>
      <c r="AP13">
        <v>200</v>
      </c>
      <c r="AR13" t="str">
        <v>D</v>
      </c>
      <c r="AS13">
        <v>8</v>
      </c>
      <c r="AT13" t="str">
        <v>-</v>
      </c>
      <c r="AU13">
        <v>150</v>
      </c>
      <c r="AZ13">
        <v>100</v>
      </c>
      <c r="BE13">
        <v>100</v>
      </c>
      <c r="BJ13">
        <v>100</v>
      </c>
    </row>
    <row r="14">
      <c r="C14" t="str">
        <v>S24-2</v>
      </c>
      <c r="D14">
        <v>200</v>
      </c>
      <c r="E14">
        <v>400</v>
      </c>
      <c r="F14">
        <v>3</v>
      </c>
      <c r="G14" t="str">
        <v>D</v>
      </c>
      <c r="H14">
        <v>16</v>
      </c>
      <c r="I14">
        <v>3</v>
      </c>
      <c r="J14" t="str">
        <v>D</v>
      </c>
      <c r="K14">
        <v>16</v>
      </c>
      <c r="L14">
        <v>3</v>
      </c>
      <c r="M14" t="str">
        <v>D</v>
      </c>
      <c r="N14">
        <v>16</v>
      </c>
      <c r="O14">
        <v>0</v>
      </c>
      <c r="P14" t="str">
        <v>D</v>
      </c>
      <c r="Q14">
        <v>8</v>
      </c>
      <c r="S14" t="str">
        <v>D</v>
      </c>
      <c r="T14">
        <v>10</v>
      </c>
      <c r="U14" t="str">
        <v>-</v>
      </c>
      <c r="V14">
        <v>1000</v>
      </c>
      <c r="X14">
        <v>3</v>
      </c>
      <c r="Y14" t="str">
        <v>D</v>
      </c>
      <c r="Z14">
        <v>16</v>
      </c>
      <c r="AA14">
        <v>3</v>
      </c>
      <c r="AB14" t="str">
        <v>D</v>
      </c>
      <c r="AC14">
        <v>16</v>
      </c>
      <c r="AD14">
        <v>3</v>
      </c>
      <c r="AE14" t="str">
        <v>D</v>
      </c>
      <c r="AF14">
        <v>16</v>
      </c>
      <c r="AH14" t="str">
        <v>D</v>
      </c>
      <c r="AI14">
        <v>8</v>
      </c>
      <c r="AJ14" t="str">
        <v>-</v>
      </c>
      <c r="AK14">
        <v>150</v>
      </c>
      <c r="AM14" t="str">
        <v>D</v>
      </c>
      <c r="AN14">
        <v>8</v>
      </c>
      <c r="AO14" t="str">
        <v>-</v>
      </c>
      <c r="AP14">
        <v>200</v>
      </c>
      <c r="AR14" t="str">
        <v>D</v>
      </c>
      <c r="AS14">
        <v>8</v>
      </c>
      <c r="AT14" t="str">
        <v>-</v>
      </c>
      <c r="AU14">
        <v>150</v>
      </c>
      <c r="AZ14">
        <v>100</v>
      </c>
      <c r="BE14">
        <v>100</v>
      </c>
      <c r="BJ14">
        <v>100</v>
      </c>
    </row>
    <row r="15">
      <c r="C15" t="str">
        <v>S25-1</v>
      </c>
      <c r="D15">
        <v>200</v>
      </c>
      <c r="E15">
        <v>500</v>
      </c>
      <c r="F15">
        <v>3</v>
      </c>
      <c r="G15" t="str">
        <v>D</v>
      </c>
      <c r="H15">
        <v>16</v>
      </c>
      <c r="I15">
        <v>3</v>
      </c>
      <c r="J15" t="str">
        <v>D</v>
      </c>
      <c r="K15">
        <v>16</v>
      </c>
      <c r="L15">
        <v>3</v>
      </c>
      <c r="M15" t="str">
        <v>D</v>
      </c>
      <c r="N15">
        <v>16</v>
      </c>
      <c r="O15">
        <v>2</v>
      </c>
      <c r="P15" t="str">
        <v>D</v>
      </c>
      <c r="Q15">
        <v>10</v>
      </c>
      <c r="S15" t="str">
        <v>D</v>
      </c>
      <c r="T15">
        <v>10</v>
      </c>
      <c r="U15" t="str">
        <v>-</v>
      </c>
      <c r="V15">
        <v>1000</v>
      </c>
      <c r="X15">
        <v>3</v>
      </c>
      <c r="Y15" t="str">
        <v>D</v>
      </c>
      <c r="Z15">
        <v>16</v>
      </c>
      <c r="AA15">
        <v>3</v>
      </c>
      <c r="AB15" t="str">
        <v>D</v>
      </c>
      <c r="AC15">
        <v>16</v>
      </c>
      <c r="AD15">
        <v>3</v>
      </c>
      <c r="AE15" t="str">
        <v>D</v>
      </c>
      <c r="AF15">
        <v>16</v>
      </c>
      <c r="AH15" t="str">
        <v>D</v>
      </c>
      <c r="AI15">
        <v>8</v>
      </c>
      <c r="AJ15" t="str">
        <v>-</v>
      </c>
      <c r="AK15">
        <v>150</v>
      </c>
      <c r="AM15" t="str">
        <v>D</v>
      </c>
      <c r="AN15">
        <v>8</v>
      </c>
      <c r="AO15" t="str">
        <v>-</v>
      </c>
      <c r="AP15">
        <v>200</v>
      </c>
      <c r="AR15" t="str">
        <v>D</v>
      </c>
      <c r="AS15">
        <v>8</v>
      </c>
      <c r="AT15" t="str">
        <v>-</v>
      </c>
      <c r="AU15">
        <v>150</v>
      </c>
      <c r="AZ15">
        <v>100</v>
      </c>
      <c r="BE15">
        <v>100</v>
      </c>
      <c r="BJ15">
        <v>100</v>
      </c>
    </row>
    <row r="16">
      <c r="C16" t="str">
        <v>S36-1</v>
      </c>
      <c r="D16">
        <v>300</v>
      </c>
      <c r="E16">
        <v>600</v>
      </c>
      <c r="F16">
        <v>4</v>
      </c>
      <c r="G16" t="str">
        <v>D</v>
      </c>
      <c r="H16">
        <v>16</v>
      </c>
      <c r="I16">
        <v>4</v>
      </c>
      <c r="J16" t="str">
        <v>D</v>
      </c>
      <c r="K16">
        <v>16</v>
      </c>
      <c r="L16">
        <v>4</v>
      </c>
      <c r="M16" t="str">
        <v>D</v>
      </c>
      <c r="N16">
        <v>16</v>
      </c>
      <c r="O16">
        <v>2</v>
      </c>
      <c r="P16" t="str">
        <v>D</v>
      </c>
      <c r="Q16">
        <v>10</v>
      </c>
      <c r="S16" t="str">
        <v>D</v>
      </c>
      <c r="T16">
        <v>10</v>
      </c>
      <c r="U16" t="str">
        <v>-</v>
      </c>
      <c r="V16">
        <v>1000</v>
      </c>
      <c r="X16">
        <v>4</v>
      </c>
      <c r="Y16" t="str">
        <v>D</v>
      </c>
      <c r="Z16">
        <v>16</v>
      </c>
      <c r="AA16">
        <v>4</v>
      </c>
      <c r="AB16" t="str">
        <v>D</v>
      </c>
      <c r="AC16">
        <v>16</v>
      </c>
      <c r="AD16">
        <v>4</v>
      </c>
      <c r="AE16" t="str">
        <v>D</v>
      </c>
      <c r="AF16">
        <v>16</v>
      </c>
      <c r="AH16" t="str">
        <v>D</v>
      </c>
      <c r="AI16">
        <v>8</v>
      </c>
      <c r="AJ16" t="str">
        <v>-</v>
      </c>
      <c r="AK16">
        <v>150</v>
      </c>
      <c r="AM16" t="str">
        <v>D</v>
      </c>
      <c r="AN16">
        <v>8</v>
      </c>
      <c r="AO16" t="str">
        <v>-</v>
      </c>
      <c r="AP16">
        <v>200</v>
      </c>
      <c r="AR16" t="str">
        <v>D</v>
      </c>
      <c r="AS16">
        <v>8</v>
      </c>
      <c r="AT16" t="str">
        <v>-</v>
      </c>
      <c r="AU16">
        <v>150</v>
      </c>
      <c r="AZ16">
        <v>100</v>
      </c>
      <c r="BE16">
        <v>100</v>
      </c>
      <c r="BJ16">
        <v>100</v>
      </c>
    </row>
    <row r="18">
      <c r="C18" t="str">
        <v>B4-1</v>
      </c>
      <c r="D18">
        <v>130</v>
      </c>
      <c r="E18">
        <v>400</v>
      </c>
      <c r="F18">
        <v>2</v>
      </c>
      <c r="G18" t="str">
        <v>D</v>
      </c>
      <c r="H18">
        <v>13</v>
      </c>
      <c r="I18">
        <v>2</v>
      </c>
      <c r="J18" t="str">
        <v>D</v>
      </c>
      <c r="K18">
        <v>13</v>
      </c>
      <c r="L18">
        <v>2</v>
      </c>
      <c r="M18" t="str">
        <v>D</v>
      </c>
      <c r="N18">
        <v>13</v>
      </c>
      <c r="O18">
        <v>0</v>
      </c>
      <c r="P18" t="str">
        <v>D</v>
      </c>
      <c r="Q18">
        <v>8</v>
      </c>
      <c r="S18" t="str">
        <v>D</v>
      </c>
      <c r="T18">
        <v>10</v>
      </c>
      <c r="U18" t="str">
        <v>-</v>
      </c>
      <c r="V18">
        <v>1000</v>
      </c>
      <c r="X18">
        <v>2</v>
      </c>
      <c r="Y18" t="str">
        <v>D</v>
      </c>
      <c r="Z18">
        <v>13</v>
      </c>
      <c r="AA18">
        <v>2</v>
      </c>
      <c r="AB18" t="str">
        <v>D</v>
      </c>
      <c r="AC18">
        <v>13</v>
      </c>
      <c r="AD18">
        <v>2</v>
      </c>
      <c r="AE18" t="str">
        <v>D</v>
      </c>
      <c r="AF18">
        <v>13</v>
      </c>
      <c r="AH18" t="str">
        <v>D</v>
      </c>
      <c r="AI18">
        <v>8</v>
      </c>
      <c r="AJ18" t="str">
        <v>-</v>
      </c>
      <c r="AK18">
        <v>150</v>
      </c>
      <c r="AM18" t="str">
        <v>D</v>
      </c>
      <c r="AN18">
        <v>8</v>
      </c>
      <c r="AO18" t="str">
        <v>-</v>
      </c>
      <c r="AP18">
        <v>200</v>
      </c>
      <c r="AR18" t="str">
        <v>D</v>
      </c>
      <c r="AS18">
        <v>8</v>
      </c>
      <c r="AT18" t="str">
        <v>-</v>
      </c>
      <c r="AU18">
        <v>150</v>
      </c>
      <c r="AZ18">
        <v>100</v>
      </c>
      <c r="BE18">
        <v>100</v>
      </c>
      <c r="BJ18">
        <v>100</v>
      </c>
    </row>
    <row r="19">
      <c r="C19" t="str">
        <v>B5-1</v>
      </c>
      <c r="D19">
        <v>130</v>
      </c>
      <c r="E19">
        <v>500</v>
      </c>
      <c r="F19">
        <v>3</v>
      </c>
      <c r="G19" t="str">
        <v>D</v>
      </c>
      <c r="H19">
        <v>13</v>
      </c>
      <c r="I19">
        <v>3</v>
      </c>
      <c r="J19" t="str">
        <v>D</v>
      </c>
      <c r="K19">
        <v>13</v>
      </c>
      <c r="L19">
        <v>3</v>
      </c>
      <c r="M19" t="str">
        <v>D</v>
      </c>
      <c r="N19">
        <v>13</v>
      </c>
      <c r="O19">
        <v>2</v>
      </c>
      <c r="P19" t="str">
        <v>D</v>
      </c>
      <c r="Q19">
        <v>10</v>
      </c>
      <c r="S19" t="str">
        <v>D</v>
      </c>
      <c r="T19">
        <v>10</v>
      </c>
      <c r="U19" t="str">
        <v>-</v>
      </c>
      <c r="V19">
        <v>1000</v>
      </c>
      <c r="X19">
        <v>3</v>
      </c>
      <c r="Y19" t="str">
        <v>D</v>
      </c>
      <c r="Z19">
        <v>13</v>
      </c>
      <c r="AA19">
        <v>3</v>
      </c>
      <c r="AB19" t="str">
        <v>D</v>
      </c>
      <c r="AC19">
        <v>13</v>
      </c>
      <c r="AD19">
        <v>3</v>
      </c>
      <c r="AE19" t="str">
        <v>D</v>
      </c>
      <c r="AF19">
        <v>13</v>
      </c>
      <c r="AH19" t="str">
        <v>D</v>
      </c>
      <c r="AI19">
        <v>8</v>
      </c>
      <c r="AJ19" t="str">
        <v>-</v>
      </c>
      <c r="AK19">
        <v>150</v>
      </c>
      <c r="AM19" t="str">
        <v>D</v>
      </c>
      <c r="AN19">
        <v>8</v>
      </c>
      <c r="AO19" t="str">
        <v>-</v>
      </c>
      <c r="AP19">
        <v>200</v>
      </c>
      <c r="AR19" t="str">
        <v>D</v>
      </c>
      <c r="AS19">
        <v>8</v>
      </c>
      <c r="AT19" t="str">
        <v>-</v>
      </c>
      <c r="AU19">
        <v>150</v>
      </c>
      <c r="AZ19">
        <v>100</v>
      </c>
      <c r="BE19">
        <v>100</v>
      </c>
      <c r="BJ19">
        <v>100</v>
      </c>
    </row>
    <row r="20">
      <c r="C20" t="str">
        <v>B23-1</v>
      </c>
      <c r="D20">
        <v>200</v>
      </c>
      <c r="E20">
        <v>300</v>
      </c>
      <c r="F20">
        <v>3</v>
      </c>
      <c r="G20" t="str">
        <v>D</v>
      </c>
      <c r="H20">
        <v>13</v>
      </c>
      <c r="I20">
        <v>3</v>
      </c>
      <c r="J20" t="str">
        <v>D</v>
      </c>
      <c r="K20">
        <v>13</v>
      </c>
      <c r="L20">
        <v>3</v>
      </c>
      <c r="M20" t="str">
        <v>D</v>
      </c>
      <c r="N20">
        <v>13</v>
      </c>
      <c r="O20">
        <v>0</v>
      </c>
      <c r="P20" t="str">
        <v>D</v>
      </c>
      <c r="Q20">
        <v>8</v>
      </c>
      <c r="S20" t="str">
        <v>D</v>
      </c>
      <c r="T20">
        <v>10</v>
      </c>
      <c r="U20" t="str">
        <v>-</v>
      </c>
      <c r="V20">
        <v>1000</v>
      </c>
      <c r="X20">
        <v>3</v>
      </c>
      <c r="Y20" t="str">
        <v>D</v>
      </c>
      <c r="Z20">
        <v>13</v>
      </c>
      <c r="AA20">
        <v>3</v>
      </c>
      <c r="AB20" t="str">
        <v>D</v>
      </c>
      <c r="AC20">
        <v>13</v>
      </c>
      <c r="AD20">
        <v>3</v>
      </c>
      <c r="AE20" t="str">
        <v>D</v>
      </c>
      <c r="AF20">
        <v>13</v>
      </c>
      <c r="AH20" t="str">
        <v>D</v>
      </c>
      <c r="AI20">
        <v>10</v>
      </c>
      <c r="AJ20" t="str">
        <v>-</v>
      </c>
      <c r="AK20">
        <v>100</v>
      </c>
      <c r="AM20" t="str">
        <v>D</v>
      </c>
      <c r="AN20">
        <v>10</v>
      </c>
      <c r="AO20" t="str">
        <v>-</v>
      </c>
      <c r="AP20">
        <v>200</v>
      </c>
      <c r="AR20" t="str">
        <v>D</v>
      </c>
      <c r="AS20">
        <v>10</v>
      </c>
      <c r="AT20" t="str">
        <v>-</v>
      </c>
      <c r="AU20">
        <v>100</v>
      </c>
      <c r="AZ20">
        <v>100</v>
      </c>
      <c r="BE20">
        <v>100</v>
      </c>
      <c r="BJ20">
        <v>100</v>
      </c>
    </row>
    <row r="21">
      <c r="C21" t="str">
        <v>B24-1</v>
      </c>
      <c r="D21">
        <v>200</v>
      </c>
      <c r="E21">
        <v>400</v>
      </c>
      <c r="F21">
        <v>3</v>
      </c>
      <c r="G21" t="str">
        <v>D</v>
      </c>
      <c r="H21">
        <v>13</v>
      </c>
      <c r="I21">
        <v>3</v>
      </c>
      <c r="J21" t="str">
        <v>D</v>
      </c>
      <c r="K21">
        <v>13</v>
      </c>
      <c r="L21">
        <v>3</v>
      </c>
      <c r="M21" t="str">
        <v>D</v>
      </c>
      <c r="N21">
        <v>13</v>
      </c>
      <c r="O21">
        <v>0</v>
      </c>
      <c r="P21" t="str">
        <v>D</v>
      </c>
      <c r="Q21">
        <v>8</v>
      </c>
      <c r="S21" t="str">
        <v>D</v>
      </c>
      <c r="T21">
        <v>10</v>
      </c>
      <c r="U21" t="str">
        <v>-</v>
      </c>
      <c r="V21">
        <v>1000</v>
      </c>
      <c r="X21">
        <v>3</v>
      </c>
      <c r="Y21" t="str">
        <v>D</v>
      </c>
      <c r="Z21">
        <v>13</v>
      </c>
      <c r="AA21">
        <v>3</v>
      </c>
      <c r="AB21" t="str">
        <v>D</v>
      </c>
      <c r="AC21">
        <v>13</v>
      </c>
      <c r="AD21">
        <v>3</v>
      </c>
      <c r="AE21" t="str">
        <v>D</v>
      </c>
      <c r="AF21">
        <v>13</v>
      </c>
      <c r="AH21" t="str">
        <v>D</v>
      </c>
      <c r="AI21">
        <v>10</v>
      </c>
      <c r="AJ21" t="str">
        <v>-</v>
      </c>
      <c r="AK21">
        <v>100</v>
      </c>
      <c r="AM21" t="str">
        <v>D</v>
      </c>
      <c r="AN21">
        <v>10</v>
      </c>
      <c r="AO21" t="str">
        <v>-</v>
      </c>
      <c r="AP21">
        <v>200</v>
      </c>
      <c r="AR21" t="str">
        <v>D</v>
      </c>
      <c r="AS21">
        <v>10</v>
      </c>
      <c r="AT21" t="str">
        <v>-</v>
      </c>
      <c r="AU21">
        <v>100</v>
      </c>
      <c r="AZ21">
        <v>100</v>
      </c>
      <c r="BE21">
        <v>100</v>
      </c>
      <c r="BJ21">
        <v>100</v>
      </c>
    </row>
    <row r="22">
      <c r="C22" t="str">
        <v>B24-2</v>
      </c>
      <c r="D22">
        <v>200</v>
      </c>
      <c r="E22">
        <v>400</v>
      </c>
      <c r="F22">
        <v>3</v>
      </c>
      <c r="G22" t="str">
        <v>D</v>
      </c>
      <c r="H22">
        <v>16</v>
      </c>
      <c r="I22">
        <v>3</v>
      </c>
      <c r="J22" t="str">
        <v>D</v>
      </c>
      <c r="K22">
        <v>16</v>
      </c>
      <c r="L22">
        <v>3</v>
      </c>
      <c r="M22" t="str">
        <v>D</v>
      </c>
      <c r="N22">
        <v>16</v>
      </c>
      <c r="O22">
        <v>0</v>
      </c>
      <c r="P22" t="str">
        <v>D</v>
      </c>
      <c r="Q22">
        <v>8</v>
      </c>
      <c r="S22" t="str">
        <v>D</v>
      </c>
      <c r="T22">
        <v>10</v>
      </c>
      <c r="U22" t="str">
        <v>-</v>
      </c>
      <c r="V22">
        <v>1000</v>
      </c>
      <c r="X22">
        <v>3</v>
      </c>
      <c r="Y22" t="str">
        <v>D</v>
      </c>
      <c r="Z22">
        <v>16</v>
      </c>
      <c r="AA22">
        <v>3</v>
      </c>
      <c r="AB22" t="str">
        <v>D</v>
      </c>
      <c r="AC22">
        <v>16</v>
      </c>
      <c r="AD22">
        <v>3</v>
      </c>
      <c r="AE22" t="str">
        <v>D</v>
      </c>
      <c r="AF22">
        <v>16</v>
      </c>
      <c r="AH22" t="str">
        <v>D</v>
      </c>
      <c r="AI22">
        <v>10</v>
      </c>
      <c r="AJ22" t="str">
        <v>-</v>
      </c>
      <c r="AK22">
        <v>100</v>
      </c>
      <c r="AM22" t="str">
        <v>D</v>
      </c>
      <c r="AN22">
        <v>10</v>
      </c>
      <c r="AO22" t="str">
        <v>-</v>
      </c>
      <c r="AP22">
        <v>200</v>
      </c>
      <c r="AR22" t="str">
        <v>D</v>
      </c>
      <c r="AS22">
        <v>10</v>
      </c>
      <c r="AT22" t="str">
        <v>-</v>
      </c>
      <c r="AU22">
        <v>100</v>
      </c>
      <c r="AZ22">
        <v>100</v>
      </c>
      <c r="BE22">
        <v>100</v>
      </c>
      <c r="BJ22">
        <v>100</v>
      </c>
    </row>
    <row r="23">
      <c r="C23" t="str">
        <v>CL24-1</v>
      </c>
      <c r="D23">
        <v>200</v>
      </c>
      <c r="E23">
        <v>400</v>
      </c>
      <c r="F23">
        <v>3</v>
      </c>
      <c r="G23" t="str">
        <v>D</v>
      </c>
      <c r="H23">
        <v>16</v>
      </c>
      <c r="I23">
        <v>3</v>
      </c>
      <c r="J23" t="str">
        <v>D</v>
      </c>
      <c r="K23">
        <v>16</v>
      </c>
      <c r="L23">
        <v>3</v>
      </c>
      <c r="M23" t="str">
        <v>D</v>
      </c>
      <c r="N23">
        <v>16</v>
      </c>
      <c r="O23">
        <v>0</v>
      </c>
      <c r="P23" t="str">
        <v>D</v>
      </c>
      <c r="Q23">
        <v>8</v>
      </c>
      <c r="S23" t="str">
        <v>D</v>
      </c>
      <c r="T23">
        <v>10</v>
      </c>
      <c r="U23" t="str">
        <v>-</v>
      </c>
      <c r="V23">
        <v>1000</v>
      </c>
      <c r="X23">
        <v>3</v>
      </c>
      <c r="Y23" t="str">
        <v>D</v>
      </c>
      <c r="Z23">
        <v>16</v>
      </c>
      <c r="AA23">
        <v>3</v>
      </c>
      <c r="AB23" t="str">
        <v>D</v>
      </c>
      <c r="AC23">
        <v>16</v>
      </c>
      <c r="AD23">
        <v>3</v>
      </c>
      <c r="AE23" t="str">
        <v>D</v>
      </c>
      <c r="AF23">
        <v>16</v>
      </c>
      <c r="AH23" t="str">
        <v>D</v>
      </c>
      <c r="AI23">
        <v>10</v>
      </c>
      <c r="AJ23" t="str">
        <v>-</v>
      </c>
      <c r="AK23">
        <v>100</v>
      </c>
      <c r="AM23" t="str">
        <v>D</v>
      </c>
      <c r="AN23">
        <v>10</v>
      </c>
      <c r="AO23" t="str">
        <v>-</v>
      </c>
      <c r="AP23">
        <v>100</v>
      </c>
      <c r="AR23" t="str">
        <v>D</v>
      </c>
      <c r="AS23">
        <v>10</v>
      </c>
      <c r="AT23" t="str">
        <v>-</v>
      </c>
      <c r="AU23">
        <v>100</v>
      </c>
      <c r="AZ23">
        <v>100</v>
      </c>
      <c r="BE23">
        <v>100</v>
      </c>
      <c r="BJ23">
        <v>100</v>
      </c>
    </row>
    <row r="24">
      <c r="C24" t="str">
        <v>B25-1</v>
      </c>
      <c r="D24">
        <v>200</v>
      </c>
      <c r="E24">
        <v>500</v>
      </c>
      <c r="F24">
        <v>4</v>
      </c>
      <c r="G24" t="str">
        <v>D</v>
      </c>
      <c r="H24">
        <v>16</v>
      </c>
      <c r="I24">
        <v>4</v>
      </c>
      <c r="J24" t="str">
        <v>D</v>
      </c>
      <c r="K24">
        <v>16</v>
      </c>
      <c r="L24">
        <v>4</v>
      </c>
      <c r="M24" t="str">
        <v>D</v>
      </c>
      <c r="N24">
        <v>16</v>
      </c>
      <c r="O24">
        <v>2</v>
      </c>
      <c r="P24" t="str">
        <v>D</v>
      </c>
      <c r="Q24">
        <v>10</v>
      </c>
      <c r="S24" t="str">
        <v>D</v>
      </c>
      <c r="T24">
        <v>10</v>
      </c>
      <c r="U24" t="str">
        <v>-</v>
      </c>
      <c r="V24">
        <v>1000</v>
      </c>
      <c r="X24">
        <v>4</v>
      </c>
      <c r="Y24" t="str">
        <v>D</v>
      </c>
      <c r="Z24">
        <v>16</v>
      </c>
      <c r="AA24">
        <v>4</v>
      </c>
      <c r="AB24" t="str">
        <v>D</v>
      </c>
      <c r="AC24">
        <v>16</v>
      </c>
      <c r="AD24">
        <v>4</v>
      </c>
      <c r="AE24" t="str">
        <v>D</v>
      </c>
      <c r="AF24">
        <v>16</v>
      </c>
      <c r="AH24" t="str">
        <v>D</v>
      </c>
      <c r="AI24">
        <v>10</v>
      </c>
      <c r="AJ24" t="str">
        <v>-</v>
      </c>
      <c r="AK24">
        <v>150</v>
      </c>
      <c r="AM24" t="str">
        <v>D</v>
      </c>
      <c r="AN24">
        <v>10</v>
      </c>
      <c r="AO24" t="str">
        <v>-</v>
      </c>
      <c r="AP24">
        <v>200</v>
      </c>
      <c r="AR24" t="str">
        <v>D</v>
      </c>
      <c r="AS24">
        <v>10</v>
      </c>
      <c r="AT24" t="str">
        <v>-</v>
      </c>
      <c r="AU24">
        <v>150</v>
      </c>
      <c r="AZ24">
        <v>100</v>
      </c>
      <c r="BE24">
        <v>100</v>
      </c>
      <c r="BJ24">
        <v>100</v>
      </c>
    </row>
    <row r="25">
      <c r="C25" t="str">
        <v>B26-1</v>
      </c>
      <c r="D25">
        <v>200</v>
      </c>
      <c r="E25">
        <v>600</v>
      </c>
      <c r="F25">
        <v>4</v>
      </c>
      <c r="G25" t="str">
        <v>D</v>
      </c>
      <c r="H25">
        <v>16</v>
      </c>
      <c r="I25">
        <v>3</v>
      </c>
      <c r="J25" t="str">
        <v>D</v>
      </c>
      <c r="K25">
        <v>16</v>
      </c>
      <c r="L25">
        <v>4</v>
      </c>
      <c r="M25" t="str">
        <v>D</v>
      </c>
      <c r="N25">
        <v>16</v>
      </c>
      <c r="O25">
        <v>2</v>
      </c>
      <c r="P25" t="str">
        <v>D</v>
      </c>
      <c r="Q25">
        <v>10</v>
      </c>
      <c r="S25" t="str">
        <v>D</v>
      </c>
      <c r="T25">
        <v>10</v>
      </c>
      <c r="U25" t="str">
        <v>-</v>
      </c>
      <c r="V25">
        <v>1000</v>
      </c>
      <c r="X25">
        <v>3</v>
      </c>
      <c r="Y25" t="str">
        <v>D</v>
      </c>
      <c r="Z25">
        <v>16</v>
      </c>
      <c r="AA25">
        <v>4</v>
      </c>
      <c r="AB25" t="str">
        <v>D</v>
      </c>
      <c r="AC25">
        <v>16</v>
      </c>
      <c r="AD25">
        <v>3</v>
      </c>
      <c r="AE25" t="str">
        <v>D</v>
      </c>
      <c r="AF25">
        <v>16</v>
      </c>
      <c r="AH25" t="str">
        <v>D</v>
      </c>
      <c r="AI25">
        <v>10</v>
      </c>
      <c r="AJ25" t="str">
        <v>-</v>
      </c>
      <c r="AK25">
        <v>100</v>
      </c>
      <c r="AM25" t="str">
        <v>D</v>
      </c>
      <c r="AN25">
        <v>10</v>
      </c>
      <c r="AO25" t="str">
        <v>-</v>
      </c>
      <c r="AP25">
        <v>150</v>
      </c>
      <c r="AR25" t="str">
        <v>D</v>
      </c>
      <c r="AS25">
        <v>10</v>
      </c>
      <c r="AT25" t="str">
        <v>-</v>
      </c>
      <c r="AU25">
        <v>100</v>
      </c>
      <c r="AZ25">
        <v>100</v>
      </c>
      <c r="BE25">
        <v>100</v>
      </c>
      <c r="BJ25">
        <v>100</v>
      </c>
    </row>
    <row r="26">
      <c r="C26" t="str">
        <v>B2A4A-1</v>
      </c>
      <c r="D26">
        <v>250</v>
      </c>
      <c r="E26">
        <v>450</v>
      </c>
      <c r="F26">
        <v>3</v>
      </c>
      <c r="G26" t="str">
        <v>D</v>
      </c>
      <c r="H26">
        <v>13</v>
      </c>
      <c r="I26">
        <v>3</v>
      </c>
      <c r="J26" t="str">
        <v>D</v>
      </c>
      <c r="K26">
        <v>13</v>
      </c>
      <c r="L26">
        <v>3</v>
      </c>
      <c r="M26" t="str">
        <v>D</v>
      </c>
      <c r="N26">
        <v>13</v>
      </c>
      <c r="O26">
        <v>0</v>
      </c>
      <c r="P26" t="str">
        <v>D</v>
      </c>
      <c r="Q26">
        <v>8</v>
      </c>
      <c r="S26" t="str">
        <v>D</v>
      </c>
      <c r="T26">
        <v>10</v>
      </c>
      <c r="U26" t="str">
        <v>-</v>
      </c>
      <c r="V26">
        <v>1000</v>
      </c>
      <c r="X26">
        <v>3</v>
      </c>
      <c r="Y26" t="str">
        <v>D</v>
      </c>
      <c r="Z26">
        <v>13</v>
      </c>
      <c r="AA26">
        <v>3</v>
      </c>
      <c r="AB26" t="str">
        <v>D</v>
      </c>
      <c r="AC26">
        <v>13</v>
      </c>
      <c r="AD26">
        <v>3</v>
      </c>
      <c r="AE26" t="str">
        <v>D</v>
      </c>
      <c r="AF26">
        <v>13</v>
      </c>
      <c r="AH26" t="str">
        <v>D</v>
      </c>
      <c r="AI26">
        <v>10</v>
      </c>
      <c r="AJ26" t="str">
        <v>-</v>
      </c>
      <c r="AK26">
        <v>100</v>
      </c>
      <c r="AM26" t="str">
        <v>D</v>
      </c>
      <c r="AN26">
        <v>10</v>
      </c>
      <c r="AO26" t="str">
        <v>-</v>
      </c>
      <c r="AP26">
        <v>200</v>
      </c>
      <c r="AR26" t="str">
        <v>D</v>
      </c>
      <c r="AS26">
        <v>10</v>
      </c>
      <c r="AT26" t="str">
        <v>-</v>
      </c>
      <c r="AU26">
        <v>100</v>
      </c>
      <c r="AZ26">
        <v>100</v>
      </c>
      <c r="BE26">
        <v>100</v>
      </c>
      <c r="BJ26">
        <v>100</v>
      </c>
    </row>
    <row r="27">
      <c r="C27" t="str">
        <v>B36-1</v>
      </c>
      <c r="D27">
        <v>300</v>
      </c>
      <c r="E27">
        <v>600</v>
      </c>
      <c r="F27">
        <v>5</v>
      </c>
      <c r="G27" t="str">
        <v>D</v>
      </c>
      <c r="H27">
        <v>16</v>
      </c>
      <c r="I27">
        <v>5</v>
      </c>
      <c r="J27" t="str">
        <v>D</v>
      </c>
      <c r="K27">
        <v>16</v>
      </c>
      <c r="L27">
        <v>5</v>
      </c>
      <c r="M27" t="str">
        <v>D</v>
      </c>
      <c r="N27">
        <v>16</v>
      </c>
      <c r="O27">
        <v>2</v>
      </c>
      <c r="P27" t="str">
        <v>D</v>
      </c>
      <c r="Q27">
        <v>10</v>
      </c>
      <c r="S27" t="str">
        <v>D</v>
      </c>
      <c r="T27">
        <v>10</v>
      </c>
      <c r="U27" t="str">
        <v>-</v>
      </c>
      <c r="V27">
        <v>1000</v>
      </c>
      <c r="X27">
        <v>5</v>
      </c>
      <c r="Y27" t="str">
        <v>D</v>
      </c>
      <c r="Z27">
        <v>16</v>
      </c>
      <c r="AA27">
        <v>5</v>
      </c>
      <c r="AB27" t="str">
        <v>D</v>
      </c>
      <c r="AC27">
        <v>16</v>
      </c>
      <c r="AD27">
        <v>5</v>
      </c>
      <c r="AE27" t="str">
        <v>D</v>
      </c>
      <c r="AF27">
        <v>16</v>
      </c>
      <c r="AH27" t="str">
        <v>D</v>
      </c>
      <c r="AI27">
        <v>10</v>
      </c>
      <c r="AJ27" t="str">
        <v>-</v>
      </c>
      <c r="AK27">
        <v>100</v>
      </c>
      <c r="AM27" t="str">
        <v>D</v>
      </c>
      <c r="AN27">
        <v>10</v>
      </c>
      <c r="AO27" t="str">
        <v>-</v>
      </c>
      <c r="AP27">
        <v>150</v>
      </c>
      <c r="AR27" t="str">
        <v>D</v>
      </c>
      <c r="AS27">
        <v>10</v>
      </c>
      <c r="AT27" t="str">
        <v>-</v>
      </c>
      <c r="AU27">
        <v>100</v>
      </c>
      <c r="AZ27">
        <v>100</v>
      </c>
      <c r="BE27">
        <v>100</v>
      </c>
      <c r="BJ27">
        <v>100</v>
      </c>
    </row>
    <row r="28">
      <c r="G28" t="str">
        <v>D</v>
      </c>
      <c r="J28" t="str">
        <v>D</v>
      </c>
      <c r="M28" t="str">
        <v>D</v>
      </c>
      <c r="O28">
        <v>0</v>
      </c>
      <c r="P28" t="str">
        <v>D</v>
      </c>
      <c r="Q28">
        <v>8</v>
      </c>
      <c r="S28" t="str">
        <v>D</v>
      </c>
      <c r="T28">
        <v>10</v>
      </c>
      <c r="U28" t="str">
        <v>-</v>
      </c>
      <c r="V28">
        <v>1000</v>
      </c>
      <c r="Y28" t="str">
        <v>D</v>
      </c>
      <c r="AB28" t="str">
        <v>D</v>
      </c>
      <c r="AE28" t="str">
        <v>D</v>
      </c>
      <c r="AH28" t="str">
        <v>D</v>
      </c>
      <c r="AJ28" t="str">
        <v>-</v>
      </c>
      <c r="AM28" t="str">
        <v>D</v>
      </c>
      <c r="AO28" t="str">
        <v>-</v>
      </c>
      <c r="AR28" t="str">
        <v>D</v>
      </c>
      <c r="AT28" t="str">
        <v>-</v>
      </c>
      <c r="AZ28">
        <v>100</v>
      </c>
      <c r="BE28">
        <v>100</v>
      </c>
      <c r="BJ28">
        <v>100</v>
      </c>
    </row>
    <row r="29">
      <c r="G29" t="str">
        <v>D</v>
      </c>
      <c r="J29" t="str">
        <v>D</v>
      </c>
      <c r="M29" t="str">
        <v>D</v>
      </c>
      <c r="O29">
        <v>0</v>
      </c>
      <c r="P29" t="str">
        <v>D</v>
      </c>
      <c r="Q29">
        <v>8</v>
      </c>
      <c r="S29" t="str">
        <v>D</v>
      </c>
      <c r="T29">
        <v>10</v>
      </c>
      <c r="U29" t="str">
        <v>-</v>
      </c>
      <c r="V29">
        <v>1000</v>
      </c>
      <c r="Y29" t="str">
        <v>D</v>
      </c>
      <c r="AB29" t="str">
        <v>D</v>
      </c>
      <c r="AE29" t="str">
        <v>D</v>
      </c>
      <c r="AH29" t="str">
        <v>D</v>
      </c>
      <c r="AJ29" t="str">
        <v>-</v>
      </c>
      <c r="AM29" t="str">
        <v>D</v>
      </c>
      <c r="AO29" t="str">
        <v>-</v>
      </c>
      <c r="AR29" t="str">
        <v>D</v>
      </c>
      <c r="AT29" t="str">
        <v>-</v>
      </c>
      <c r="AZ29">
        <v>100</v>
      </c>
      <c r="BE29">
        <v>100</v>
      </c>
      <c r="BJ29">
        <v>100</v>
      </c>
    </row>
    <row r="30">
      <c r="G30" t="str">
        <v>D</v>
      </c>
      <c r="J30" t="str">
        <v>D</v>
      </c>
      <c r="M30" t="str">
        <v>D</v>
      </c>
      <c r="O30">
        <v>0</v>
      </c>
      <c r="P30" t="str">
        <v>D</v>
      </c>
      <c r="Q30">
        <v>8</v>
      </c>
      <c r="S30" t="str">
        <v>D</v>
      </c>
      <c r="T30">
        <v>10</v>
      </c>
      <c r="U30" t="str">
        <v>-</v>
      </c>
      <c r="V30">
        <v>1000</v>
      </c>
      <c r="Y30" t="str">
        <v>D</v>
      </c>
      <c r="AB30" t="str">
        <v>D</v>
      </c>
      <c r="AE30" t="str">
        <v>D</v>
      </c>
      <c r="AH30" t="str">
        <v>D</v>
      </c>
      <c r="AJ30" t="str">
        <v>-</v>
      </c>
      <c r="AM30" t="str">
        <v>D</v>
      </c>
      <c r="AO30" t="str">
        <v>-</v>
      </c>
      <c r="AR30" t="str">
        <v>D</v>
      </c>
      <c r="AT30" t="str">
        <v>-</v>
      </c>
      <c r="AZ30">
        <v>100</v>
      </c>
      <c r="BE30">
        <v>100</v>
      </c>
      <c r="BJ30">
        <v>100</v>
      </c>
    </row>
    <row r="31">
      <c r="G31" t="str">
        <v>D</v>
      </c>
      <c r="J31" t="str">
        <v>D</v>
      </c>
      <c r="M31" t="str">
        <v>D</v>
      </c>
      <c r="O31">
        <v>0</v>
      </c>
      <c r="P31" t="str">
        <v>D</v>
      </c>
      <c r="Q31">
        <v>8</v>
      </c>
      <c r="S31" t="str">
        <v>D</v>
      </c>
      <c r="T31">
        <v>10</v>
      </c>
      <c r="U31" t="str">
        <v>-</v>
      </c>
      <c r="V31">
        <v>1000</v>
      </c>
      <c r="Y31" t="str">
        <v>D</v>
      </c>
      <c r="AB31" t="str">
        <v>D</v>
      </c>
      <c r="AE31" t="str">
        <v>D</v>
      </c>
      <c r="AH31" t="str">
        <v>D</v>
      </c>
      <c r="AJ31" t="str">
        <v>-</v>
      </c>
      <c r="AM31" t="str">
        <v>D</v>
      </c>
      <c r="AO31" t="str">
        <v>-</v>
      </c>
      <c r="AR31" t="str">
        <v>D</v>
      </c>
      <c r="AT31" t="str">
        <v>-</v>
      </c>
      <c r="AZ31">
        <v>100</v>
      </c>
      <c r="BE31">
        <v>100</v>
      </c>
      <c r="BJ31">
        <v>100</v>
      </c>
    </row>
    <row r="32">
      <c r="G32" t="str">
        <v>D</v>
      </c>
      <c r="J32" t="str">
        <v>D</v>
      </c>
      <c r="M32" t="str">
        <v>D</v>
      </c>
      <c r="O32">
        <v>0</v>
      </c>
      <c r="P32" t="str">
        <v>D</v>
      </c>
      <c r="Q32">
        <v>8</v>
      </c>
      <c r="S32" t="str">
        <v>D</v>
      </c>
      <c r="T32">
        <v>10</v>
      </c>
      <c r="U32" t="str">
        <v>-</v>
      </c>
      <c r="V32">
        <v>1000</v>
      </c>
      <c r="Y32" t="str">
        <v>D</v>
      </c>
      <c r="AB32" t="str">
        <v>D</v>
      </c>
      <c r="AE32" t="str">
        <v>D</v>
      </c>
      <c r="AH32" t="str">
        <v>D</v>
      </c>
      <c r="AJ32" t="str">
        <v>-</v>
      </c>
      <c r="AM32" t="str">
        <v>D</v>
      </c>
      <c r="AO32" t="str">
        <v>-</v>
      </c>
      <c r="AR32" t="str">
        <v>D</v>
      </c>
      <c r="AT32" t="str">
        <v>-</v>
      </c>
      <c r="AZ32">
        <v>100</v>
      </c>
      <c r="BE32">
        <v>100</v>
      </c>
      <c r="BJ32">
        <v>100</v>
      </c>
    </row>
    <row r="33">
      <c r="G33" t="str">
        <v>D</v>
      </c>
      <c r="J33" t="str">
        <v>D</v>
      </c>
      <c r="M33" t="str">
        <v>D</v>
      </c>
      <c r="O33">
        <v>0</v>
      </c>
      <c r="P33" t="str">
        <v>D</v>
      </c>
      <c r="Q33">
        <v>8</v>
      </c>
      <c r="S33" t="str">
        <v>D</v>
      </c>
      <c r="T33">
        <v>10</v>
      </c>
      <c r="U33" t="str">
        <v>-</v>
      </c>
      <c r="V33">
        <v>1000</v>
      </c>
      <c r="Y33" t="str">
        <v>D</v>
      </c>
      <c r="AB33" t="str">
        <v>D</v>
      </c>
      <c r="AE33" t="str">
        <v>D</v>
      </c>
      <c r="AH33" t="str">
        <v>D</v>
      </c>
      <c r="AJ33" t="str">
        <v>-</v>
      </c>
      <c r="AM33" t="str">
        <v>D</v>
      </c>
      <c r="AO33" t="str">
        <v>-</v>
      </c>
      <c r="AR33" t="str">
        <v>D</v>
      </c>
      <c r="AT33" t="str">
        <v>-</v>
      </c>
      <c r="AZ33">
        <v>100</v>
      </c>
      <c r="BE33">
        <v>100</v>
      </c>
      <c r="BJ33">
        <v>100</v>
      </c>
    </row>
    <row r="34">
      <c r="G34" t="str">
        <v>D</v>
      </c>
      <c r="J34" t="str">
        <v>D</v>
      </c>
      <c r="M34" t="str">
        <v>D</v>
      </c>
      <c r="O34">
        <v>0</v>
      </c>
      <c r="P34" t="str">
        <v>D</v>
      </c>
      <c r="Q34">
        <v>8</v>
      </c>
      <c r="S34" t="str">
        <v>D</v>
      </c>
      <c r="T34">
        <v>10</v>
      </c>
      <c r="U34" t="str">
        <v>-</v>
      </c>
      <c r="V34">
        <v>1000</v>
      </c>
      <c r="Y34" t="str">
        <v>D</v>
      </c>
      <c r="AB34" t="str">
        <v>D</v>
      </c>
      <c r="AE34" t="str">
        <v>D</v>
      </c>
      <c r="AH34" t="str">
        <v>D</v>
      </c>
      <c r="AJ34" t="str">
        <v>-</v>
      </c>
      <c r="AM34" t="str">
        <v>D</v>
      </c>
      <c r="AO34" t="str">
        <v>-</v>
      </c>
      <c r="AR34" t="str">
        <v>D</v>
      </c>
      <c r="AT34" t="str">
        <v>-</v>
      </c>
      <c r="AZ34">
        <v>100</v>
      </c>
      <c r="BE34">
        <v>100</v>
      </c>
      <c r="BJ34">
        <v>100</v>
      </c>
    </row>
    <row r="35">
      <c r="G35" t="str">
        <v>D</v>
      </c>
      <c r="J35" t="str">
        <v>D</v>
      </c>
      <c r="M35" t="str">
        <v>D</v>
      </c>
      <c r="O35">
        <v>0</v>
      </c>
      <c r="P35" t="str">
        <v>D</v>
      </c>
      <c r="Q35">
        <v>8</v>
      </c>
      <c r="S35" t="str">
        <v>D</v>
      </c>
      <c r="T35">
        <v>10</v>
      </c>
      <c r="U35" t="str">
        <v>-</v>
      </c>
      <c r="V35">
        <v>1000</v>
      </c>
      <c r="Y35" t="str">
        <v>D</v>
      </c>
      <c r="AB35" t="str">
        <v>D</v>
      </c>
      <c r="AE35" t="str">
        <v>D</v>
      </c>
      <c r="AH35" t="str">
        <v>D</v>
      </c>
      <c r="AJ35" t="str">
        <v>-</v>
      </c>
      <c r="AM35" t="str">
        <v>D</v>
      </c>
      <c r="AO35" t="str">
        <v>-</v>
      </c>
      <c r="AR35" t="str">
        <v>D</v>
      </c>
      <c r="AT35" t="str">
        <v>-</v>
      </c>
      <c r="AZ35">
        <v>100</v>
      </c>
      <c r="BE35">
        <v>100</v>
      </c>
      <c r="BJ35">
        <v>100</v>
      </c>
    </row>
    <row r="36">
      <c r="G36" t="str">
        <v>D</v>
      </c>
      <c r="J36" t="str">
        <v>D</v>
      </c>
      <c r="M36" t="str">
        <v>D</v>
      </c>
      <c r="O36">
        <v>0</v>
      </c>
      <c r="P36" t="str">
        <v>D</v>
      </c>
      <c r="Q36">
        <v>8</v>
      </c>
      <c r="S36" t="str">
        <v>D</v>
      </c>
      <c r="T36">
        <v>10</v>
      </c>
      <c r="U36" t="str">
        <v>-</v>
      </c>
      <c r="V36">
        <v>1000</v>
      </c>
      <c r="Y36" t="str">
        <v>D</v>
      </c>
      <c r="AB36" t="str">
        <v>D</v>
      </c>
      <c r="AE36" t="str">
        <v>D</v>
      </c>
      <c r="AH36" t="str">
        <v>D</v>
      </c>
      <c r="AJ36" t="str">
        <v>-</v>
      </c>
      <c r="AM36" t="str">
        <v>D</v>
      </c>
      <c r="AO36" t="str">
        <v>-</v>
      </c>
      <c r="AR36" t="str">
        <v>D</v>
      </c>
      <c r="AT36" t="str">
        <v>-</v>
      </c>
      <c r="AZ36">
        <v>100</v>
      </c>
      <c r="BE36">
        <v>100</v>
      </c>
      <c r="BJ36">
        <v>100</v>
      </c>
    </row>
    <row r="37">
      <c r="G37" t="str">
        <v>D</v>
      </c>
      <c r="J37" t="str">
        <v>D</v>
      </c>
      <c r="M37" t="str">
        <v>D</v>
      </c>
      <c r="O37">
        <v>0</v>
      </c>
      <c r="P37" t="str">
        <v>D</v>
      </c>
      <c r="Q37">
        <v>8</v>
      </c>
      <c r="S37" t="str">
        <v>D</v>
      </c>
      <c r="T37">
        <v>10</v>
      </c>
      <c r="U37" t="str">
        <v>-</v>
      </c>
      <c r="V37">
        <v>1000</v>
      </c>
      <c r="Y37" t="str">
        <v>D</v>
      </c>
      <c r="AB37" t="str">
        <v>D</v>
      </c>
      <c r="AE37" t="str">
        <v>D</v>
      </c>
      <c r="AH37" t="str">
        <v>D</v>
      </c>
      <c r="AJ37" t="str">
        <v>-</v>
      </c>
      <c r="AM37" t="str">
        <v>D</v>
      </c>
      <c r="AO37" t="str">
        <v>-</v>
      </c>
      <c r="AR37" t="str">
        <v>D</v>
      </c>
      <c r="AT37" t="str">
        <v>-</v>
      </c>
      <c r="AZ37">
        <v>100</v>
      </c>
      <c r="BE37">
        <v>100</v>
      </c>
      <c r="BJ37">
        <v>100</v>
      </c>
    </row>
    <row r="38">
      <c r="G38" t="str">
        <v>D</v>
      </c>
      <c r="J38" t="str">
        <v>D</v>
      </c>
      <c r="M38" t="str">
        <v>D</v>
      </c>
      <c r="O38">
        <v>0</v>
      </c>
      <c r="P38" t="str">
        <v>D</v>
      </c>
      <c r="Q38">
        <v>8</v>
      </c>
      <c r="S38" t="str">
        <v>D</v>
      </c>
      <c r="T38">
        <v>10</v>
      </c>
      <c r="U38" t="str">
        <v>-</v>
      </c>
      <c r="V38">
        <v>1000</v>
      </c>
      <c r="Y38" t="str">
        <v>D</v>
      </c>
      <c r="AB38" t="str">
        <v>D</v>
      </c>
      <c r="AE38" t="str">
        <v>D</v>
      </c>
      <c r="AH38" t="str">
        <v>D</v>
      </c>
      <c r="AJ38" t="str">
        <v>-</v>
      </c>
      <c r="AM38" t="str">
        <v>D</v>
      </c>
      <c r="AO38" t="str">
        <v>-</v>
      </c>
      <c r="AR38" t="str">
        <v>D</v>
      </c>
      <c r="AT38" t="str">
        <v>-</v>
      </c>
      <c r="AZ38">
        <v>100</v>
      </c>
      <c r="BE38">
        <v>100</v>
      </c>
      <c r="BJ38">
        <v>100</v>
      </c>
    </row>
    <row r="39">
      <c r="G39" t="str">
        <v>D</v>
      </c>
      <c r="J39" t="str">
        <v>D</v>
      </c>
      <c r="M39" t="str">
        <v>D</v>
      </c>
      <c r="O39">
        <v>0</v>
      </c>
      <c r="P39" t="str">
        <v>D</v>
      </c>
      <c r="Q39">
        <v>8</v>
      </c>
      <c r="S39" t="str">
        <v>D</v>
      </c>
      <c r="T39">
        <v>10</v>
      </c>
      <c r="U39" t="str">
        <v>-</v>
      </c>
      <c r="V39">
        <v>1000</v>
      </c>
      <c r="Y39" t="str">
        <v>D</v>
      </c>
      <c r="AB39" t="str">
        <v>D</v>
      </c>
      <c r="AE39" t="str">
        <v>D</v>
      </c>
      <c r="AH39" t="str">
        <v>D</v>
      </c>
      <c r="AJ39" t="str">
        <v>-</v>
      </c>
      <c r="AM39" t="str">
        <v>D</v>
      </c>
      <c r="AO39" t="str">
        <v>-</v>
      </c>
      <c r="AR39" t="str">
        <v>D</v>
      </c>
      <c r="AT39" t="str">
        <v>-</v>
      </c>
      <c r="AZ39">
        <v>100</v>
      </c>
      <c r="BE39">
        <v>100</v>
      </c>
      <c r="BJ39">
        <v>100</v>
      </c>
    </row>
    <row r="40">
      <c r="G40" t="str">
        <v>D</v>
      </c>
      <c r="J40" t="str">
        <v>D</v>
      </c>
      <c r="M40" t="str">
        <v>D</v>
      </c>
      <c r="O40">
        <v>0</v>
      </c>
      <c r="P40" t="str">
        <v>D</v>
      </c>
      <c r="Q40">
        <v>8</v>
      </c>
      <c r="S40" t="str">
        <v>D</v>
      </c>
      <c r="T40">
        <v>10</v>
      </c>
      <c r="U40" t="str">
        <v>-</v>
      </c>
      <c r="V40">
        <v>1000</v>
      </c>
      <c r="Y40" t="str">
        <v>D</v>
      </c>
      <c r="AB40" t="str">
        <v>D</v>
      </c>
      <c r="AE40" t="str">
        <v>D</v>
      </c>
      <c r="AH40" t="str">
        <v>D</v>
      </c>
      <c r="AJ40" t="str">
        <v>-</v>
      </c>
      <c r="AM40" t="str">
        <v>D</v>
      </c>
      <c r="AO40" t="str">
        <v>-</v>
      </c>
      <c r="AR40" t="str">
        <v>D</v>
      </c>
      <c r="AT40" t="str">
        <v>-</v>
      </c>
      <c r="AZ40">
        <v>100</v>
      </c>
      <c r="BE40">
        <v>100</v>
      </c>
      <c r="BJ40">
        <v>100</v>
      </c>
    </row>
    <row r="41">
      <c r="G41" t="str">
        <v>D</v>
      </c>
      <c r="J41" t="str">
        <v>D</v>
      </c>
      <c r="M41" t="str">
        <v>D</v>
      </c>
      <c r="O41">
        <v>0</v>
      </c>
      <c r="P41" t="str">
        <v>D</v>
      </c>
      <c r="Q41">
        <v>8</v>
      </c>
      <c r="S41" t="str">
        <v>D</v>
      </c>
      <c r="T41">
        <v>10</v>
      </c>
      <c r="U41" t="str">
        <v>-</v>
      </c>
      <c r="V41">
        <v>1000</v>
      </c>
      <c r="Y41" t="str">
        <v>D</v>
      </c>
      <c r="AB41" t="str">
        <v>D</v>
      </c>
      <c r="AE41" t="str">
        <v>D</v>
      </c>
      <c r="AH41" t="str">
        <v>D</v>
      </c>
      <c r="AJ41" t="str">
        <v>-</v>
      </c>
      <c r="AM41" t="str">
        <v>D</v>
      </c>
      <c r="AO41" t="str">
        <v>-</v>
      </c>
      <c r="AR41" t="str">
        <v>D</v>
      </c>
      <c r="AT41" t="str">
        <v>-</v>
      </c>
      <c r="AZ41">
        <v>100</v>
      </c>
      <c r="BE41">
        <v>100</v>
      </c>
      <c r="BJ41">
        <v>100</v>
      </c>
    </row>
    <row r="42">
      <c r="G42" t="str">
        <v>D</v>
      </c>
      <c r="J42" t="str">
        <v>D</v>
      </c>
      <c r="M42" t="str">
        <v>D</v>
      </c>
      <c r="O42">
        <v>0</v>
      </c>
      <c r="P42" t="str">
        <v>D</v>
      </c>
      <c r="Q42">
        <v>8</v>
      </c>
      <c r="S42" t="str">
        <v>D</v>
      </c>
      <c r="T42">
        <v>10</v>
      </c>
      <c r="U42" t="str">
        <v>-</v>
      </c>
      <c r="V42">
        <v>1000</v>
      </c>
      <c r="Y42" t="str">
        <v>D</v>
      </c>
      <c r="AB42" t="str">
        <v>D</v>
      </c>
      <c r="AE42" t="str">
        <v>D</v>
      </c>
      <c r="AH42" t="str">
        <v>D</v>
      </c>
      <c r="AJ42" t="str">
        <v>-</v>
      </c>
      <c r="AM42" t="str">
        <v>D</v>
      </c>
      <c r="AO42" t="str">
        <v>-</v>
      </c>
      <c r="AR42" t="str">
        <v>D</v>
      </c>
      <c r="AT42" t="str">
        <v>-</v>
      </c>
      <c r="AZ42">
        <v>100</v>
      </c>
      <c r="BE42">
        <v>100</v>
      </c>
      <c r="BJ42">
        <v>100</v>
      </c>
    </row>
    <row r="43">
      <c r="G43" t="str">
        <v>D</v>
      </c>
      <c r="J43" t="str">
        <v>D</v>
      </c>
      <c r="M43" t="str">
        <v>D</v>
      </c>
      <c r="O43">
        <v>0</v>
      </c>
      <c r="P43" t="str">
        <v>D</v>
      </c>
      <c r="Q43">
        <v>8</v>
      </c>
      <c r="S43" t="str">
        <v>D</v>
      </c>
      <c r="T43">
        <v>10</v>
      </c>
      <c r="U43" t="str">
        <v>-</v>
      </c>
      <c r="V43">
        <v>1000</v>
      </c>
      <c r="Y43" t="str">
        <v>D</v>
      </c>
      <c r="AB43" t="str">
        <v>D</v>
      </c>
      <c r="AE43" t="str">
        <v>D</v>
      </c>
      <c r="AH43" t="str">
        <v>D</v>
      </c>
      <c r="AJ43" t="str">
        <v>-</v>
      </c>
      <c r="AM43" t="str">
        <v>D</v>
      </c>
      <c r="AO43" t="str">
        <v>-</v>
      </c>
      <c r="AR43" t="str">
        <v>D</v>
      </c>
      <c r="AT43" t="str">
        <v>-</v>
      </c>
      <c r="AZ43">
        <v>100</v>
      </c>
      <c r="BE43">
        <v>100</v>
      </c>
      <c r="BJ43">
        <v>100</v>
      </c>
    </row>
    <row r="44">
      <c r="G44" t="str">
        <v>D</v>
      </c>
      <c r="J44" t="str">
        <v>D</v>
      </c>
      <c r="M44" t="str">
        <v>D</v>
      </c>
      <c r="O44">
        <v>0</v>
      </c>
      <c r="P44" t="str">
        <v>D</v>
      </c>
      <c r="Q44">
        <v>8</v>
      </c>
      <c r="S44" t="str">
        <v>D</v>
      </c>
      <c r="T44">
        <v>10</v>
      </c>
      <c r="U44" t="str">
        <v>-</v>
      </c>
      <c r="V44">
        <v>1000</v>
      </c>
      <c r="Y44" t="str">
        <v>D</v>
      </c>
      <c r="AB44" t="str">
        <v>D</v>
      </c>
      <c r="AE44" t="str">
        <v>D</v>
      </c>
      <c r="AH44" t="str">
        <v>D</v>
      </c>
      <c r="AJ44" t="str">
        <v>-</v>
      </c>
      <c r="AM44" t="str">
        <v>D</v>
      </c>
      <c r="AO44" t="str">
        <v>-</v>
      </c>
      <c r="AR44" t="str">
        <v>D</v>
      </c>
      <c r="AT44" t="str">
        <v>-</v>
      </c>
      <c r="AZ44">
        <v>100</v>
      </c>
      <c r="BE44">
        <v>100</v>
      </c>
      <c r="BJ44">
        <v>100</v>
      </c>
    </row>
    <row r="45">
      <c r="G45" t="str">
        <v>D</v>
      </c>
      <c r="J45" t="str">
        <v>D</v>
      </c>
      <c r="M45" t="str">
        <v>D</v>
      </c>
      <c r="O45">
        <v>0</v>
      </c>
      <c r="P45" t="str">
        <v>D</v>
      </c>
      <c r="Q45">
        <v>8</v>
      </c>
      <c r="S45" t="str">
        <v>D</v>
      </c>
      <c r="T45">
        <v>10</v>
      </c>
      <c r="U45" t="str">
        <v>-</v>
      </c>
      <c r="V45">
        <v>1000</v>
      </c>
      <c r="Y45" t="str">
        <v>D</v>
      </c>
      <c r="AB45" t="str">
        <v>D</v>
      </c>
      <c r="AE45" t="str">
        <v>D</v>
      </c>
      <c r="AH45" t="str">
        <v>D</v>
      </c>
      <c r="AJ45" t="str">
        <v>-</v>
      </c>
      <c r="AM45" t="str">
        <v>D</v>
      </c>
      <c r="AO45" t="str">
        <v>-</v>
      </c>
      <c r="AR45" t="str">
        <v>D</v>
      </c>
      <c r="AT45" t="str">
        <v>-</v>
      </c>
      <c r="AZ45">
        <v>100</v>
      </c>
      <c r="BE45">
        <v>100</v>
      </c>
      <c r="BJ45">
        <v>100</v>
      </c>
    </row>
    <row r="46">
      <c r="G46" t="str">
        <v>D</v>
      </c>
      <c r="J46" t="str">
        <v>D</v>
      </c>
      <c r="M46" t="str">
        <v>D</v>
      </c>
      <c r="O46">
        <v>0</v>
      </c>
      <c r="P46" t="str">
        <v>D</v>
      </c>
      <c r="Q46">
        <v>8</v>
      </c>
      <c r="S46" t="str">
        <v>D</v>
      </c>
      <c r="T46">
        <v>10</v>
      </c>
      <c r="U46" t="str">
        <v>-</v>
      </c>
      <c r="V46">
        <v>1000</v>
      </c>
      <c r="Y46" t="str">
        <v>D</v>
      </c>
      <c r="AB46" t="str">
        <v>D</v>
      </c>
      <c r="AE46" t="str">
        <v>D</v>
      </c>
      <c r="AH46" t="str">
        <v>D</v>
      </c>
      <c r="AJ46" t="str">
        <v>-</v>
      </c>
      <c r="AM46" t="str">
        <v>D</v>
      </c>
      <c r="AO46" t="str">
        <v>-</v>
      </c>
      <c r="AR46" t="str">
        <v>D</v>
      </c>
      <c r="AT46" t="str">
        <v>-</v>
      </c>
      <c r="AZ46">
        <v>100</v>
      </c>
      <c r="BE46">
        <v>100</v>
      </c>
      <c r="BJ46">
        <v>100</v>
      </c>
    </row>
    <row r="47">
      <c r="G47" t="str">
        <v>D</v>
      </c>
      <c r="J47" t="str">
        <v>D</v>
      </c>
      <c r="M47" t="str">
        <v>D</v>
      </c>
      <c r="O47">
        <v>0</v>
      </c>
      <c r="P47" t="str">
        <v>D</v>
      </c>
      <c r="Q47">
        <v>8</v>
      </c>
      <c r="S47" t="str">
        <v>D</v>
      </c>
      <c r="T47">
        <v>10</v>
      </c>
      <c r="U47" t="str">
        <v>-</v>
      </c>
      <c r="V47">
        <v>1000</v>
      </c>
      <c r="Y47" t="str">
        <v>D</v>
      </c>
      <c r="AB47" t="str">
        <v>D</v>
      </c>
      <c r="AE47" t="str">
        <v>D</v>
      </c>
      <c r="AH47" t="str">
        <v>D</v>
      </c>
      <c r="AJ47" t="str">
        <v>-</v>
      </c>
      <c r="AM47" t="str">
        <v>D</v>
      </c>
      <c r="AO47" t="str">
        <v>-</v>
      </c>
      <c r="AR47" t="str">
        <v>D</v>
      </c>
      <c r="AT47" t="str">
        <v>-</v>
      </c>
      <c r="AZ47">
        <v>100</v>
      </c>
      <c r="BE47">
        <v>100</v>
      </c>
      <c r="BJ47">
        <v>100</v>
      </c>
    </row>
    <row r="48">
      <c r="G48" t="str">
        <v>D</v>
      </c>
      <c r="J48" t="str">
        <v>D</v>
      </c>
      <c r="M48" t="str">
        <v>D</v>
      </c>
      <c r="O48">
        <v>0</v>
      </c>
      <c r="P48" t="str">
        <v>D</v>
      </c>
      <c r="Q48">
        <v>8</v>
      </c>
      <c r="S48" t="str">
        <v>D</v>
      </c>
      <c r="T48">
        <v>10</v>
      </c>
      <c r="U48" t="str">
        <v>-</v>
      </c>
      <c r="V48">
        <v>1000</v>
      </c>
      <c r="Y48" t="str">
        <v>D</v>
      </c>
      <c r="AB48" t="str">
        <v>D</v>
      </c>
      <c r="AE48" t="str">
        <v>D</v>
      </c>
      <c r="AH48" t="str">
        <v>D</v>
      </c>
      <c r="AJ48" t="str">
        <v>-</v>
      </c>
      <c r="AM48" t="str">
        <v>D</v>
      </c>
      <c r="AO48" t="str">
        <v>-</v>
      </c>
      <c r="AR48" t="str">
        <v>D</v>
      </c>
      <c r="AT48" t="str">
        <v>-</v>
      </c>
      <c r="AZ48">
        <v>100</v>
      </c>
      <c r="BE48">
        <v>100</v>
      </c>
      <c r="BJ48">
        <v>100</v>
      </c>
    </row>
    <row r="49">
      <c r="G49" t="str">
        <v>D</v>
      </c>
      <c r="J49" t="str">
        <v>D</v>
      </c>
      <c r="M49" t="str">
        <v>D</v>
      </c>
      <c r="O49">
        <v>0</v>
      </c>
      <c r="P49" t="str">
        <v>D</v>
      </c>
      <c r="Q49">
        <v>8</v>
      </c>
      <c r="S49" t="str">
        <v>D</v>
      </c>
      <c r="T49">
        <v>10</v>
      </c>
      <c r="U49" t="str">
        <v>-</v>
      </c>
      <c r="V49">
        <v>1000</v>
      </c>
      <c r="Y49" t="str">
        <v>D</v>
      </c>
      <c r="AB49" t="str">
        <v>D</v>
      </c>
      <c r="AE49" t="str">
        <v>D</v>
      </c>
      <c r="AH49" t="str">
        <v>D</v>
      </c>
      <c r="AJ49" t="str">
        <v>-</v>
      </c>
      <c r="AM49" t="str">
        <v>D</v>
      </c>
      <c r="AO49" t="str">
        <v>-</v>
      </c>
      <c r="AR49" t="str">
        <v>D</v>
      </c>
      <c r="AT49" t="str">
        <v>-</v>
      </c>
      <c r="AZ49">
        <v>100</v>
      </c>
      <c r="BE49">
        <v>100</v>
      </c>
      <c r="BJ49">
        <v>100</v>
      </c>
    </row>
    <row r="50">
      <c r="G50" t="str">
        <v>D</v>
      </c>
      <c r="J50" t="str">
        <v>D</v>
      </c>
      <c r="M50" t="str">
        <v>D</v>
      </c>
      <c r="O50">
        <v>0</v>
      </c>
      <c r="P50" t="str">
        <v>D</v>
      </c>
      <c r="Q50">
        <v>8</v>
      </c>
      <c r="S50" t="str">
        <v>D</v>
      </c>
      <c r="T50">
        <v>10</v>
      </c>
      <c r="U50" t="str">
        <v>-</v>
      </c>
      <c r="V50">
        <v>1000</v>
      </c>
      <c r="Y50" t="str">
        <v>D</v>
      </c>
      <c r="AB50" t="str">
        <v>D</v>
      </c>
      <c r="AE50" t="str">
        <v>D</v>
      </c>
      <c r="AH50" t="str">
        <v>D</v>
      </c>
      <c r="AJ50" t="str">
        <v>-</v>
      </c>
      <c r="AM50" t="str">
        <v>D</v>
      </c>
      <c r="AO50" t="str">
        <v>-</v>
      </c>
      <c r="AR50" t="str">
        <v>D</v>
      </c>
      <c r="AT50" t="str">
        <v>-</v>
      </c>
      <c r="AZ50">
        <v>100</v>
      </c>
      <c r="BE50">
        <v>100</v>
      </c>
      <c r="BJ50">
        <v>100</v>
      </c>
    </row>
    <row r="51">
      <c r="G51" t="str">
        <v>D</v>
      </c>
      <c r="J51" t="str">
        <v>D</v>
      </c>
      <c r="M51" t="str">
        <v>D</v>
      </c>
      <c r="O51">
        <v>0</v>
      </c>
      <c r="P51" t="str">
        <v>D</v>
      </c>
      <c r="Q51">
        <v>8</v>
      </c>
      <c r="S51" t="str">
        <v>D</v>
      </c>
      <c r="T51">
        <v>10</v>
      </c>
      <c r="U51" t="str">
        <v>-</v>
      </c>
      <c r="V51">
        <v>1000</v>
      </c>
      <c r="Y51" t="str">
        <v>D</v>
      </c>
      <c r="AB51" t="str">
        <v>D</v>
      </c>
      <c r="AE51" t="str">
        <v>D</v>
      </c>
      <c r="AH51" t="str">
        <v>D</v>
      </c>
      <c r="AJ51" t="str">
        <v>-</v>
      </c>
      <c r="AM51" t="str">
        <v>D</v>
      </c>
      <c r="AO51" t="str">
        <v>-</v>
      </c>
      <c r="AR51" t="str">
        <v>D</v>
      </c>
      <c r="AT51" t="str">
        <v>-</v>
      </c>
      <c r="AZ51">
        <v>100</v>
      </c>
      <c r="BE51">
        <v>100</v>
      </c>
      <c r="BJ51">
        <v>100</v>
      </c>
    </row>
    <row r="52">
      <c r="G52" t="str">
        <v>D</v>
      </c>
      <c r="J52" t="str">
        <v>D</v>
      </c>
      <c r="M52" t="str">
        <v>D</v>
      </c>
      <c r="O52">
        <v>0</v>
      </c>
      <c r="P52" t="str">
        <v>D</v>
      </c>
      <c r="Q52">
        <v>8</v>
      </c>
      <c r="S52" t="str">
        <v>D</v>
      </c>
      <c r="T52">
        <v>10</v>
      </c>
      <c r="U52" t="str">
        <v>-</v>
      </c>
      <c r="V52">
        <v>1000</v>
      </c>
      <c r="Y52" t="str">
        <v>D</v>
      </c>
      <c r="AB52" t="str">
        <v>D</v>
      </c>
      <c r="AE52" t="str">
        <v>D</v>
      </c>
      <c r="AH52" t="str">
        <v>D</v>
      </c>
      <c r="AJ52" t="str">
        <v>-</v>
      </c>
      <c r="AM52" t="str">
        <v>D</v>
      </c>
      <c r="AO52" t="str">
        <v>-</v>
      </c>
      <c r="AR52" t="str">
        <v>D</v>
      </c>
      <c r="AT52" t="str">
        <v>-</v>
      </c>
      <c r="AZ52">
        <v>100</v>
      </c>
      <c r="BE52">
        <v>100</v>
      </c>
      <c r="BJ52">
        <v>100</v>
      </c>
    </row>
    <row r="53">
      <c r="G53" t="str">
        <v>D</v>
      </c>
      <c r="J53" t="str">
        <v>D</v>
      </c>
      <c r="M53" t="str">
        <v>D</v>
      </c>
      <c r="O53">
        <v>0</v>
      </c>
      <c r="P53" t="str">
        <v>D</v>
      </c>
      <c r="Q53">
        <v>8</v>
      </c>
      <c r="S53" t="str">
        <v>D</v>
      </c>
      <c r="T53">
        <v>10</v>
      </c>
      <c r="U53" t="str">
        <v>-</v>
      </c>
      <c r="V53">
        <v>1000</v>
      </c>
      <c r="Y53" t="str">
        <v>D</v>
      </c>
      <c r="AB53" t="str">
        <v>D</v>
      </c>
      <c r="AE53" t="str">
        <v>D</v>
      </c>
      <c r="AH53" t="str">
        <v>D</v>
      </c>
      <c r="AJ53" t="str">
        <v>-</v>
      </c>
      <c r="AM53" t="str">
        <v>D</v>
      </c>
      <c r="AO53" t="str">
        <v>-</v>
      </c>
      <c r="AR53" t="str">
        <v>D</v>
      </c>
      <c r="AT53" t="str">
        <v>-</v>
      </c>
      <c r="AZ53">
        <v>100</v>
      </c>
      <c r="BE53">
        <v>100</v>
      </c>
      <c r="BJ53">
        <v>100</v>
      </c>
    </row>
    <row r="54">
      <c r="G54" t="str">
        <v>D</v>
      </c>
      <c r="J54" t="str">
        <v>D</v>
      </c>
      <c r="M54" t="str">
        <v>D</v>
      </c>
      <c r="O54">
        <v>0</v>
      </c>
      <c r="P54" t="str">
        <v>D</v>
      </c>
      <c r="Q54">
        <v>8</v>
      </c>
      <c r="S54" t="str">
        <v>D</v>
      </c>
      <c r="T54">
        <v>10</v>
      </c>
      <c r="U54" t="str">
        <v>-</v>
      </c>
      <c r="V54">
        <v>1000</v>
      </c>
      <c r="Y54" t="str">
        <v>D</v>
      </c>
      <c r="AB54" t="str">
        <v>D</v>
      </c>
      <c r="AE54" t="str">
        <v>D</v>
      </c>
      <c r="AH54" t="str">
        <v>D</v>
      </c>
      <c r="AJ54" t="str">
        <v>-</v>
      </c>
      <c r="AM54" t="str">
        <v>D</v>
      </c>
      <c r="AO54" t="str">
        <v>-</v>
      </c>
      <c r="AR54" t="str">
        <v>D</v>
      </c>
      <c r="AT54" t="str">
        <v>-</v>
      </c>
      <c r="AZ54">
        <v>100</v>
      </c>
      <c r="BE54">
        <v>100</v>
      </c>
      <c r="BJ54">
        <v>100</v>
      </c>
    </row>
    <row r="55">
      <c r="G55" t="str">
        <v>D</v>
      </c>
      <c r="J55" t="str">
        <v>D</v>
      </c>
      <c r="M55" t="str">
        <v>D</v>
      </c>
      <c r="O55">
        <v>0</v>
      </c>
      <c r="P55" t="str">
        <v>D</v>
      </c>
      <c r="Q55">
        <v>8</v>
      </c>
      <c r="S55" t="str">
        <v>D</v>
      </c>
      <c r="T55">
        <v>10</v>
      </c>
      <c r="U55" t="str">
        <v>-</v>
      </c>
      <c r="V55">
        <v>1000</v>
      </c>
      <c r="Y55" t="str">
        <v>D</v>
      </c>
      <c r="AB55" t="str">
        <v>D</v>
      </c>
      <c r="AE55" t="str">
        <v>D</v>
      </c>
      <c r="AH55" t="str">
        <v>D</v>
      </c>
      <c r="AJ55" t="str">
        <v>-</v>
      </c>
      <c r="AM55" t="str">
        <v>D</v>
      </c>
      <c r="AO55" t="str">
        <v>-</v>
      </c>
      <c r="AR55" t="str">
        <v>D</v>
      </c>
      <c r="AT55" t="str">
        <v>-</v>
      </c>
      <c r="AZ55">
        <v>100</v>
      </c>
      <c r="BE55">
        <v>100</v>
      </c>
      <c r="BJ55">
        <v>100</v>
      </c>
    </row>
    <row r="56">
      <c r="G56" t="str">
        <v>D</v>
      </c>
      <c r="J56" t="str">
        <v>D</v>
      </c>
      <c r="M56" t="str">
        <v>D</v>
      </c>
      <c r="O56">
        <v>0</v>
      </c>
      <c r="P56" t="str">
        <v>D</v>
      </c>
      <c r="Q56">
        <v>8</v>
      </c>
      <c r="S56" t="str">
        <v>D</v>
      </c>
      <c r="T56">
        <v>10</v>
      </c>
      <c r="U56" t="str">
        <v>-</v>
      </c>
      <c r="V56">
        <v>1000</v>
      </c>
      <c r="Y56" t="str">
        <v>D</v>
      </c>
      <c r="AB56" t="str">
        <v>D</v>
      </c>
      <c r="AE56" t="str">
        <v>D</v>
      </c>
      <c r="AH56" t="str">
        <v>D</v>
      </c>
      <c r="AJ56" t="str">
        <v>-</v>
      </c>
      <c r="AM56" t="str">
        <v>D</v>
      </c>
      <c r="AO56" t="str">
        <v>-</v>
      </c>
      <c r="AR56" t="str">
        <v>D</v>
      </c>
      <c r="AT56" t="str">
        <v>-</v>
      </c>
      <c r="AZ56">
        <v>100</v>
      </c>
      <c r="BE56">
        <v>100</v>
      </c>
      <c r="BJ56">
        <v>100</v>
      </c>
    </row>
    <row r="57">
      <c r="G57" t="str">
        <v>D</v>
      </c>
      <c r="J57" t="str">
        <v>D</v>
      </c>
      <c r="M57" t="str">
        <v>D</v>
      </c>
      <c r="O57">
        <v>0</v>
      </c>
      <c r="P57" t="str">
        <v>D</v>
      </c>
      <c r="Q57">
        <v>8</v>
      </c>
      <c r="S57" t="str">
        <v>D</v>
      </c>
      <c r="T57">
        <v>10</v>
      </c>
      <c r="U57" t="str">
        <v>-</v>
      </c>
      <c r="V57">
        <v>1000</v>
      </c>
      <c r="Y57" t="str">
        <v>D</v>
      </c>
      <c r="AB57" t="str">
        <v>D</v>
      </c>
      <c r="AE57" t="str">
        <v>D</v>
      </c>
      <c r="AH57" t="str">
        <v>D</v>
      </c>
      <c r="AJ57" t="str">
        <v>-</v>
      </c>
      <c r="AM57" t="str">
        <v>D</v>
      </c>
      <c r="AO57" t="str">
        <v>-</v>
      </c>
      <c r="AR57" t="str">
        <v>D</v>
      </c>
      <c r="AT57" t="str">
        <v>-</v>
      </c>
      <c r="AZ57">
        <v>100</v>
      </c>
      <c r="BE57">
        <v>100</v>
      </c>
      <c r="BJ57">
        <v>100</v>
      </c>
    </row>
    <row r="58">
      <c r="G58" t="str">
        <v>D</v>
      </c>
      <c r="J58" t="str">
        <v>D</v>
      </c>
      <c r="M58" t="str">
        <v>D</v>
      </c>
      <c r="O58">
        <v>0</v>
      </c>
      <c r="P58" t="str">
        <v>D</v>
      </c>
      <c r="Q58">
        <v>8</v>
      </c>
      <c r="S58" t="str">
        <v>D</v>
      </c>
      <c r="T58">
        <v>10</v>
      </c>
      <c r="U58" t="str">
        <v>-</v>
      </c>
      <c r="V58">
        <v>1000</v>
      </c>
      <c r="Y58" t="str">
        <v>D</v>
      </c>
      <c r="AB58" t="str">
        <v>D</v>
      </c>
      <c r="AE58" t="str">
        <v>D</v>
      </c>
      <c r="AH58" t="str">
        <v>D</v>
      </c>
      <c r="AJ58" t="str">
        <v>-</v>
      </c>
      <c r="AM58" t="str">
        <v>D</v>
      </c>
      <c r="AO58" t="str">
        <v>-</v>
      </c>
      <c r="AR58" t="str">
        <v>D</v>
      </c>
      <c r="AT58" t="str">
        <v>-</v>
      </c>
      <c r="AZ58">
        <v>100</v>
      </c>
      <c r="BE58">
        <v>100</v>
      </c>
      <c r="BJ58">
        <v>100</v>
      </c>
    </row>
    <row r="59">
      <c r="G59" t="str">
        <v>D</v>
      </c>
      <c r="J59" t="str">
        <v>D</v>
      </c>
      <c r="M59" t="str">
        <v>D</v>
      </c>
      <c r="O59">
        <v>0</v>
      </c>
      <c r="P59" t="str">
        <v>D</v>
      </c>
      <c r="Q59">
        <v>8</v>
      </c>
      <c r="S59" t="str">
        <v>D</v>
      </c>
      <c r="T59">
        <v>10</v>
      </c>
      <c r="U59" t="str">
        <v>-</v>
      </c>
      <c r="V59">
        <v>1000</v>
      </c>
      <c r="Y59" t="str">
        <v>D</v>
      </c>
      <c r="AB59" t="str">
        <v>D</v>
      </c>
      <c r="AE59" t="str">
        <v>D</v>
      </c>
      <c r="AH59" t="str">
        <v>D</v>
      </c>
      <c r="AJ59" t="str">
        <v>-</v>
      </c>
      <c r="AM59" t="str">
        <v>D</v>
      </c>
      <c r="AO59" t="str">
        <v>-</v>
      </c>
      <c r="AR59" t="str">
        <v>D</v>
      </c>
      <c r="AT59" t="str">
        <v>-</v>
      </c>
      <c r="AZ59">
        <v>100</v>
      </c>
      <c r="BE59">
        <v>100</v>
      </c>
      <c r="BJ59">
        <v>100</v>
      </c>
    </row>
    <row r="60">
      <c r="G60" t="str">
        <v>D</v>
      </c>
      <c r="J60" t="str">
        <v>D</v>
      </c>
      <c r="M60" t="str">
        <v>D</v>
      </c>
      <c r="O60">
        <v>0</v>
      </c>
      <c r="P60" t="str">
        <v>D</v>
      </c>
      <c r="Q60">
        <v>8</v>
      </c>
      <c r="S60" t="str">
        <v>D</v>
      </c>
      <c r="T60">
        <v>10</v>
      </c>
      <c r="U60" t="str">
        <v>-</v>
      </c>
      <c r="V60">
        <v>1000</v>
      </c>
      <c r="Y60" t="str">
        <v>D</v>
      </c>
      <c r="AB60" t="str">
        <v>D</v>
      </c>
      <c r="AE60" t="str">
        <v>D</v>
      </c>
      <c r="AH60" t="str">
        <v>D</v>
      </c>
      <c r="AJ60" t="str">
        <v>-</v>
      </c>
      <c r="AM60" t="str">
        <v>D</v>
      </c>
      <c r="AO60" t="str">
        <v>-</v>
      </c>
      <c r="AR60" t="str">
        <v>D</v>
      </c>
      <c r="AT60" t="str">
        <v>-</v>
      </c>
      <c r="AZ60">
        <v>100</v>
      </c>
      <c r="BE60">
        <v>100</v>
      </c>
      <c r="BJ60">
        <v>100</v>
      </c>
    </row>
    <row r="61">
      <c r="G61" t="str">
        <v>D</v>
      </c>
      <c r="J61" t="str">
        <v>D</v>
      </c>
      <c r="M61" t="str">
        <v>D</v>
      </c>
      <c r="O61">
        <v>0</v>
      </c>
      <c r="P61" t="str">
        <v>D</v>
      </c>
      <c r="Q61">
        <v>8</v>
      </c>
      <c r="S61" t="str">
        <v>D</v>
      </c>
      <c r="T61">
        <v>10</v>
      </c>
      <c r="U61" t="str">
        <v>-</v>
      </c>
      <c r="V61">
        <v>1000</v>
      </c>
      <c r="Y61" t="str">
        <v>D</v>
      </c>
      <c r="AB61" t="str">
        <v>D</v>
      </c>
      <c r="AE61" t="str">
        <v>D</v>
      </c>
      <c r="AH61" t="str">
        <v>D</v>
      </c>
      <c r="AJ61" t="str">
        <v>-</v>
      </c>
      <c r="AM61" t="str">
        <v>D</v>
      </c>
      <c r="AO61" t="str">
        <v>-</v>
      </c>
      <c r="AR61" t="str">
        <v>D</v>
      </c>
      <c r="AT61" t="str">
        <v>-</v>
      </c>
      <c r="AZ61">
        <v>100</v>
      </c>
      <c r="BE61">
        <v>100</v>
      </c>
      <c r="BJ61">
        <v>100</v>
      </c>
    </row>
    <row r="62">
      <c r="G62" t="str">
        <v>D</v>
      </c>
      <c r="J62" t="str">
        <v>D</v>
      </c>
      <c r="M62" t="str">
        <v>D</v>
      </c>
      <c r="O62">
        <v>0</v>
      </c>
      <c r="P62" t="str">
        <v>D</v>
      </c>
      <c r="Q62">
        <v>8</v>
      </c>
      <c r="S62" t="str">
        <v>D</v>
      </c>
      <c r="T62">
        <v>10</v>
      </c>
      <c r="U62" t="str">
        <v>-</v>
      </c>
      <c r="V62">
        <v>1000</v>
      </c>
      <c r="Y62" t="str">
        <v>D</v>
      </c>
      <c r="AB62" t="str">
        <v>D</v>
      </c>
      <c r="AE62" t="str">
        <v>D</v>
      </c>
      <c r="AH62" t="str">
        <v>D</v>
      </c>
      <c r="AJ62" t="str">
        <v>-</v>
      </c>
      <c r="AM62" t="str">
        <v>D</v>
      </c>
      <c r="AO62" t="str">
        <v>-</v>
      </c>
      <c r="AR62" t="str">
        <v>D</v>
      </c>
      <c r="AT62" t="str">
        <v>-</v>
      </c>
      <c r="AZ62">
        <v>100</v>
      </c>
      <c r="BE62">
        <v>100</v>
      </c>
      <c r="BJ62">
        <v>100</v>
      </c>
    </row>
    <row r="63">
      <c r="G63" t="str">
        <v>D</v>
      </c>
      <c r="J63" t="str">
        <v>D</v>
      </c>
      <c r="M63" t="str">
        <v>D</v>
      </c>
      <c r="O63">
        <v>0</v>
      </c>
      <c r="P63" t="str">
        <v>D</v>
      </c>
      <c r="Q63">
        <v>8</v>
      </c>
      <c r="S63" t="str">
        <v>D</v>
      </c>
      <c r="T63">
        <v>10</v>
      </c>
      <c r="U63" t="str">
        <v>-</v>
      </c>
      <c r="V63">
        <v>1000</v>
      </c>
      <c r="Y63" t="str">
        <v>D</v>
      </c>
      <c r="AB63" t="str">
        <v>D</v>
      </c>
      <c r="AE63" t="str">
        <v>D</v>
      </c>
      <c r="AH63" t="str">
        <v>D</v>
      </c>
      <c r="AJ63" t="str">
        <v>-</v>
      </c>
      <c r="AM63" t="str">
        <v>D</v>
      </c>
      <c r="AO63" t="str">
        <v>-</v>
      </c>
      <c r="AR63" t="str">
        <v>D</v>
      </c>
      <c r="AT63" t="str">
        <v>-</v>
      </c>
      <c r="AZ63">
        <v>100</v>
      </c>
      <c r="BE63">
        <v>100</v>
      </c>
      <c r="BJ63">
        <v>100</v>
      </c>
    </row>
    <row r="64">
      <c r="G64" t="str">
        <v>D</v>
      </c>
      <c r="J64" t="str">
        <v>D</v>
      </c>
      <c r="M64" t="str">
        <v>D</v>
      </c>
      <c r="O64">
        <v>0</v>
      </c>
      <c r="P64" t="str">
        <v>D</v>
      </c>
      <c r="Q64">
        <v>8</v>
      </c>
      <c r="S64" t="str">
        <v>D</v>
      </c>
      <c r="T64">
        <v>10</v>
      </c>
      <c r="U64" t="str">
        <v>-</v>
      </c>
      <c r="V64">
        <v>1000</v>
      </c>
      <c r="Y64" t="str">
        <v>D</v>
      </c>
      <c r="AB64" t="str">
        <v>D</v>
      </c>
      <c r="AE64" t="str">
        <v>D</v>
      </c>
      <c r="AH64" t="str">
        <v>D</v>
      </c>
      <c r="AJ64" t="str">
        <v>-</v>
      </c>
      <c r="AM64" t="str">
        <v>D</v>
      </c>
      <c r="AO64" t="str">
        <v>-</v>
      </c>
      <c r="AR64" t="str">
        <v>D</v>
      </c>
      <c r="AT64" t="str">
        <v>-</v>
      </c>
      <c r="AZ64">
        <v>100</v>
      </c>
      <c r="BE64">
        <v>100</v>
      </c>
      <c r="BJ64">
        <v>100</v>
      </c>
    </row>
    <row r="65">
      <c r="G65" t="str">
        <v>D</v>
      </c>
      <c r="J65" t="str">
        <v>D</v>
      </c>
      <c r="M65" t="str">
        <v>D</v>
      </c>
      <c r="O65">
        <v>0</v>
      </c>
      <c r="P65" t="str">
        <v>D</v>
      </c>
      <c r="Q65">
        <v>8</v>
      </c>
      <c r="S65" t="str">
        <v>D</v>
      </c>
      <c r="T65">
        <v>10</v>
      </c>
      <c r="U65" t="str">
        <v>-</v>
      </c>
      <c r="V65">
        <v>1000</v>
      </c>
      <c r="Y65" t="str">
        <v>D</v>
      </c>
      <c r="AB65" t="str">
        <v>D</v>
      </c>
      <c r="AE65" t="str">
        <v>D</v>
      </c>
      <c r="AH65" t="str">
        <v>D</v>
      </c>
      <c r="AJ65" t="str">
        <v>-</v>
      </c>
      <c r="AM65" t="str">
        <v>D</v>
      </c>
      <c r="AO65" t="str">
        <v>-</v>
      </c>
      <c r="AR65" t="str">
        <v>D</v>
      </c>
      <c r="AT65" t="str">
        <v>-</v>
      </c>
      <c r="AZ65">
        <v>100</v>
      </c>
      <c r="BE65">
        <v>100</v>
      </c>
      <c r="BJ65">
        <v>100</v>
      </c>
    </row>
    <row r="66">
      <c r="G66" t="str">
        <v>D</v>
      </c>
      <c r="J66" t="str">
        <v>D</v>
      </c>
      <c r="M66" t="str">
        <v>D</v>
      </c>
      <c r="O66">
        <v>0</v>
      </c>
      <c r="P66" t="str">
        <v>D</v>
      </c>
      <c r="Q66">
        <v>8</v>
      </c>
      <c r="S66" t="str">
        <v>D</v>
      </c>
      <c r="T66">
        <v>10</v>
      </c>
      <c r="U66" t="str">
        <v>-</v>
      </c>
      <c r="V66">
        <v>1000</v>
      </c>
      <c r="Y66" t="str">
        <v>D</v>
      </c>
      <c r="AB66" t="str">
        <v>D</v>
      </c>
      <c r="AE66" t="str">
        <v>D</v>
      </c>
      <c r="AH66" t="str">
        <v>D</v>
      </c>
      <c r="AJ66" t="str">
        <v>-</v>
      </c>
      <c r="AM66" t="str">
        <v>D</v>
      </c>
      <c r="AO66" t="str">
        <v>-</v>
      </c>
      <c r="AR66" t="str">
        <v>D</v>
      </c>
      <c r="AT66" t="str">
        <v>-</v>
      </c>
      <c r="AZ66">
        <v>100</v>
      </c>
      <c r="BE66">
        <v>100</v>
      </c>
      <c r="BJ66">
        <v>100</v>
      </c>
    </row>
    <row r="67">
      <c r="G67" t="str">
        <v>D</v>
      </c>
      <c r="J67" t="str">
        <v>D</v>
      </c>
      <c r="M67" t="str">
        <v>D</v>
      </c>
      <c r="O67">
        <v>0</v>
      </c>
      <c r="P67" t="str">
        <v>D</v>
      </c>
      <c r="Q67">
        <v>8</v>
      </c>
      <c r="S67" t="str">
        <v>D</v>
      </c>
      <c r="T67">
        <v>10</v>
      </c>
      <c r="U67" t="str">
        <v>-</v>
      </c>
      <c r="V67">
        <v>1000</v>
      </c>
      <c r="Y67" t="str">
        <v>D</v>
      </c>
      <c r="AB67" t="str">
        <v>D</v>
      </c>
      <c r="AE67" t="str">
        <v>D</v>
      </c>
      <c r="AH67" t="str">
        <v>D</v>
      </c>
      <c r="AJ67" t="str">
        <v>-</v>
      </c>
      <c r="AM67" t="str">
        <v>D</v>
      </c>
      <c r="AO67" t="str">
        <v>-</v>
      </c>
      <c r="AR67" t="str">
        <v>D</v>
      </c>
      <c r="AT67" t="str">
        <v>-</v>
      </c>
      <c r="AZ67">
        <v>100</v>
      </c>
      <c r="BE67">
        <v>100</v>
      </c>
      <c r="BJ67">
        <v>100</v>
      </c>
    </row>
    <row r="68">
      <c r="G68" t="str">
        <v>D</v>
      </c>
      <c r="J68" t="str">
        <v>D</v>
      </c>
      <c r="M68" t="str">
        <v>D</v>
      </c>
      <c r="O68">
        <v>0</v>
      </c>
      <c r="P68" t="str">
        <v>D</v>
      </c>
      <c r="Q68">
        <v>8</v>
      </c>
      <c r="S68" t="str">
        <v>D</v>
      </c>
      <c r="T68">
        <v>10</v>
      </c>
      <c r="U68" t="str">
        <v>-</v>
      </c>
      <c r="V68">
        <v>1000</v>
      </c>
      <c r="Y68" t="str">
        <v>D</v>
      </c>
      <c r="AB68" t="str">
        <v>D</v>
      </c>
      <c r="AE68" t="str">
        <v>D</v>
      </c>
      <c r="AH68" t="str">
        <v>D</v>
      </c>
      <c r="AJ68" t="str">
        <v>-</v>
      </c>
      <c r="AM68" t="str">
        <v>D</v>
      </c>
      <c r="AO68" t="str">
        <v>-</v>
      </c>
      <c r="AR68" t="str">
        <v>D</v>
      </c>
      <c r="AT68" t="str">
        <v>-</v>
      </c>
      <c r="AZ68">
        <v>100</v>
      </c>
      <c r="BE68">
        <v>100</v>
      </c>
      <c r="BJ68">
        <v>100</v>
      </c>
    </row>
    <row r="69">
      <c r="G69" t="str">
        <v>D</v>
      </c>
      <c r="J69" t="str">
        <v>D</v>
      </c>
      <c r="M69" t="str">
        <v>D</v>
      </c>
      <c r="O69">
        <v>0</v>
      </c>
      <c r="P69" t="str">
        <v>D</v>
      </c>
      <c r="Q69">
        <v>8</v>
      </c>
      <c r="S69" t="str">
        <v>D</v>
      </c>
      <c r="T69">
        <v>10</v>
      </c>
      <c r="U69" t="str">
        <v>-</v>
      </c>
      <c r="V69">
        <v>1000</v>
      </c>
      <c r="Y69" t="str">
        <v>D</v>
      </c>
      <c r="AB69" t="str">
        <v>D</v>
      </c>
      <c r="AE69" t="str">
        <v>D</v>
      </c>
      <c r="AH69" t="str">
        <v>D</v>
      </c>
      <c r="AJ69" t="str">
        <v>-</v>
      </c>
      <c r="AM69" t="str">
        <v>D</v>
      </c>
      <c r="AO69" t="str">
        <v>-</v>
      </c>
      <c r="AR69" t="str">
        <v>D</v>
      </c>
      <c r="AT69" t="str">
        <v>-</v>
      </c>
      <c r="AZ69">
        <v>100</v>
      </c>
      <c r="BE69">
        <v>100</v>
      </c>
      <c r="BJ69">
        <v>100</v>
      </c>
    </row>
    <row r="70">
      <c r="G70" t="str">
        <v>D</v>
      </c>
      <c r="J70" t="str">
        <v>D</v>
      </c>
      <c r="M70" t="str">
        <v>D</v>
      </c>
      <c r="O70">
        <v>0</v>
      </c>
      <c r="P70" t="str">
        <v>D</v>
      </c>
      <c r="Q70">
        <v>8</v>
      </c>
      <c r="S70" t="str">
        <v>D</v>
      </c>
      <c r="T70">
        <v>10</v>
      </c>
      <c r="U70" t="str">
        <v>-</v>
      </c>
      <c r="V70">
        <v>1000</v>
      </c>
      <c r="Y70" t="str">
        <v>D</v>
      </c>
      <c r="AB70" t="str">
        <v>D</v>
      </c>
      <c r="AE70" t="str">
        <v>D</v>
      </c>
      <c r="AH70" t="str">
        <v>D</v>
      </c>
      <c r="AJ70" t="str">
        <v>-</v>
      </c>
      <c r="AM70" t="str">
        <v>D</v>
      </c>
      <c r="AO70" t="str">
        <v>-</v>
      </c>
      <c r="AR70" t="str">
        <v>D</v>
      </c>
      <c r="AT70" t="str">
        <v>-</v>
      </c>
      <c r="AZ70">
        <v>100</v>
      </c>
      <c r="BE70">
        <v>100</v>
      </c>
      <c r="BJ70">
        <v>100</v>
      </c>
    </row>
    <row r="71">
      <c r="G71" t="str">
        <v>D</v>
      </c>
      <c r="J71" t="str">
        <v>D</v>
      </c>
      <c r="M71" t="str">
        <v>D</v>
      </c>
      <c r="O71">
        <v>0</v>
      </c>
      <c r="P71" t="str">
        <v>D</v>
      </c>
      <c r="Q71">
        <v>8</v>
      </c>
      <c r="S71" t="str">
        <v>D</v>
      </c>
      <c r="T71">
        <v>10</v>
      </c>
      <c r="U71" t="str">
        <v>-</v>
      </c>
      <c r="V71">
        <v>1000</v>
      </c>
      <c r="Y71" t="str">
        <v>D</v>
      </c>
      <c r="AB71" t="str">
        <v>D</v>
      </c>
      <c r="AE71" t="str">
        <v>D</v>
      </c>
      <c r="AH71" t="str">
        <v>D</v>
      </c>
      <c r="AJ71" t="str">
        <v>-</v>
      </c>
      <c r="AM71" t="str">
        <v>D</v>
      </c>
      <c r="AO71" t="str">
        <v>-</v>
      </c>
      <c r="AR71" t="str">
        <v>D</v>
      </c>
      <c r="AT71" t="str">
        <v>-</v>
      </c>
      <c r="AZ71">
        <v>100</v>
      </c>
      <c r="BE71">
        <v>100</v>
      </c>
      <c r="BJ71">
        <v>100</v>
      </c>
    </row>
    <row r="72">
      <c r="G72" t="str">
        <v>D</v>
      </c>
      <c r="J72" t="str">
        <v>D</v>
      </c>
      <c r="M72" t="str">
        <v>D</v>
      </c>
      <c r="O72">
        <v>0</v>
      </c>
      <c r="P72" t="str">
        <v>D</v>
      </c>
      <c r="Q72">
        <v>8</v>
      </c>
      <c r="S72" t="str">
        <v>D</v>
      </c>
      <c r="T72">
        <v>10</v>
      </c>
      <c r="U72" t="str">
        <v>-</v>
      </c>
      <c r="V72">
        <v>1000</v>
      </c>
      <c r="Y72" t="str">
        <v>D</v>
      </c>
      <c r="AB72" t="str">
        <v>D</v>
      </c>
      <c r="AE72" t="str">
        <v>D</v>
      </c>
      <c r="AH72" t="str">
        <v>D</v>
      </c>
      <c r="AJ72" t="str">
        <v>-</v>
      </c>
      <c r="AM72" t="str">
        <v>D</v>
      </c>
      <c r="AO72" t="str">
        <v>-</v>
      </c>
      <c r="AR72" t="str">
        <v>D</v>
      </c>
      <c r="AT72" t="str">
        <v>-</v>
      </c>
      <c r="AZ72">
        <v>100</v>
      </c>
      <c r="BE72">
        <v>100</v>
      </c>
      <c r="BJ72">
        <v>100</v>
      </c>
    </row>
    <row r="73">
      <c r="G73" t="str">
        <v>D</v>
      </c>
      <c r="J73" t="str">
        <v>D</v>
      </c>
      <c r="M73" t="str">
        <v>D</v>
      </c>
      <c r="O73">
        <v>0</v>
      </c>
      <c r="P73" t="str">
        <v>D</v>
      </c>
      <c r="Q73">
        <v>8</v>
      </c>
      <c r="S73" t="str">
        <v>D</v>
      </c>
      <c r="T73">
        <v>10</v>
      </c>
      <c r="U73" t="str">
        <v>-</v>
      </c>
      <c r="V73">
        <v>1000</v>
      </c>
      <c r="Y73" t="str">
        <v>D</v>
      </c>
      <c r="AB73" t="str">
        <v>D</v>
      </c>
      <c r="AE73" t="str">
        <v>D</v>
      </c>
      <c r="AH73" t="str">
        <v>D</v>
      </c>
      <c r="AJ73" t="str">
        <v>-</v>
      </c>
      <c r="AM73" t="str">
        <v>D</v>
      </c>
      <c r="AO73" t="str">
        <v>-</v>
      </c>
      <c r="AR73" t="str">
        <v>D</v>
      </c>
      <c r="AT73" t="str">
        <v>-</v>
      </c>
      <c r="AZ73">
        <v>100</v>
      </c>
      <c r="BE73">
        <v>100</v>
      </c>
      <c r="BJ73">
        <v>100</v>
      </c>
    </row>
    <row r="74">
      <c r="G74" t="str">
        <v>D</v>
      </c>
      <c r="J74" t="str">
        <v>D</v>
      </c>
      <c r="M74" t="str">
        <v>D</v>
      </c>
      <c r="O74">
        <v>0</v>
      </c>
      <c r="P74" t="str">
        <v>D</v>
      </c>
      <c r="Q74">
        <v>8</v>
      </c>
      <c r="S74" t="str">
        <v>D</v>
      </c>
      <c r="T74">
        <v>10</v>
      </c>
      <c r="U74" t="str">
        <v>-</v>
      </c>
      <c r="V74">
        <v>1000</v>
      </c>
      <c r="Y74" t="str">
        <v>D</v>
      </c>
      <c r="AB74" t="str">
        <v>D</v>
      </c>
      <c r="AE74" t="str">
        <v>D</v>
      </c>
      <c r="AH74" t="str">
        <v>D</v>
      </c>
      <c r="AJ74" t="str">
        <v>-</v>
      </c>
      <c r="AM74" t="str">
        <v>D</v>
      </c>
      <c r="AO74" t="str">
        <v>-</v>
      </c>
      <c r="AR74" t="str">
        <v>D</v>
      </c>
      <c r="AT74" t="str">
        <v>-</v>
      </c>
      <c r="AZ74">
        <v>100</v>
      </c>
      <c r="BE74">
        <v>100</v>
      </c>
      <c r="BJ74">
        <v>100</v>
      </c>
    </row>
    <row r="75">
      <c r="G75" t="str">
        <v>D</v>
      </c>
      <c r="J75" t="str">
        <v>D</v>
      </c>
      <c r="M75" t="str">
        <v>D</v>
      </c>
      <c r="O75">
        <v>0</v>
      </c>
      <c r="P75" t="str">
        <v>D</v>
      </c>
      <c r="Q75">
        <v>8</v>
      </c>
      <c r="S75" t="str">
        <v>D</v>
      </c>
      <c r="T75">
        <v>10</v>
      </c>
      <c r="U75" t="str">
        <v>-</v>
      </c>
      <c r="V75">
        <v>1000</v>
      </c>
      <c r="Y75" t="str">
        <v>D</v>
      </c>
      <c r="AB75" t="str">
        <v>D</v>
      </c>
      <c r="AE75" t="str">
        <v>D</v>
      </c>
      <c r="AH75" t="str">
        <v>D</v>
      </c>
      <c r="AJ75" t="str">
        <v>-</v>
      </c>
      <c r="AM75" t="str">
        <v>D</v>
      </c>
      <c r="AO75" t="str">
        <v>-</v>
      </c>
      <c r="AR75" t="str">
        <v>D</v>
      </c>
      <c r="AT75" t="str">
        <v>-</v>
      </c>
      <c r="AZ75">
        <v>100</v>
      </c>
      <c r="BE75">
        <v>100</v>
      </c>
      <c r="BJ75">
        <v>100</v>
      </c>
    </row>
    <row r="76">
      <c r="G76" t="str">
        <v>D</v>
      </c>
      <c r="J76" t="str">
        <v>D</v>
      </c>
      <c r="M76" t="str">
        <v>D</v>
      </c>
      <c r="O76">
        <v>0</v>
      </c>
      <c r="P76" t="str">
        <v>D</v>
      </c>
      <c r="Q76">
        <v>8</v>
      </c>
      <c r="S76" t="str">
        <v>D</v>
      </c>
      <c r="T76">
        <v>10</v>
      </c>
      <c r="U76" t="str">
        <v>-</v>
      </c>
      <c r="V76">
        <v>1000</v>
      </c>
      <c r="Y76" t="str">
        <v>D</v>
      </c>
      <c r="AB76" t="str">
        <v>D</v>
      </c>
      <c r="AE76" t="str">
        <v>D</v>
      </c>
      <c r="AH76" t="str">
        <v>D</v>
      </c>
      <c r="AJ76" t="str">
        <v>-</v>
      </c>
      <c r="AM76" t="str">
        <v>D</v>
      </c>
      <c r="AO76" t="str">
        <v>-</v>
      </c>
      <c r="AR76" t="str">
        <v>D</v>
      </c>
      <c r="AT76" t="str">
        <v>-</v>
      </c>
      <c r="AZ76">
        <v>100</v>
      </c>
      <c r="BE76">
        <v>100</v>
      </c>
      <c r="BJ76">
        <v>100</v>
      </c>
    </row>
    <row r="77">
      <c r="G77" t="str">
        <v>D</v>
      </c>
      <c r="J77" t="str">
        <v>D</v>
      </c>
      <c r="M77" t="str">
        <v>D</v>
      </c>
      <c r="O77">
        <v>0</v>
      </c>
      <c r="P77" t="str">
        <v>D</v>
      </c>
      <c r="Q77">
        <v>8</v>
      </c>
      <c r="S77" t="str">
        <v>D</v>
      </c>
      <c r="T77">
        <v>10</v>
      </c>
      <c r="U77" t="str">
        <v>-</v>
      </c>
      <c r="V77">
        <v>1000</v>
      </c>
      <c r="Y77" t="str">
        <v>D</v>
      </c>
      <c r="AB77" t="str">
        <v>D</v>
      </c>
      <c r="AE77" t="str">
        <v>D</v>
      </c>
      <c r="AH77" t="str">
        <v>D</v>
      </c>
      <c r="AJ77" t="str">
        <v>-</v>
      </c>
      <c r="AM77" t="str">
        <v>D</v>
      </c>
      <c r="AO77" t="str">
        <v>-</v>
      </c>
      <c r="AR77" t="str">
        <v>D</v>
      </c>
      <c r="AT77" t="str">
        <v>-</v>
      </c>
      <c r="AZ77">
        <v>100</v>
      </c>
      <c r="BE77">
        <v>100</v>
      </c>
      <c r="BJ77">
        <v>100</v>
      </c>
    </row>
    <row r="78">
      <c r="G78" t="str">
        <v>D</v>
      </c>
      <c r="J78" t="str">
        <v>D</v>
      </c>
      <c r="M78" t="str">
        <v>D</v>
      </c>
      <c r="O78">
        <v>0</v>
      </c>
      <c r="P78" t="str">
        <v>D</v>
      </c>
      <c r="Q78">
        <v>8</v>
      </c>
      <c r="S78" t="str">
        <v>D</v>
      </c>
      <c r="T78">
        <v>10</v>
      </c>
      <c r="U78" t="str">
        <v>-</v>
      </c>
      <c r="V78">
        <v>1000</v>
      </c>
      <c r="Y78" t="str">
        <v>D</v>
      </c>
      <c r="AB78" t="str">
        <v>D</v>
      </c>
      <c r="AE78" t="str">
        <v>D</v>
      </c>
      <c r="AH78" t="str">
        <v>D</v>
      </c>
      <c r="AJ78" t="str">
        <v>-</v>
      </c>
      <c r="AM78" t="str">
        <v>D</v>
      </c>
      <c r="AO78" t="str">
        <v>-</v>
      </c>
      <c r="AR78" t="str">
        <v>D</v>
      </c>
      <c r="AT78" t="str">
        <v>-</v>
      </c>
      <c r="AZ78">
        <v>100</v>
      </c>
      <c r="BE78">
        <v>100</v>
      </c>
      <c r="BJ78">
        <v>100</v>
      </c>
    </row>
    <row r="79">
      <c r="G79" t="str">
        <v>D</v>
      </c>
      <c r="J79" t="str">
        <v>D</v>
      </c>
      <c r="M79" t="str">
        <v>D</v>
      </c>
      <c r="O79">
        <v>0</v>
      </c>
      <c r="P79" t="str">
        <v>D</v>
      </c>
      <c r="Q79">
        <v>8</v>
      </c>
      <c r="S79" t="str">
        <v>D</v>
      </c>
      <c r="T79">
        <v>10</v>
      </c>
      <c r="U79" t="str">
        <v>-</v>
      </c>
      <c r="V79">
        <v>1000</v>
      </c>
      <c r="Y79" t="str">
        <v>D</v>
      </c>
      <c r="AB79" t="str">
        <v>D</v>
      </c>
      <c r="AE79" t="str">
        <v>D</v>
      </c>
      <c r="AH79" t="str">
        <v>D</v>
      </c>
      <c r="AJ79" t="str">
        <v>-</v>
      </c>
      <c r="AM79" t="str">
        <v>D</v>
      </c>
      <c r="AO79" t="str">
        <v>-</v>
      </c>
      <c r="AR79" t="str">
        <v>D</v>
      </c>
      <c r="AT79" t="str">
        <v>-</v>
      </c>
      <c r="AZ79">
        <v>100</v>
      </c>
      <c r="BE79">
        <v>100</v>
      </c>
      <c r="BJ79">
        <v>100</v>
      </c>
    </row>
    <row r="80">
      <c r="G80" t="str">
        <v>D</v>
      </c>
      <c r="J80" t="str">
        <v>D</v>
      </c>
      <c r="M80" t="str">
        <v>D</v>
      </c>
      <c r="O80">
        <v>0</v>
      </c>
      <c r="P80" t="str">
        <v>D</v>
      </c>
      <c r="Q80">
        <v>8</v>
      </c>
      <c r="S80" t="str">
        <v>D</v>
      </c>
      <c r="T80">
        <v>10</v>
      </c>
      <c r="U80" t="str">
        <v>-</v>
      </c>
      <c r="V80">
        <v>1000</v>
      </c>
      <c r="Y80" t="str">
        <v>D</v>
      </c>
      <c r="AB80" t="str">
        <v>D</v>
      </c>
      <c r="AE80" t="str">
        <v>D</v>
      </c>
      <c r="AH80" t="str">
        <v>D</v>
      </c>
      <c r="AJ80" t="str">
        <v>-</v>
      </c>
      <c r="AM80" t="str">
        <v>D</v>
      </c>
      <c r="AO80" t="str">
        <v>-</v>
      </c>
      <c r="AR80" t="str">
        <v>D</v>
      </c>
      <c r="AT80" t="str">
        <v>-</v>
      </c>
      <c r="AZ80">
        <v>100</v>
      </c>
      <c r="BE80">
        <v>100</v>
      </c>
      <c r="BJ80">
        <v>100</v>
      </c>
    </row>
    <row r="81">
      <c r="G81" t="str">
        <v>D</v>
      </c>
      <c r="J81" t="str">
        <v>D</v>
      </c>
      <c r="M81" t="str">
        <v>D</v>
      </c>
      <c r="O81">
        <v>0</v>
      </c>
      <c r="P81" t="str">
        <v>D</v>
      </c>
      <c r="Q81">
        <v>8</v>
      </c>
      <c r="S81" t="str">
        <v>D</v>
      </c>
      <c r="T81">
        <v>10</v>
      </c>
      <c r="U81" t="str">
        <v>-</v>
      </c>
      <c r="V81">
        <v>1000</v>
      </c>
      <c r="Y81" t="str">
        <v>D</v>
      </c>
      <c r="AB81" t="str">
        <v>D</v>
      </c>
      <c r="AE81" t="str">
        <v>D</v>
      </c>
      <c r="AH81" t="str">
        <v>D</v>
      </c>
      <c r="AJ81" t="str">
        <v>-</v>
      </c>
      <c r="AM81" t="str">
        <v>D</v>
      </c>
      <c r="AO81" t="str">
        <v>-</v>
      </c>
      <c r="AR81" t="str">
        <v>D</v>
      </c>
      <c r="AT81" t="str">
        <v>-</v>
      </c>
      <c r="AZ81">
        <v>100</v>
      </c>
      <c r="BE81">
        <v>100</v>
      </c>
      <c r="BJ81">
        <v>100</v>
      </c>
    </row>
    <row r="82">
      <c r="G82" t="str">
        <v>D</v>
      </c>
      <c r="J82" t="str">
        <v>D</v>
      </c>
      <c r="M82" t="str">
        <v>D</v>
      </c>
      <c r="O82">
        <v>0</v>
      </c>
      <c r="P82" t="str">
        <v>D</v>
      </c>
      <c r="Q82">
        <v>8</v>
      </c>
      <c r="S82" t="str">
        <v>D</v>
      </c>
      <c r="T82">
        <v>10</v>
      </c>
      <c r="U82" t="str">
        <v>-</v>
      </c>
      <c r="V82">
        <v>1000</v>
      </c>
      <c r="Y82" t="str">
        <v>D</v>
      </c>
      <c r="AB82" t="str">
        <v>D</v>
      </c>
      <c r="AE82" t="str">
        <v>D</v>
      </c>
      <c r="AH82" t="str">
        <v>D</v>
      </c>
      <c r="AJ82" t="str">
        <v>-</v>
      </c>
      <c r="AM82" t="str">
        <v>D</v>
      </c>
      <c r="AO82" t="str">
        <v>-</v>
      </c>
      <c r="AR82" t="str">
        <v>D</v>
      </c>
      <c r="AT82" t="str">
        <v>-</v>
      </c>
      <c r="AZ82">
        <v>100</v>
      </c>
      <c r="BE82">
        <v>100</v>
      </c>
      <c r="BJ82">
        <v>100</v>
      </c>
    </row>
    <row r="83">
      <c r="G83" t="str">
        <v>D</v>
      </c>
      <c r="J83" t="str">
        <v>D</v>
      </c>
      <c r="M83" t="str">
        <v>D</v>
      </c>
      <c r="O83">
        <v>0</v>
      </c>
      <c r="P83" t="str">
        <v>D</v>
      </c>
      <c r="Q83">
        <v>8</v>
      </c>
      <c r="S83" t="str">
        <v>D</v>
      </c>
      <c r="T83">
        <v>10</v>
      </c>
      <c r="U83" t="str">
        <v>-</v>
      </c>
      <c r="V83">
        <v>1000</v>
      </c>
      <c r="Y83" t="str">
        <v>D</v>
      </c>
      <c r="AB83" t="str">
        <v>D</v>
      </c>
      <c r="AE83" t="str">
        <v>D</v>
      </c>
      <c r="AH83" t="str">
        <v>D</v>
      </c>
      <c r="AJ83" t="str">
        <v>-</v>
      </c>
      <c r="AM83" t="str">
        <v>D</v>
      </c>
      <c r="AO83" t="str">
        <v>-</v>
      </c>
      <c r="AR83" t="str">
        <v>D</v>
      </c>
      <c r="AT83" t="str">
        <v>-</v>
      </c>
      <c r="AZ83">
        <v>100</v>
      </c>
      <c r="BE83">
        <v>100</v>
      </c>
      <c r="BJ83">
        <v>100</v>
      </c>
    </row>
    <row r="84">
      <c r="G84" t="str">
        <v>D</v>
      </c>
      <c r="J84" t="str">
        <v>D</v>
      </c>
      <c r="M84" t="str">
        <v>D</v>
      </c>
      <c r="O84">
        <v>0</v>
      </c>
      <c r="P84" t="str">
        <v>D</v>
      </c>
      <c r="Q84">
        <v>8</v>
      </c>
      <c r="S84" t="str">
        <v>D</v>
      </c>
      <c r="T84">
        <v>10</v>
      </c>
      <c r="U84" t="str">
        <v>-</v>
      </c>
      <c r="V84">
        <v>1000</v>
      </c>
      <c r="Y84" t="str">
        <v>D</v>
      </c>
      <c r="AB84" t="str">
        <v>D</v>
      </c>
      <c r="AE84" t="str">
        <v>D</v>
      </c>
      <c r="AH84" t="str">
        <v>D</v>
      </c>
      <c r="AJ84" t="str">
        <v>-</v>
      </c>
      <c r="AM84" t="str">
        <v>D</v>
      </c>
      <c r="AO84" t="str">
        <v>-</v>
      </c>
      <c r="AR84" t="str">
        <v>D</v>
      </c>
      <c r="AT84" t="str">
        <v>-</v>
      </c>
      <c r="AZ84">
        <v>100</v>
      </c>
      <c r="BE84">
        <v>100</v>
      </c>
      <c r="BJ84">
        <v>100</v>
      </c>
    </row>
    <row r="85">
      <c r="G85" t="str">
        <v>D</v>
      </c>
      <c r="J85" t="str">
        <v>D</v>
      </c>
      <c r="M85" t="str">
        <v>D</v>
      </c>
      <c r="O85">
        <v>0</v>
      </c>
      <c r="P85" t="str">
        <v>D</v>
      </c>
      <c r="Q85">
        <v>8</v>
      </c>
      <c r="S85" t="str">
        <v>D</v>
      </c>
      <c r="T85">
        <v>10</v>
      </c>
      <c r="U85" t="str">
        <v>-</v>
      </c>
      <c r="V85">
        <v>1000</v>
      </c>
      <c r="Y85" t="str">
        <v>D</v>
      </c>
      <c r="AB85" t="str">
        <v>D</v>
      </c>
      <c r="AE85" t="str">
        <v>D</v>
      </c>
      <c r="AH85" t="str">
        <v>D</v>
      </c>
      <c r="AJ85" t="str">
        <v>-</v>
      </c>
      <c r="AM85" t="str">
        <v>D</v>
      </c>
      <c r="AO85" t="str">
        <v>-</v>
      </c>
      <c r="AR85" t="str">
        <v>D</v>
      </c>
      <c r="AT85" t="str">
        <v>-</v>
      </c>
      <c r="AZ85">
        <v>100</v>
      </c>
      <c r="BE85">
        <v>100</v>
      </c>
      <c r="BJ85">
        <v>100</v>
      </c>
    </row>
    <row r="86">
      <c r="G86" t="str">
        <v>D</v>
      </c>
      <c r="J86" t="str">
        <v>D</v>
      </c>
      <c r="M86" t="str">
        <v>D</v>
      </c>
      <c r="O86">
        <v>0</v>
      </c>
      <c r="P86" t="str">
        <v>D</v>
      </c>
      <c r="Q86">
        <v>8</v>
      </c>
      <c r="S86" t="str">
        <v>D</v>
      </c>
      <c r="T86">
        <v>10</v>
      </c>
      <c r="U86" t="str">
        <v>-</v>
      </c>
      <c r="V86">
        <v>1000</v>
      </c>
      <c r="Y86" t="str">
        <v>D</v>
      </c>
      <c r="AB86" t="str">
        <v>D</v>
      </c>
      <c r="AE86" t="str">
        <v>D</v>
      </c>
      <c r="AH86" t="str">
        <v>D</v>
      </c>
      <c r="AJ86" t="str">
        <v>-</v>
      </c>
      <c r="AM86" t="str">
        <v>D</v>
      </c>
      <c r="AO86" t="str">
        <v>-</v>
      </c>
      <c r="AR86" t="str">
        <v>D</v>
      </c>
      <c r="AT86" t="str">
        <v>-</v>
      </c>
      <c r="AZ86">
        <v>100</v>
      </c>
      <c r="BE86">
        <v>100</v>
      </c>
      <c r="BJ86">
        <v>100</v>
      </c>
    </row>
    <row r="87">
      <c r="G87" t="str">
        <v>D</v>
      </c>
      <c r="J87" t="str">
        <v>D</v>
      </c>
      <c r="M87" t="str">
        <v>D</v>
      </c>
      <c r="O87">
        <v>0</v>
      </c>
      <c r="P87" t="str">
        <v>D</v>
      </c>
      <c r="Q87">
        <v>8</v>
      </c>
      <c r="S87" t="str">
        <v>D</v>
      </c>
      <c r="T87">
        <v>10</v>
      </c>
      <c r="U87" t="str">
        <v>-</v>
      </c>
      <c r="V87">
        <v>1000</v>
      </c>
      <c r="Y87" t="str">
        <v>D</v>
      </c>
      <c r="AB87" t="str">
        <v>D</v>
      </c>
      <c r="AE87" t="str">
        <v>D</v>
      </c>
      <c r="AH87" t="str">
        <v>D</v>
      </c>
      <c r="AJ87" t="str">
        <v>-</v>
      </c>
      <c r="AM87" t="str">
        <v>D</v>
      </c>
      <c r="AO87" t="str">
        <v>-</v>
      </c>
      <c r="AR87" t="str">
        <v>D</v>
      </c>
      <c r="AT87" t="str">
        <v>-</v>
      </c>
      <c r="AZ87">
        <v>100</v>
      </c>
      <c r="BE87">
        <v>100</v>
      </c>
      <c r="BJ87">
        <v>100</v>
      </c>
    </row>
    <row r="88">
      <c r="G88" t="str">
        <v>D</v>
      </c>
      <c r="J88" t="str">
        <v>D</v>
      </c>
      <c r="M88" t="str">
        <v>D</v>
      </c>
      <c r="O88">
        <v>0</v>
      </c>
      <c r="P88" t="str">
        <v>D</v>
      </c>
      <c r="Q88">
        <v>8</v>
      </c>
      <c r="S88" t="str">
        <v>D</v>
      </c>
      <c r="T88">
        <v>10</v>
      </c>
      <c r="U88" t="str">
        <v>-</v>
      </c>
      <c r="V88">
        <v>1000</v>
      </c>
      <c r="Y88" t="str">
        <v>D</v>
      </c>
      <c r="AB88" t="str">
        <v>D</v>
      </c>
      <c r="AE88" t="str">
        <v>D</v>
      </c>
      <c r="AH88" t="str">
        <v>D</v>
      </c>
      <c r="AJ88" t="str">
        <v>-</v>
      </c>
      <c r="AM88" t="str">
        <v>D</v>
      </c>
      <c r="AO88" t="str">
        <v>-</v>
      </c>
      <c r="AR88" t="str">
        <v>D</v>
      </c>
      <c r="AT88" t="str">
        <v>-</v>
      </c>
      <c r="AZ88">
        <v>100</v>
      </c>
      <c r="BE88">
        <v>100</v>
      </c>
      <c r="BJ88">
        <v>100</v>
      </c>
    </row>
    <row r="89">
      <c r="G89" t="str">
        <v>D</v>
      </c>
      <c r="J89" t="str">
        <v>D</v>
      </c>
      <c r="M89" t="str">
        <v>D</v>
      </c>
      <c r="O89">
        <v>0</v>
      </c>
      <c r="P89" t="str">
        <v>D</v>
      </c>
      <c r="Q89">
        <v>8</v>
      </c>
      <c r="S89" t="str">
        <v>D</v>
      </c>
      <c r="T89">
        <v>10</v>
      </c>
      <c r="U89" t="str">
        <v>-</v>
      </c>
      <c r="V89">
        <v>1000</v>
      </c>
      <c r="Y89" t="str">
        <v>D</v>
      </c>
      <c r="AB89" t="str">
        <v>D</v>
      </c>
      <c r="AE89" t="str">
        <v>D</v>
      </c>
      <c r="AH89" t="str">
        <v>D</v>
      </c>
      <c r="AJ89" t="str">
        <v>-</v>
      </c>
      <c r="AM89" t="str">
        <v>D</v>
      </c>
      <c r="AO89" t="str">
        <v>-</v>
      </c>
      <c r="AR89" t="str">
        <v>D</v>
      </c>
      <c r="AT89" t="str">
        <v>-</v>
      </c>
      <c r="AZ89">
        <v>100</v>
      </c>
      <c r="BE89">
        <v>100</v>
      </c>
      <c r="BJ89">
        <v>100</v>
      </c>
    </row>
    <row r="90">
      <c r="G90" t="str">
        <v>D</v>
      </c>
      <c r="J90" t="str">
        <v>D</v>
      </c>
      <c r="M90" t="str">
        <v>D</v>
      </c>
      <c r="O90">
        <v>0</v>
      </c>
      <c r="P90" t="str">
        <v>D</v>
      </c>
      <c r="Q90">
        <v>8</v>
      </c>
      <c r="S90" t="str">
        <v>D</v>
      </c>
      <c r="T90">
        <v>10</v>
      </c>
      <c r="U90" t="str">
        <v>-</v>
      </c>
      <c r="V90">
        <v>1000</v>
      </c>
      <c r="Y90" t="str">
        <v>D</v>
      </c>
      <c r="AB90" t="str">
        <v>D</v>
      </c>
      <c r="AE90" t="str">
        <v>D</v>
      </c>
      <c r="AH90" t="str">
        <v>D</v>
      </c>
      <c r="AJ90" t="str">
        <v>-</v>
      </c>
      <c r="AM90" t="str">
        <v>D</v>
      </c>
      <c r="AO90" t="str">
        <v>-</v>
      </c>
      <c r="AR90" t="str">
        <v>D</v>
      </c>
      <c r="AT90" t="str">
        <v>-</v>
      </c>
    </row>
    <row r="91">
      <c r="G91" t="str">
        <v>D</v>
      </c>
      <c r="J91" t="str">
        <v>D</v>
      </c>
      <c r="M91" t="str">
        <v>D</v>
      </c>
      <c r="O91">
        <v>0</v>
      </c>
      <c r="P91" t="str">
        <v>D</v>
      </c>
      <c r="Q91">
        <v>8</v>
      </c>
      <c r="S91" t="str">
        <v>D</v>
      </c>
      <c r="T91">
        <v>10</v>
      </c>
      <c r="U91" t="str">
        <v>-</v>
      </c>
      <c r="V91">
        <v>1000</v>
      </c>
      <c r="Y91" t="str">
        <v>D</v>
      </c>
      <c r="AB91" t="str">
        <v>D</v>
      </c>
      <c r="AE91" t="str">
        <v>D</v>
      </c>
      <c r="AH91" t="str">
        <v>D</v>
      </c>
      <c r="AJ91" t="str">
        <v>-</v>
      </c>
      <c r="AM91" t="str">
        <v>D</v>
      </c>
      <c r="AO91" t="str">
        <v>-</v>
      </c>
      <c r="AR91" t="str">
        <v>D</v>
      </c>
      <c r="AT91" t="str">
        <v>-</v>
      </c>
      <c r="AZ91">
        <v>100</v>
      </c>
      <c r="BE91">
        <v>100</v>
      </c>
      <c r="BJ91">
        <v>100</v>
      </c>
    </row>
    <row r="92">
      <c r="G92" t="str">
        <v>D</v>
      </c>
      <c r="J92" t="str">
        <v>D</v>
      </c>
      <c r="M92" t="str">
        <v>D</v>
      </c>
      <c r="O92">
        <v>0</v>
      </c>
      <c r="P92" t="str">
        <v>D</v>
      </c>
      <c r="Q92">
        <v>8</v>
      </c>
      <c r="S92" t="str">
        <v>D</v>
      </c>
      <c r="T92">
        <v>10</v>
      </c>
      <c r="U92" t="str">
        <v>-</v>
      </c>
      <c r="V92">
        <v>1000</v>
      </c>
      <c r="Y92" t="str">
        <v>D</v>
      </c>
      <c r="AB92" t="str">
        <v>D</v>
      </c>
      <c r="AE92" t="str">
        <v>D</v>
      </c>
      <c r="AH92" t="str">
        <v>D</v>
      </c>
      <c r="AJ92" t="str">
        <v>-</v>
      </c>
      <c r="AM92" t="str">
        <v>D</v>
      </c>
      <c r="AO92" t="str">
        <v>-</v>
      </c>
      <c r="AR92" t="str">
        <v>D</v>
      </c>
      <c r="AT92" t="str">
        <v>-</v>
      </c>
      <c r="AZ92">
        <v>100</v>
      </c>
      <c r="BE92">
        <v>100</v>
      </c>
      <c r="BJ92">
        <v>100</v>
      </c>
    </row>
    <row r="93">
      <c r="G93" t="str">
        <v>D</v>
      </c>
      <c r="J93" t="str">
        <v>D</v>
      </c>
      <c r="M93" t="str">
        <v>D</v>
      </c>
      <c r="O93">
        <v>0</v>
      </c>
      <c r="P93" t="str">
        <v>D</v>
      </c>
      <c r="Q93">
        <v>8</v>
      </c>
      <c r="S93" t="str">
        <v>D</v>
      </c>
      <c r="T93">
        <v>10</v>
      </c>
      <c r="U93" t="str">
        <v>-</v>
      </c>
      <c r="V93">
        <v>1000</v>
      </c>
      <c r="Y93" t="str">
        <v>D</v>
      </c>
      <c r="AB93" t="str">
        <v>D</v>
      </c>
      <c r="AE93" t="str">
        <v>D</v>
      </c>
      <c r="AH93" t="str">
        <v>D</v>
      </c>
      <c r="AJ93" t="str">
        <v>-</v>
      </c>
      <c r="AM93" t="str">
        <v>D</v>
      </c>
      <c r="AO93" t="str">
        <v>-</v>
      </c>
      <c r="AR93" t="str">
        <v>D</v>
      </c>
      <c r="AT93" t="str">
        <v>-</v>
      </c>
      <c r="AZ93">
        <v>100</v>
      </c>
      <c r="BE93">
        <v>100</v>
      </c>
      <c r="BJ93">
        <v>100</v>
      </c>
    </row>
    <row r="94">
      <c r="G94" t="str">
        <v>D</v>
      </c>
      <c r="J94" t="str">
        <v>D</v>
      </c>
      <c r="M94" t="str">
        <v>D</v>
      </c>
      <c r="O94">
        <v>0</v>
      </c>
      <c r="P94" t="str">
        <v>D</v>
      </c>
      <c r="Q94">
        <v>8</v>
      </c>
      <c r="S94" t="str">
        <v>D</v>
      </c>
      <c r="T94">
        <v>10</v>
      </c>
      <c r="U94" t="str">
        <v>-</v>
      </c>
      <c r="V94">
        <v>1000</v>
      </c>
      <c r="Y94" t="str">
        <v>D</v>
      </c>
      <c r="AB94" t="str">
        <v>D</v>
      </c>
      <c r="AE94" t="str">
        <v>D</v>
      </c>
      <c r="AH94" t="str">
        <v>D</v>
      </c>
      <c r="AJ94" t="str">
        <v>-</v>
      </c>
      <c r="AM94" t="str">
        <v>D</v>
      </c>
      <c r="AO94" t="str">
        <v>-</v>
      </c>
      <c r="AR94" t="str">
        <v>D</v>
      </c>
      <c r="AT94" t="str">
        <v>-</v>
      </c>
      <c r="AZ94">
        <v>100</v>
      </c>
      <c r="BE94">
        <v>100</v>
      </c>
      <c r="BJ94">
        <v>100</v>
      </c>
    </row>
    <row r="95">
      <c r="G95" t="str">
        <v>D</v>
      </c>
      <c r="J95" t="str">
        <v>D</v>
      </c>
      <c r="M95" t="str">
        <v>D</v>
      </c>
      <c r="O95">
        <v>0</v>
      </c>
      <c r="P95" t="str">
        <v>D</v>
      </c>
      <c r="Q95">
        <v>8</v>
      </c>
      <c r="S95" t="str">
        <v>D</v>
      </c>
      <c r="T95">
        <v>10</v>
      </c>
      <c r="U95" t="str">
        <v>-</v>
      </c>
      <c r="V95">
        <v>1000</v>
      </c>
      <c r="Y95" t="str">
        <v>D</v>
      </c>
      <c r="AB95" t="str">
        <v>D</v>
      </c>
      <c r="AE95" t="str">
        <v>D</v>
      </c>
      <c r="AH95" t="str">
        <v>D</v>
      </c>
      <c r="AJ95" t="str">
        <v>-</v>
      </c>
      <c r="AM95" t="str">
        <v>D</v>
      </c>
      <c r="AO95" t="str">
        <v>-</v>
      </c>
      <c r="AR95" t="str">
        <v>D</v>
      </c>
      <c r="AT95" t="str">
        <v>-</v>
      </c>
      <c r="AZ95">
        <v>100</v>
      </c>
      <c r="BE95">
        <v>100</v>
      </c>
      <c r="BJ95">
        <v>100</v>
      </c>
    </row>
    <row r="96">
      <c r="G96" t="str">
        <v>D</v>
      </c>
      <c r="J96" t="str">
        <v>D</v>
      </c>
      <c r="M96" t="str">
        <v>D</v>
      </c>
      <c r="O96">
        <v>0</v>
      </c>
      <c r="P96" t="str">
        <v>D</v>
      </c>
      <c r="Q96">
        <v>8</v>
      </c>
      <c r="S96" t="str">
        <v>D</v>
      </c>
      <c r="T96">
        <v>10</v>
      </c>
      <c r="U96" t="str">
        <v>-</v>
      </c>
      <c r="V96">
        <v>1000</v>
      </c>
      <c r="Y96" t="str">
        <v>D</v>
      </c>
      <c r="AB96" t="str">
        <v>D</v>
      </c>
      <c r="AE96" t="str">
        <v>D</v>
      </c>
      <c r="AH96" t="str">
        <v>D</v>
      </c>
      <c r="AJ96" t="str">
        <v>-</v>
      </c>
      <c r="AM96" t="str">
        <v>D</v>
      </c>
      <c r="AO96" t="str">
        <v>-</v>
      </c>
      <c r="AR96" t="str">
        <v>D</v>
      </c>
      <c r="AT96" t="str">
        <v>-</v>
      </c>
      <c r="AZ96">
        <v>100</v>
      </c>
      <c r="BE96">
        <v>100</v>
      </c>
      <c r="BJ96">
        <v>100</v>
      </c>
    </row>
    <row r="97">
      <c r="G97" t="str">
        <v>D</v>
      </c>
      <c r="J97" t="str">
        <v>D</v>
      </c>
      <c r="M97" t="str">
        <v>D</v>
      </c>
      <c r="O97">
        <v>0</v>
      </c>
      <c r="P97" t="str">
        <v>D</v>
      </c>
      <c r="Q97">
        <v>8</v>
      </c>
      <c r="S97" t="str">
        <v>D</v>
      </c>
      <c r="T97">
        <v>10</v>
      </c>
      <c r="U97" t="str">
        <v>-</v>
      </c>
      <c r="V97">
        <v>1000</v>
      </c>
      <c r="Y97" t="str">
        <v>D</v>
      </c>
      <c r="AB97" t="str">
        <v>D</v>
      </c>
      <c r="AE97" t="str">
        <v>D</v>
      </c>
      <c r="AH97" t="str">
        <v>D</v>
      </c>
      <c r="AJ97" t="str">
        <v>-</v>
      </c>
      <c r="AM97" t="str">
        <v>D</v>
      </c>
      <c r="AO97" t="str">
        <v>-</v>
      </c>
      <c r="AR97" t="str">
        <v>D</v>
      </c>
      <c r="AT97" t="str">
        <v>-</v>
      </c>
      <c r="AZ97">
        <v>100</v>
      </c>
      <c r="BE97">
        <v>100</v>
      </c>
      <c r="BJ97">
        <v>100</v>
      </c>
    </row>
    <row r="98">
      <c r="G98" t="str">
        <v>D</v>
      </c>
      <c r="J98" t="str">
        <v>D</v>
      </c>
      <c r="M98" t="str">
        <v>D</v>
      </c>
      <c r="O98">
        <v>0</v>
      </c>
      <c r="P98" t="str">
        <v>D</v>
      </c>
      <c r="Q98">
        <v>8</v>
      </c>
      <c r="S98" t="str">
        <v>D</v>
      </c>
      <c r="T98">
        <v>10</v>
      </c>
      <c r="U98" t="str">
        <v>-</v>
      </c>
      <c r="V98">
        <v>1000</v>
      </c>
      <c r="Y98" t="str">
        <v>D</v>
      </c>
      <c r="AB98" t="str">
        <v>D</v>
      </c>
      <c r="AE98" t="str">
        <v>D</v>
      </c>
      <c r="AH98" t="str">
        <v>D</v>
      </c>
      <c r="AJ98" t="str">
        <v>-</v>
      </c>
      <c r="AM98" t="str">
        <v>D</v>
      </c>
      <c r="AO98" t="str">
        <v>-</v>
      </c>
      <c r="AR98" t="str">
        <v>D</v>
      </c>
      <c r="AT98" t="str">
        <v>-</v>
      </c>
      <c r="AZ98">
        <v>100</v>
      </c>
      <c r="BE98">
        <v>100</v>
      </c>
      <c r="BJ98">
        <v>100</v>
      </c>
    </row>
    <row r="99">
      <c r="G99" t="str">
        <v>D</v>
      </c>
      <c r="J99" t="str">
        <v>D</v>
      </c>
      <c r="M99" t="str">
        <v>D</v>
      </c>
      <c r="O99">
        <v>0</v>
      </c>
      <c r="P99" t="str">
        <v>D</v>
      </c>
      <c r="Q99">
        <v>8</v>
      </c>
      <c r="S99" t="str">
        <v>D</v>
      </c>
      <c r="T99">
        <v>10</v>
      </c>
      <c r="U99" t="str">
        <v>-</v>
      </c>
      <c r="V99">
        <v>1000</v>
      </c>
      <c r="Y99" t="str">
        <v>D</v>
      </c>
      <c r="AB99" t="str">
        <v>D</v>
      </c>
      <c r="AE99" t="str">
        <v>D</v>
      </c>
      <c r="AH99" t="str">
        <v>D</v>
      </c>
      <c r="AJ99" t="str">
        <v>-</v>
      </c>
      <c r="AM99" t="str">
        <v>D</v>
      </c>
      <c r="AO99" t="str">
        <v>-</v>
      </c>
      <c r="AR99" t="str">
        <v>D</v>
      </c>
      <c r="AT99" t="str">
        <v>-</v>
      </c>
      <c r="AZ99">
        <v>100</v>
      </c>
      <c r="BE99">
        <v>100</v>
      </c>
      <c r="BJ99">
        <v>100</v>
      </c>
    </row>
    <row r="100">
      <c r="G100" t="str">
        <v>D</v>
      </c>
      <c r="J100" t="str">
        <v>D</v>
      </c>
      <c r="M100" t="str">
        <v>D</v>
      </c>
      <c r="O100">
        <v>0</v>
      </c>
      <c r="P100" t="str">
        <v>D</v>
      </c>
      <c r="Q100">
        <v>8</v>
      </c>
      <c r="S100" t="str">
        <v>D</v>
      </c>
      <c r="T100">
        <v>10</v>
      </c>
      <c r="U100" t="str">
        <v>-</v>
      </c>
      <c r="V100">
        <v>1000</v>
      </c>
      <c r="Y100" t="str">
        <v>D</v>
      </c>
      <c r="AB100" t="str">
        <v>D</v>
      </c>
      <c r="AE100" t="str">
        <v>D</v>
      </c>
      <c r="AH100" t="str">
        <v>D</v>
      </c>
      <c r="AJ100" t="str">
        <v>-</v>
      </c>
      <c r="AM100" t="str">
        <v>D</v>
      </c>
      <c r="AO100" t="str">
        <v>-</v>
      </c>
      <c r="AR100" t="str">
        <v>D</v>
      </c>
      <c r="AT100" t="str">
        <v>-</v>
      </c>
      <c r="AZ100">
        <v>100</v>
      </c>
      <c r="BE100">
        <v>100</v>
      </c>
      <c r="BJ100">
        <v>100</v>
      </c>
    </row>
    <row r="101">
      <c r="G101" t="str">
        <v>D</v>
      </c>
      <c r="J101" t="str">
        <v>D</v>
      </c>
      <c r="M101" t="str">
        <v>D</v>
      </c>
      <c r="O101">
        <v>0</v>
      </c>
      <c r="P101" t="str">
        <v>D</v>
      </c>
      <c r="Q101">
        <v>8</v>
      </c>
      <c r="S101" t="str">
        <v>D</v>
      </c>
      <c r="T101">
        <v>10</v>
      </c>
      <c r="U101" t="str">
        <v>-</v>
      </c>
      <c r="V101">
        <v>1000</v>
      </c>
      <c r="Y101" t="str">
        <v>D</v>
      </c>
      <c r="AB101" t="str">
        <v>D</v>
      </c>
      <c r="AE101" t="str">
        <v>D</v>
      </c>
      <c r="AH101" t="str">
        <v>D</v>
      </c>
      <c r="AJ101" t="str">
        <v>-</v>
      </c>
      <c r="AM101" t="str">
        <v>D</v>
      </c>
      <c r="AO101" t="str">
        <v>-</v>
      </c>
      <c r="AR101" t="str">
        <v>D</v>
      </c>
      <c r="AT101" t="str">
        <v>-</v>
      </c>
      <c r="AZ101">
        <v>100</v>
      </c>
      <c r="BE101">
        <v>100</v>
      </c>
      <c r="BJ101">
        <v>100</v>
      </c>
    </row>
    <row r="102">
      <c r="G102" t="str">
        <v>D</v>
      </c>
      <c r="J102" t="str">
        <v>D</v>
      </c>
      <c r="M102" t="str">
        <v>D</v>
      </c>
      <c r="O102">
        <v>0</v>
      </c>
      <c r="P102" t="str">
        <v>D</v>
      </c>
      <c r="Q102">
        <v>8</v>
      </c>
      <c r="S102" t="str">
        <v>D</v>
      </c>
      <c r="T102">
        <v>10</v>
      </c>
      <c r="U102" t="str">
        <v>-</v>
      </c>
      <c r="V102">
        <v>1000</v>
      </c>
      <c r="Y102" t="str">
        <v>D</v>
      </c>
      <c r="AB102" t="str">
        <v>D</v>
      </c>
      <c r="AE102" t="str">
        <v>D</v>
      </c>
      <c r="AH102" t="str">
        <v>D</v>
      </c>
      <c r="AJ102" t="str">
        <v>-</v>
      </c>
      <c r="AM102" t="str">
        <v>D</v>
      </c>
      <c r="AO102" t="str">
        <v>-</v>
      </c>
      <c r="AR102" t="str">
        <v>D</v>
      </c>
      <c r="AT102" t="str">
        <v>-</v>
      </c>
      <c r="AZ102">
        <v>100</v>
      </c>
      <c r="BE102">
        <v>100</v>
      </c>
      <c r="BJ102">
        <v>100</v>
      </c>
    </row>
    <row r="103">
      <c r="G103" t="str">
        <v>D</v>
      </c>
      <c r="J103" t="str">
        <v>D</v>
      </c>
      <c r="M103" t="str">
        <v>D</v>
      </c>
      <c r="O103">
        <v>0</v>
      </c>
      <c r="P103" t="str">
        <v>D</v>
      </c>
      <c r="Q103">
        <v>8</v>
      </c>
      <c r="S103" t="str">
        <v>D</v>
      </c>
      <c r="T103">
        <v>10</v>
      </c>
      <c r="U103" t="str">
        <v>-</v>
      </c>
      <c r="V103">
        <v>1000</v>
      </c>
      <c r="Y103" t="str">
        <v>D</v>
      </c>
      <c r="AB103" t="str">
        <v>D</v>
      </c>
      <c r="AE103" t="str">
        <v>D</v>
      </c>
      <c r="AH103" t="str">
        <v>D</v>
      </c>
      <c r="AJ103" t="str">
        <v>-</v>
      </c>
      <c r="AM103" t="str">
        <v>D</v>
      </c>
      <c r="AO103" t="str">
        <v>-</v>
      </c>
      <c r="AR103" t="str">
        <v>D</v>
      </c>
      <c r="AT103" t="str">
        <v>-</v>
      </c>
      <c r="AZ103">
        <v>100</v>
      </c>
      <c r="BE103">
        <v>100</v>
      </c>
      <c r="BJ103">
        <v>100</v>
      </c>
    </row>
    <row r="104">
      <c r="G104" t="str">
        <v>D</v>
      </c>
      <c r="J104" t="str">
        <v>D</v>
      </c>
      <c r="M104" t="str">
        <v>D</v>
      </c>
      <c r="O104">
        <v>0</v>
      </c>
      <c r="P104" t="str">
        <v>D</v>
      </c>
      <c r="Q104">
        <v>8</v>
      </c>
      <c r="S104" t="str">
        <v>D</v>
      </c>
      <c r="T104">
        <v>10</v>
      </c>
      <c r="U104" t="str">
        <v>-</v>
      </c>
      <c r="V104">
        <v>1000</v>
      </c>
      <c r="Y104" t="str">
        <v>D</v>
      </c>
      <c r="AB104" t="str">
        <v>D</v>
      </c>
      <c r="AE104" t="str">
        <v>D</v>
      </c>
      <c r="AH104" t="str">
        <v>D</v>
      </c>
      <c r="AJ104" t="str">
        <v>-</v>
      </c>
      <c r="AM104" t="str">
        <v>D</v>
      </c>
      <c r="AO104" t="str">
        <v>-</v>
      </c>
      <c r="AR104" t="str">
        <v>D</v>
      </c>
      <c r="AT104" t="str">
        <v>-</v>
      </c>
      <c r="AZ104">
        <v>100</v>
      </c>
      <c r="BE104">
        <v>100</v>
      </c>
      <c r="BJ104">
        <v>100</v>
      </c>
    </row>
    <row r="105">
      <c r="G105" t="str">
        <v>D</v>
      </c>
      <c r="J105" t="str">
        <v>D</v>
      </c>
      <c r="M105" t="str">
        <v>D</v>
      </c>
      <c r="O105">
        <v>0</v>
      </c>
      <c r="P105" t="str">
        <v>D</v>
      </c>
      <c r="Q105">
        <v>8</v>
      </c>
      <c r="S105" t="str">
        <v>D</v>
      </c>
      <c r="T105">
        <v>10</v>
      </c>
      <c r="U105" t="str">
        <v>-</v>
      </c>
      <c r="V105">
        <v>1000</v>
      </c>
      <c r="Y105" t="str">
        <v>D</v>
      </c>
      <c r="AB105" t="str">
        <v>D</v>
      </c>
      <c r="AE105" t="str">
        <v>D</v>
      </c>
      <c r="AH105" t="str">
        <v>D</v>
      </c>
      <c r="AJ105" t="str">
        <v>-</v>
      </c>
      <c r="AM105" t="str">
        <v>D</v>
      </c>
      <c r="AO105" t="str">
        <v>-</v>
      </c>
      <c r="AR105" t="str">
        <v>D</v>
      </c>
      <c r="AT105" t="str">
        <v>-</v>
      </c>
      <c r="AZ105">
        <v>100</v>
      </c>
      <c r="BE105">
        <v>100</v>
      </c>
      <c r="BJ105">
        <v>100</v>
      </c>
    </row>
    <row r="106">
      <c r="G106" t="str">
        <v>D</v>
      </c>
      <c r="J106" t="str">
        <v>D</v>
      </c>
      <c r="M106" t="str">
        <v>D</v>
      </c>
      <c r="O106">
        <v>0</v>
      </c>
      <c r="P106" t="str">
        <v>D</v>
      </c>
      <c r="Q106">
        <v>8</v>
      </c>
      <c r="S106" t="str">
        <v>D</v>
      </c>
      <c r="T106">
        <v>10</v>
      </c>
      <c r="U106" t="str">
        <v>-</v>
      </c>
      <c r="V106">
        <v>1000</v>
      </c>
      <c r="Y106" t="str">
        <v>D</v>
      </c>
      <c r="AB106" t="str">
        <v>D</v>
      </c>
      <c r="AE106" t="str">
        <v>D</v>
      </c>
      <c r="AH106" t="str">
        <v>D</v>
      </c>
      <c r="AJ106" t="str">
        <v>-</v>
      </c>
      <c r="AM106" t="str">
        <v>D</v>
      </c>
      <c r="AO106" t="str">
        <v>-</v>
      </c>
      <c r="AR106" t="str">
        <v>D</v>
      </c>
      <c r="AT106" t="str">
        <v>-</v>
      </c>
      <c r="AZ106">
        <v>100</v>
      </c>
      <c r="BE106">
        <v>100</v>
      </c>
      <c r="BJ106">
        <v>100</v>
      </c>
    </row>
    <row r="107">
      <c r="G107" t="str">
        <v>D</v>
      </c>
      <c r="J107" t="str">
        <v>D</v>
      </c>
      <c r="M107" t="str">
        <v>D</v>
      </c>
      <c r="O107">
        <v>0</v>
      </c>
      <c r="P107" t="str">
        <v>D</v>
      </c>
      <c r="Q107">
        <v>8</v>
      </c>
      <c r="S107" t="str">
        <v>D</v>
      </c>
      <c r="T107">
        <v>10</v>
      </c>
      <c r="U107" t="str">
        <v>-</v>
      </c>
      <c r="V107">
        <v>1000</v>
      </c>
      <c r="Y107" t="str">
        <v>D</v>
      </c>
      <c r="AB107" t="str">
        <v>D</v>
      </c>
      <c r="AE107" t="str">
        <v>D</v>
      </c>
      <c r="AH107" t="str">
        <v>D</v>
      </c>
      <c r="AJ107" t="str">
        <v>-</v>
      </c>
      <c r="AM107" t="str">
        <v>D</v>
      </c>
      <c r="AO107" t="str">
        <v>-</v>
      </c>
      <c r="AR107" t="str">
        <v>D</v>
      </c>
      <c r="AT107" t="str">
        <v>-</v>
      </c>
      <c r="AZ107">
        <v>100</v>
      </c>
      <c r="BE107">
        <v>100</v>
      </c>
      <c r="BJ107">
        <v>100</v>
      </c>
    </row>
    <row r="108">
      <c r="G108" t="str">
        <v>D</v>
      </c>
      <c r="J108" t="str">
        <v>D</v>
      </c>
      <c r="M108" t="str">
        <v>D</v>
      </c>
      <c r="O108">
        <v>0</v>
      </c>
      <c r="P108" t="str">
        <v>D</v>
      </c>
      <c r="Q108">
        <v>8</v>
      </c>
      <c r="S108" t="str">
        <v>D</v>
      </c>
      <c r="T108">
        <v>10</v>
      </c>
      <c r="U108" t="str">
        <v>-</v>
      </c>
      <c r="V108">
        <v>1000</v>
      </c>
      <c r="Y108" t="str">
        <v>D</v>
      </c>
      <c r="AB108" t="str">
        <v>D</v>
      </c>
      <c r="AE108" t="str">
        <v>D</v>
      </c>
      <c r="AH108" t="str">
        <v>D</v>
      </c>
      <c r="AJ108" t="str">
        <v>-</v>
      </c>
      <c r="AM108" t="str">
        <v>D</v>
      </c>
      <c r="AO108" t="str">
        <v>-</v>
      </c>
      <c r="AR108" t="str">
        <v>D</v>
      </c>
      <c r="AT108" t="str">
        <v>-</v>
      </c>
      <c r="AZ108">
        <v>100</v>
      </c>
      <c r="BE108">
        <v>100</v>
      </c>
      <c r="BJ108">
        <v>100</v>
      </c>
    </row>
    <row r="109">
      <c r="G109" t="str">
        <v>D</v>
      </c>
      <c r="J109" t="str">
        <v>D</v>
      </c>
      <c r="M109" t="str">
        <v>D</v>
      </c>
      <c r="O109">
        <v>0</v>
      </c>
      <c r="P109" t="str">
        <v>D</v>
      </c>
      <c r="Q109">
        <v>8</v>
      </c>
      <c r="S109" t="str">
        <v>D</v>
      </c>
      <c r="T109">
        <v>10</v>
      </c>
      <c r="U109" t="str">
        <v>-</v>
      </c>
      <c r="V109">
        <v>1000</v>
      </c>
      <c r="Y109" t="str">
        <v>D</v>
      </c>
      <c r="AB109" t="str">
        <v>D</v>
      </c>
      <c r="AE109" t="str">
        <v>D</v>
      </c>
      <c r="AH109" t="str">
        <v>D</v>
      </c>
      <c r="AJ109" t="str">
        <v>-</v>
      </c>
      <c r="AM109" t="str">
        <v>D</v>
      </c>
      <c r="AO109" t="str">
        <v>-</v>
      </c>
      <c r="AR109" t="str">
        <v>D</v>
      </c>
      <c r="AT109" t="str">
        <v>-</v>
      </c>
      <c r="AZ109">
        <v>100</v>
      </c>
      <c r="BE109">
        <v>100</v>
      </c>
      <c r="BJ109">
        <v>100</v>
      </c>
    </row>
    <row r="110">
      <c r="G110" t="str">
        <v>D</v>
      </c>
      <c r="J110" t="str">
        <v>D</v>
      </c>
      <c r="M110" t="str">
        <v>D</v>
      </c>
      <c r="O110">
        <v>0</v>
      </c>
      <c r="P110" t="str">
        <v>D</v>
      </c>
      <c r="Q110">
        <v>8</v>
      </c>
      <c r="S110" t="str">
        <v>D</v>
      </c>
      <c r="T110">
        <v>10</v>
      </c>
      <c r="U110" t="str">
        <v>-</v>
      </c>
      <c r="V110">
        <v>1000</v>
      </c>
      <c r="Y110" t="str">
        <v>D</v>
      </c>
      <c r="AB110" t="str">
        <v>D</v>
      </c>
      <c r="AE110" t="str">
        <v>D</v>
      </c>
      <c r="AH110" t="str">
        <v>D</v>
      </c>
      <c r="AJ110" t="str">
        <v>-</v>
      </c>
      <c r="AM110" t="str">
        <v>D</v>
      </c>
      <c r="AO110" t="str">
        <v>-</v>
      </c>
      <c r="AR110" t="str">
        <v>D</v>
      </c>
      <c r="AT110" t="str">
        <v>-</v>
      </c>
      <c r="AZ110">
        <v>100</v>
      </c>
      <c r="BE110">
        <v>100</v>
      </c>
      <c r="BJ110">
        <v>100</v>
      </c>
    </row>
    <row r="111">
      <c r="G111" t="str">
        <v>D</v>
      </c>
      <c r="J111" t="str">
        <v>D</v>
      </c>
      <c r="M111" t="str">
        <v>D</v>
      </c>
      <c r="O111">
        <v>0</v>
      </c>
      <c r="P111" t="str">
        <v>D</v>
      </c>
      <c r="Q111">
        <v>8</v>
      </c>
      <c r="S111" t="str">
        <v>D</v>
      </c>
      <c r="T111">
        <v>10</v>
      </c>
      <c r="U111" t="str">
        <v>-</v>
      </c>
      <c r="V111">
        <v>1000</v>
      </c>
      <c r="Y111" t="str">
        <v>D</v>
      </c>
      <c r="AB111" t="str">
        <v>D</v>
      </c>
      <c r="AE111" t="str">
        <v>D</v>
      </c>
      <c r="AH111" t="str">
        <v>D</v>
      </c>
      <c r="AJ111" t="str">
        <v>-</v>
      </c>
      <c r="AM111" t="str">
        <v>D</v>
      </c>
      <c r="AO111" t="str">
        <v>-</v>
      </c>
      <c r="AR111" t="str">
        <v>D</v>
      </c>
      <c r="AT111" t="str">
        <v>-</v>
      </c>
      <c r="AZ111">
        <v>100</v>
      </c>
      <c r="BE111">
        <v>100</v>
      </c>
      <c r="BJ111">
        <v>100</v>
      </c>
    </row>
    <row r="112">
      <c r="G112" t="str">
        <v>D</v>
      </c>
      <c r="J112" t="str">
        <v>D</v>
      </c>
      <c r="M112" t="str">
        <v>D</v>
      </c>
      <c r="O112">
        <v>0</v>
      </c>
      <c r="P112" t="str">
        <v>D</v>
      </c>
      <c r="Q112">
        <v>8</v>
      </c>
      <c r="S112" t="str">
        <v>D</v>
      </c>
      <c r="T112">
        <v>10</v>
      </c>
      <c r="U112" t="str">
        <v>-</v>
      </c>
      <c r="V112">
        <v>1000</v>
      </c>
      <c r="Y112" t="str">
        <v>D</v>
      </c>
      <c r="AB112" t="str">
        <v>D</v>
      </c>
      <c r="AE112" t="str">
        <v>D</v>
      </c>
      <c r="AH112" t="str">
        <v>D</v>
      </c>
      <c r="AJ112" t="str">
        <v>-</v>
      </c>
      <c r="AM112" t="str">
        <v>D</v>
      </c>
      <c r="AO112" t="str">
        <v>-</v>
      </c>
      <c r="AR112" t="str">
        <v>D</v>
      </c>
      <c r="AT112" t="str">
        <v>-</v>
      </c>
      <c r="AZ112">
        <v>100</v>
      </c>
      <c r="BE112">
        <v>100</v>
      </c>
      <c r="BJ112">
        <v>100</v>
      </c>
    </row>
    <row r="113">
      <c r="G113" t="str">
        <v>D</v>
      </c>
      <c r="J113" t="str">
        <v>D</v>
      </c>
      <c r="M113" t="str">
        <v>D</v>
      </c>
      <c r="O113">
        <v>0</v>
      </c>
      <c r="P113" t="str">
        <v>D</v>
      </c>
      <c r="Q113">
        <v>8</v>
      </c>
      <c r="S113" t="str">
        <v>D</v>
      </c>
      <c r="T113">
        <v>10</v>
      </c>
      <c r="U113" t="str">
        <v>-</v>
      </c>
      <c r="V113">
        <v>1000</v>
      </c>
      <c r="Y113" t="str">
        <v>D</v>
      </c>
      <c r="AB113" t="str">
        <v>D</v>
      </c>
      <c r="AE113" t="str">
        <v>D</v>
      </c>
      <c r="AH113" t="str">
        <v>D</v>
      </c>
      <c r="AJ113" t="str">
        <v>-</v>
      </c>
      <c r="AM113" t="str">
        <v>D</v>
      </c>
      <c r="AO113" t="str">
        <v>-</v>
      </c>
      <c r="AR113" t="str">
        <v>D</v>
      </c>
      <c r="AT113" t="str">
        <v>-</v>
      </c>
      <c r="AZ113">
        <v>100</v>
      </c>
      <c r="BE113">
        <v>100</v>
      </c>
      <c r="BJ113">
        <v>100</v>
      </c>
    </row>
    <row r="114">
      <c r="G114" t="str">
        <v>D</v>
      </c>
      <c r="J114" t="str">
        <v>D</v>
      </c>
      <c r="M114" t="str">
        <v>D</v>
      </c>
      <c r="O114">
        <v>0</v>
      </c>
      <c r="P114" t="str">
        <v>D</v>
      </c>
      <c r="Q114">
        <v>8</v>
      </c>
      <c r="S114" t="str">
        <v>D</v>
      </c>
      <c r="T114">
        <v>10</v>
      </c>
      <c r="U114" t="str">
        <v>-</v>
      </c>
      <c r="V114">
        <v>1000</v>
      </c>
      <c r="Y114" t="str">
        <v>D</v>
      </c>
      <c r="AB114" t="str">
        <v>D</v>
      </c>
      <c r="AE114" t="str">
        <v>D</v>
      </c>
      <c r="AH114" t="str">
        <v>D</v>
      </c>
      <c r="AJ114" t="str">
        <v>-</v>
      </c>
      <c r="AM114" t="str">
        <v>D</v>
      </c>
      <c r="AO114" t="str">
        <v>-</v>
      </c>
      <c r="AR114" t="str">
        <v>D</v>
      </c>
      <c r="AT114" t="str">
        <v>-</v>
      </c>
      <c r="AZ114">
        <v>100</v>
      </c>
      <c r="BE114">
        <v>100</v>
      </c>
      <c r="BJ114">
        <v>100</v>
      </c>
    </row>
    <row r="115">
      <c r="G115" t="str">
        <v>D</v>
      </c>
      <c r="J115" t="str">
        <v>D</v>
      </c>
      <c r="M115" t="str">
        <v>D</v>
      </c>
      <c r="O115">
        <v>0</v>
      </c>
      <c r="P115" t="str">
        <v>D</v>
      </c>
      <c r="Q115">
        <v>8</v>
      </c>
      <c r="S115" t="str">
        <v>D</v>
      </c>
      <c r="T115">
        <v>10</v>
      </c>
      <c r="U115" t="str">
        <v>-</v>
      </c>
      <c r="V115">
        <v>1000</v>
      </c>
      <c r="Y115" t="str">
        <v>D</v>
      </c>
      <c r="AB115" t="str">
        <v>D</v>
      </c>
      <c r="AE115" t="str">
        <v>D</v>
      </c>
      <c r="AH115" t="str">
        <v>D</v>
      </c>
      <c r="AJ115" t="str">
        <v>-</v>
      </c>
      <c r="AM115" t="str">
        <v>D</v>
      </c>
      <c r="AO115" t="str">
        <v>-</v>
      </c>
      <c r="AR115" t="str">
        <v>D</v>
      </c>
      <c r="AT115" t="str">
        <v>-</v>
      </c>
      <c r="AZ115">
        <v>100</v>
      </c>
      <c r="BE115">
        <v>100</v>
      </c>
      <c r="BJ115">
        <v>100</v>
      </c>
    </row>
    <row r="116">
      <c r="G116" t="str">
        <v>D</v>
      </c>
      <c r="J116" t="str">
        <v>D</v>
      </c>
      <c r="M116" t="str">
        <v>D</v>
      </c>
      <c r="O116">
        <v>0</v>
      </c>
      <c r="P116" t="str">
        <v>D</v>
      </c>
      <c r="Q116">
        <v>8</v>
      </c>
      <c r="S116" t="str">
        <v>D</v>
      </c>
      <c r="T116">
        <v>10</v>
      </c>
      <c r="U116" t="str">
        <v>-</v>
      </c>
      <c r="V116">
        <v>1000</v>
      </c>
      <c r="Y116" t="str">
        <v>D</v>
      </c>
      <c r="AB116" t="str">
        <v>D</v>
      </c>
      <c r="AE116" t="str">
        <v>D</v>
      </c>
      <c r="AH116" t="str">
        <v>D</v>
      </c>
      <c r="AJ116" t="str">
        <v>-</v>
      </c>
      <c r="AM116" t="str">
        <v>D</v>
      </c>
      <c r="AO116" t="str">
        <v>-</v>
      </c>
      <c r="AR116" t="str">
        <v>D</v>
      </c>
      <c r="AT116" t="str">
        <v>-</v>
      </c>
      <c r="AZ116">
        <v>100</v>
      </c>
      <c r="BE116">
        <v>100</v>
      </c>
      <c r="BJ116">
        <v>100</v>
      </c>
    </row>
    <row r="117">
      <c r="G117" t="str">
        <v>D</v>
      </c>
      <c r="J117" t="str">
        <v>D</v>
      </c>
      <c r="M117" t="str">
        <v>D</v>
      </c>
      <c r="O117">
        <v>0</v>
      </c>
      <c r="P117" t="str">
        <v>D</v>
      </c>
      <c r="Q117">
        <v>8</v>
      </c>
      <c r="S117" t="str">
        <v>D</v>
      </c>
      <c r="T117">
        <v>10</v>
      </c>
      <c r="U117" t="str">
        <v>-</v>
      </c>
      <c r="V117">
        <v>1000</v>
      </c>
      <c r="Y117" t="str">
        <v>D</v>
      </c>
      <c r="AB117" t="str">
        <v>D</v>
      </c>
      <c r="AE117" t="str">
        <v>D</v>
      </c>
      <c r="AH117" t="str">
        <v>D</v>
      </c>
      <c r="AJ117" t="str">
        <v>-</v>
      </c>
      <c r="AM117" t="str">
        <v>D</v>
      </c>
      <c r="AO117" t="str">
        <v>-</v>
      </c>
      <c r="AR117" t="str">
        <v>D</v>
      </c>
      <c r="AT117" t="str">
        <v>-</v>
      </c>
      <c r="AZ117">
        <v>100</v>
      </c>
      <c r="BE117">
        <v>100</v>
      </c>
      <c r="BJ117">
        <v>100</v>
      </c>
    </row>
    <row r="118">
      <c r="G118" t="str">
        <v>D</v>
      </c>
      <c r="J118" t="str">
        <v>D</v>
      </c>
      <c r="M118" t="str">
        <v>D</v>
      </c>
      <c r="O118">
        <v>0</v>
      </c>
      <c r="P118" t="str">
        <v>D</v>
      </c>
      <c r="Q118">
        <v>8</v>
      </c>
      <c r="S118" t="str">
        <v>D</v>
      </c>
      <c r="T118">
        <v>10</v>
      </c>
      <c r="U118" t="str">
        <v>-</v>
      </c>
      <c r="V118">
        <v>1000</v>
      </c>
      <c r="Y118" t="str">
        <v>D</v>
      </c>
      <c r="AB118" t="str">
        <v>D</v>
      </c>
      <c r="AE118" t="str">
        <v>D</v>
      </c>
      <c r="AH118" t="str">
        <v>D</v>
      </c>
      <c r="AJ118" t="str">
        <v>-</v>
      </c>
      <c r="AM118" t="str">
        <v>D</v>
      </c>
      <c r="AO118" t="str">
        <v>-</v>
      </c>
      <c r="AR118" t="str">
        <v>D</v>
      </c>
      <c r="AT118" t="str">
        <v>-</v>
      </c>
      <c r="AZ118">
        <v>100</v>
      </c>
      <c r="BE118">
        <v>100</v>
      </c>
      <c r="BJ118">
        <v>100</v>
      </c>
    </row>
    <row r="119">
      <c r="G119" t="str">
        <v>D</v>
      </c>
      <c r="J119" t="str">
        <v>D</v>
      </c>
      <c r="M119" t="str">
        <v>D</v>
      </c>
      <c r="O119">
        <v>0</v>
      </c>
      <c r="P119" t="str">
        <v>D</v>
      </c>
      <c r="Q119">
        <v>8</v>
      </c>
      <c r="S119" t="str">
        <v>D</v>
      </c>
      <c r="T119">
        <v>10</v>
      </c>
      <c r="U119" t="str">
        <v>-</v>
      </c>
      <c r="V119">
        <v>1000</v>
      </c>
      <c r="Y119" t="str">
        <v>D</v>
      </c>
      <c r="AB119" t="str">
        <v>D</v>
      </c>
      <c r="AE119" t="str">
        <v>D</v>
      </c>
      <c r="AH119" t="str">
        <v>D</v>
      </c>
      <c r="AJ119" t="str">
        <v>-</v>
      </c>
      <c r="AM119" t="str">
        <v>D</v>
      </c>
      <c r="AO119" t="str">
        <v>-</v>
      </c>
      <c r="AR119" t="str">
        <v>D</v>
      </c>
      <c r="AT119" t="str">
        <v>-</v>
      </c>
      <c r="AZ119">
        <v>100</v>
      </c>
      <c r="BE119">
        <v>100</v>
      </c>
      <c r="BJ119">
        <v>100</v>
      </c>
    </row>
    <row r="120">
      <c r="G120" t="str">
        <v>D</v>
      </c>
      <c r="J120" t="str">
        <v>D</v>
      </c>
      <c r="M120" t="str">
        <v>D</v>
      </c>
      <c r="O120">
        <v>0</v>
      </c>
      <c r="P120" t="str">
        <v>D</v>
      </c>
      <c r="Q120">
        <v>8</v>
      </c>
      <c r="S120" t="str">
        <v>D</v>
      </c>
      <c r="T120">
        <v>10</v>
      </c>
      <c r="U120" t="str">
        <v>-</v>
      </c>
      <c r="V120">
        <v>1000</v>
      </c>
      <c r="Y120" t="str">
        <v>D</v>
      </c>
      <c r="AB120" t="str">
        <v>D</v>
      </c>
      <c r="AE120" t="str">
        <v>D</v>
      </c>
      <c r="AH120" t="str">
        <v>D</v>
      </c>
      <c r="AJ120" t="str">
        <v>-</v>
      </c>
      <c r="AM120" t="str">
        <v>D</v>
      </c>
      <c r="AO120" t="str">
        <v>-</v>
      </c>
      <c r="AR120" t="str">
        <v>D</v>
      </c>
      <c r="AT120" t="str">
        <v>-</v>
      </c>
      <c r="AZ120">
        <v>100</v>
      </c>
      <c r="BE120">
        <v>100</v>
      </c>
      <c r="BJ120">
        <v>100</v>
      </c>
    </row>
    <row r="121">
      <c r="G121" t="str">
        <v>D</v>
      </c>
      <c r="J121" t="str">
        <v>D</v>
      </c>
      <c r="M121" t="str">
        <v>D</v>
      </c>
      <c r="O121">
        <v>0</v>
      </c>
      <c r="P121" t="str">
        <v>D</v>
      </c>
      <c r="Q121">
        <v>8</v>
      </c>
      <c r="S121" t="str">
        <v>D</v>
      </c>
      <c r="T121">
        <v>10</v>
      </c>
      <c r="U121" t="str">
        <v>-</v>
      </c>
      <c r="V121">
        <v>1000</v>
      </c>
      <c r="Y121" t="str">
        <v>D</v>
      </c>
      <c r="AB121" t="str">
        <v>D</v>
      </c>
      <c r="AE121" t="str">
        <v>D</v>
      </c>
      <c r="AH121" t="str">
        <v>D</v>
      </c>
      <c r="AJ121" t="str">
        <v>-</v>
      </c>
      <c r="AM121" t="str">
        <v>D</v>
      </c>
      <c r="AO121" t="str">
        <v>-</v>
      </c>
      <c r="AR121" t="str">
        <v>D</v>
      </c>
      <c r="AT121" t="str">
        <v>-</v>
      </c>
      <c r="AZ121">
        <v>100</v>
      </c>
      <c r="BE121">
        <v>100</v>
      </c>
      <c r="BJ121">
        <v>100</v>
      </c>
    </row>
    <row r="122">
      <c r="G122" t="str">
        <v>D</v>
      </c>
      <c r="J122" t="str">
        <v>D</v>
      </c>
      <c r="M122" t="str">
        <v>D</v>
      </c>
      <c r="O122">
        <v>0</v>
      </c>
      <c r="P122" t="str">
        <v>D</v>
      </c>
      <c r="Q122">
        <v>8</v>
      </c>
      <c r="S122" t="str">
        <v>D</v>
      </c>
      <c r="T122">
        <v>10</v>
      </c>
      <c r="U122" t="str">
        <v>-</v>
      </c>
      <c r="V122">
        <v>1000</v>
      </c>
      <c r="Y122" t="str">
        <v>D</v>
      </c>
      <c r="AB122" t="str">
        <v>D</v>
      </c>
      <c r="AE122" t="str">
        <v>D</v>
      </c>
      <c r="AH122" t="str">
        <v>D</v>
      </c>
      <c r="AJ122" t="str">
        <v>-</v>
      </c>
      <c r="AM122" t="str">
        <v>D</v>
      </c>
      <c r="AO122" t="str">
        <v>-</v>
      </c>
      <c r="AR122" t="str">
        <v>D</v>
      </c>
      <c r="AT122" t="str">
        <v>-</v>
      </c>
      <c r="AZ122">
        <v>100</v>
      </c>
      <c r="BE122">
        <v>100</v>
      </c>
      <c r="BJ122">
        <v>100</v>
      </c>
    </row>
    <row r="123">
      <c r="G123" t="str">
        <v>D</v>
      </c>
      <c r="J123" t="str">
        <v>D</v>
      </c>
      <c r="M123" t="str">
        <v>D</v>
      </c>
      <c r="O123">
        <v>0</v>
      </c>
      <c r="P123" t="str">
        <v>D</v>
      </c>
      <c r="Q123">
        <v>8</v>
      </c>
      <c r="S123" t="str">
        <v>D</v>
      </c>
      <c r="T123">
        <v>10</v>
      </c>
      <c r="U123" t="str">
        <v>-</v>
      </c>
      <c r="V123">
        <v>1000</v>
      </c>
      <c r="Y123" t="str">
        <v>D</v>
      </c>
      <c r="AB123" t="str">
        <v>D</v>
      </c>
      <c r="AE123" t="str">
        <v>D</v>
      </c>
      <c r="AH123" t="str">
        <v>D</v>
      </c>
      <c r="AJ123" t="str">
        <v>-</v>
      </c>
      <c r="AM123" t="str">
        <v>D</v>
      </c>
      <c r="AO123" t="str">
        <v>-</v>
      </c>
      <c r="AR123" t="str">
        <v>D</v>
      </c>
      <c r="AT123" t="str">
        <v>-</v>
      </c>
      <c r="AZ123">
        <v>100</v>
      </c>
      <c r="BE123">
        <v>100</v>
      </c>
      <c r="BJ123">
        <v>100</v>
      </c>
    </row>
    <row r="124">
      <c r="G124" t="str">
        <v>D</v>
      </c>
      <c r="J124" t="str">
        <v>D</v>
      </c>
      <c r="M124" t="str">
        <v>D</v>
      </c>
      <c r="O124">
        <v>0</v>
      </c>
      <c r="P124" t="str">
        <v>D</v>
      </c>
      <c r="Q124">
        <v>8</v>
      </c>
      <c r="S124" t="str">
        <v>D</v>
      </c>
      <c r="T124">
        <v>10</v>
      </c>
      <c r="U124" t="str">
        <v>-</v>
      </c>
      <c r="V124">
        <v>1000</v>
      </c>
      <c r="Y124" t="str">
        <v>D</v>
      </c>
      <c r="AB124" t="str">
        <v>D</v>
      </c>
      <c r="AE124" t="str">
        <v>D</v>
      </c>
      <c r="AH124" t="str">
        <v>D</v>
      </c>
      <c r="AJ124" t="str">
        <v>-</v>
      </c>
      <c r="AM124" t="str">
        <v>D</v>
      </c>
      <c r="AO124" t="str">
        <v>-</v>
      </c>
      <c r="AR124" t="str">
        <v>D</v>
      </c>
      <c r="AT124" t="str">
        <v>-</v>
      </c>
      <c r="AZ124">
        <v>100</v>
      </c>
      <c r="BE124">
        <v>100</v>
      </c>
      <c r="BJ124">
        <v>100</v>
      </c>
    </row>
    <row r="125">
      <c r="G125" t="str">
        <v>D</v>
      </c>
      <c r="J125" t="str">
        <v>D</v>
      </c>
      <c r="M125" t="str">
        <v>D</v>
      </c>
      <c r="O125">
        <v>0</v>
      </c>
      <c r="P125" t="str">
        <v>D</v>
      </c>
      <c r="Q125">
        <v>8</v>
      </c>
      <c r="S125" t="str">
        <v>D</v>
      </c>
      <c r="T125">
        <v>10</v>
      </c>
      <c r="U125" t="str">
        <v>-</v>
      </c>
      <c r="V125">
        <v>1000</v>
      </c>
      <c r="Y125" t="str">
        <v>D</v>
      </c>
      <c r="AB125" t="str">
        <v>D</v>
      </c>
      <c r="AE125" t="str">
        <v>D</v>
      </c>
      <c r="AH125" t="str">
        <v>D</v>
      </c>
      <c r="AJ125" t="str">
        <v>-</v>
      </c>
      <c r="AM125" t="str">
        <v>D</v>
      </c>
      <c r="AO125" t="str">
        <v>-</v>
      </c>
      <c r="AR125" t="str">
        <v>D</v>
      </c>
      <c r="AT125" t="str">
        <v>-</v>
      </c>
      <c r="AZ125">
        <v>100</v>
      </c>
      <c r="BE125">
        <v>100</v>
      </c>
      <c r="BJ125">
        <v>100</v>
      </c>
    </row>
    <row r="126">
      <c r="G126" t="str">
        <v>D</v>
      </c>
      <c r="J126" t="str">
        <v>D</v>
      </c>
      <c r="M126" t="str">
        <v>D</v>
      </c>
      <c r="O126">
        <v>0</v>
      </c>
      <c r="P126" t="str">
        <v>D</v>
      </c>
      <c r="Q126">
        <v>8</v>
      </c>
      <c r="S126" t="str">
        <v>D</v>
      </c>
      <c r="T126">
        <v>10</v>
      </c>
      <c r="U126" t="str">
        <v>-</v>
      </c>
      <c r="V126">
        <v>1000</v>
      </c>
      <c r="Y126" t="str">
        <v>D</v>
      </c>
      <c r="AB126" t="str">
        <v>D</v>
      </c>
      <c r="AE126" t="str">
        <v>D</v>
      </c>
      <c r="AH126" t="str">
        <v>D</v>
      </c>
      <c r="AJ126" t="str">
        <v>-</v>
      </c>
      <c r="AM126" t="str">
        <v>D</v>
      </c>
      <c r="AO126" t="str">
        <v>-</v>
      </c>
      <c r="AR126" t="str">
        <v>D</v>
      </c>
      <c r="AT126" t="str">
        <v>-</v>
      </c>
      <c r="AZ126">
        <v>100</v>
      </c>
      <c r="BE126">
        <v>100</v>
      </c>
      <c r="BJ126">
        <v>100</v>
      </c>
    </row>
    <row r="127">
      <c r="G127" t="str">
        <v>D</v>
      </c>
      <c r="J127" t="str">
        <v>D</v>
      </c>
      <c r="M127" t="str">
        <v>D</v>
      </c>
      <c r="O127">
        <v>0</v>
      </c>
      <c r="P127" t="str">
        <v>D</v>
      </c>
      <c r="Q127">
        <v>8</v>
      </c>
      <c r="S127" t="str">
        <v>D</v>
      </c>
      <c r="T127">
        <v>10</v>
      </c>
      <c r="U127" t="str">
        <v>-</v>
      </c>
      <c r="V127">
        <v>1000</v>
      </c>
      <c r="Y127" t="str">
        <v>D</v>
      </c>
      <c r="AB127" t="str">
        <v>D</v>
      </c>
      <c r="AE127" t="str">
        <v>D</v>
      </c>
      <c r="AH127" t="str">
        <v>D</v>
      </c>
      <c r="AJ127" t="str">
        <v>-</v>
      </c>
      <c r="AM127" t="str">
        <v>D</v>
      </c>
      <c r="AO127" t="str">
        <v>-</v>
      </c>
      <c r="AR127" t="str">
        <v>D</v>
      </c>
      <c r="AT127" t="str">
        <v>-</v>
      </c>
      <c r="AZ127">
        <v>100</v>
      </c>
      <c r="BE127">
        <v>100</v>
      </c>
      <c r="BJ127">
        <v>100</v>
      </c>
    </row>
    <row r="128">
      <c r="G128" t="str">
        <v>D</v>
      </c>
      <c r="J128" t="str">
        <v>D</v>
      </c>
      <c r="M128" t="str">
        <v>D</v>
      </c>
      <c r="O128">
        <v>0</v>
      </c>
      <c r="P128" t="str">
        <v>D</v>
      </c>
      <c r="Q128">
        <v>8</v>
      </c>
      <c r="S128" t="str">
        <v>D</v>
      </c>
      <c r="T128">
        <v>10</v>
      </c>
      <c r="U128" t="str">
        <v>-</v>
      </c>
      <c r="V128">
        <v>1000</v>
      </c>
      <c r="Y128" t="str">
        <v>D</v>
      </c>
      <c r="AB128" t="str">
        <v>D</v>
      </c>
      <c r="AE128" t="str">
        <v>D</v>
      </c>
      <c r="AH128" t="str">
        <v>D</v>
      </c>
      <c r="AJ128" t="str">
        <v>-</v>
      </c>
      <c r="AM128" t="str">
        <v>D</v>
      </c>
      <c r="AO128" t="str">
        <v>-</v>
      </c>
      <c r="AR128" t="str">
        <v>D</v>
      </c>
      <c r="AT128" t="str">
        <v>-</v>
      </c>
      <c r="AZ128">
        <v>100</v>
      </c>
      <c r="BE128">
        <v>100</v>
      </c>
      <c r="BJ128">
        <v>100</v>
      </c>
    </row>
    <row r="129">
      <c r="G129" t="str">
        <v>D</v>
      </c>
      <c r="J129" t="str">
        <v>D</v>
      </c>
      <c r="M129" t="str">
        <v>D</v>
      </c>
      <c r="O129">
        <v>0</v>
      </c>
      <c r="P129" t="str">
        <v>D</v>
      </c>
      <c r="Q129">
        <v>8</v>
      </c>
      <c r="S129" t="str">
        <v>D</v>
      </c>
      <c r="T129">
        <v>10</v>
      </c>
      <c r="U129" t="str">
        <v>-</v>
      </c>
      <c r="V129">
        <v>1000</v>
      </c>
      <c r="Y129" t="str">
        <v>D</v>
      </c>
      <c r="AB129" t="str">
        <v>D</v>
      </c>
      <c r="AE129" t="str">
        <v>D</v>
      </c>
      <c r="AH129" t="str">
        <v>D</v>
      </c>
      <c r="AJ129" t="str">
        <v>-</v>
      </c>
      <c r="AM129" t="str">
        <v>D</v>
      </c>
      <c r="AO129" t="str">
        <v>-</v>
      </c>
      <c r="AR129" t="str">
        <v>D</v>
      </c>
      <c r="AT129" t="str">
        <v>-</v>
      </c>
      <c r="AZ129">
        <v>100</v>
      </c>
      <c r="BE129">
        <v>100</v>
      </c>
      <c r="BJ129">
        <v>100</v>
      </c>
    </row>
    <row r="130">
      <c r="G130" t="str">
        <v>D</v>
      </c>
      <c r="J130" t="str">
        <v>D</v>
      </c>
      <c r="M130" t="str">
        <v>D</v>
      </c>
      <c r="O130">
        <v>0</v>
      </c>
      <c r="P130" t="str">
        <v>D</v>
      </c>
      <c r="Q130">
        <v>8</v>
      </c>
      <c r="S130" t="str">
        <v>D</v>
      </c>
      <c r="T130">
        <v>10</v>
      </c>
      <c r="U130" t="str">
        <v>-</v>
      </c>
      <c r="V130">
        <v>1000</v>
      </c>
      <c r="Y130" t="str">
        <v>D</v>
      </c>
      <c r="AB130" t="str">
        <v>D</v>
      </c>
      <c r="AE130" t="str">
        <v>D</v>
      </c>
      <c r="AH130" t="str">
        <v>D</v>
      </c>
      <c r="AJ130" t="str">
        <v>-</v>
      </c>
      <c r="AM130" t="str">
        <v>D</v>
      </c>
      <c r="AO130" t="str">
        <v>-</v>
      </c>
      <c r="AR130" t="str">
        <v>D</v>
      </c>
      <c r="AT130" t="str">
        <v>-</v>
      </c>
      <c r="AZ130">
        <v>100</v>
      </c>
      <c r="BE130">
        <v>100</v>
      </c>
      <c r="BJ130">
        <v>100</v>
      </c>
    </row>
    <row r="131">
      <c r="G131" t="str">
        <v>D</v>
      </c>
      <c r="J131" t="str">
        <v>D</v>
      </c>
      <c r="M131" t="str">
        <v>D</v>
      </c>
      <c r="O131">
        <v>0</v>
      </c>
      <c r="P131" t="str">
        <v>D</v>
      </c>
      <c r="Q131">
        <v>8</v>
      </c>
      <c r="S131" t="str">
        <v>D</v>
      </c>
      <c r="T131">
        <v>10</v>
      </c>
      <c r="U131" t="str">
        <v>-</v>
      </c>
      <c r="V131">
        <v>1000</v>
      </c>
      <c r="Y131" t="str">
        <v>D</v>
      </c>
      <c r="AB131" t="str">
        <v>D</v>
      </c>
      <c r="AE131" t="str">
        <v>D</v>
      </c>
      <c r="AH131" t="str">
        <v>D</v>
      </c>
      <c r="AJ131" t="str">
        <v>-</v>
      </c>
      <c r="AM131" t="str">
        <v>D</v>
      </c>
      <c r="AO131" t="str">
        <v>-</v>
      </c>
      <c r="AR131" t="str">
        <v>D</v>
      </c>
      <c r="AT131" t="str">
        <v>-</v>
      </c>
      <c r="AZ131">
        <v>100</v>
      </c>
      <c r="BE131">
        <v>100</v>
      </c>
      <c r="BJ131">
        <v>100</v>
      </c>
    </row>
    <row r="132">
      <c r="G132" t="str">
        <v>D</v>
      </c>
      <c r="J132" t="str">
        <v>D</v>
      </c>
      <c r="M132" t="str">
        <v>D</v>
      </c>
      <c r="O132">
        <v>0</v>
      </c>
      <c r="P132" t="str">
        <v>D</v>
      </c>
      <c r="Q132">
        <v>8</v>
      </c>
      <c r="S132" t="str">
        <v>D</v>
      </c>
      <c r="T132">
        <v>10</v>
      </c>
      <c r="U132" t="str">
        <v>-</v>
      </c>
      <c r="V132">
        <v>1000</v>
      </c>
      <c r="Y132" t="str">
        <v>D</v>
      </c>
      <c r="AB132" t="str">
        <v>D</v>
      </c>
      <c r="AE132" t="str">
        <v>D</v>
      </c>
      <c r="AH132" t="str">
        <v>D</v>
      </c>
      <c r="AJ132" t="str">
        <v>-</v>
      </c>
      <c r="AM132" t="str">
        <v>D</v>
      </c>
      <c r="AO132" t="str">
        <v>-</v>
      </c>
      <c r="AR132" t="str">
        <v>D</v>
      </c>
      <c r="AT132" t="str">
        <v>-</v>
      </c>
      <c r="AZ132">
        <v>100</v>
      </c>
      <c r="BE132">
        <v>100</v>
      </c>
      <c r="BJ132">
        <v>100</v>
      </c>
    </row>
    <row r="133">
      <c r="G133" t="str">
        <v>D</v>
      </c>
      <c r="J133" t="str">
        <v>D</v>
      </c>
      <c r="M133" t="str">
        <v>D</v>
      </c>
      <c r="O133">
        <v>0</v>
      </c>
      <c r="P133" t="str">
        <v>D</v>
      </c>
      <c r="Q133">
        <v>8</v>
      </c>
      <c r="S133" t="str">
        <v>D</v>
      </c>
      <c r="T133">
        <v>10</v>
      </c>
      <c r="U133" t="str">
        <v>-</v>
      </c>
      <c r="V133">
        <v>1000</v>
      </c>
      <c r="Y133" t="str">
        <v>D</v>
      </c>
      <c r="AB133" t="str">
        <v>D</v>
      </c>
      <c r="AE133" t="str">
        <v>D</v>
      </c>
      <c r="AH133" t="str">
        <v>D</v>
      </c>
      <c r="AJ133" t="str">
        <v>-</v>
      </c>
      <c r="AM133" t="str">
        <v>D</v>
      </c>
      <c r="AO133" t="str">
        <v>-</v>
      </c>
      <c r="AR133" t="str">
        <v>D</v>
      </c>
      <c r="AT133" t="str">
        <v>-</v>
      </c>
      <c r="AZ133">
        <v>100</v>
      </c>
      <c r="BE133">
        <v>100</v>
      </c>
      <c r="BJ133">
        <v>100</v>
      </c>
    </row>
    <row r="134">
      <c r="G134" t="str">
        <v>D</v>
      </c>
      <c r="J134" t="str">
        <v>D</v>
      </c>
      <c r="M134" t="str">
        <v>D</v>
      </c>
      <c r="O134">
        <v>0</v>
      </c>
      <c r="P134" t="str">
        <v>D</v>
      </c>
      <c r="Q134">
        <v>8</v>
      </c>
      <c r="S134" t="str">
        <v>D</v>
      </c>
      <c r="T134">
        <v>10</v>
      </c>
      <c r="U134" t="str">
        <v>-</v>
      </c>
      <c r="V134">
        <v>1000</v>
      </c>
      <c r="Y134" t="str">
        <v>D</v>
      </c>
      <c r="AB134" t="str">
        <v>D</v>
      </c>
      <c r="AE134" t="str">
        <v>D</v>
      </c>
      <c r="AH134" t="str">
        <v>D</v>
      </c>
      <c r="AJ134" t="str">
        <v>-</v>
      </c>
      <c r="AM134" t="str">
        <v>D</v>
      </c>
      <c r="AO134" t="str">
        <v>-</v>
      </c>
      <c r="AR134" t="str">
        <v>D</v>
      </c>
      <c r="AT134" t="str">
        <v>-</v>
      </c>
      <c r="AZ134">
        <v>100</v>
      </c>
      <c r="BE134">
        <v>100</v>
      </c>
      <c r="BJ134">
        <v>100</v>
      </c>
    </row>
    <row r="135">
      <c r="G135" t="str">
        <v>D</v>
      </c>
      <c r="J135" t="str">
        <v>D</v>
      </c>
      <c r="M135" t="str">
        <v>D</v>
      </c>
      <c r="O135">
        <v>0</v>
      </c>
      <c r="P135" t="str">
        <v>D</v>
      </c>
      <c r="Q135">
        <v>8</v>
      </c>
      <c r="S135" t="str">
        <v>D</v>
      </c>
      <c r="T135">
        <v>10</v>
      </c>
      <c r="U135" t="str">
        <v>-</v>
      </c>
      <c r="V135">
        <v>1000</v>
      </c>
      <c r="Y135" t="str">
        <v>D</v>
      </c>
      <c r="AB135" t="str">
        <v>D</v>
      </c>
      <c r="AE135" t="str">
        <v>D</v>
      </c>
      <c r="AH135" t="str">
        <v>D</v>
      </c>
      <c r="AJ135" t="str">
        <v>-</v>
      </c>
      <c r="AM135" t="str">
        <v>D</v>
      </c>
      <c r="AO135" t="str">
        <v>-</v>
      </c>
      <c r="AR135" t="str">
        <v>D</v>
      </c>
      <c r="AT135" t="str">
        <v>-</v>
      </c>
      <c r="AZ135">
        <v>100</v>
      </c>
      <c r="BE135">
        <v>100</v>
      </c>
      <c r="BJ135">
        <v>100</v>
      </c>
    </row>
    <row r="136">
      <c r="G136" t="str">
        <v>D</v>
      </c>
      <c r="J136" t="str">
        <v>D</v>
      </c>
      <c r="M136" t="str">
        <v>D</v>
      </c>
      <c r="O136">
        <v>0</v>
      </c>
      <c r="P136" t="str">
        <v>D</v>
      </c>
      <c r="Q136">
        <v>8</v>
      </c>
      <c r="S136" t="str">
        <v>D</v>
      </c>
      <c r="T136">
        <v>10</v>
      </c>
      <c r="U136" t="str">
        <v>-</v>
      </c>
      <c r="V136">
        <v>1000</v>
      </c>
      <c r="Y136" t="str">
        <v>D</v>
      </c>
      <c r="AB136" t="str">
        <v>D</v>
      </c>
      <c r="AE136" t="str">
        <v>D</v>
      </c>
      <c r="AH136" t="str">
        <v>D</v>
      </c>
      <c r="AJ136" t="str">
        <v>-</v>
      </c>
      <c r="AM136" t="str">
        <v>D</v>
      </c>
      <c r="AO136" t="str">
        <v>-</v>
      </c>
      <c r="AR136" t="str">
        <v>D</v>
      </c>
      <c r="AT136" t="str">
        <v>-</v>
      </c>
      <c r="AZ136">
        <v>100</v>
      </c>
      <c r="BE136">
        <v>100</v>
      </c>
      <c r="BJ136">
        <v>100</v>
      </c>
    </row>
    <row r="137">
      <c r="G137" t="str">
        <v>D</v>
      </c>
      <c r="J137" t="str">
        <v>D</v>
      </c>
      <c r="M137" t="str">
        <v>D</v>
      </c>
      <c r="O137">
        <v>0</v>
      </c>
      <c r="P137" t="str">
        <v>D</v>
      </c>
      <c r="Q137">
        <v>8</v>
      </c>
      <c r="S137" t="str">
        <v>D</v>
      </c>
      <c r="T137">
        <v>10</v>
      </c>
      <c r="U137" t="str">
        <v>-</v>
      </c>
      <c r="V137">
        <v>1000</v>
      </c>
      <c r="Y137" t="str">
        <v>D</v>
      </c>
      <c r="AB137" t="str">
        <v>D</v>
      </c>
      <c r="AE137" t="str">
        <v>D</v>
      </c>
      <c r="AH137" t="str">
        <v>D</v>
      </c>
      <c r="AJ137" t="str">
        <v>-</v>
      </c>
      <c r="AM137" t="str">
        <v>D</v>
      </c>
      <c r="AO137" t="str">
        <v>-</v>
      </c>
      <c r="AR137" t="str">
        <v>D</v>
      </c>
      <c r="AT137" t="str">
        <v>-</v>
      </c>
      <c r="AZ137">
        <v>100</v>
      </c>
      <c r="BE137">
        <v>100</v>
      </c>
      <c r="BJ137">
        <v>100</v>
      </c>
    </row>
    <row r="138">
      <c r="G138" t="str">
        <v>D</v>
      </c>
      <c r="J138" t="str">
        <v>D</v>
      </c>
      <c r="M138" t="str">
        <v>D</v>
      </c>
      <c r="O138">
        <v>0</v>
      </c>
      <c r="P138" t="str">
        <v>D</v>
      </c>
      <c r="Q138">
        <v>8</v>
      </c>
      <c r="S138" t="str">
        <v>D</v>
      </c>
      <c r="T138">
        <v>10</v>
      </c>
      <c r="U138" t="str">
        <v>-</v>
      </c>
      <c r="V138">
        <v>1000</v>
      </c>
      <c r="Y138" t="str">
        <v>D</v>
      </c>
      <c r="AB138" t="str">
        <v>D</v>
      </c>
      <c r="AE138" t="str">
        <v>D</v>
      </c>
      <c r="AH138" t="str">
        <v>D</v>
      </c>
      <c r="AJ138" t="str">
        <v>-</v>
      </c>
      <c r="AM138" t="str">
        <v>D</v>
      </c>
      <c r="AO138" t="str">
        <v>-</v>
      </c>
      <c r="AR138" t="str">
        <v>D</v>
      </c>
      <c r="AT138" t="str">
        <v>-</v>
      </c>
      <c r="AZ138">
        <v>100</v>
      </c>
      <c r="BE138">
        <v>100</v>
      </c>
      <c r="BJ138">
        <v>100</v>
      </c>
    </row>
    <row r="139">
      <c r="G139" t="str">
        <v>D</v>
      </c>
      <c r="J139" t="str">
        <v>D</v>
      </c>
      <c r="M139" t="str">
        <v>D</v>
      </c>
      <c r="O139">
        <v>0</v>
      </c>
      <c r="P139" t="str">
        <v>D</v>
      </c>
      <c r="Q139">
        <v>8</v>
      </c>
      <c r="S139" t="str">
        <v>D</v>
      </c>
      <c r="T139">
        <v>10</v>
      </c>
      <c r="U139" t="str">
        <v>-</v>
      </c>
      <c r="V139">
        <v>1000</v>
      </c>
      <c r="Y139" t="str">
        <v>D</v>
      </c>
      <c r="AB139" t="str">
        <v>D</v>
      </c>
      <c r="AE139" t="str">
        <v>D</v>
      </c>
      <c r="AH139" t="str">
        <v>D</v>
      </c>
      <c r="AJ139" t="str">
        <v>-</v>
      </c>
      <c r="AM139" t="str">
        <v>D</v>
      </c>
      <c r="AO139" t="str">
        <v>-</v>
      </c>
      <c r="AR139" t="str">
        <v>D</v>
      </c>
      <c r="AT139" t="str">
        <v>-</v>
      </c>
    </row>
    <row r="140">
      <c r="G140" t="str">
        <v>D</v>
      </c>
      <c r="J140" t="str">
        <v>D</v>
      </c>
      <c r="M140" t="str">
        <v>D</v>
      </c>
      <c r="O140">
        <v>0</v>
      </c>
      <c r="P140" t="str">
        <v>D</v>
      </c>
      <c r="Q140">
        <v>8</v>
      </c>
      <c r="S140" t="str">
        <v>D</v>
      </c>
      <c r="T140">
        <v>10</v>
      </c>
      <c r="U140" t="str">
        <v>-</v>
      </c>
      <c r="V140">
        <v>1000</v>
      </c>
      <c r="Y140" t="str">
        <v>D</v>
      </c>
      <c r="AB140" t="str">
        <v>D</v>
      </c>
      <c r="AE140" t="str">
        <v>D</v>
      </c>
      <c r="AH140" t="str">
        <v>D</v>
      </c>
      <c r="AJ140" t="str">
        <v>-</v>
      </c>
      <c r="AM140" t="str">
        <v>D</v>
      </c>
      <c r="AO140" t="str">
        <v>-</v>
      </c>
      <c r="AR140" t="str">
        <v>D</v>
      </c>
      <c r="AT140" t="str">
        <v>-</v>
      </c>
    </row>
  </sheetData>
  <autoFilter ref="B10:BH140"/>
  <mergeCells count="22">
    <mergeCell ref="BA8:BE8"/>
    <mergeCell ref="BF8:BJ8"/>
    <mergeCell ref="AG7:AU7"/>
    <mergeCell ref="AV7:BJ7"/>
    <mergeCell ref="F8:H8"/>
    <mergeCell ref="I8:K8"/>
    <mergeCell ref="L8:N8"/>
    <mergeCell ref="O8:Q8"/>
    <mergeCell ref="R8:V8"/>
    <mergeCell ref="X8:Z8"/>
    <mergeCell ref="AA8:AC8"/>
    <mergeCell ref="AD8:AF8"/>
    <mergeCell ref="X7:AF7"/>
    <mergeCell ref="AG8:AK8"/>
    <mergeCell ref="AL8:AP8"/>
    <mergeCell ref="AQ8:AU8"/>
    <mergeCell ref="AV8:AZ8"/>
    <mergeCell ref="B7:B8"/>
    <mergeCell ref="C7:C8"/>
    <mergeCell ref="D7:E7"/>
    <mergeCell ref="F7:N7"/>
    <mergeCell ref="O7:W7"/>
  </mergeCells>
  <pageMargins left="0.7" right="0.7" top="0.75" bottom="0.75" header="0.3" footer="0.3"/>
  <ignoredErrors>
    <ignoredError numberStoredAsText="1" sqref="B1:BJ14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B7276"/>
  <sheetViews>
    <sheetView workbookViewId="0" rightToLeft="0"/>
  </sheetViews>
  <sheetData>
    <row r="1">
      <c r="B1" t="str">
        <v>PERHITUNGAN PEKERJAAN BALOK</v>
      </c>
    </row>
    <row r="2">
      <c r="C2" t="str">
        <v xml:space="preserve">Proyek          </v>
      </c>
      <c r="D2" t="str">
        <v>:</v>
      </c>
      <c r="E2" t="str">
        <v>SEMARANG TUMPANG 2-4</v>
      </c>
    </row>
    <row r="3">
      <c r="C3" t="str">
        <v>Area</v>
      </c>
      <c r="D3" t="str">
        <v>:</v>
      </c>
    </row>
    <row r="5">
      <c r="C5" t="str">
        <v>Tebal Selimut</v>
      </c>
      <c r="E5" t="str">
        <v>=</v>
      </c>
      <c r="F5">
        <v>40</v>
      </c>
      <c r="G5" t="str">
        <v>mm</v>
      </c>
    </row>
    <row r="6">
      <c r="C6" t="str">
        <v>Sambungan Lewatan (ls)</v>
      </c>
      <c r="D6">
        <v>6</v>
      </c>
      <c r="E6" t="str">
        <v>=</v>
      </c>
      <c r="F6">
        <f>50*D6</f>
        <v>300</v>
      </c>
      <c r="G6" t="str">
        <v>mm</v>
      </c>
      <c r="M6" t="str">
        <v>ldh</v>
      </c>
      <c r="N6">
        <v>6</v>
      </c>
      <c r="O6" t="str">
        <v>=</v>
      </c>
      <c r="P6">
        <v>0</v>
      </c>
      <c r="Q6" t="str">
        <v>mm</v>
      </c>
      <c r="T6" t="str">
        <v>ld</v>
      </c>
      <c r="U6">
        <v>6</v>
      </c>
      <c r="V6" t="str">
        <v>=</v>
      </c>
      <c r="W6">
        <f>40*U6</f>
        <v>240</v>
      </c>
      <c r="X6" t="str">
        <v>mm</v>
      </c>
    </row>
    <row r="7">
      <c r="D7">
        <v>8</v>
      </c>
      <c r="E7" t="str">
        <v>=</v>
      </c>
      <c r="F7">
        <f>50*D7</f>
        <v>400</v>
      </c>
      <c r="G7" t="str">
        <v>mm</v>
      </c>
      <c r="N7">
        <v>8</v>
      </c>
      <c r="O7" t="str">
        <v>=</v>
      </c>
      <c r="P7">
        <v>0</v>
      </c>
      <c r="Q7" t="str">
        <v>mm</v>
      </c>
      <c r="U7">
        <v>8</v>
      </c>
      <c r="V7" t="str">
        <v>=</v>
      </c>
      <c r="W7">
        <f>40*U7</f>
        <v>320</v>
      </c>
      <c r="X7" t="str">
        <v>mm</v>
      </c>
    </row>
    <row r="8">
      <c r="D8">
        <v>10</v>
      </c>
      <c r="E8" t="str">
        <v>=</v>
      </c>
      <c r="F8">
        <f>50*D8</f>
        <v>500</v>
      </c>
      <c r="G8" t="str">
        <v>mm</v>
      </c>
      <c r="N8">
        <v>10</v>
      </c>
      <c r="O8" t="str">
        <v>=</v>
      </c>
      <c r="P8">
        <v>0</v>
      </c>
      <c r="Q8" t="str">
        <v>mm</v>
      </c>
      <c r="U8">
        <v>10</v>
      </c>
      <c r="V8" t="str">
        <v>=</v>
      </c>
      <c r="W8">
        <f>40*U8</f>
        <v>400</v>
      </c>
      <c r="X8" t="str">
        <v>mm</v>
      </c>
    </row>
    <row r="9">
      <c r="D9">
        <v>13</v>
      </c>
      <c r="E9" t="str">
        <v>=</v>
      </c>
      <c r="F9">
        <f>50*D9</f>
        <v>650</v>
      </c>
      <c r="G9" t="str">
        <v>mm</v>
      </c>
      <c r="N9">
        <v>13</v>
      </c>
      <c r="O9" t="str">
        <v>=</v>
      </c>
      <c r="P9">
        <v>0</v>
      </c>
      <c r="Q9" t="str">
        <v>mm</v>
      </c>
      <c r="U9">
        <v>13</v>
      </c>
      <c r="V9" t="str">
        <v>=</v>
      </c>
      <c r="W9">
        <f>40*U9</f>
        <v>520</v>
      </c>
      <c r="X9" t="str">
        <v>mm</v>
      </c>
    </row>
    <row r="10">
      <c r="D10">
        <v>16</v>
      </c>
      <c r="E10" t="str">
        <v>=</v>
      </c>
      <c r="F10">
        <f>50*D10</f>
        <v>800</v>
      </c>
      <c r="G10" t="str">
        <v>mm</v>
      </c>
      <c r="N10">
        <v>16</v>
      </c>
      <c r="O10" t="str">
        <v>=</v>
      </c>
      <c r="P10">
        <v>0</v>
      </c>
      <c r="Q10" t="str">
        <v>mm</v>
      </c>
      <c r="U10">
        <v>16</v>
      </c>
      <c r="V10" t="str">
        <v>=</v>
      </c>
      <c r="W10">
        <f>40*U10</f>
        <v>640</v>
      </c>
      <c r="X10" t="str">
        <v>mm</v>
      </c>
    </row>
    <row r="11">
      <c r="D11">
        <v>19</v>
      </c>
      <c r="E11" t="str">
        <v>=</v>
      </c>
      <c r="F11">
        <f>50*D11</f>
        <v>950</v>
      </c>
      <c r="G11" t="str">
        <v>mm</v>
      </c>
      <c r="N11">
        <v>19</v>
      </c>
      <c r="O11" t="str">
        <v>=</v>
      </c>
      <c r="P11">
        <v>0</v>
      </c>
      <c r="Q11" t="str">
        <v>mm</v>
      </c>
      <c r="U11">
        <v>19</v>
      </c>
      <c r="V11" t="str">
        <v>=</v>
      </c>
      <c r="W11">
        <f>40*U11</f>
        <v>760</v>
      </c>
      <c r="X11" t="str">
        <v>mm</v>
      </c>
    </row>
    <row r="12">
      <c r="D12">
        <v>22</v>
      </c>
      <c r="E12" t="str">
        <v>=</v>
      </c>
      <c r="F12">
        <f>50*D12</f>
        <v>1100</v>
      </c>
      <c r="G12" t="str">
        <v>mm</v>
      </c>
      <c r="N12">
        <v>22</v>
      </c>
      <c r="O12" t="str">
        <v>=</v>
      </c>
      <c r="P12">
        <v>0</v>
      </c>
      <c r="Q12" t="str">
        <v>mm</v>
      </c>
      <c r="U12">
        <v>22</v>
      </c>
      <c r="V12" t="str">
        <v>=</v>
      </c>
      <c r="W12">
        <f>40*U12</f>
        <v>880</v>
      </c>
      <c r="X12" t="str">
        <v>mm</v>
      </c>
    </row>
    <row r="13">
      <c r="D13">
        <v>25</v>
      </c>
      <c r="E13" t="str">
        <v>=</v>
      </c>
      <c r="F13">
        <f>50*D13</f>
        <v>1250</v>
      </c>
      <c r="G13" t="str">
        <v>mm</v>
      </c>
      <c r="N13">
        <v>25</v>
      </c>
      <c r="O13" t="str">
        <v>=</v>
      </c>
      <c r="P13">
        <v>0</v>
      </c>
      <c r="Q13" t="str">
        <v>mm</v>
      </c>
      <c r="U13">
        <v>25</v>
      </c>
      <c r="V13" t="str">
        <v>=</v>
      </c>
      <c r="W13">
        <f>40*U13</f>
        <v>1000</v>
      </c>
      <c r="X13" t="str">
        <v>mm</v>
      </c>
    </row>
    <row r="14">
      <c r="D14">
        <v>29</v>
      </c>
      <c r="E14" t="str">
        <v>=</v>
      </c>
      <c r="F14">
        <f>50*D14</f>
        <v>1450</v>
      </c>
      <c r="G14" t="str">
        <v>mm</v>
      </c>
      <c r="N14">
        <v>29</v>
      </c>
      <c r="O14" t="str">
        <v>=</v>
      </c>
      <c r="P14">
        <v>0</v>
      </c>
      <c r="Q14" t="str">
        <v>mm</v>
      </c>
      <c r="U14">
        <v>29</v>
      </c>
      <c r="V14" t="str">
        <v>=</v>
      </c>
      <c r="W14">
        <f>40*U14</f>
        <v>1160</v>
      </c>
      <c r="X14" t="str">
        <v>mm</v>
      </c>
    </row>
    <row r="16">
      <c r="C16" t="str">
        <v>Kait tulangan utama</v>
      </c>
      <c r="E16" t="str">
        <v>=</v>
      </c>
      <c r="F16">
        <v>12</v>
      </c>
      <c r="G16" t="str">
        <v>D</v>
      </c>
    </row>
    <row r="17">
      <c r="C17" t="str">
        <v>Kait sengkang</v>
      </c>
      <c r="E17" t="str">
        <v>=</v>
      </c>
      <c r="F17">
        <v>6</v>
      </c>
      <c r="G17" t="str">
        <v>D</v>
      </c>
    </row>
    <row r="18">
      <c r="C18" t="str">
        <v>Penyaluran tul. Tumpuan</v>
      </c>
      <c r="E18" t="str">
        <v>=</v>
      </c>
      <c r="F18">
        <v>15</v>
      </c>
      <c r="G18" t="str">
        <v>D</v>
      </c>
    </row>
    <row r="19">
      <c r="C19" t="str">
        <v>Putusan tul. Lapangan</v>
      </c>
      <c r="E19" t="str">
        <v>=</v>
      </c>
      <c r="F19">
        <v>0.2</v>
      </c>
      <c r="G19" t="str">
        <v>ln</v>
      </c>
    </row>
    <row r="20">
      <c r="A20" t="str">
        <v>Lantai / Elevasi</v>
      </c>
      <c r="B20" t="str">
        <v>No</v>
      </c>
      <c r="C20" t="str">
        <v>Keterangan</v>
      </c>
      <c r="D20" t="str">
        <v>Type Balok</v>
      </c>
    </row>
    <row r="21">
      <c r="D21" t="str">
        <v>Detail Balok</v>
      </c>
      <c r="I21" t="str">
        <v>Panjang</v>
      </c>
      <c r="L21" t="str">
        <v>Penjangkaran</v>
      </c>
      <c r="N21" t="str">
        <v>Panjang Besi</v>
      </c>
      <c r="P21" t="str">
        <v>Samb. Lewatan</v>
      </c>
      <c r="U21" t="str">
        <v>Berat</v>
      </c>
      <c r="W21" t="str">
        <v>Jmlh Besi</v>
      </c>
      <c r="Y21" t="str">
        <v>Jmlh Balok</v>
      </c>
      <c r="AA21" t="str">
        <v>Vol. Besi</v>
      </c>
    </row>
    <row r="22">
      <c r="I22" t="str">
        <v>(m1)</v>
      </c>
      <c r="L22" t="str">
        <v>(m1)</v>
      </c>
      <c r="N22" t="str">
        <v>(m1)</v>
      </c>
      <c r="P22" t="str">
        <v>(m1)</v>
      </c>
      <c r="U22" t="str">
        <v>(kg/m1)</v>
      </c>
      <c r="W22" t="str">
        <v>(btg)</v>
      </c>
      <c r="AA22" t="str">
        <v>(kg)</v>
      </c>
    </row>
    <row r="25">
      <c r="A25" t="str">
        <v>Lantai 1</v>
      </c>
      <c r="B25">
        <v>1</v>
      </c>
      <c r="C25" t="str">
        <f>CONCATENATE(A25," no. ",B25)</f>
        <v>Lantai 1 no. 1</v>
      </c>
      <c r="D25" t="str">
        <f>VLOOKUP(C25,'Data Panjang Balok'!$C$9:$N$254,2,FALSE)</f>
        <v>S36-1</v>
      </c>
    </row>
    <row r="26">
      <c r="C26" t="str">
        <v>Dimensi</v>
      </c>
      <c r="D26">
        <f>VLOOKUP(D25,'Detail Balok'!$C$10:$AU$140,2,FALSE)</f>
        <v>300</v>
      </c>
      <c r="F26" t="str">
        <v>x</v>
      </c>
      <c r="G26">
        <f>VLOOKUP(D25,'Detail Balok'!$C$10:$AU$140,3,FALSE)</f>
        <v>600</v>
      </c>
    </row>
    <row r="27">
      <c r="C27" t="str">
        <v>Panjang as ke as</v>
      </c>
      <c r="D27">
        <f>VLOOKUP(C25,'Data Panjang Balok'!$C$9:$N$254,4,FALSE)</f>
        <v>4825</v>
      </c>
    </row>
    <row r="28">
      <c r="C28" t="str">
        <v>Panjang netto</v>
      </c>
      <c r="D28">
        <f>VLOOKUP(C25,'Data Panjang Balok'!$C$9:$N$254,7,FALSE)</f>
        <v>4825</v>
      </c>
    </row>
    <row r="29">
      <c r="C29" t="str">
        <v>Kolom / balok kiri</v>
      </c>
      <c r="D29">
        <f>VLOOKUP(C25,'Data Panjang Balok'!$C$9:$N$254,9,FALSE)</f>
        <v>0</v>
      </c>
    </row>
    <row r="30">
      <c r="C30" t="str">
        <v>Kolom / balok kanan</v>
      </c>
      <c r="D30">
        <f>VLOOKUP(C25,'Data Panjang Balok'!$C$9:$N$254,10,FALSE)</f>
        <v>0</v>
      </c>
    </row>
    <row r="31">
      <c r="C31" t="str">
        <v>Jumlah</v>
      </c>
      <c r="D31">
        <f>VLOOKUP(C25,'Data Panjang Balok'!$C$9:$N$254,3,FALSE)</f>
        <v>1</v>
      </c>
    </row>
    <row r="32">
      <c r="A32" t="str">
        <f>A25</f>
        <v>Lantai 1</v>
      </c>
      <c r="B32">
        <f>B25</f>
        <v>1</v>
      </c>
      <c r="C32" t="str">
        <v>Tul Atas Tumpuan</v>
      </c>
      <c r="D32">
        <f>VLOOKUP(D25,'Detail Balok'!$C$10:$AU$140,4,FALSE)</f>
        <v>4</v>
      </c>
      <c r="E32" t="str">
        <v>D</v>
      </c>
      <c r="F32">
        <f>VLOOKUP(D25,'Detail Balok'!$C$10:$AU$140,6,FALSE)</f>
        <v>16</v>
      </c>
      <c r="I32" t="str">
        <v>(</v>
      </c>
      <c r="J32">
        <f>+D27/4/1000</f>
        <v>1.20625</v>
      </c>
      <c r="K32" t="str">
        <v>+</v>
      </c>
      <c r="L32">
        <f>MAX(VLOOKUP(F32,N$6:P$15,3,FALSE)/1000,2/3*D29/1000)+F$16*F32/1000</f>
        <v>0.192</v>
      </c>
      <c r="M32" t="str">
        <v>=</v>
      </c>
      <c r="N32">
        <f>J32+L32</f>
        <v>1.39825</v>
      </c>
      <c r="O32" t="str">
        <v>+</v>
      </c>
      <c r="P32">
        <f>D32-D33</f>
        <v>0</v>
      </c>
      <c r="Q32" t="str">
        <v>x</v>
      </c>
      <c r="R32">
        <f>IF(P32&gt;0,$F$18*F32/1000,0)</f>
        <v>0</v>
      </c>
      <c r="S32" t="str">
        <v>)</v>
      </c>
      <c r="T32" t="str">
        <v>x</v>
      </c>
      <c r="U32">
        <f>0.006165*F32^2</f>
        <v>1.57824</v>
      </c>
      <c r="X32" t="str">
        <v>x</v>
      </c>
      <c r="Y32">
        <f>D31</f>
        <v>1</v>
      </c>
      <c r="Z32" t="str">
        <v>=</v>
      </c>
      <c r="AA32">
        <f>IF(AA35=0,(D32*N32+P32*R32)*U32*Y32,0)</f>
        <v>0</v>
      </c>
    </row>
    <row r="33">
      <c r="A33" t="str">
        <f>A25</f>
        <v>Lantai 1</v>
      </c>
      <c r="B33">
        <f>B25</f>
        <v>1</v>
      </c>
      <c r="C33" t="str">
        <v>Tul Atas Lapangan</v>
      </c>
      <c r="D33">
        <f>VLOOKUP(D25,'Detail Balok'!$C$10:$AU$140,7,FALSE)</f>
        <v>4</v>
      </c>
      <c r="E33" t="str">
        <v>D</v>
      </c>
      <c r="F33">
        <f>VLOOKUP(D25,'Detail Balok'!$C$10:$AU$140,9,FALSE)</f>
        <v>16</v>
      </c>
      <c r="I33" t="str">
        <v>(</v>
      </c>
      <c r="J33">
        <f>+D27/2/1000</f>
        <v>2.4125</v>
      </c>
      <c r="K33" t="str">
        <v>+</v>
      </c>
      <c r="M33" t="str">
        <v>=</v>
      </c>
      <c r="N33">
        <f>J33+L33</f>
        <v>2.4125</v>
      </c>
      <c r="O33" t="str">
        <v>+</v>
      </c>
      <c r="P33">
        <f>MAX(D33-D32,D33-D34)</f>
        <v>0</v>
      </c>
      <c r="Q33" t="str">
        <v>x</v>
      </c>
      <c r="R33">
        <f>IF(P33&gt;0,2*(1-2*$F$19-1/2)*D28/1000,0)</f>
        <v>0</v>
      </c>
      <c r="S33" t="str">
        <v>)</v>
      </c>
      <c r="T33" t="str">
        <v>x</v>
      </c>
      <c r="U33">
        <f>0.006165*F33^2</f>
        <v>1.57824</v>
      </c>
      <c r="X33" t="str">
        <v>x</v>
      </c>
      <c r="Y33">
        <f>D31</f>
        <v>1</v>
      </c>
      <c r="Z33" t="str">
        <v>=</v>
      </c>
      <c r="AA33">
        <f>IF(AA35=0,(D33*N33+P33*R33)*U33*Y33,0)</f>
        <v>0</v>
      </c>
    </row>
    <row r="34">
      <c r="A34" t="str">
        <f>A25</f>
        <v>Lantai 1</v>
      </c>
      <c r="B34">
        <f>B25</f>
        <v>1</v>
      </c>
      <c r="C34" t="str">
        <v>Tul Atas Tumpuan</v>
      </c>
      <c r="D34">
        <f>VLOOKUP(D25,'Detail Balok'!$C$10:$AU$140,10,FALSE)</f>
        <v>4</v>
      </c>
      <c r="E34" t="str">
        <v>D</v>
      </c>
      <c r="F34">
        <f>VLOOKUP(D25,'Detail Balok'!$C$10:$AU$140,12,FALSE)</f>
        <v>16</v>
      </c>
      <c r="I34" t="str">
        <v>(</v>
      </c>
      <c r="J34">
        <f>+D27/4/1000</f>
        <v>1.20625</v>
      </c>
      <c r="K34" t="str">
        <v>+</v>
      </c>
      <c r="L34">
        <f>MAX(VLOOKUP(F34,N$6:P$15,3,FALSE)/1000,2/3*D29/1000)+F$16*F34/1000</f>
        <v>0.192</v>
      </c>
      <c r="M34" t="str">
        <v>=</v>
      </c>
      <c r="N34">
        <f>J34+L34</f>
        <v>1.39825</v>
      </c>
      <c r="O34" t="str">
        <v>+</v>
      </c>
      <c r="P34">
        <f>D34-D33</f>
        <v>0</v>
      </c>
      <c r="Q34" t="str">
        <v>x</v>
      </c>
      <c r="R34">
        <f>IF(P34&gt;0,$F$18*F34/1000,0)</f>
        <v>0</v>
      </c>
      <c r="S34" t="str">
        <v>)</v>
      </c>
      <c r="T34" t="str">
        <v>x</v>
      </c>
      <c r="U34">
        <f>0.006165*F34^2</f>
        <v>1.57824</v>
      </c>
      <c r="X34" t="str">
        <v>x</v>
      </c>
      <c r="Y34">
        <f>D31</f>
        <v>1</v>
      </c>
      <c r="Z34" t="str">
        <v>=</v>
      </c>
      <c r="AA34">
        <f>IF(AA35=0,(D34*N34+P34*R34)*U34*Y34,0)</f>
        <v>0</v>
      </c>
    </row>
    <row r="35">
      <c r="A35" t="str">
        <f>A25</f>
        <v>Lantai 1</v>
      </c>
      <c r="B35">
        <f>B25</f>
        <v>1</v>
      </c>
      <c r="D35">
        <f>IF(AND(D32=D33,D33=D34,D32=D34),D32,0)</f>
        <v>4</v>
      </c>
      <c r="E35" t="str">
        <v>D</v>
      </c>
      <c r="F35">
        <f>IF(AND(F32=F33,F32=F34,F33=F34),F32,0)</f>
        <v>16</v>
      </c>
      <c r="L35" t="str">
        <v>Total panjang per balok</v>
      </c>
      <c r="M35" t="str">
        <v>=</v>
      </c>
      <c r="N35">
        <f>IF(AND(D32=D33,D32=D34,D33=D34,F32=F33,F32=F34,F33=F34),SUM(N32:N34),0)</f>
        <v>5.209</v>
      </c>
      <c r="O35" t="str">
        <v>+</v>
      </c>
      <c r="P35">
        <f>IF(N35&gt;12,ROUNDDOWN(N35/12,0),0)</f>
        <v>0</v>
      </c>
      <c r="Q35" t="str">
        <v>x</v>
      </c>
      <c r="R35">
        <f>IF(P35&gt;0,MAX(VLOOKUP(F35,$D$6:$G$15,3,FALSE),600),0)/1000</f>
        <v>0</v>
      </c>
      <c r="T35" t="str">
        <v>x</v>
      </c>
      <c r="U35">
        <f>U34</f>
        <v>1.57824</v>
      </c>
      <c r="V35" t="str">
        <v>x</v>
      </c>
      <c r="W35">
        <f>D35</f>
        <v>4</v>
      </c>
      <c r="X35" t="str">
        <v>x</v>
      </c>
      <c r="Y35">
        <f>Y34</f>
        <v>1</v>
      </c>
      <c r="Z35" t="str">
        <v>=</v>
      </c>
      <c r="AA35">
        <f>(N35+P35*R35/1000)*U35*W35*Y35</f>
        <v>32.88420864</v>
      </c>
    </row>
    <row r="37">
      <c r="A37" t="str">
        <f>A25</f>
        <v>Lantai 1</v>
      </c>
      <c r="B37">
        <f>B25</f>
        <v>1</v>
      </c>
      <c r="C37" t="str">
        <v>Tul Peminggang</v>
      </c>
      <c r="D37">
        <f>VLOOKUP(D25,'Detail Balok'!$C$10:$AU$140,13,FALSE)</f>
        <v>2</v>
      </c>
      <c r="E37" t="str">
        <v>D</v>
      </c>
      <c r="F37">
        <f>VLOOKUP(D25,'Detail Balok'!$C$10:$AU$140,15,FALSE)</f>
        <v>10</v>
      </c>
      <c r="J37">
        <f>+D27/1000</f>
        <v>4.825</v>
      </c>
      <c r="K37" t="str">
        <v>+</v>
      </c>
      <c r="L37">
        <f>2*$F$16*F37/1000</f>
        <v>0.24</v>
      </c>
      <c r="M37" t="str">
        <v>=</v>
      </c>
      <c r="N37">
        <f>J37+L37</f>
        <v>5.065</v>
      </c>
      <c r="O37" t="str">
        <v>+</v>
      </c>
      <c r="P37">
        <f>IF(N37&gt;12,ROUNDDOWN(N37/12,0),0)</f>
        <v>0</v>
      </c>
      <c r="Q37" t="str">
        <v>x</v>
      </c>
      <c r="R37">
        <f>IF(P37&gt;0,MAX(VLOOKUP(F37,$D$6:$G$15,3,FALSE),600),0)/1000</f>
        <v>0</v>
      </c>
      <c r="T37" t="str">
        <v>x</v>
      </c>
      <c r="U37">
        <f>0.006165*F37^2</f>
        <v>0.6165</v>
      </c>
      <c r="V37" t="str">
        <v>x</v>
      </c>
      <c r="W37">
        <f>+D37</f>
        <v>2</v>
      </c>
      <c r="X37" t="str">
        <v>x</v>
      </c>
      <c r="Y37">
        <f>D31</f>
        <v>1</v>
      </c>
      <c r="Z37" t="str">
        <v>=</v>
      </c>
      <c r="AA37">
        <f>(N37+P37*R37/1000)*U37*W37*Y37</f>
        <v>6.245145000000001</v>
      </c>
    </row>
    <row r="40">
      <c r="A40" t="str">
        <f>A25</f>
        <v>Lantai 1</v>
      </c>
      <c r="B40">
        <f>B25</f>
        <v>1</v>
      </c>
      <c r="C40" t="str">
        <v>Tul Bawah Tumpuan</v>
      </c>
      <c r="D40">
        <f>VLOOKUP(D25,'Detail Balok'!$C$10:$AU$140,22,FALSE)</f>
        <v>4</v>
      </c>
      <c r="E40" t="str">
        <v>D</v>
      </c>
      <c r="F40">
        <f>VLOOKUP(D25,'Detail Balok'!$C$10:$AU$140,24,FALSE)</f>
        <v>16</v>
      </c>
      <c r="I40" t="str">
        <v>(</v>
      </c>
      <c r="J40">
        <f>+J32</f>
        <v>1.20625</v>
      </c>
      <c r="K40" t="str">
        <v>+</v>
      </c>
      <c r="L40">
        <f>MAX(VLOOKUP(F40,N$6:P$15,3,FALSE)/1000,2/3*D30/1000)+F$16*F40/1000</f>
        <v>0.192</v>
      </c>
      <c r="M40" t="str">
        <v>=</v>
      </c>
      <c r="N40">
        <f>J40+L40</f>
        <v>1.39825</v>
      </c>
      <c r="O40" t="str">
        <v>+</v>
      </c>
      <c r="P40">
        <f>D40-D41</f>
        <v>0</v>
      </c>
      <c r="Q40" t="str">
        <v>x</v>
      </c>
      <c r="R40">
        <f>IF(P40&gt;0,$F$18*F40/1000,0)</f>
        <v>0</v>
      </c>
      <c r="S40" t="str">
        <v>)</v>
      </c>
      <c r="T40" t="str">
        <v>x</v>
      </c>
      <c r="U40">
        <f>0.006165*F40^2</f>
        <v>1.57824</v>
      </c>
      <c r="X40" t="str">
        <v>x</v>
      </c>
      <c r="Y40">
        <f>D31</f>
        <v>1</v>
      </c>
      <c r="Z40" t="str">
        <v>=</v>
      </c>
      <c r="AA40">
        <f>IF(AA43=0,(D40*N40+P40*R40)*U40*Y40,0)</f>
        <v>0</v>
      </c>
    </row>
    <row r="41">
      <c r="A41" t="str">
        <f>A25</f>
        <v>Lantai 1</v>
      </c>
      <c r="B41">
        <f>B25</f>
        <v>1</v>
      </c>
      <c r="C41" t="str">
        <v>Tul Bawah Lapangan</v>
      </c>
      <c r="D41">
        <f>VLOOKUP(D25,'Detail Balok'!$C$10:$AU$140,25,FALSE)</f>
        <v>4</v>
      </c>
      <c r="E41" t="str">
        <v>D</v>
      </c>
      <c r="F41">
        <f>VLOOKUP(D25,'Detail Balok'!$C$10:$AU$140,27,FALSE)</f>
        <v>16</v>
      </c>
      <c r="I41" t="str">
        <v>(</v>
      </c>
      <c r="J41">
        <f>+J33</f>
        <v>2.4125</v>
      </c>
      <c r="K41" t="str">
        <v>+</v>
      </c>
      <c r="M41" t="str">
        <v>=</v>
      </c>
      <c r="N41">
        <f>J41+L41</f>
        <v>2.4125</v>
      </c>
      <c r="O41" t="str">
        <v>+</v>
      </c>
      <c r="P41">
        <f>MAX(D41-D40,D41-D42)</f>
        <v>0</v>
      </c>
      <c r="Q41" t="str">
        <v>x</v>
      </c>
      <c r="R41">
        <f>IF(P41&gt;0,2*(1-2*$F$19-1/2)*D28/1000,0)</f>
        <v>0</v>
      </c>
      <c r="S41" t="str">
        <v>)</v>
      </c>
      <c r="T41" t="str">
        <v>x</v>
      </c>
      <c r="U41">
        <f>0.006165*F41^2</f>
        <v>1.57824</v>
      </c>
      <c r="X41" t="str">
        <v>x</v>
      </c>
      <c r="Y41">
        <f>D31</f>
        <v>1</v>
      </c>
      <c r="Z41" t="str">
        <v>=</v>
      </c>
      <c r="AA41">
        <f>IF(AA43=0,(D41*N41+P41*R41)*U41*Y41,0)</f>
        <v>0</v>
      </c>
    </row>
    <row r="42">
      <c r="A42" t="str">
        <f>A25</f>
        <v>Lantai 1</v>
      </c>
      <c r="B42">
        <f>B25</f>
        <v>1</v>
      </c>
      <c r="C42" t="str">
        <v>Tul Bawah Tumpuan</v>
      </c>
      <c r="D42">
        <f>VLOOKUP(D25,'Detail Balok'!$C$10:$AU$140,28,FALSE)</f>
        <v>4</v>
      </c>
      <c r="E42" t="str">
        <v>D</v>
      </c>
      <c r="F42">
        <f>VLOOKUP(D25,'Detail Balok'!$C$10:$AU$140,30,FALSE)</f>
        <v>16</v>
      </c>
      <c r="I42" t="str">
        <v>(</v>
      </c>
      <c r="J42">
        <f>+J34</f>
        <v>1.20625</v>
      </c>
      <c r="K42" t="str">
        <v>+</v>
      </c>
      <c r="L42">
        <f>MAX(VLOOKUP(F42,N$6:P$15,3,FALSE)/1000,2/3*D30/1000)+F$16*F42/1000</f>
        <v>0.192</v>
      </c>
      <c r="M42" t="str">
        <v>=</v>
      </c>
      <c r="N42">
        <f>J42+L42</f>
        <v>1.39825</v>
      </c>
      <c r="O42" t="str">
        <v>+</v>
      </c>
      <c r="P42">
        <f>D42-D41</f>
        <v>0</v>
      </c>
      <c r="Q42" t="str">
        <v>x</v>
      </c>
      <c r="R42">
        <f>IF(P42&gt;0,$F$18*F42/1000,0)</f>
        <v>0</v>
      </c>
      <c r="S42" t="str">
        <v>)</v>
      </c>
      <c r="T42" t="str">
        <v>x</v>
      </c>
      <c r="U42">
        <f>0.006165*F42^2</f>
        <v>1.57824</v>
      </c>
      <c r="X42" t="str">
        <v>x</v>
      </c>
      <c r="Y42">
        <f>D31</f>
        <v>1</v>
      </c>
      <c r="Z42" t="str">
        <v>=</v>
      </c>
      <c r="AA42">
        <f>IF(AA43=0,(D42*N42+P42*R42)*U42*Y42,0)</f>
        <v>0</v>
      </c>
    </row>
    <row r="43">
      <c r="A43" t="str">
        <f>A25</f>
        <v>Lantai 1</v>
      </c>
      <c r="B43">
        <f>B25</f>
        <v>1</v>
      </c>
      <c r="D43">
        <f>IF(AND(D40=D41,D41=D42,D40=D42),D40,0)</f>
        <v>4</v>
      </c>
      <c r="E43" t="str">
        <v>D</v>
      </c>
      <c r="F43">
        <f>IF(AND(F40=F41,F40=F42,F41=F42),F40,0)</f>
        <v>16</v>
      </c>
      <c r="L43" t="str">
        <v>Total panjang per balok</v>
      </c>
      <c r="M43" t="str">
        <v>=</v>
      </c>
      <c r="N43">
        <f>IF(AND(D40=D41,D40=D42,D41=D42,F40=F41,F40=F42,F41=F42),SUM(N40:N42),0)</f>
        <v>5.209</v>
      </c>
      <c r="O43" t="str">
        <v>+</v>
      </c>
      <c r="P43">
        <f>IF(N43&gt;12,ROUNDDOWN(N43/12,0),0)</f>
        <v>0</v>
      </c>
      <c r="Q43" t="str">
        <v>x</v>
      </c>
      <c r="R43">
        <f>IF(P43&gt;0,MAX(VLOOKUP(F43,$D$6:$G$15,3,FALSE),600),0)/1000</f>
        <v>0</v>
      </c>
      <c r="T43" t="str">
        <v>x</v>
      </c>
      <c r="U43">
        <f>U42</f>
        <v>1.57824</v>
      </c>
      <c r="V43" t="str">
        <v>x</v>
      </c>
      <c r="W43">
        <f>D43</f>
        <v>4</v>
      </c>
      <c r="X43" t="str">
        <v>x</v>
      </c>
      <c r="Y43">
        <f>Y42</f>
        <v>1</v>
      </c>
      <c r="Z43" t="str">
        <v>=</v>
      </c>
      <c r="AA43">
        <f>(N43+P43*R43/1000)*U43*W43*Y43</f>
        <v>32.88420864</v>
      </c>
    </row>
    <row r="45">
      <c r="A45" t="str">
        <f>A25</f>
        <v>Lantai 1</v>
      </c>
      <c r="B45">
        <f>B25</f>
        <v>1</v>
      </c>
      <c r="C45" t="str">
        <v>Sengkang Tumpuan</v>
      </c>
      <c r="D45">
        <f>VLOOKUP(D25,'Detail Balok'!$C$10:$AU$140,31,FALSE)</f>
        <v>0</v>
      </c>
      <c r="E45" t="str">
        <v>D</v>
      </c>
      <c r="F45">
        <f>VLOOKUP(D25,'Detail Balok'!$C$10:$AU$140,33,FALSE)</f>
        <v>8</v>
      </c>
      <c r="G45" t="str">
        <v>-</v>
      </c>
      <c r="H45">
        <f>VLOOKUP(D25,'Detail Balok'!$C$10:$AU$140,35,FALSE)</f>
        <v>150</v>
      </c>
      <c r="J45">
        <f>(IF(D45=0,(2*(D26+G26))-(F$5*8),IF(D45=3,(2*(D26+G26))-(F$5*8)+(G26-2*F$5),IF(D45=4,(2*(D26+G26))-(F$5*8)+2*(G26-2*F$5)))))/1000</f>
        <v>1.48</v>
      </c>
      <c r="K45" t="str">
        <v>+</v>
      </c>
      <c r="L45">
        <f>IF(D45=0,2*MAX(6*F45,75),(D45-1)*2*MAX(6*F45,75))/1000</f>
        <v>0.15</v>
      </c>
      <c r="M45" t="str">
        <v>=</v>
      </c>
      <c r="N45">
        <f>J45+L45</f>
        <v>1.63</v>
      </c>
      <c r="T45" t="str">
        <v>x</v>
      </c>
      <c r="U45">
        <f>0.006165*F45^2</f>
        <v>0.39456</v>
      </c>
      <c r="V45" t="str">
        <v>x</v>
      </c>
      <c r="W45">
        <f>IF(D28&gt;4*G26,ROUND(MAX(D28/4,2*G26)/H45,0)+1,ROUND(D28/H45,0)+1)</f>
        <v>9</v>
      </c>
      <c r="X45" t="str">
        <v>x</v>
      </c>
      <c r="Y45">
        <f>D31</f>
        <v>1</v>
      </c>
      <c r="Z45" t="str">
        <v>=</v>
      </c>
      <c r="AA45">
        <f>N45*U45*W45*Y45</f>
        <v>5.7881952</v>
      </c>
    </row>
    <row r="46">
      <c r="A46" t="str">
        <f>A25</f>
        <v>Lantai 1</v>
      </c>
      <c r="B46">
        <f>B25</f>
        <v>1</v>
      </c>
      <c r="C46" t="str">
        <v>Sengkang Lapangan</v>
      </c>
      <c r="D46">
        <f>VLOOKUP(D25,'Detail Balok'!$C$10:$AU$140,36,FALSE)</f>
        <v>0</v>
      </c>
      <c r="E46" t="str">
        <v>D</v>
      </c>
      <c r="F46">
        <f>VLOOKUP(D25,'Detail Balok'!$C$10:$AU$140,38,FALSE)</f>
        <v>8</v>
      </c>
      <c r="G46" t="str">
        <v>-</v>
      </c>
      <c r="H46">
        <f>VLOOKUP(D25,'Detail Balok'!$C$10:$AU$140,40,FALSE)</f>
        <v>200</v>
      </c>
      <c r="J46">
        <f>(IF(D46=0,(2*(D26+G26))-(F$5*8),IF(D46=3,(2*(D26+G26))-(F$5*8)+(G26-2*F$5),IF(D46=4,(2*(D26+G26))-(F$5*8)+2*(G26-2*F$5)))))/1000</f>
        <v>1.48</v>
      </c>
      <c r="K46" t="str">
        <v>+</v>
      </c>
      <c r="L46">
        <f>IF(D46=0,2*MAX(6*F46,75),(D46-1)*2*MAX(6*F46,75))/1000</f>
        <v>0.15</v>
      </c>
      <c r="M46" t="str">
        <v>=</v>
      </c>
      <c r="N46">
        <f>J46+L46</f>
        <v>1.63</v>
      </c>
      <c r="T46" t="str">
        <v>x</v>
      </c>
      <c r="U46">
        <f>0.006165*F46^2</f>
        <v>0.39456</v>
      </c>
      <c r="V46" t="str">
        <v>x</v>
      </c>
      <c r="W46">
        <f>IF(D28-MAX(D28/4,2*G26)*2&gt;0,ROUND((D28-MAX(D28/4,2*G26)*2)/H46,0),0)</f>
        <v>12</v>
      </c>
      <c r="X46" t="str">
        <v>x</v>
      </c>
      <c r="Y46">
        <f>D31</f>
        <v>1</v>
      </c>
      <c r="Z46" t="str">
        <v>=</v>
      </c>
      <c r="AA46">
        <f>N46*U46*W46*Y46</f>
        <v>7.717593599999999</v>
      </c>
    </row>
    <row r="47">
      <c r="A47" t="str">
        <f>A25</f>
        <v>Lantai 1</v>
      </c>
      <c r="B47">
        <f>B25</f>
        <v>1</v>
      </c>
      <c r="C47" t="str">
        <v>Sengkang Tumpuan</v>
      </c>
      <c r="D47">
        <f>VLOOKUP(D25,'Detail Balok'!$C$10:$AU$140,41,FALSE)</f>
        <v>0</v>
      </c>
      <c r="E47" t="str">
        <v>D</v>
      </c>
      <c r="F47">
        <f>VLOOKUP(D25,'Detail Balok'!$C$10:$AU$140,43,FALSE)</f>
        <v>8</v>
      </c>
      <c r="G47" t="str">
        <v>-</v>
      </c>
      <c r="H47">
        <f>VLOOKUP(D25,'Detail Balok'!$C$10:$AU$140,45,FALSE)</f>
        <v>150</v>
      </c>
      <c r="J47">
        <f>(IF(D47=0,(2*(D26+G26))-(F$5*8),IF(D47=3,(2*(D26+G26))-(F$5*8)+(G26-2*F$5),IF(D47=4,(2*(D26+G26))-(F$5*8)+2*(G26-2*F$5)))))/1000</f>
        <v>1.48</v>
      </c>
      <c r="K47" t="str">
        <v>+</v>
      </c>
      <c r="L47">
        <f>IF(D47=0,2*MAX(6*F47,75),(D47-1)*2*MAX(6*F47,75))/1000</f>
        <v>0.15</v>
      </c>
      <c r="M47" t="str">
        <v>=</v>
      </c>
      <c r="N47">
        <f>J47+L47</f>
        <v>1.63</v>
      </c>
      <c r="T47" t="str">
        <v>x</v>
      </c>
      <c r="U47">
        <f>0.006165*F47^2</f>
        <v>0.39456</v>
      </c>
      <c r="V47" t="str">
        <v>x</v>
      </c>
      <c r="W47">
        <f>IF(D28&gt;4*G26,ROUND(MAX(D28/4,2*G26)/H47,0)+1,0)</f>
        <v>9</v>
      </c>
      <c r="X47" t="str">
        <v>x</v>
      </c>
      <c r="Y47">
        <f>D31</f>
        <v>1</v>
      </c>
      <c r="Z47" t="str">
        <v>=</v>
      </c>
      <c r="AA47">
        <f>N47*U47*W47*Y47</f>
        <v>5.7881952</v>
      </c>
    </row>
    <row r="49">
      <c r="A49" t="str">
        <f>A25</f>
        <v>Lantai 1</v>
      </c>
      <c r="B49">
        <f>B25</f>
        <v>1</v>
      </c>
      <c r="C49" t="str">
        <v>Kait Horizontal Tump.</v>
      </c>
      <c r="D49">
        <f>VLOOKUP(D25,'Detail Balok'!$C$10:$BJ$140,46,FALSE)</f>
        <v>0</v>
      </c>
      <c r="E49" t="str">
        <v>D</v>
      </c>
      <c r="F49">
        <f>VLOOKUP(D25,'Detail Balok'!$C$10:$BJ$140,48,FALSE)</f>
        <v>0</v>
      </c>
      <c r="G49" t="str">
        <v>-</v>
      </c>
      <c r="H49">
        <f>VLOOKUP(D25,'Detail Balok'!$C$10:$BJ$140,50,FALSE)</f>
        <v>100</v>
      </c>
      <c r="J49">
        <f>(D26-2*F$5)/1000</f>
        <v>0.22</v>
      </c>
      <c r="K49" t="str">
        <v>+</v>
      </c>
      <c r="L49">
        <f>IF(D49=0,2*MAX(6*F49,75),(D49-1)*2*MAX(6*F49,75))/1000</f>
        <v>0.15</v>
      </c>
      <c r="M49" t="str">
        <v>=</v>
      </c>
      <c r="N49">
        <f>J49+L49</f>
        <v>0.37</v>
      </c>
      <c r="T49" t="str">
        <v>x</v>
      </c>
      <c r="U49">
        <f>0.006165*F49^2</f>
        <v>0</v>
      </c>
      <c r="V49" t="str">
        <v>x</v>
      </c>
      <c r="W49">
        <f>W45</f>
        <v>9</v>
      </c>
      <c r="X49" t="str">
        <v>x</v>
      </c>
      <c r="Y49">
        <f>D35</f>
        <v>4</v>
      </c>
      <c r="Z49" t="str">
        <v>=</v>
      </c>
      <c r="AA49">
        <f>N49*U49*W49*Y49</f>
        <v>0</v>
      </c>
    </row>
    <row r="50">
      <c r="A50" t="str">
        <f>A25</f>
        <v>Lantai 1</v>
      </c>
      <c r="B50">
        <f>B25</f>
        <v>1</v>
      </c>
      <c r="C50" t="str">
        <v>Kait Horizontal Lap.</v>
      </c>
      <c r="D50">
        <f>VLOOKUP(D25,'Detail Balok'!$C$10:$BJ$140,51,FALSE)</f>
        <v>0</v>
      </c>
      <c r="E50" t="str">
        <v>D</v>
      </c>
      <c r="F50">
        <f>VLOOKUP(D25,'Detail Balok'!$C$10:$BJ$140,53,FALSE)</f>
        <v>0</v>
      </c>
      <c r="G50" t="str">
        <v>-</v>
      </c>
      <c r="H50">
        <f>VLOOKUP(D25,'Detail Balok'!$C$10:$BJ$140,55,FALSE)</f>
        <v>100</v>
      </c>
      <c r="J50">
        <f>(D26-2*F$5)/1000</f>
        <v>0.22</v>
      </c>
      <c r="K50" t="str">
        <v>+</v>
      </c>
      <c r="L50">
        <f>IF(D50=0,2*MAX(6*F50,75),(D50-1)*2*MAX(6*F50,75))/1000</f>
        <v>0.15</v>
      </c>
      <c r="M50" t="str">
        <v>=</v>
      </c>
      <c r="N50">
        <f>J50+L50</f>
        <v>0.37</v>
      </c>
      <c r="T50" t="str">
        <v>x</v>
      </c>
      <c r="U50">
        <f>0.006165*F50^2</f>
        <v>0</v>
      </c>
      <c r="V50" t="str">
        <v>x</v>
      </c>
      <c r="W50">
        <f>W46</f>
        <v>12</v>
      </c>
      <c r="X50" t="str">
        <v>x</v>
      </c>
      <c r="Y50">
        <f>D35</f>
        <v>4</v>
      </c>
      <c r="Z50" t="str">
        <v>=</v>
      </c>
      <c r="AA50">
        <f>N50*U50*W50*Y50</f>
        <v>0</v>
      </c>
    </row>
    <row r="51">
      <c r="A51" t="str">
        <f>A25</f>
        <v>Lantai 1</v>
      </c>
      <c r="B51">
        <f>B25</f>
        <v>1</v>
      </c>
      <c r="C51" t="str">
        <v>Kait Horizontal Tump.</v>
      </c>
      <c r="D51">
        <f>VLOOKUP(D25,'Detail Balok'!$C$10:$BJ$140,56,FALSE)</f>
        <v>0</v>
      </c>
      <c r="E51" t="str">
        <v>D</v>
      </c>
      <c r="F51">
        <f>VLOOKUP(D25,'Detail Balok'!$C$10:$BJ$140,58,FALSE)</f>
        <v>0</v>
      </c>
      <c r="G51" t="str">
        <v>-</v>
      </c>
      <c r="H51">
        <f>VLOOKUP(D25,'Detail Balok'!$C$10:$BJ$140,60,FALSE)</f>
        <v>100</v>
      </c>
      <c r="J51">
        <f>(D26-2*F$5)/1000</f>
        <v>0.22</v>
      </c>
      <c r="K51" t="str">
        <v>+</v>
      </c>
      <c r="L51">
        <f>IF(D51=0,2*MAX(6*F51,75),(D51-1)*2*MAX(6*F51,75))/1000</f>
        <v>0.15</v>
      </c>
      <c r="M51" t="str">
        <v>=</v>
      </c>
      <c r="N51">
        <f>J51+L51</f>
        <v>0.37</v>
      </c>
      <c r="T51" t="str">
        <v>x</v>
      </c>
      <c r="U51">
        <f>0.006165*F51^2</f>
        <v>0</v>
      </c>
      <c r="V51" t="str">
        <v>x</v>
      </c>
      <c r="W51">
        <f>W47</f>
        <v>9</v>
      </c>
      <c r="X51" t="str">
        <v>x</v>
      </c>
      <c r="Y51">
        <f>D35</f>
        <v>4</v>
      </c>
      <c r="Z51" t="str">
        <v>=</v>
      </c>
      <c r="AA51">
        <f>N51*U51*W51*Y51</f>
        <v>0</v>
      </c>
    </row>
    <row r="55">
      <c r="A55" t="str">
        <f>A25</f>
        <v>Lantai 1</v>
      </c>
      <c r="B55">
        <f>B25+1</f>
        <v>2</v>
      </c>
      <c r="C55" t="str">
        <f>CONCATENATE(A55," no. ",B55)</f>
        <v>Lantai 1 no. 2</v>
      </c>
      <c r="D55" t="str">
        <f>VLOOKUP(C55,'Data Panjang Balok'!$C$9:$N$254,2,FALSE)</f>
        <v>S24-1</v>
      </c>
    </row>
    <row r="56">
      <c r="C56" t="str">
        <v>Dimensi</v>
      </c>
      <c r="D56">
        <f>VLOOKUP(D55,'Detail Balok'!$C$10:$AU$140,2,FALSE)</f>
        <v>200</v>
      </c>
      <c r="F56" t="str">
        <v>x</v>
      </c>
      <c r="G56">
        <f>VLOOKUP(D55,'Detail Balok'!$C$10:$AU$140,3,FALSE)</f>
        <v>400</v>
      </c>
    </row>
    <row r="57">
      <c r="C57" t="str">
        <v>Panjang as ke as</v>
      </c>
      <c r="D57">
        <f>VLOOKUP(C55,'Data Panjang Balok'!$C$9:$N$254,4,FALSE)</f>
        <v>4175</v>
      </c>
    </row>
    <row r="58">
      <c r="C58" t="str">
        <v>Panjang netto</v>
      </c>
      <c r="D58">
        <f>VLOOKUP(C55,'Data Panjang Balok'!$C$9:$N$254,7,FALSE)</f>
        <v>4175</v>
      </c>
    </row>
    <row r="59">
      <c r="C59" t="str">
        <v>Kolom / balok kiri</v>
      </c>
      <c r="D59">
        <f>VLOOKUP(C55,'Data Panjang Balok'!$C$9:$N$254,9,FALSE)</f>
        <v>0</v>
      </c>
    </row>
    <row r="60">
      <c r="C60" t="str">
        <v>Kolom / balok kanan</v>
      </c>
      <c r="D60">
        <f>VLOOKUP(C55,'Data Panjang Balok'!$C$9:$N$254,10,FALSE)</f>
        <v>0</v>
      </c>
    </row>
    <row r="61">
      <c r="C61" t="str">
        <v>Jumlah</v>
      </c>
      <c r="D61">
        <f>VLOOKUP(C55,'Data Panjang Balok'!$C$9:$N$254,3,FALSE)</f>
        <v>1</v>
      </c>
    </row>
    <row r="62">
      <c r="A62" t="str">
        <f>A55</f>
        <v>Lantai 1</v>
      </c>
      <c r="B62">
        <f>B55</f>
        <v>2</v>
      </c>
      <c r="C62" t="str">
        <v>Tul Atas Tumpuan</v>
      </c>
      <c r="D62">
        <f>VLOOKUP(D55,'Detail Balok'!$C$10:$AU$140,4,FALSE)</f>
        <v>3</v>
      </c>
      <c r="E62" t="str">
        <v>D</v>
      </c>
      <c r="F62">
        <f>VLOOKUP(D55,'Detail Balok'!$C$10:$AU$140,6,FALSE)</f>
        <v>13</v>
      </c>
      <c r="I62" t="str">
        <v>(</v>
      </c>
      <c r="J62">
        <f>+D57/4/1000</f>
        <v>1.04375</v>
      </c>
      <c r="K62" t="str">
        <v>+</v>
      </c>
      <c r="L62">
        <f>MAX(VLOOKUP(F62,N$6:P$15,3,FALSE)/1000,2/3*D59/1000)+F$16*F62/1000</f>
        <v>0.156</v>
      </c>
      <c r="M62" t="str">
        <v>=</v>
      </c>
      <c r="N62">
        <f>J62+L62</f>
        <v>1.1997499999999999</v>
      </c>
      <c r="O62" t="str">
        <v>+</v>
      </c>
      <c r="P62">
        <f>D62-D63</f>
        <v>0</v>
      </c>
      <c r="Q62" t="str">
        <v>x</v>
      </c>
      <c r="R62">
        <f>IF(P62&gt;0,$F$18*F62/1000,0)</f>
        <v>0</v>
      </c>
      <c r="S62" t="str">
        <v>)</v>
      </c>
      <c r="T62" t="str">
        <v>x</v>
      </c>
      <c r="U62">
        <f>0.006165*F62^2</f>
        <v>1.041885</v>
      </c>
      <c r="X62" t="str">
        <v>x</v>
      </c>
      <c r="Y62">
        <f>D61</f>
        <v>1</v>
      </c>
      <c r="Z62" t="str">
        <v>=</v>
      </c>
      <c r="AA62">
        <f>IF(AA65=0,(D62*N62+P62*R62)*U62*Y62,0)</f>
        <v>0</v>
      </c>
    </row>
    <row r="63">
      <c r="A63" t="str">
        <f>A55</f>
        <v>Lantai 1</v>
      </c>
      <c r="B63">
        <f>B55</f>
        <v>2</v>
      </c>
      <c r="C63" t="str">
        <v>Tul Atas Lapangan</v>
      </c>
      <c r="D63">
        <f>VLOOKUP(D55,'Detail Balok'!$C$10:$AU$140,7,FALSE)</f>
        <v>3</v>
      </c>
      <c r="E63" t="str">
        <v>D</v>
      </c>
      <c r="F63">
        <f>VLOOKUP(D55,'Detail Balok'!$C$10:$AU$140,9,FALSE)</f>
        <v>13</v>
      </c>
      <c r="I63" t="str">
        <v>(</v>
      </c>
      <c r="J63">
        <f>+D57/2/1000</f>
        <v>2.0875</v>
      </c>
      <c r="K63" t="str">
        <v>+</v>
      </c>
      <c r="M63" t="str">
        <v>=</v>
      </c>
      <c r="N63">
        <f>J63+L63</f>
        <v>2.0875</v>
      </c>
      <c r="O63" t="str">
        <v>+</v>
      </c>
      <c r="P63">
        <f>MAX(D63-D62,D63-D64)</f>
        <v>0</v>
      </c>
      <c r="Q63" t="str">
        <v>x</v>
      </c>
      <c r="R63">
        <f>IF(P63&gt;0,2*(1-2*$F$19-1/2)*D58/1000,0)</f>
        <v>0</v>
      </c>
      <c r="S63" t="str">
        <v>)</v>
      </c>
      <c r="T63" t="str">
        <v>x</v>
      </c>
      <c r="U63">
        <f>0.006165*F63^2</f>
        <v>1.041885</v>
      </c>
      <c r="X63" t="str">
        <v>x</v>
      </c>
      <c r="Y63">
        <f>D61</f>
        <v>1</v>
      </c>
      <c r="Z63" t="str">
        <v>=</v>
      </c>
      <c r="AA63">
        <f>IF(AA65=0,(D63*N63+P63*R63)*U63*Y63,0)</f>
        <v>0</v>
      </c>
    </row>
    <row r="64">
      <c r="A64" t="str">
        <f>A55</f>
        <v>Lantai 1</v>
      </c>
      <c r="B64">
        <f>B55</f>
        <v>2</v>
      </c>
      <c r="C64" t="str">
        <v>Tul Atas Tumpuan</v>
      </c>
      <c r="D64">
        <f>VLOOKUP(D55,'Detail Balok'!$C$10:$AU$140,10,FALSE)</f>
        <v>3</v>
      </c>
      <c r="E64" t="str">
        <v>D</v>
      </c>
      <c r="F64">
        <f>VLOOKUP(D55,'Detail Balok'!$C$10:$AU$140,12,FALSE)</f>
        <v>13</v>
      </c>
      <c r="I64" t="str">
        <v>(</v>
      </c>
      <c r="J64">
        <f>+D57/4/1000</f>
        <v>1.04375</v>
      </c>
      <c r="K64" t="str">
        <v>+</v>
      </c>
      <c r="L64">
        <f>MAX(VLOOKUP(F64,N$6:P$15,3,FALSE)/1000,2/3*D59/1000)+F$16*F64/1000</f>
        <v>0.156</v>
      </c>
      <c r="M64" t="str">
        <v>=</v>
      </c>
      <c r="N64">
        <f>J64+L64</f>
        <v>1.1997499999999999</v>
      </c>
      <c r="O64" t="str">
        <v>+</v>
      </c>
      <c r="P64">
        <f>D64-D63</f>
        <v>0</v>
      </c>
      <c r="Q64" t="str">
        <v>x</v>
      </c>
      <c r="R64">
        <f>IF(P64&gt;0,$F$18*F64/1000,0)</f>
        <v>0</v>
      </c>
      <c r="S64" t="str">
        <v>)</v>
      </c>
      <c r="T64" t="str">
        <v>x</v>
      </c>
      <c r="U64">
        <f>0.006165*F64^2</f>
        <v>1.041885</v>
      </c>
      <c r="X64" t="str">
        <v>x</v>
      </c>
      <c r="Y64">
        <f>D61</f>
        <v>1</v>
      </c>
      <c r="Z64" t="str">
        <v>=</v>
      </c>
      <c r="AA64">
        <f>IF(AA65=0,(D64*N64+P64*R64)*U64*Y64,0)</f>
        <v>0</v>
      </c>
    </row>
    <row r="65">
      <c r="A65" t="str">
        <f>A55</f>
        <v>Lantai 1</v>
      </c>
      <c r="B65">
        <f>B55</f>
        <v>2</v>
      </c>
      <c r="D65">
        <f>IF(AND(D62=D63,D63=D64,D62=D64),D62,0)</f>
        <v>3</v>
      </c>
      <c r="E65" t="str">
        <v>D</v>
      </c>
      <c r="F65">
        <f>IF(AND(F62=F63,F62=F64,F63=F64),F62,0)</f>
        <v>13</v>
      </c>
      <c r="L65" t="str">
        <v>Total panjang per balok</v>
      </c>
      <c r="M65" t="str">
        <v>=</v>
      </c>
      <c r="N65">
        <f>IF(AND(D62=D63,D62=D64,D63=D64,F62=F63,F62=F64,F63=F64),SUM(N62:N64),0)</f>
        <v>4.487</v>
      </c>
      <c r="O65" t="str">
        <v>+</v>
      </c>
      <c r="P65">
        <f>IF(N65&gt;12,ROUNDDOWN(N65/12,0),0)</f>
        <v>0</v>
      </c>
      <c r="Q65" t="str">
        <v>x</v>
      </c>
      <c r="R65">
        <f>IF(P65&gt;0,MAX(VLOOKUP(F65,$D$6:$G$15,3,FALSE),600),0)/1000</f>
        <v>0</v>
      </c>
      <c r="T65" t="str">
        <v>x</v>
      </c>
      <c r="U65">
        <f>U64</f>
        <v>1.041885</v>
      </c>
      <c r="V65" t="str">
        <v>x</v>
      </c>
      <c r="W65">
        <f>D65</f>
        <v>3</v>
      </c>
      <c r="X65" t="str">
        <v>x</v>
      </c>
      <c r="Y65">
        <f>Y64</f>
        <v>1</v>
      </c>
      <c r="Z65" t="str">
        <v>=</v>
      </c>
      <c r="AA65">
        <f>(N65+P65*R65/1000)*U65*W65*Y65</f>
        <v>14.024813984999998</v>
      </c>
    </row>
    <row r="67">
      <c r="A67" t="str">
        <f>A55</f>
        <v>Lantai 1</v>
      </c>
      <c r="B67">
        <f>B55</f>
        <v>2</v>
      </c>
      <c r="C67" t="str">
        <v>Tul Peminggang</v>
      </c>
      <c r="D67">
        <f>VLOOKUP(D55,'Detail Balok'!$C$10:$AU$140,13,FALSE)</f>
        <v>0</v>
      </c>
      <c r="E67" t="str">
        <v>D</v>
      </c>
      <c r="F67">
        <f>VLOOKUP(D55,'Detail Balok'!$C$10:$AU$140,15,FALSE)</f>
        <v>8</v>
      </c>
      <c r="J67">
        <f>+D57/1000</f>
        <v>4.175</v>
      </c>
      <c r="K67" t="str">
        <v>+</v>
      </c>
      <c r="L67">
        <f>2*$F$16*F67/1000</f>
        <v>0.192</v>
      </c>
      <c r="M67" t="str">
        <v>=</v>
      </c>
      <c r="N67">
        <f>J67+L67</f>
        <v>4.367</v>
      </c>
      <c r="O67" t="str">
        <v>+</v>
      </c>
      <c r="P67">
        <f>IF(N67&gt;12,ROUNDDOWN(N67/12,0),0)</f>
        <v>0</v>
      </c>
      <c r="Q67" t="str">
        <v>x</v>
      </c>
      <c r="R67">
        <f>IF(P67&gt;0,MAX(VLOOKUP(F67,$D$6:$G$15,3,FALSE),600),0)/1000</f>
        <v>0</v>
      </c>
      <c r="T67" t="str">
        <v>x</v>
      </c>
      <c r="U67">
        <f>0.006165*F67^2</f>
        <v>0.39456</v>
      </c>
      <c r="V67" t="str">
        <v>x</v>
      </c>
      <c r="W67">
        <f>+D67</f>
        <v>0</v>
      </c>
      <c r="X67" t="str">
        <v>x</v>
      </c>
      <c r="Y67">
        <f>D61</f>
        <v>1</v>
      </c>
      <c r="Z67" t="str">
        <v>=</v>
      </c>
      <c r="AA67">
        <f>(N67+P67*R67/1000)*U67*W67*Y67</f>
        <v>0</v>
      </c>
    </row>
    <row r="70">
      <c r="A70" t="str">
        <f>A55</f>
        <v>Lantai 1</v>
      </c>
      <c r="B70">
        <f>B55</f>
        <v>2</v>
      </c>
      <c r="C70" t="str">
        <v>Tul Bawah Tumpuan</v>
      </c>
      <c r="D70">
        <f>VLOOKUP(D55,'Detail Balok'!$C$10:$AU$140,22,FALSE)</f>
        <v>3</v>
      </c>
      <c r="E70" t="str">
        <v>D</v>
      </c>
      <c r="F70">
        <f>VLOOKUP(D55,'Detail Balok'!$C$10:$AU$140,24,FALSE)</f>
        <v>13</v>
      </c>
      <c r="I70" t="str">
        <v>(</v>
      </c>
      <c r="J70">
        <f>+J62</f>
        <v>1.04375</v>
      </c>
      <c r="K70" t="str">
        <v>+</v>
      </c>
      <c r="L70">
        <f>MAX(VLOOKUP(F70,N$6:P$15,3,FALSE)/1000,2/3*D60/1000)+F$16*F70/1000</f>
        <v>0.156</v>
      </c>
      <c r="M70" t="str">
        <v>=</v>
      </c>
      <c r="N70">
        <f>J70+L70</f>
        <v>1.1997499999999999</v>
      </c>
      <c r="O70" t="str">
        <v>+</v>
      </c>
      <c r="P70">
        <f>D70-D71</f>
        <v>0</v>
      </c>
      <c r="Q70" t="str">
        <v>x</v>
      </c>
      <c r="R70">
        <f>IF(P70&gt;0,$F$18*F70/1000,0)</f>
        <v>0</v>
      </c>
      <c r="S70" t="str">
        <v>)</v>
      </c>
      <c r="T70" t="str">
        <v>x</v>
      </c>
      <c r="U70">
        <f>0.006165*F70^2</f>
        <v>1.041885</v>
      </c>
      <c r="X70" t="str">
        <v>x</v>
      </c>
      <c r="Y70">
        <f>D61</f>
        <v>1</v>
      </c>
      <c r="Z70" t="str">
        <v>=</v>
      </c>
      <c r="AA70">
        <f>IF(AA73=0,(D70*N70+P70*R70)*U70*Y70,0)</f>
        <v>0</v>
      </c>
    </row>
    <row r="71">
      <c r="A71" t="str">
        <f>A55</f>
        <v>Lantai 1</v>
      </c>
      <c r="B71">
        <f>B55</f>
        <v>2</v>
      </c>
      <c r="C71" t="str">
        <v>Tul Bawah Lapangan</v>
      </c>
      <c r="D71">
        <f>VLOOKUP(D55,'Detail Balok'!$C$10:$AU$140,25,FALSE)</f>
        <v>3</v>
      </c>
      <c r="E71" t="str">
        <v>D</v>
      </c>
      <c r="F71">
        <f>VLOOKUP(D55,'Detail Balok'!$C$10:$AU$140,27,FALSE)</f>
        <v>13</v>
      </c>
      <c r="I71" t="str">
        <v>(</v>
      </c>
      <c r="J71">
        <f>+J63</f>
        <v>2.0875</v>
      </c>
      <c r="K71" t="str">
        <v>+</v>
      </c>
      <c r="M71" t="str">
        <v>=</v>
      </c>
      <c r="N71">
        <f>J71+L71</f>
        <v>2.0875</v>
      </c>
      <c r="O71" t="str">
        <v>+</v>
      </c>
      <c r="P71">
        <f>MAX(D71-D70,D71-D72)</f>
        <v>0</v>
      </c>
      <c r="Q71" t="str">
        <v>x</v>
      </c>
      <c r="R71">
        <f>IF(P71&gt;0,2*(1-2*$F$19-1/2)*D58/1000,0)</f>
        <v>0</v>
      </c>
      <c r="S71" t="str">
        <v>)</v>
      </c>
      <c r="T71" t="str">
        <v>x</v>
      </c>
      <c r="U71">
        <f>0.006165*F71^2</f>
        <v>1.041885</v>
      </c>
      <c r="X71" t="str">
        <v>x</v>
      </c>
      <c r="Y71">
        <f>D61</f>
        <v>1</v>
      </c>
      <c r="Z71" t="str">
        <v>=</v>
      </c>
      <c r="AA71">
        <f>IF(AA73=0,(D71*N71+P71*R71)*U71*Y71,0)</f>
        <v>0</v>
      </c>
    </row>
    <row r="72">
      <c r="A72" t="str">
        <f>A55</f>
        <v>Lantai 1</v>
      </c>
      <c r="B72">
        <f>B55</f>
        <v>2</v>
      </c>
      <c r="C72" t="str">
        <v>Tul Bawah Tumpuan</v>
      </c>
      <c r="D72">
        <f>VLOOKUP(D55,'Detail Balok'!$C$10:$AU$140,28,FALSE)</f>
        <v>3</v>
      </c>
      <c r="E72" t="str">
        <v>D</v>
      </c>
      <c r="F72">
        <f>VLOOKUP(D55,'Detail Balok'!$C$10:$AU$140,30,FALSE)</f>
        <v>13</v>
      </c>
      <c r="I72" t="str">
        <v>(</v>
      </c>
      <c r="J72">
        <f>+J64</f>
        <v>1.04375</v>
      </c>
      <c r="K72" t="str">
        <v>+</v>
      </c>
      <c r="L72">
        <f>MAX(VLOOKUP(F72,N$6:P$15,3,FALSE)/1000,2/3*D60/1000)+F$16*F72/1000</f>
        <v>0.156</v>
      </c>
      <c r="M72" t="str">
        <v>=</v>
      </c>
      <c r="N72">
        <f>J72+L72</f>
        <v>1.1997499999999999</v>
      </c>
      <c r="O72" t="str">
        <v>+</v>
      </c>
      <c r="P72">
        <f>D72-D71</f>
        <v>0</v>
      </c>
      <c r="Q72" t="str">
        <v>x</v>
      </c>
      <c r="R72">
        <f>IF(P72&gt;0,$F$18*F72/1000,0)</f>
        <v>0</v>
      </c>
      <c r="S72" t="str">
        <v>)</v>
      </c>
      <c r="T72" t="str">
        <v>x</v>
      </c>
      <c r="U72">
        <f>0.006165*F72^2</f>
        <v>1.041885</v>
      </c>
      <c r="X72" t="str">
        <v>x</v>
      </c>
      <c r="Y72">
        <f>D61</f>
        <v>1</v>
      </c>
      <c r="Z72" t="str">
        <v>=</v>
      </c>
      <c r="AA72">
        <f>IF(AA73=0,(D72*N72+P72*R72)*U72*Y72,0)</f>
        <v>0</v>
      </c>
    </row>
    <row r="73">
      <c r="A73" t="str">
        <f>A55</f>
        <v>Lantai 1</v>
      </c>
      <c r="B73">
        <f>B55</f>
        <v>2</v>
      </c>
      <c r="D73">
        <f>IF(AND(D70=D71,D71=D72,D70=D72),D70,0)</f>
        <v>3</v>
      </c>
      <c r="E73" t="str">
        <v>D</v>
      </c>
      <c r="F73">
        <f>IF(AND(F70=F71,F70=F72,F71=F72),F70,0)</f>
        <v>13</v>
      </c>
      <c r="L73" t="str">
        <v>Total panjang per balok</v>
      </c>
      <c r="M73" t="str">
        <v>=</v>
      </c>
      <c r="N73">
        <f>IF(AND(D70=D71,D70=D72,D71=D72,F70=F71,F70=F72,F71=F72),SUM(N70:N72),0)</f>
        <v>4.487</v>
      </c>
      <c r="O73" t="str">
        <v>+</v>
      </c>
      <c r="P73">
        <f>IF(N73&gt;12,ROUNDDOWN(N73/12,0),0)</f>
        <v>0</v>
      </c>
      <c r="Q73" t="str">
        <v>x</v>
      </c>
      <c r="R73">
        <f>IF(P73&gt;0,MAX(VLOOKUP(F73,$D$6:$G$15,3,FALSE),600),0)/1000</f>
        <v>0</v>
      </c>
      <c r="T73" t="str">
        <v>x</v>
      </c>
      <c r="U73">
        <f>U72</f>
        <v>1.041885</v>
      </c>
      <c r="V73" t="str">
        <v>x</v>
      </c>
      <c r="W73">
        <f>D73</f>
        <v>3</v>
      </c>
      <c r="X73" t="str">
        <v>x</v>
      </c>
      <c r="Y73">
        <f>Y72</f>
        <v>1</v>
      </c>
      <c r="Z73" t="str">
        <v>=</v>
      </c>
      <c r="AA73">
        <f>(N73+P73*R73/1000)*U73*W73*Y73</f>
        <v>14.024813984999998</v>
      </c>
    </row>
    <row r="75">
      <c r="A75" t="str">
        <f>A55</f>
        <v>Lantai 1</v>
      </c>
      <c r="B75">
        <f>B55</f>
        <v>2</v>
      </c>
      <c r="C75" t="str">
        <v>Sengkang Tumpuan</v>
      </c>
      <c r="D75">
        <f>VLOOKUP(D55,'Detail Balok'!$C$10:$AU$140,31,FALSE)</f>
        <v>0</v>
      </c>
      <c r="E75" t="str">
        <v>D</v>
      </c>
      <c r="F75">
        <f>VLOOKUP(D55,'Detail Balok'!$C$10:$AU$140,33,FALSE)</f>
        <v>8</v>
      </c>
      <c r="G75" t="str">
        <v>-</v>
      </c>
      <c r="H75">
        <f>VLOOKUP(D55,'Detail Balok'!$C$10:$AU$140,35,FALSE)</f>
        <v>150</v>
      </c>
      <c r="J75">
        <f>(IF(D75=0,(2*(D56+G56))-(F$5*8),IF(D75=3,(2*(D56+G56))-(F$5*8)+(G56-2*F$5),IF(D75=4,(2*(D56+G56))-(F$5*8)+2*(G56-2*F$5)))))/1000</f>
        <v>0.88</v>
      </c>
      <c r="K75" t="str">
        <v>+</v>
      </c>
      <c r="L75">
        <f>IF(D75=0,2*MAX(6*F75,75),(D75-1)*2*MAX(6*F75,75))/1000</f>
        <v>0.15</v>
      </c>
      <c r="M75" t="str">
        <v>=</v>
      </c>
      <c r="N75">
        <f>J75+L75</f>
        <v>1.03</v>
      </c>
      <c r="T75" t="str">
        <v>x</v>
      </c>
      <c r="U75">
        <f>0.006165*F75^2</f>
        <v>0.39456</v>
      </c>
      <c r="V75" t="str">
        <v>x</v>
      </c>
      <c r="W75">
        <f>IF(D58&gt;4*G56,ROUND(MAX(D58/4,2*G56)/H75,0)+1,ROUND(D58/H75,0)+1)</f>
        <v>8</v>
      </c>
      <c r="X75" t="str">
        <v>x</v>
      </c>
      <c r="Y75">
        <f>D61</f>
        <v>1</v>
      </c>
      <c r="Z75" t="str">
        <v>=</v>
      </c>
      <c r="AA75">
        <f>N75*U75*W75*Y75</f>
        <v>3.2511744000000005</v>
      </c>
    </row>
    <row r="76">
      <c r="A76" t="str">
        <f>A55</f>
        <v>Lantai 1</v>
      </c>
      <c r="B76">
        <f>B55</f>
        <v>2</v>
      </c>
      <c r="C76" t="str">
        <v>Sengkang Lapangan</v>
      </c>
      <c r="D76">
        <f>VLOOKUP(D55,'Detail Balok'!$C$10:$AU$140,36,FALSE)</f>
        <v>0</v>
      </c>
      <c r="E76" t="str">
        <v>D</v>
      </c>
      <c r="F76">
        <f>VLOOKUP(D55,'Detail Balok'!$C$10:$AU$140,38,FALSE)</f>
        <v>8</v>
      </c>
      <c r="G76" t="str">
        <v>-</v>
      </c>
      <c r="H76">
        <f>VLOOKUP(D55,'Detail Balok'!$C$10:$AU$140,40,FALSE)</f>
        <v>200</v>
      </c>
      <c r="J76">
        <f>(IF(D76=0,(2*(D56+G56))-(F$5*8),IF(D76=3,(2*(D56+G56))-(F$5*8)+(G56-2*F$5),IF(D76=4,(2*(D56+G56))-(F$5*8)+2*(G56-2*F$5)))))/1000</f>
        <v>0.88</v>
      </c>
      <c r="K76" t="str">
        <v>+</v>
      </c>
      <c r="L76">
        <f>IF(D76=0,2*MAX(6*F76,75),(D76-1)*2*MAX(6*F76,75))/1000</f>
        <v>0.15</v>
      </c>
      <c r="M76" t="str">
        <v>=</v>
      </c>
      <c r="N76">
        <f>J76+L76</f>
        <v>1.03</v>
      </c>
      <c r="T76" t="str">
        <v>x</v>
      </c>
      <c r="U76">
        <f>0.006165*F76^2</f>
        <v>0.39456</v>
      </c>
      <c r="V76" t="str">
        <v>x</v>
      </c>
      <c r="W76">
        <f>IF(D58-MAX(D58/4,2*G56)*2&gt;0,ROUND((D58-MAX(D58/4,2*G56)*2)/H76,0),0)</f>
        <v>10</v>
      </c>
      <c r="X76" t="str">
        <v>x</v>
      </c>
      <c r="Y76">
        <f>D61</f>
        <v>1</v>
      </c>
      <c r="Z76" t="str">
        <v>=</v>
      </c>
      <c r="AA76">
        <f>N76*U76*W76*Y76</f>
        <v>4.063968000000001</v>
      </c>
    </row>
    <row r="77">
      <c r="A77" t="str">
        <f>A55</f>
        <v>Lantai 1</v>
      </c>
      <c r="B77">
        <f>B55</f>
        <v>2</v>
      </c>
      <c r="C77" t="str">
        <v>Sengkang Tumpuan</v>
      </c>
      <c r="D77">
        <f>VLOOKUP(D55,'Detail Balok'!$C$10:$AU$140,41,FALSE)</f>
        <v>0</v>
      </c>
      <c r="E77" t="str">
        <v>D</v>
      </c>
      <c r="F77">
        <f>VLOOKUP(D55,'Detail Balok'!$C$10:$AU$140,43,FALSE)</f>
        <v>8</v>
      </c>
      <c r="G77" t="str">
        <v>-</v>
      </c>
      <c r="H77">
        <f>VLOOKUP(D55,'Detail Balok'!$C$10:$AU$140,45,FALSE)</f>
        <v>150</v>
      </c>
      <c r="J77">
        <f>(IF(D77=0,(2*(D56+G56))-(F$5*8),IF(D77=3,(2*(D56+G56))-(F$5*8)+(G56-2*F$5),IF(D77=4,(2*(D56+G56))-(F$5*8)+2*(G56-2*F$5)))))/1000</f>
        <v>0.88</v>
      </c>
      <c r="K77" t="str">
        <v>+</v>
      </c>
      <c r="L77">
        <f>IF(D77=0,2*MAX(6*F77,75),(D77-1)*2*MAX(6*F77,75))/1000</f>
        <v>0.15</v>
      </c>
      <c r="M77" t="str">
        <v>=</v>
      </c>
      <c r="N77">
        <f>J77+L77</f>
        <v>1.03</v>
      </c>
      <c r="T77" t="str">
        <v>x</v>
      </c>
      <c r="U77">
        <f>0.006165*F77^2</f>
        <v>0.39456</v>
      </c>
      <c r="V77" t="str">
        <v>x</v>
      </c>
      <c r="W77">
        <f>IF(D58&gt;4*G56,ROUND(MAX(D58/4,2*G56)/H77,0)+1,0)</f>
        <v>8</v>
      </c>
      <c r="X77" t="str">
        <v>x</v>
      </c>
      <c r="Y77">
        <f>D61</f>
        <v>1</v>
      </c>
      <c r="Z77" t="str">
        <v>=</v>
      </c>
      <c r="AA77">
        <f>N77*U77*W77*Y77</f>
        <v>3.2511744000000005</v>
      </c>
    </row>
    <row r="79">
      <c r="A79" t="str">
        <f>A55</f>
        <v>Lantai 1</v>
      </c>
      <c r="B79">
        <f>B55</f>
        <v>2</v>
      </c>
      <c r="C79" t="str">
        <v>Kait Horizontal Tump.</v>
      </c>
      <c r="D79">
        <f>VLOOKUP(D55,'Detail Balok'!$C$10:$BJ$140,46,FALSE)</f>
        <v>0</v>
      </c>
      <c r="E79" t="str">
        <v>D</v>
      </c>
      <c r="F79">
        <f>VLOOKUP(D55,'Detail Balok'!$C$10:$BJ$140,48,FALSE)</f>
        <v>0</v>
      </c>
      <c r="G79" t="str">
        <v>-</v>
      </c>
      <c r="H79">
        <f>VLOOKUP(D55,'Detail Balok'!$C$10:$BJ$140,50,FALSE)</f>
        <v>100</v>
      </c>
      <c r="J79">
        <f>(D56-2*F$5)/1000</f>
        <v>0.12</v>
      </c>
      <c r="K79" t="str">
        <v>+</v>
      </c>
      <c r="L79">
        <f>IF(D79=0,2*MAX(6*F79,75),(D79-1)*2*MAX(6*F79,75))/1000</f>
        <v>0.15</v>
      </c>
      <c r="M79" t="str">
        <v>=</v>
      </c>
      <c r="N79">
        <f>J79+L79</f>
        <v>0.27</v>
      </c>
      <c r="T79" t="str">
        <v>x</v>
      </c>
      <c r="U79">
        <f>0.006165*F79^2</f>
        <v>0</v>
      </c>
      <c r="V79" t="str">
        <v>x</v>
      </c>
      <c r="W79">
        <f>W75</f>
        <v>8</v>
      </c>
      <c r="X79" t="str">
        <v>x</v>
      </c>
      <c r="Y79">
        <f>D65</f>
        <v>3</v>
      </c>
      <c r="Z79" t="str">
        <v>=</v>
      </c>
      <c r="AA79">
        <f>N79*U79*W79*Y79</f>
        <v>0</v>
      </c>
    </row>
    <row r="80">
      <c r="A80" t="str">
        <f>A55</f>
        <v>Lantai 1</v>
      </c>
      <c r="B80">
        <f>B55</f>
        <v>2</v>
      </c>
      <c r="C80" t="str">
        <v>Kait Horizontal Lap.</v>
      </c>
      <c r="D80">
        <f>VLOOKUP(D55,'Detail Balok'!$C$10:$BJ$140,51,FALSE)</f>
        <v>0</v>
      </c>
      <c r="E80" t="str">
        <v>D</v>
      </c>
      <c r="F80">
        <f>VLOOKUP(D55,'Detail Balok'!$C$10:$BJ$140,53,FALSE)</f>
        <v>0</v>
      </c>
      <c r="G80" t="str">
        <v>-</v>
      </c>
      <c r="H80">
        <f>VLOOKUP(D55,'Detail Balok'!$C$10:$BJ$140,55,FALSE)</f>
        <v>100</v>
      </c>
      <c r="J80">
        <f>(D56-2*F$5)/1000</f>
        <v>0.12</v>
      </c>
      <c r="K80" t="str">
        <v>+</v>
      </c>
      <c r="L80">
        <f>IF(D80=0,2*MAX(6*F80,75),(D80-1)*2*MAX(6*F80,75))/1000</f>
        <v>0.15</v>
      </c>
      <c r="M80" t="str">
        <v>=</v>
      </c>
      <c r="N80">
        <f>J80+L80</f>
        <v>0.27</v>
      </c>
      <c r="T80" t="str">
        <v>x</v>
      </c>
      <c r="U80">
        <f>0.006165*F80^2</f>
        <v>0</v>
      </c>
      <c r="V80" t="str">
        <v>x</v>
      </c>
      <c r="W80">
        <f>W76</f>
        <v>10</v>
      </c>
      <c r="X80" t="str">
        <v>x</v>
      </c>
      <c r="Y80">
        <f>D65</f>
        <v>3</v>
      </c>
      <c r="Z80" t="str">
        <v>=</v>
      </c>
      <c r="AA80">
        <f>N80*U80*W80*Y80</f>
        <v>0</v>
      </c>
    </row>
    <row r="81">
      <c r="A81" t="str">
        <f>A55</f>
        <v>Lantai 1</v>
      </c>
      <c r="B81">
        <f>B55</f>
        <v>2</v>
      </c>
      <c r="C81" t="str">
        <v>Kait Horizontal Tump.</v>
      </c>
      <c r="D81">
        <f>VLOOKUP(D55,'Detail Balok'!$C$10:$BJ$140,56,FALSE)</f>
        <v>0</v>
      </c>
      <c r="E81" t="str">
        <v>D</v>
      </c>
      <c r="F81">
        <f>VLOOKUP(D55,'Detail Balok'!$C$10:$BJ$140,58,FALSE)</f>
        <v>0</v>
      </c>
      <c r="G81" t="str">
        <v>-</v>
      </c>
      <c r="H81">
        <f>VLOOKUP(D55,'Detail Balok'!$C$10:$BJ$140,60,FALSE)</f>
        <v>100</v>
      </c>
      <c r="J81">
        <f>(D56-2*F$5)/1000</f>
        <v>0.12</v>
      </c>
      <c r="K81" t="str">
        <v>+</v>
      </c>
      <c r="L81">
        <f>IF(D81=0,2*MAX(6*F81,75),(D81-1)*2*MAX(6*F81,75))/1000</f>
        <v>0.15</v>
      </c>
      <c r="M81" t="str">
        <v>=</v>
      </c>
      <c r="N81">
        <f>J81+L81</f>
        <v>0.27</v>
      </c>
      <c r="T81" t="str">
        <v>x</v>
      </c>
      <c r="U81">
        <f>0.006165*F81^2</f>
        <v>0</v>
      </c>
      <c r="V81" t="str">
        <v>x</v>
      </c>
      <c r="W81">
        <f>W77</f>
        <v>8</v>
      </c>
      <c r="X81" t="str">
        <v>x</v>
      </c>
      <c r="Y81">
        <f>D65</f>
        <v>3</v>
      </c>
      <c r="Z81" t="str">
        <v>=</v>
      </c>
      <c r="AA81">
        <f>N81*U81*W81*Y81</f>
        <v>0</v>
      </c>
    </row>
    <row r="85">
      <c r="A85" t="str">
        <f>A55</f>
        <v>Lantai 1</v>
      </c>
      <c r="B85">
        <f>B55+1</f>
        <v>3</v>
      </c>
      <c r="C85" t="str">
        <f>CONCATENATE(A85," no. ",B85)</f>
        <v>Lantai 1 no. 3</v>
      </c>
      <c r="D85" t="str">
        <f>VLOOKUP(C85,'Data Panjang Balok'!$C$9:$N$254,2,FALSE)</f>
        <v>S24-1</v>
      </c>
    </row>
    <row r="86">
      <c r="C86" t="str">
        <v>Dimensi</v>
      </c>
      <c r="D86">
        <f>VLOOKUP(D85,'Detail Balok'!$C$10:$AU$140,2,FALSE)</f>
        <v>200</v>
      </c>
      <c r="F86" t="str">
        <v>x</v>
      </c>
      <c r="G86">
        <f>VLOOKUP(D85,'Detail Balok'!$C$10:$AU$140,3,FALSE)</f>
        <v>400</v>
      </c>
    </row>
    <row r="87">
      <c r="C87" t="str">
        <v>Panjang as ke as</v>
      </c>
      <c r="D87">
        <f>VLOOKUP(C85,'Data Panjang Balok'!$C$9:$N$254,4,FALSE)</f>
        <v>3000</v>
      </c>
    </row>
    <row r="88">
      <c r="C88" t="str">
        <v>Panjang netto</v>
      </c>
      <c r="D88">
        <f>VLOOKUP(C85,'Data Panjang Balok'!$C$9:$N$254,7,FALSE)</f>
        <v>3000</v>
      </c>
    </row>
    <row r="89">
      <c r="C89" t="str">
        <v>Kolom / balok kiri</v>
      </c>
      <c r="D89">
        <f>VLOOKUP(C85,'Data Panjang Balok'!$C$9:$N$254,9,FALSE)</f>
        <v>0</v>
      </c>
    </row>
    <row r="90">
      <c r="C90" t="str">
        <v>Kolom / balok kanan</v>
      </c>
      <c r="D90">
        <f>VLOOKUP(C85,'Data Panjang Balok'!$C$9:$N$254,10,FALSE)</f>
        <v>0</v>
      </c>
    </row>
    <row r="91">
      <c r="C91" t="str">
        <v>Jumlah</v>
      </c>
      <c r="D91">
        <f>VLOOKUP(C85,'Data Panjang Balok'!$C$9:$N$254,3,FALSE)</f>
        <v>1</v>
      </c>
    </row>
    <row r="92">
      <c r="A92" t="str">
        <f>A85</f>
        <v>Lantai 1</v>
      </c>
      <c r="B92">
        <f>B85</f>
        <v>3</v>
      </c>
      <c r="C92" t="str">
        <v>Tul Atas Tumpuan</v>
      </c>
      <c r="D92">
        <f>VLOOKUP(D85,'Detail Balok'!$C$10:$AU$140,4,FALSE)</f>
        <v>3</v>
      </c>
      <c r="E92" t="str">
        <v>D</v>
      </c>
      <c r="F92">
        <f>VLOOKUP(D85,'Detail Balok'!$C$10:$AU$140,6,FALSE)</f>
        <v>13</v>
      </c>
      <c r="I92" t="str">
        <v>(</v>
      </c>
      <c r="J92">
        <f>+D87/4/1000</f>
        <v>0.75</v>
      </c>
      <c r="K92" t="str">
        <v>+</v>
      </c>
      <c r="L92">
        <f>MAX(VLOOKUP(F92,N$6:P$15,3,FALSE)/1000,2/3*D89/1000)+F$16*F92/1000</f>
        <v>0.156</v>
      </c>
      <c r="M92" t="str">
        <v>=</v>
      </c>
      <c r="N92">
        <f>J92+L92</f>
        <v>0.906</v>
      </c>
      <c r="O92" t="str">
        <v>+</v>
      </c>
      <c r="P92">
        <f>D92-D93</f>
        <v>0</v>
      </c>
      <c r="Q92" t="str">
        <v>x</v>
      </c>
      <c r="R92">
        <f>IF(P92&gt;0,$F$18*F92/1000,0)</f>
        <v>0</v>
      </c>
      <c r="S92" t="str">
        <v>)</v>
      </c>
      <c r="T92" t="str">
        <v>x</v>
      </c>
      <c r="U92">
        <f>0.006165*F92^2</f>
        <v>1.041885</v>
      </c>
      <c r="X92" t="str">
        <v>x</v>
      </c>
      <c r="Y92">
        <f>D91</f>
        <v>1</v>
      </c>
      <c r="Z92" t="str">
        <v>=</v>
      </c>
      <c r="AA92">
        <f>IF(AA95=0,(D92*N92+P92*R92)*U92*Y92,0)</f>
        <v>0</v>
      </c>
    </row>
    <row r="93">
      <c r="A93" t="str">
        <f>A85</f>
        <v>Lantai 1</v>
      </c>
      <c r="B93">
        <f>B85</f>
        <v>3</v>
      </c>
      <c r="C93" t="str">
        <v>Tul Atas Lapangan</v>
      </c>
      <c r="D93">
        <f>VLOOKUP(D85,'Detail Balok'!$C$10:$AU$140,7,FALSE)</f>
        <v>3</v>
      </c>
      <c r="E93" t="str">
        <v>D</v>
      </c>
      <c r="F93">
        <f>VLOOKUP(D85,'Detail Balok'!$C$10:$AU$140,9,FALSE)</f>
        <v>13</v>
      </c>
      <c r="I93" t="str">
        <v>(</v>
      </c>
      <c r="J93">
        <f>+D87/2/1000</f>
        <v>1.5</v>
      </c>
      <c r="K93" t="str">
        <v>+</v>
      </c>
      <c r="M93" t="str">
        <v>=</v>
      </c>
      <c r="N93">
        <f>J93+L93</f>
        <v>1.5</v>
      </c>
      <c r="O93" t="str">
        <v>+</v>
      </c>
      <c r="P93">
        <f>MAX(D93-D92,D93-D94)</f>
        <v>0</v>
      </c>
      <c r="Q93" t="str">
        <v>x</v>
      </c>
      <c r="R93">
        <f>IF(P93&gt;0,2*(1-2*$F$19-1/2)*D88/1000,0)</f>
        <v>0</v>
      </c>
      <c r="S93" t="str">
        <v>)</v>
      </c>
      <c r="T93" t="str">
        <v>x</v>
      </c>
      <c r="U93">
        <f>0.006165*F93^2</f>
        <v>1.041885</v>
      </c>
      <c r="X93" t="str">
        <v>x</v>
      </c>
      <c r="Y93">
        <f>D91</f>
        <v>1</v>
      </c>
      <c r="Z93" t="str">
        <v>=</v>
      </c>
      <c r="AA93">
        <f>IF(AA95=0,(D93*N93+P93*R93)*U93*Y93,0)</f>
        <v>0</v>
      </c>
    </row>
    <row r="94">
      <c r="A94" t="str">
        <f>A85</f>
        <v>Lantai 1</v>
      </c>
      <c r="B94">
        <f>B85</f>
        <v>3</v>
      </c>
      <c r="C94" t="str">
        <v>Tul Atas Tumpuan</v>
      </c>
      <c r="D94">
        <f>VLOOKUP(D85,'Detail Balok'!$C$10:$AU$140,10,FALSE)</f>
        <v>3</v>
      </c>
      <c r="E94" t="str">
        <v>D</v>
      </c>
      <c r="F94">
        <f>VLOOKUP(D85,'Detail Balok'!$C$10:$AU$140,12,FALSE)</f>
        <v>13</v>
      </c>
      <c r="I94" t="str">
        <v>(</v>
      </c>
      <c r="J94">
        <f>+D87/4/1000</f>
        <v>0.75</v>
      </c>
      <c r="K94" t="str">
        <v>+</v>
      </c>
      <c r="L94">
        <f>MAX(VLOOKUP(F94,N$6:P$15,3,FALSE)/1000,2/3*D89/1000)+F$16*F94/1000</f>
        <v>0.156</v>
      </c>
      <c r="M94" t="str">
        <v>=</v>
      </c>
      <c r="N94">
        <f>J94+L94</f>
        <v>0.906</v>
      </c>
      <c r="O94" t="str">
        <v>+</v>
      </c>
      <c r="P94">
        <f>D94-D93</f>
        <v>0</v>
      </c>
      <c r="Q94" t="str">
        <v>x</v>
      </c>
      <c r="R94">
        <f>IF(P94&gt;0,$F$18*F94/1000,0)</f>
        <v>0</v>
      </c>
      <c r="S94" t="str">
        <v>)</v>
      </c>
      <c r="T94" t="str">
        <v>x</v>
      </c>
      <c r="U94">
        <f>0.006165*F94^2</f>
        <v>1.041885</v>
      </c>
      <c r="X94" t="str">
        <v>x</v>
      </c>
      <c r="Y94">
        <f>D91</f>
        <v>1</v>
      </c>
      <c r="Z94" t="str">
        <v>=</v>
      </c>
      <c r="AA94">
        <f>IF(AA95=0,(D94*N94+P94*R94)*U94*Y94,0)</f>
        <v>0</v>
      </c>
    </row>
    <row r="95">
      <c r="A95" t="str">
        <f>A85</f>
        <v>Lantai 1</v>
      </c>
      <c r="B95">
        <f>B85</f>
        <v>3</v>
      </c>
      <c r="D95">
        <f>IF(AND(D92=D93,D93=D94,D92=D94),D92,0)</f>
        <v>3</v>
      </c>
      <c r="E95" t="str">
        <v>D</v>
      </c>
      <c r="F95">
        <f>IF(AND(F92=F93,F92=F94,F93=F94),F92,0)</f>
        <v>13</v>
      </c>
      <c r="L95" t="str">
        <v>Total panjang per balok</v>
      </c>
      <c r="M95" t="str">
        <v>=</v>
      </c>
      <c r="N95">
        <f>IF(AND(D92=D93,D92=D94,D93=D94,F92=F93,F92=F94,F93=F94),SUM(N92:N94),0)</f>
        <v>3.3120000000000003</v>
      </c>
      <c r="O95" t="str">
        <v>+</v>
      </c>
      <c r="P95">
        <f>IF(N95&gt;12,ROUNDDOWN(N95/12,0),0)</f>
        <v>0</v>
      </c>
      <c r="Q95" t="str">
        <v>x</v>
      </c>
      <c r="R95">
        <f>IF(P95&gt;0,MAX(VLOOKUP(F95,$D$6:$G$15,3,FALSE),600),0)/1000</f>
        <v>0</v>
      </c>
      <c r="T95" t="str">
        <v>x</v>
      </c>
      <c r="U95">
        <f>U94</f>
        <v>1.041885</v>
      </c>
      <c r="V95" t="str">
        <v>x</v>
      </c>
      <c r="W95">
        <f>D95</f>
        <v>3</v>
      </c>
      <c r="X95" t="str">
        <v>x</v>
      </c>
      <c r="Y95">
        <f>Y94</f>
        <v>1</v>
      </c>
      <c r="Z95" t="str">
        <v>=</v>
      </c>
      <c r="AA95">
        <f>(N95+P95*R95/1000)*U95*W95*Y95</f>
        <v>10.352169360000001</v>
      </c>
    </row>
    <row r="97">
      <c r="A97" t="str">
        <f>A85</f>
        <v>Lantai 1</v>
      </c>
      <c r="B97">
        <f>B85</f>
        <v>3</v>
      </c>
      <c r="C97" t="str">
        <v>Tul Peminggang</v>
      </c>
      <c r="D97">
        <f>VLOOKUP(D85,'Detail Balok'!$C$10:$AU$140,13,FALSE)</f>
        <v>0</v>
      </c>
      <c r="E97" t="str">
        <v>D</v>
      </c>
      <c r="F97">
        <f>VLOOKUP(D85,'Detail Balok'!$C$10:$AU$140,15,FALSE)</f>
        <v>8</v>
      </c>
      <c r="J97">
        <f>+D87/1000</f>
        <v>3</v>
      </c>
      <c r="K97" t="str">
        <v>+</v>
      </c>
      <c r="L97">
        <f>2*$F$16*F97/1000</f>
        <v>0.192</v>
      </c>
      <c r="M97" t="str">
        <v>=</v>
      </c>
      <c r="N97">
        <f>J97+L97</f>
        <v>3.192</v>
      </c>
      <c r="O97" t="str">
        <v>+</v>
      </c>
      <c r="P97">
        <f>IF(N97&gt;12,ROUNDDOWN(N97/12,0),0)</f>
        <v>0</v>
      </c>
      <c r="Q97" t="str">
        <v>x</v>
      </c>
      <c r="R97">
        <f>IF(P97&gt;0,MAX(VLOOKUP(F97,$D$6:$G$15,3,FALSE),600),0)/1000</f>
        <v>0</v>
      </c>
      <c r="T97" t="str">
        <v>x</v>
      </c>
      <c r="U97">
        <f>0.006165*F97^2</f>
        <v>0.39456</v>
      </c>
      <c r="V97" t="str">
        <v>x</v>
      </c>
      <c r="W97">
        <f>+D97</f>
        <v>0</v>
      </c>
      <c r="X97" t="str">
        <v>x</v>
      </c>
      <c r="Y97">
        <f>D91</f>
        <v>1</v>
      </c>
      <c r="Z97" t="str">
        <v>=</v>
      </c>
      <c r="AA97">
        <f>(N97+P97*R97/1000)*U97*W97*Y97</f>
        <v>0</v>
      </c>
    </row>
    <row r="100">
      <c r="A100" t="str">
        <f>A85</f>
        <v>Lantai 1</v>
      </c>
      <c r="B100">
        <f>B85</f>
        <v>3</v>
      </c>
      <c r="C100" t="str">
        <v>Tul Bawah Tumpuan</v>
      </c>
      <c r="D100">
        <f>VLOOKUP(D85,'Detail Balok'!$C$10:$AU$140,22,FALSE)</f>
        <v>3</v>
      </c>
      <c r="E100" t="str">
        <v>D</v>
      </c>
      <c r="F100">
        <f>VLOOKUP(D85,'Detail Balok'!$C$10:$AU$140,24,FALSE)</f>
        <v>13</v>
      </c>
      <c r="I100" t="str">
        <v>(</v>
      </c>
      <c r="J100">
        <f>+J92</f>
        <v>0.75</v>
      </c>
      <c r="K100" t="str">
        <v>+</v>
      </c>
      <c r="L100">
        <f>MAX(VLOOKUP(F100,N$6:P$15,3,FALSE)/1000,2/3*D90/1000)+F$16*F100/1000</f>
        <v>0.156</v>
      </c>
      <c r="M100" t="str">
        <v>=</v>
      </c>
      <c r="N100">
        <f>J100+L100</f>
        <v>0.906</v>
      </c>
      <c r="O100" t="str">
        <v>+</v>
      </c>
      <c r="P100">
        <f>D100-D101</f>
        <v>0</v>
      </c>
      <c r="Q100" t="str">
        <v>x</v>
      </c>
      <c r="R100">
        <f>IF(P100&gt;0,$F$18*F100/1000,0)</f>
        <v>0</v>
      </c>
      <c r="S100" t="str">
        <v>)</v>
      </c>
      <c r="T100" t="str">
        <v>x</v>
      </c>
      <c r="U100">
        <f>0.006165*F100^2</f>
        <v>1.041885</v>
      </c>
      <c r="X100" t="str">
        <v>x</v>
      </c>
      <c r="Y100">
        <f>D91</f>
        <v>1</v>
      </c>
      <c r="Z100" t="str">
        <v>=</v>
      </c>
      <c r="AA100">
        <f>IF(AA103=0,(D100*N100+P100*R100)*U100*Y100,0)</f>
        <v>0</v>
      </c>
    </row>
    <row r="101">
      <c r="A101" t="str">
        <f>A85</f>
        <v>Lantai 1</v>
      </c>
      <c r="B101">
        <f>B85</f>
        <v>3</v>
      </c>
      <c r="C101" t="str">
        <v>Tul Bawah Lapangan</v>
      </c>
      <c r="D101">
        <f>VLOOKUP(D85,'Detail Balok'!$C$10:$AU$140,25,FALSE)</f>
        <v>3</v>
      </c>
      <c r="E101" t="str">
        <v>D</v>
      </c>
      <c r="F101">
        <f>VLOOKUP(D85,'Detail Balok'!$C$10:$AU$140,27,FALSE)</f>
        <v>13</v>
      </c>
      <c r="I101" t="str">
        <v>(</v>
      </c>
      <c r="J101">
        <f>+J93</f>
        <v>1.5</v>
      </c>
      <c r="K101" t="str">
        <v>+</v>
      </c>
      <c r="M101" t="str">
        <v>=</v>
      </c>
      <c r="N101">
        <f>J101+L101</f>
        <v>1.5</v>
      </c>
      <c r="O101" t="str">
        <v>+</v>
      </c>
      <c r="P101">
        <f>MAX(D101-D100,D101-D102)</f>
        <v>0</v>
      </c>
      <c r="Q101" t="str">
        <v>x</v>
      </c>
      <c r="R101">
        <f>IF(P101&gt;0,2*(1-2*$F$19-1/2)*D88/1000,0)</f>
        <v>0</v>
      </c>
      <c r="S101" t="str">
        <v>)</v>
      </c>
      <c r="T101" t="str">
        <v>x</v>
      </c>
      <c r="U101">
        <f>0.006165*F101^2</f>
        <v>1.041885</v>
      </c>
      <c r="X101" t="str">
        <v>x</v>
      </c>
      <c r="Y101">
        <f>D91</f>
        <v>1</v>
      </c>
      <c r="Z101" t="str">
        <v>=</v>
      </c>
      <c r="AA101">
        <f>IF(AA103=0,(D101*N101+P101*R101)*U101*Y101,0)</f>
        <v>0</v>
      </c>
    </row>
    <row r="102">
      <c r="A102" t="str">
        <f>A85</f>
        <v>Lantai 1</v>
      </c>
      <c r="B102">
        <f>B85</f>
        <v>3</v>
      </c>
      <c r="C102" t="str">
        <v>Tul Bawah Tumpuan</v>
      </c>
      <c r="D102">
        <f>VLOOKUP(D85,'Detail Balok'!$C$10:$AU$140,28,FALSE)</f>
        <v>3</v>
      </c>
      <c r="E102" t="str">
        <v>D</v>
      </c>
      <c r="F102">
        <f>VLOOKUP(D85,'Detail Balok'!$C$10:$AU$140,30,FALSE)</f>
        <v>13</v>
      </c>
      <c r="I102" t="str">
        <v>(</v>
      </c>
      <c r="J102">
        <f>+J94</f>
        <v>0.75</v>
      </c>
      <c r="K102" t="str">
        <v>+</v>
      </c>
      <c r="L102">
        <f>MAX(VLOOKUP(F102,N$6:P$15,3,FALSE)/1000,2/3*D90/1000)+F$16*F102/1000</f>
        <v>0.156</v>
      </c>
      <c r="M102" t="str">
        <v>=</v>
      </c>
      <c r="N102">
        <f>J102+L102</f>
        <v>0.906</v>
      </c>
      <c r="O102" t="str">
        <v>+</v>
      </c>
      <c r="P102">
        <f>D102-D101</f>
        <v>0</v>
      </c>
      <c r="Q102" t="str">
        <v>x</v>
      </c>
      <c r="R102">
        <f>IF(P102&gt;0,$F$18*F102/1000,0)</f>
        <v>0</v>
      </c>
      <c r="S102" t="str">
        <v>)</v>
      </c>
      <c r="T102" t="str">
        <v>x</v>
      </c>
      <c r="U102">
        <f>0.006165*F102^2</f>
        <v>1.041885</v>
      </c>
      <c r="X102" t="str">
        <v>x</v>
      </c>
      <c r="Y102">
        <f>D91</f>
        <v>1</v>
      </c>
      <c r="Z102" t="str">
        <v>=</v>
      </c>
      <c r="AA102">
        <f>IF(AA103=0,(D102*N102+P102*R102)*U102*Y102,0)</f>
        <v>0</v>
      </c>
    </row>
    <row r="103">
      <c r="A103" t="str">
        <f>A85</f>
        <v>Lantai 1</v>
      </c>
      <c r="B103">
        <f>B85</f>
        <v>3</v>
      </c>
      <c r="D103">
        <f>IF(AND(D100=D101,D101=D102,D100=D102),D100,0)</f>
        <v>3</v>
      </c>
      <c r="E103" t="str">
        <v>D</v>
      </c>
      <c r="F103">
        <f>IF(AND(F100=F101,F100=F102,F101=F102),F100,0)</f>
        <v>13</v>
      </c>
      <c r="L103" t="str">
        <v>Total panjang per balok</v>
      </c>
      <c r="M103" t="str">
        <v>=</v>
      </c>
      <c r="N103">
        <f>IF(AND(D100=D101,D100=D102,D101=D102,F100=F101,F100=F102,F101=F102),SUM(N100:N102),0)</f>
        <v>3.3120000000000003</v>
      </c>
      <c r="O103" t="str">
        <v>+</v>
      </c>
      <c r="P103">
        <f>IF(N103&gt;12,ROUNDDOWN(N103/12,0),0)</f>
        <v>0</v>
      </c>
      <c r="Q103" t="str">
        <v>x</v>
      </c>
      <c r="R103">
        <f>IF(P103&gt;0,MAX(VLOOKUP(F103,$D$6:$G$15,3,FALSE),600),0)/1000</f>
        <v>0</v>
      </c>
      <c r="T103" t="str">
        <v>x</v>
      </c>
      <c r="U103">
        <f>U102</f>
        <v>1.041885</v>
      </c>
      <c r="V103" t="str">
        <v>x</v>
      </c>
      <c r="W103">
        <f>D103</f>
        <v>3</v>
      </c>
      <c r="X103" t="str">
        <v>x</v>
      </c>
      <c r="Y103">
        <f>Y102</f>
        <v>1</v>
      </c>
      <c r="Z103" t="str">
        <v>=</v>
      </c>
      <c r="AA103">
        <f>(N103+P103*R103/1000)*U103*W103*Y103</f>
        <v>10.352169360000001</v>
      </c>
    </row>
    <row r="105">
      <c r="A105" t="str">
        <f>A85</f>
        <v>Lantai 1</v>
      </c>
      <c r="B105">
        <f>B85</f>
        <v>3</v>
      </c>
      <c r="C105" t="str">
        <v>Sengkang Tumpuan</v>
      </c>
      <c r="D105">
        <f>VLOOKUP(D85,'Detail Balok'!$C$10:$AU$140,31,FALSE)</f>
        <v>0</v>
      </c>
      <c r="E105" t="str">
        <v>D</v>
      </c>
      <c r="F105">
        <f>VLOOKUP(D85,'Detail Balok'!$C$10:$AU$140,33,FALSE)</f>
        <v>8</v>
      </c>
      <c r="G105" t="str">
        <v>-</v>
      </c>
      <c r="H105">
        <f>VLOOKUP(D85,'Detail Balok'!$C$10:$AU$140,35,FALSE)</f>
        <v>150</v>
      </c>
      <c r="J105">
        <f>(IF(D105=0,(2*(D86+G86))-(F$5*8),IF(D105=3,(2*(D86+G86))-(F$5*8)+(G86-2*F$5),IF(D105=4,(2*(D86+G86))-(F$5*8)+2*(G86-2*F$5)))))/1000</f>
        <v>0.88</v>
      </c>
      <c r="K105" t="str">
        <v>+</v>
      </c>
      <c r="L105">
        <f>IF(D105=0,2*MAX(6*F105,75),(D105-1)*2*MAX(6*F105,75))/1000</f>
        <v>0.15</v>
      </c>
      <c r="M105" t="str">
        <v>=</v>
      </c>
      <c r="N105">
        <f>J105+L105</f>
        <v>1.03</v>
      </c>
      <c r="T105" t="str">
        <v>x</v>
      </c>
      <c r="U105">
        <f>0.006165*F105^2</f>
        <v>0.39456</v>
      </c>
      <c r="V105" t="str">
        <v>x</v>
      </c>
      <c r="W105">
        <f>IF(D88&gt;4*G86,ROUND(MAX(D88/4,2*G86)/H105,0)+1,ROUND(D88/H105,0)+1)</f>
        <v>6</v>
      </c>
      <c r="X105" t="str">
        <v>x</v>
      </c>
      <c r="Y105">
        <f>D91</f>
        <v>1</v>
      </c>
      <c r="Z105" t="str">
        <v>=</v>
      </c>
      <c r="AA105">
        <f>N105*U105*W105*Y105</f>
        <v>2.4383808000000005</v>
      </c>
    </row>
    <row r="106">
      <c r="A106" t="str">
        <f>A85</f>
        <v>Lantai 1</v>
      </c>
      <c r="B106">
        <f>B85</f>
        <v>3</v>
      </c>
      <c r="C106" t="str">
        <v>Sengkang Lapangan</v>
      </c>
      <c r="D106">
        <f>VLOOKUP(D85,'Detail Balok'!$C$10:$AU$140,36,FALSE)</f>
        <v>0</v>
      </c>
      <c r="E106" t="str">
        <v>D</v>
      </c>
      <c r="F106">
        <f>VLOOKUP(D85,'Detail Balok'!$C$10:$AU$140,38,FALSE)</f>
        <v>8</v>
      </c>
      <c r="G106" t="str">
        <v>-</v>
      </c>
      <c r="H106">
        <f>VLOOKUP(D85,'Detail Balok'!$C$10:$AU$140,40,FALSE)</f>
        <v>200</v>
      </c>
      <c r="J106">
        <f>(IF(D106=0,(2*(D86+G86))-(F$5*8),IF(D106=3,(2*(D86+G86))-(F$5*8)+(G86-2*F$5),IF(D106=4,(2*(D86+G86))-(F$5*8)+2*(G86-2*F$5)))))/1000</f>
        <v>0.88</v>
      </c>
      <c r="K106" t="str">
        <v>+</v>
      </c>
      <c r="L106">
        <f>IF(D106=0,2*MAX(6*F106,75),(D106-1)*2*MAX(6*F106,75))/1000</f>
        <v>0.15</v>
      </c>
      <c r="M106" t="str">
        <v>=</v>
      </c>
      <c r="N106">
        <f>J106+L106</f>
        <v>1.03</v>
      </c>
      <c r="T106" t="str">
        <v>x</v>
      </c>
      <c r="U106">
        <f>0.006165*F106^2</f>
        <v>0.39456</v>
      </c>
      <c r="V106" t="str">
        <v>x</v>
      </c>
      <c r="W106">
        <f>IF(D88-MAX(D88/4,2*G86)*2&gt;0,ROUND((D88-MAX(D88/4,2*G86)*2)/H106,0),0)</f>
        <v>7</v>
      </c>
      <c r="X106" t="str">
        <v>x</v>
      </c>
      <c r="Y106">
        <f>D91</f>
        <v>1</v>
      </c>
      <c r="Z106" t="str">
        <v>=</v>
      </c>
      <c r="AA106">
        <f>N106*U106*W106*Y106</f>
        <v>2.8447776000000005</v>
      </c>
    </row>
    <row r="107">
      <c r="A107" t="str">
        <f>A85</f>
        <v>Lantai 1</v>
      </c>
      <c r="B107">
        <f>B85</f>
        <v>3</v>
      </c>
      <c r="C107" t="str">
        <v>Sengkang Tumpuan</v>
      </c>
      <c r="D107">
        <f>VLOOKUP(D85,'Detail Balok'!$C$10:$AU$140,41,FALSE)</f>
        <v>0</v>
      </c>
      <c r="E107" t="str">
        <v>D</v>
      </c>
      <c r="F107">
        <f>VLOOKUP(D85,'Detail Balok'!$C$10:$AU$140,43,FALSE)</f>
        <v>8</v>
      </c>
      <c r="G107" t="str">
        <v>-</v>
      </c>
      <c r="H107">
        <f>VLOOKUP(D85,'Detail Balok'!$C$10:$AU$140,45,FALSE)</f>
        <v>150</v>
      </c>
      <c r="J107">
        <f>(IF(D107=0,(2*(D86+G86))-(F$5*8),IF(D107=3,(2*(D86+G86))-(F$5*8)+(G86-2*F$5),IF(D107=4,(2*(D86+G86))-(F$5*8)+2*(G86-2*F$5)))))/1000</f>
        <v>0.88</v>
      </c>
      <c r="K107" t="str">
        <v>+</v>
      </c>
      <c r="L107">
        <f>IF(D107=0,2*MAX(6*F107,75),(D107-1)*2*MAX(6*F107,75))/1000</f>
        <v>0.15</v>
      </c>
      <c r="M107" t="str">
        <v>=</v>
      </c>
      <c r="N107">
        <f>J107+L107</f>
        <v>1.03</v>
      </c>
      <c r="T107" t="str">
        <v>x</v>
      </c>
      <c r="U107">
        <f>0.006165*F107^2</f>
        <v>0.39456</v>
      </c>
      <c r="V107" t="str">
        <v>x</v>
      </c>
      <c r="W107">
        <f>IF(D88&gt;4*G86,ROUND(MAX(D88/4,2*G86)/H107,0)+1,0)</f>
        <v>6</v>
      </c>
      <c r="X107" t="str">
        <v>x</v>
      </c>
      <c r="Y107">
        <f>D91</f>
        <v>1</v>
      </c>
      <c r="Z107" t="str">
        <v>=</v>
      </c>
      <c r="AA107">
        <f>N107*U107*W107*Y107</f>
        <v>2.4383808000000005</v>
      </c>
    </row>
    <row r="109">
      <c r="A109" t="str">
        <f>A85</f>
        <v>Lantai 1</v>
      </c>
      <c r="B109">
        <f>B85</f>
        <v>3</v>
      </c>
      <c r="C109" t="str">
        <v>Kait Horizontal Tump.</v>
      </c>
      <c r="D109">
        <f>VLOOKUP(D85,'Detail Balok'!$C$10:$BJ$140,46,FALSE)</f>
        <v>0</v>
      </c>
      <c r="E109" t="str">
        <v>D</v>
      </c>
      <c r="F109">
        <f>VLOOKUP(D85,'Detail Balok'!$C$10:$BJ$140,48,FALSE)</f>
        <v>0</v>
      </c>
      <c r="G109" t="str">
        <v>-</v>
      </c>
      <c r="H109">
        <f>VLOOKUP(D85,'Detail Balok'!$C$10:$BJ$140,50,FALSE)</f>
        <v>100</v>
      </c>
      <c r="J109">
        <f>(D86-2*F$5)/1000</f>
        <v>0.12</v>
      </c>
      <c r="K109" t="str">
        <v>+</v>
      </c>
      <c r="L109">
        <f>IF(D109=0,2*MAX(6*F109,75),(D109-1)*2*MAX(6*F109,75))/1000</f>
        <v>0.15</v>
      </c>
      <c r="M109" t="str">
        <v>=</v>
      </c>
      <c r="N109">
        <f>J109+L109</f>
        <v>0.27</v>
      </c>
      <c r="T109" t="str">
        <v>x</v>
      </c>
      <c r="U109">
        <f>0.006165*F109^2</f>
        <v>0</v>
      </c>
      <c r="V109" t="str">
        <v>x</v>
      </c>
      <c r="W109">
        <f>W105</f>
        <v>6</v>
      </c>
      <c r="X109" t="str">
        <v>x</v>
      </c>
      <c r="Y109">
        <f>D95</f>
        <v>3</v>
      </c>
      <c r="Z109" t="str">
        <v>=</v>
      </c>
      <c r="AA109">
        <f>N109*U109*W109*Y109</f>
        <v>0</v>
      </c>
    </row>
    <row r="110">
      <c r="A110" t="str">
        <f>A85</f>
        <v>Lantai 1</v>
      </c>
      <c r="B110">
        <f>B85</f>
        <v>3</v>
      </c>
      <c r="C110" t="str">
        <v>Kait Horizontal Lap.</v>
      </c>
      <c r="D110">
        <f>VLOOKUP(D85,'Detail Balok'!$C$10:$BJ$140,51,FALSE)</f>
        <v>0</v>
      </c>
      <c r="E110" t="str">
        <v>D</v>
      </c>
      <c r="F110">
        <f>VLOOKUP(D85,'Detail Balok'!$C$10:$BJ$140,53,FALSE)</f>
        <v>0</v>
      </c>
      <c r="G110" t="str">
        <v>-</v>
      </c>
      <c r="H110">
        <f>VLOOKUP(D85,'Detail Balok'!$C$10:$BJ$140,55,FALSE)</f>
        <v>100</v>
      </c>
      <c r="J110">
        <f>(D86-2*F$5)/1000</f>
        <v>0.12</v>
      </c>
      <c r="K110" t="str">
        <v>+</v>
      </c>
      <c r="L110">
        <f>IF(D110=0,2*MAX(6*F110,75),(D110-1)*2*MAX(6*F110,75))/1000</f>
        <v>0.15</v>
      </c>
      <c r="M110" t="str">
        <v>=</v>
      </c>
      <c r="N110">
        <f>J110+L110</f>
        <v>0.27</v>
      </c>
      <c r="T110" t="str">
        <v>x</v>
      </c>
      <c r="U110">
        <f>0.006165*F110^2</f>
        <v>0</v>
      </c>
      <c r="V110" t="str">
        <v>x</v>
      </c>
      <c r="W110">
        <f>W106</f>
        <v>7</v>
      </c>
      <c r="X110" t="str">
        <v>x</v>
      </c>
      <c r="Y110">
        <f>D95</f>
        <v>3</v>
      </c>
      <c r="Z110" t="str">
        <v>=</v>
      </c>
      <c r="AA110">
        <f>N110*U110*W110*Y110</f>
        <v>0</v>
      </c>
    </row>
    <row r="111">
      <c r="A111" t="str">
        <f>A85</f>
        <v>Lantai 1</v>
      </c>
      <c r="B111">
        <f>B85</f>
        <v>3</v>
      </c>
      <c r="C111" t="str">
        <v>Kait Horizontal Tump.</v>
      </c>
      <c r="D111">
        <f>VLOOKUP(D85,'Detail Balok'!$C$10:$BJ$140,56,FALSE)</f>
        <v>0</v>
      </c>
      <c r="E111" t="str">
        <v>D</v>
      </c>
      <c r="F111">
        <f>VLOOKUP(D85,'Detail Balok'!$C$10:$BJ$140,58,FALSE)</f>
        <v>0</v>
      </c>
      <c r="G111" t="str">
        <v>-</v>
      </c>
      <c r="H111">
        <f>VLOOKUP(D85,'Detail Balok'!$C$10:$BJ$140,60,FALSE)</f>
        <v>100</v>
      </c>
      <c r="J111">
        <f>(D86-2*F$5)/1000</f>
        <v>0.12</v>
      </c>
      <c r="K111" t="str">
        <v>+</v>
      </c>
      <c r="L111">
        <f>IF(D111=0,2*MAX(6*F111,75),(D111-1)*2*MAX(6*F111,75))/1000</f>
        <v>0.15</v>
      </c>
      <c r="M111" t="str">
        <v>=</v>
      </c>
      <c r="N111">
        <f>J111+L111</f>
        <v>0.27</v>
      </c>
      <c r="T111" t="str">
        <v>x</v>
      </c>
      <c r="U111">
        <f>0.006165*F111^2</f>
        <v>0</v>
      </c>
      <c r="V111" t="str">
        <v>x</v>
      </c>
      <c r="W111">
        <f>W107</f>
        <v>6</v>
      </c>
      <c r="X111" t="str">
        <v>x</v>
      </c>
      <c r="Y111">
        <f>D95</f>
        <v>3</v>
      </c>
      <c r="Z111" t="str">
        <v>=</v>
      </c>
      <c r="AA111">
        <f>N111*U111*W111*Y111</f>
        <v>0</v>
      </c>
    </row>
    <row r="115">
      <c r="A115" t="str">
        <f>A85</f>
        <v>Lantai 1</v>
      </c>
      <c r="B115">
        <f>B85+1</f>
        <v>4</v>
      </c>
      <c r="C115" t="str">
        <f>CONCATENATE(A115," no. ",B115)</f>
        <v>Lantai 1 no. 4</v>
      </c>
      <c r="D115" t="str">
        <f>VLOOKUP(C115,'Data Panjang Balok'!$C$9:$N$254,2,FALSE)</f>
        <v>S24-1</v>
      </c>
    </row>
    <row r="116">
      <c r="C116" t="str">
        <v>Dimensi</v>
      </c>
      <c r="D116">
        <f>VLOOKUP(D115,'Detail Balok'!$C$10:$AU$140,2,FALSE)</f>
        <v>200</v>
      </c>
      <c r="F116" t="str">
        <v>x</v>
      </c>
      <c r="G116">
        <f>VLOOKUP(D115,'Detail Balok'!$C$10:$AU$140,3,FALSE)</f>
        <v>400</v>
      </c>
    </row>
    <row r="117">
      <c r="C117" t="str">
        <v>Panjang as ke as</v>
      </c>
      <c r="D117">
        <f>VLOOKUP(C115,'Data Panjang Balok'!$C$9:$N$254,4,FALSE)</f>
        <v>3000</v>
      </c>
    </row>
    <row r="118">
      <c r="C118" t="str">
        <v>Panjang netto</v>
      </c>
      <c r="D118">
        <f>VLOOKUP(C115,'Data Panjang Balok'!$C$9:$N$254,7,FALSE)</f>
        <v>3000</v>
      </c>
    </row>
    <row r="119">
      <c r="C119" t="str">
        <v>Kolom / balok kiri</v>
      </c>
      <c r="D119">
        <f>VLOOKUP(C115,'Data Panjang Balok'!$C$9:$N$254,9,FALSE)</f>
        <v>0</v>
      </c>
    </row>
    <row r="120">
      <c r="C120" t="str">
        <v>Kolom / balok kanan</v>
      </c>
      <c r="D120">
        <f>VLOOKUP(C115,'Data Panjang Balok'!$C$9:$N$254,10,FALSE)</f>
        <v>0</v>
      </c>
    </row>
    <row r="121">
      <c r="C121" t="str">
        <v>Jumlah</v>
      </c>
      <c r="D121">
        <f>VLOOKUP(C115,'Data Panjang Balok'!$C$9:$N$254,3,FALSE)</f>
        <v>1</v>
      </c>
    </row>
    <row r="122">
      <c r="A122" t="str">
        <f>A115</f>
        <v>Lantai 1</v>
      </c>
      <c r="B122">
        <f>B115</f>
        <v>4</v>
      </c>
      <c r="C122" t="str">
        <v>Tul Atas Tumpuan</v>
      </c>
      <c r="D122">
        <f>VLOOKUP(D115,'Detail Balok'!$C$10:$AU$140,4,FALSE)</f>
        <v>3</v>
      </c>
      <c r="E122" t="str">
        <v>D</v>
      </c>
      <c r="F122">
        <f>VLOOKUP(D115,'Detail Balok'!$C$10:$AU$140,6,FALSE)</f>
        <v>13</v>
      </c>
      <c r="I122" t="str">
        <v>(</v>
      </c>
      <c r="J122">
        <f>+D117/4/1000</f>
        <v>0.75</v>
      </c>
      <c r="K122" t="str">
        <v>+</v>
      </c>
      <c r="L122">
        <f>MAX(VLOOKUP(F122,N$6:P$15,3,FALSE)/1000,2/3*D119/1000)+F$16*F122/1000</f>
        <v>0.156</v>
      </c>
      <c r="M122" t="str">
        <v>=</v>
      </c>
      <c r="N122">
        <f>J122+L122</f>
        <v>0.906</v>
      </c>
      <c r="O122" t="str">
        <v>+</v>
      </c>
      <c r="P122">
        <f>D122-D123</f>
        <v>0</v>
      </c>
      <c r="Q122" t="str">
        <v>x</v>
      </c>
      <c r="R122">
        <f>IF(P122&gt;0,$F$18*F122/1000,0)</f>
        <v>0</v>
      </c>
      <c r="S122" t="str">
        <v>)</v>
      </c>
      <c r="T122" t="str">
        <v>x</v>
      </c>
      <c r="U122">
        <f>0.006165*F122^2</f>
        <v>1.041885</v>
      </c>
      <c r="X122" t="str">
        <v>x</v>
      </c>
      <c r="Y122">
        <f>D121</f>
        <v>1</v>
      </c>
      <c r="Z122" t="str">
        <v>=</v>
      </c>
      <c r="AA122">
        <f>IF(AA125=0,(D122*N122+P122*R122)*U122*Y122,0)</f>
        <v>0</v>
      </c>
    </row>
    <row r="123">
      <c r="A123" t="str">
        <f>A115</f>
        <v>Lantai 1</v>
      </c>
      <c r="B123">
        <f>B115</f>
        <v>4</v>
      </c>
      <c r="C123" t="str">
        <v>Tul Atas Lapangan</v>
      </c>
      <c r="D123">
        <f>VLOOKUP(D115,'Detail Balok'!$C$10:$AU$140,7,FALSE)</f>
        <v>3</v>
      </c>
      <c r="E123" t="str">
        <v>D</v>
      </c>
      <c r="F123">
        <f>VLOOKUP(D115,'Detail Balok'!$C$10:$AU$140,9,FALSE)</f>
        <v>13</v>
      </c>
      <c r="I123" t="str">
        <v>(</v>
      </c>
      <c r="J123">
        <f>+D117/2/1000</f>
        <v>1.5</v>
      </c>
      <c r="K123" t="str">
        <v>+</v>
      </c>
      <c r="M123" t="str">
        <v>=</v>
      </c>
      <c r="N123">
        <f>J123+L123</f>
        <v>1.5</v>
      </c>
      <c r="O123" t="str">
        <v>+</v>
      </c>
      <c r="P123">
        <f>MAX(D123-D122,D123-D124)</f>
        <v>0</v>
      </c>
      <c r="Q123" t="str">
        <v>x</v>
      </c>
      <c r="R123">
        <f>IF(P123&gt;0,2*(1-2*$F$19-1/2)*D118/1000,0)</f>
        <v>0</v>
      </c>
      <c r="S123" t="str">
        <v>)</v>
      </c>
      <c r="T123" t="str">
        <v>x</v>
      </c>
      <c r="U123">
        <f>0.006165*F123^2</f>
        <v>1.041885</v>
      </c>
      <c r="X123" t="str">
        <v>x</v>
      </c>
      <c r="Y123">
        <f>D121</f>
        <v>1</v>
      </c>
      <c r="Z123" t="str">
        <v>=</v>
      </c>
      <c r="AA123">
        <f>IF(AA125=0,(D123*N123+P123*R123)*U123*Y123,0)</f>
        <v>0</v>
      </c>
    </row>
    <row r="124">
      <c r="A124" t="str">
        <f>A115</f>
        <v>Lantai 1</v>
      </c>
      <c r="B124">
        <f>B115</f>
        <v>4</v>
      </c>
      <c r="C124" t="str">
        <v>Tul Atas Tumpuan</v>
      </c>
      <c r="D124">
        <f>VLOOKUP(D115,'Detail Balok'!$C$10:$AU$140,10,FALSE)</f>
        <v>3</v>
      </c>
      <c r="E124" t="str">
        <v>D</v>
      </c>
      <c r="F124">
        <f>VLOOKUP(D115,'Detail Balok'!$C$10:$AU$140,12,FALSE)</f>
        <v>13</v>
      </c>
      <c r="I124" t="str">
        <v>(</v>
      </c>
      <c r="J124">
        <f>+D117/4/1000</f>
        <v>0.75</v>
      </c>
      <c r="K124" t="str">
        <v>+</v>
      </c>
      <c r="L124">
        <f>MAX(VLOOKUP(F124,N$6:P$15,3,FALSE)/1000,2/3*D119/1000)+F$16*F124/1000</f>
        <v>0.156</v>
      </c>
      <c r="M124" t="str">
        <v>=</v>
      </c>
      <c r="N124">
        <f>J124+L124</f>
        <v>0.906</v>
      </c>
      <c r="O124" t="str">
        <v>+</v>
      </c>
      <c r="P124">
        <f>D124-D123</f>
        <v>0</v>
      </c>
      <c r="Q124" t="str">
        <v>x</v>
      </c>
      <c r="R124">
        <f>IF(P124&gt;0,$F$18*F124/1000,0)</f>
        <v>0</v>
      </c>
      <c r="S124" t="str">
        <v>)</v>
      </c>
      <c r="T124" t="str">
        <v>x</v>
      </c>
      <c r="U124">
        <f>0.006165*F124^2</f>
        <v>1.041885</v>
      </c>
      <c r="X124" t="str">
        <v>x</v>
      </c>
      <c r="Y124">
        <f>D121</f>
        <v>1</v>
      </c>
      <c r="Z124" t="str">
        <v>=</v>
      </c>
      <c r="AA124">
        <f>IF(AA125=0,(D124*N124+P124*R124)*U124*Y124,0)</f>
        <v>0</v>
      </c>
    </row>
    <row r="125">
      <c r="A125" t="str">
        <f>A115</f>
        <v>Lantai 1</v>
      </c>
      <c r="B125">
        <f>B115</f>
        <v>4</v>
      </c>
      <c r="D125">
        <f>IF(AND(D122=D123,D123=D124,D122=D124),D122,0)</f>
        <v>3</v>
      </c>
      <c r="E125" t="str">
        <v>D</v>
      </c>
      <c r="F125">
        <f>IF(AND(F122=F123,F122=F124,F123=F124),F122,0)</f>
        <v>13</v>
      </c>
      <c r="L125" t="str">
        <v>Total panjang per balok</v>
      </c>
      <c r="M125" t="str">
        <v>=</v>
      </c>
      <c r="N125">
        <f>IF(AND(D122=D123,D122=D124,D123=D124,F122=F123,F122=F124,F123=F124),SUM(N122:N124),0)</f>
        <v>3.3120000000000003</v>
      </c>
      <c r="O125" t="str">
        <v>+</v>
      </c>
      <c r="P125">
        <f>IF(N125&gt;12,ROUNDDOWN(N125/12,0),0)</f>
        <v>0</v>
      </c>
      <c r="Q125" t="str">
        <v>x</v>
      </c>
      <c r="R125">
        <f>IF(P125&gt;0,MAX(VLOOKUP(F125,$D$6:$G$15,3,FALSE),600),0)/1000</f>
        <v>0</v>
      </c>
      <c r="T125" t="str">
        <v>x</v>
      </c>
      <c r="U125">
        <f>U124</f>
        <v>1.041885</v>
      </c>
      <c r="V125" t="str">
        <v>x</v>
      </c>
      <c r="W125">
        <f>D125</f>
        <v>3</v>
      </c>
      <c r="X125" t="str">
        <v>x</v>
      </c>
      <c r="Y125">
        <f>Y124</f>
        <v>1</v>
      </c>
      <c r="Z125" t="str">
        <v>=</v>
      </c>
      <c r="AA125">
        <f>(N125+P125*R125/1000)*U125*W125*Y125</f>
        <v>10.352169360000001</v>
      </c>
    </row>
    <row r="127">
      <c r="A127" t="str">
        <f>A115</f>
        <v>Lantai 1</v>
      </c>
      <c r="B127">
        <f>B115</f>
        <v>4</v>
      </c>
      <c r="C127" t="str">
        <v>Tul Peminggang</v>
      </c>
      <c r="D127">
        <f>VLOOKUP(D115,'Detail Balok'!$C$10:$AU$140,13,FALSE)</f>
        <v>0</v>
      </c>
      <c r="E127" t="str">
        <v>D</v>
      </c>
      <c r="F127">
        <f>VLOOKUP(D115,'Detail Balok'!$C$10:$AU$140,15,FALSE)</f>
        <v>8</v>
      </c>
      <c r="J127">
        <f>+D117/1000</f>
        <v>3</v>
      </c>
      <c r="K127" t="str">
        <v>+</v>
      </c>
      <c r="L127">
        <f>2*$F$16*F127/1000</f>
        <v>0.192</v>
      </c>
      <c r="M127" t="str">
        <v>=</v>
      </c>
      <c r="N127">
        <f>J127+L127</f>
        <v>3.192</v>
      </c>
      <c r="O127" t="str">
        <v>+</v>
      </c>
      <c r="P127">
        <f>IF(N127&gt;12,ROUNDDOWN(N127/12,0),0)</f>
        <v>0</v>
      </c>
      <c r="Q127" t="str">
        <v>x</v>
      </c>
      <c r="R127">
        <f>IF(P127&gt;0,MAX(VLOOKUP(F127,$D$6:$G$15,3,FALSE),600),0)/1000</f>
        <v>0</v>
      </c>
      <c r="T127" t="str">
        <v>x</v>
      </c>
      <c r="U127">
        <f>0.006165*F127^2</f>
        <v>0.39456</v>
      </c>
      <c r="V127" t="str">
        <v>x</v>
      </c>
      <c r="W127">
        <f>+D127</f>
        <v>0</v>
      </c>
      <c r="X127" t="str">
        <v>x</v>
      </c>
      <c r="Y127">
        <f>D121</f>
        <v>1</v>
      </c>
      <c r="Z127" t="str">
        <v>=</v>
      </c>
      <c r="AA127">
        <f>(N127+P127*R127/1000)*U127*W127*Y127</f>
        <v>0</v>
      </c>
    </row>
    <row r="130">
      <c r="A130" t="str">
        <f>A115</f>
        <v>Lantai 1</v>
      </c>
      <c r="B130">
        <f>B115</f>
        <v>4</v>
      </c>
      <c r="C130" t="str">
        <v>Tul Bawah Tumpuan</v>
      </c>
      <c r="D130">
        <f>VLOOKUP(D115,'Detail Balok'!$C$10:$AU$140,22,FALSE)</f>
        <v>3</v>
      </c>
      <c r="E130" t="str">
        <v>D</v>
      </c>
      <c r="F130">
        <f>VLOOKUP(D115,'Detail Balok'!$C$10:$AU$140,24,FALSE)</f>
        <v>13</v>
      </c>
      <c r="I130" t="str">
        <v>(</v>
      </c>
      <c r="J130">
        <f>+J122</f>
        <v>0.75</v>
      </c>
      <c r="K130" t="str">
        <v>+</v>
      </c>
      <c r="L130">
        <f>MAX(VLOOKUP(F130,N$6:P$15,3,FALSE)/1000,2/3*D120/1000)+F$16*F130/1000</f>
        <v>0.156</v>
      </c>
      <c r="M130" t="str">
        <v>=</v>
      </c>
      <c r="N130">
        <f>J130+L130</f>
        <v>0.906</v>
      </c>
      <c r="O130" t="str">
        <v>+</v>
      </c>
      <c r="P130">
        <f>D130-D131</f>
        <v>0</v>
      </c>
      <c r="Q130" t="str">
        <v>x</v>
      </c>
      <c r="R130">
        <f>IF(P130&gt;0,$F$18*F130/1000,0)</f>
        <v>0</v>
      </c>
      <c r="S130" t="str">
        <v>)</v>
      </c>
      <c r="T130" t="str">
        <v>x</v>
      </c>
      <c r="U130">
        <f>0.006165*F130^2</f>
        <v>1.041885</v>
      </c>
      <c r="X130" t="str">
        <v>x</v>
      </c>
      <c r="Y130">
        <f>D121</f>
        <v>1</v>
      </c>
      <c r="Z130" t="str">
        <v>=</v>
      </c>
      <c r="AA130">
        <f>IF(AA133=0,(D130*N130+P130*R130)*U130*Y130,0)</f>
        <v>0</v>
      </c>
    </row>
    <row r="131">
      <c r="A131" t="str">
        <f>A115</f>
        <v>Lantai 1</v>
      </c>
      <c r="B131">
        <f>B115</f>
        <v>4</v>
      </c>
      <c r="C131" t="str">
        <v>Tul Bawah Lapangan</v>
      </c>
      <c r="D131">
        <f>VLOOKUP(D115,'Detail Balok'!$C$10:$AU$140,25,FALSE)</f>
        <v>3</v>
      </c>
      <c r="E131" t="str">
        <v>D</v>
      </c>
      <c r="F131">
        <f>VLOOKUP(D115,'Detail Balok'!$C$10:$AU$140,27,FALSE)</f>
        <v>13</v>
      </c>
      <c r="I131" t="str">
        <v>(</v>
      </c>
      <c r="J131">
        <f>+J123</f>
        <v>1.5</v>
      </c>
      <c r="K131" t="str">
        <v>+</v>
      </c>
      <c r="M131" t="str">
        <v>=</v>
      </c>
      <c r="N131">
        <f>J131+L131</f>
        <v>1.5</v>
      </c>
      <c r="O131" t="str">
        <v>+</v>
      </c>
      <c r="P131">
        <f>MAX(D131-D130,D131-D132)</f>
        <v>0</v>
      </c>
      <c r="Q131" t="str">
        <v>x</v>
      </c>
      <c r="R131">
        <f>IF(P131&gt;0,2*(1-2*$F$19-1/2)*D118/1000,0)</f>
        <v>0</v>
      </c>
      <c r="S131" t="str">
        <v>)</v>
      </c>
      <c r="T131" t="str">
        <v>x</v>
      </c>
      <c r="U131">
        <f>0.006165*F131^2</f>
        <v>1.041885</v>
      </c>
      <c r="X131" t="str">
        <v>x</v>
      </c>
      <c r="Y131">
        <f>D121</f>
        <v>1</v>
      </c>
      <c r="Z131" t="str">
        <v>=</v>
      </c>
      <c r="AA131">
        <f>IF(AA133=0,(D131*N131+P131*R131)*U131*Y131,0)</f>
        <v>0</v>
      </c>
    </row>
    <row r="132">
      <c r="A132" t="str">
        <f>A115</f>
        <v>Lantai 1</v>
      </c>
      <c r="B132">
        <f>B115</f>
        <v>4</v>
      </c>
      <c r="C132" t="str">
        <v>Tul Bawah Tumpuan</v>
      </c>
      <c r="D132">
        <f>VLOOKUP(D115,'Detail Balok'!$C$10:$AU$140,28,FALSE)</f>
        <v>3</v>
      </c>
      <c r="E132" t="str">
        <v>D</v>
      </c>
      <c r="F132">
        <f>VLOOKUP(D115,'Detail Balok'!$C$10:$AU$140,30,FALSE)</f>
        <v>13</v>
      </c>
      <c r="I132" t="str">
        <v>(</v>
      </c>
      <c r="J132">
        <f>+J124</f>
        <v>0.75</v>
      </c>
      <c r="K132" t="str">
        <v>+</v>
      </c>
      <c r="L132">
        <f>MAX(VLOOKUP(F132,N$6:P$15,3,FALSE)/1000,2/3*D120/1000)+F$16*F132/1000</f>
        <v>0.156</v>
      </c>
      <c r="M132" t="str">
        <v>=</v>
      </c>
      <c r="N132">
        <f>J132+L132</f>
        <v>0.906</v>
      </c>
      <c r="O132" t="str">
        <v>+</v>
      </c>
      <c r="P132">
        <f>D132-D131</f>
        <v>0</v>
      </c>
      <c r="Q132" t="str">
        <v>x</v>
      </c>
      <c r="R132">
        <f>IF(P132&gt;0,$F$18*F132/1000,0)</f>
        <v>0</v>
      </c>
      <c r="S132" t="str">
        <v>)</v>
      </c>
      <c r="T132" t="str">
        <v>x</v>
      </c>
      <c r="U132">
        <f>0.006165*F132^2</f>
        <v>1.041885</v>
      </c>
      <c r="X132" t="str">
        <v>x</v>
      </c>
      <c r="Y132">
        <f>D121</f>
        <v>1</v>
      </c>
      <c r="Z132" t="str">
        <v>=</v>
      </c>
      <c r="AA132">
        <f>IF(AA133=0,(D132*N132+P132*R132)*U132*Y132,0)</f>
        <v>0</v>
      </c>
    </row>
    <row r="133">
      <c r="A133" t="str">
        <f>A115</f>
        <v>Lantai 1</v>
      </c>
      <c r="B133">
        <f>B115</f>
        <v>4</v>
      </c>
      <c r="D133">
        <f>IF(AND(D130=D131,D131=D132,D130=D132),D130,0)</f>
        <v>3</v>
      </c>
      <c r="E133" t="str">
        <v>D</v>
      </c>
      <c r="F133">
        <f>IF(AND(F130=F131,F130=F132,F131=F132),F130,0)</f>
        <v>13</v>
      </c>
      <c r="L133" t="str">
        <v>Total panjang per balok</v>
      </c>
      <c r="M133" t="str">
        <v>=</v>
      </c>
      <c r="N133">
        <f>IF(AND(D130=D131,D130=D132,D131=D132,F130=F131,F130=F132,F131=F132),SUM(N130:N132),0)</f>
        <v>3.3120000000000003</v>
      </c>
      <c r="O133" t="str">
        <v>+</v>
      </c>
      <c r="P133">
        <f>IF(N133&gt;12,ROUNDDOWN(N133/12,0),0)</f>
        <v>0</v>
      </c>
      <c r="Q133" t="str">
        <v>x</v>
      </c>
      <c r="R133">
        <f>IF(P133&gt;0,MAX(VLOOKUP(F133,$D$6:$G$15,3,FALSE),600),0)/1000</f>
        <v>0</v>
      </c>
      <c r="T133" t="str">
        <v>x</v>
      </c>
      <c r="U133">
        <f>U132</f>
        <v>1.041885</v>
      </c>
      <c r="V133" t="str">
        <v>x</v>
      </c>
      <c r="W133">
        <f>D133</f>
        <v>3</v>
      </c>
      <c r="X133" t="str">
        <v>x</v>
      </c>
      <c r="Y133">
        <f>Y132</f>
        <v>1</v>
      </c>
      <c r="Z133" t="str">
        <v>=</v>
      </c>
      <c r="AA133">
        <f>(N133+P133*R133/1000)*U133*W133*Y133</f>
        <v>10.352169360000001</v>
      </c>
    </row>
    <row r="135">
      <c r="A135" t="str">
        <f>A115</f>
        <v>Lantai 1</v>
      </c>
      <c r="B135">
        <f>B115</f>
        <v>4</v>
      </c>
      <c r="C135" t="str">
        <v>Sengkang Tumpuan</v>
      </c>
      <c r="D135">
        <f>VLOOKUP(D115,'Detail Balok'!$C$10:$AU$140,31,FALSE)</f>
        <v>0</v>
      </c>
      <c r="E135" t="str">
        <v>D</v>
      </c>
      <c r="F135">
        <f>VLOOKUP(D115,'Detail Balok'!$C$10:$AU$140,33,FALSE)</f>
        <v>8</v>
      </c>
      <c r="G135" t="str">
        <v>-</v>
      </c>
      <c r="H135">
        <f>VLOOKUP(D115,'Detail Balok'!$C$10:$AU$140,35,FALSE)</f>
        <v>150</v>
      </c>
      <c r="J135">
        <f>(IF(D135=0,(2*(D116+G116))-(F$5*8),IF(D135=3,(2*(D116+G116))-(F$5*8)+(G116-2*F$5),IF(D135=4,(2*(D116+G116))-(F$5*8)+2*(G116-2*F$5)))))/1000</f>
        <v>0.88</v>
      </c>
      <c r="K135" t="str">
        <v>+</v>
      </c>
      <c r="L135">
        <f>IF(D135=0,2*MAX(6*F135,75),(D135-1)*2*MAX(6*F135,75))/1000</f>
        <v>0.15</v>
      </c>
      <c r="M135" t="str">
        <v>=</v>
      </c>
      <c r="N135">
        <f>J135+L135</f>
        <v>1.03</v>
      </c>
      <c r="T135" t="str">
        <v>x</v>
      </c>
      <c r="U135">
        <f>0.006165*F135^2</f>
        <v>0.39456</v>
      </c>
      <c r="V135" t="str">
        <v>x</v>
      </c>
      <c r="W135">
        <f>IF(D118&gt;4*G116,ROUND(MAX(D118/4,2*G116)/H135,0)+1,ROUND(D118/H135,0)+1)</f>
        <v>6</v>
      </c>
      <c r="X135" t="str">
        <v>x</v>
      </c>
      <c r="Y135">
        <f>D121</f>
        <v>1</v>
      </c>
      <c r="Z135" t="str">
        <v>=</v>
      </c>
      <c r="AA135">
        <f>N135*U135*W135*Y135</f>
        <v>2.4383808000000005</v>
      </c>
    </row>
    <row r="136">
      <c r="A136" t="str">
        <f>A115</f>
        <v>Lantai 1</v>
      </c>
      <c r="B136">
        <f>B115</f>
        <v>4</v>
      </c>
      <c r="C136" t="str">
        <v>Sengkang Lapangan</v>
      </c>
      <c r="D136">
        <f>VLOOKUP(D115,'Detail Balok'!$C$10:$AU$140,36,FALSE)</f>
        <v>0</v>
      </c>
      <c r="E136" t="str">
        <v>D</v>
      </c>
      <c r="F136">
        <f>VLOOKUP(D115,'Detail Balok'!$C$10:$AU$140,38,FALSE)</f>
        <v>8</v>
      </c>
      <c r="G136" t="str">
        <v>-</v>
      </c>
      <c r="H136">
        <f>VLOOKUP(D115,'Detail Balok'!$C$10:$AU$140,40,FALSE)</f>
        <v>200</v>
      </c>
      <c r="J136">
        <f>(IF(D136=0,(2*(D116+G116))-(F$5*8),IF(D136=3,(2*(D116+G116))-(F$5*8)+(G116-2*F$5),IF(D136=4,(2*(D116+G116))-(F$5*8)+2*(G116-2*F$5)))))/1000</f>
        <v>0.88</v>
      </c>
      <c r="K136" t="str">
        <v>+</v>
      </c>
      <c r="L136">
        <f>IF(D136=0,2*MAX(6*F136,75),(D136-1)*2*MAX(6*F136,75))/1000</f>
        <v>0.15</v>
      </c>
      <c r="M136" t="str">
        <v>=</v>
      </c>
      <c r="N136">
        <f>J136+L136</f>
        <v>1.03</v>
      </c>
      <c r="T136" t="str">
        <v>x</v>
      </c>
      <c r="U136">
        <f>0.006165*F136^2</f>
        <v>0.39456</v>
      </c>
      <c r="V136" t="str">
        <v>x</v>
      </c>
      <c r="W136">
        <f>IF(D118-MAX(D118/4,2*G116)*2&gt;0,ROUND((D118-MAX(D118/4,2*G116)*2)/H136,0),0)</f>
        <v>7</v>
      </c>
      <c r="X136" t="str">
        <v>x</v>
      </c>
      <c r="Y136">
        <f>D121</f>
        <v>1</v>
      </c>
      <c r="Z136" t="str">
        <v>=</v>
      </c>
      <c r="AA136">
        <f>N136*U136*W136*Y136</f>
        <v>2.8447776000000005</v>
      </c>
    </row>
    <row r="137">
      <c r="A137" t="str">
        <f>A115</f>
        <v>Lantai 1</v>
      </c>
      <c r="B137">
        <f>B115</f>
        <v>4</v>
      </c>
      <c r="C137" t="str">
        <v>Sengkang Tumpuan</v>
      </c>
      <c r="D137">
        <f>VLOOKUP(D115,'Detail Balok'!$C$10:$AU$140,41,FALSE)</f>
        <v>0</v>
      </c>
      <c r="E137" t="str">
        <v>D</v>
      </c>
      <c r="F137">
        <f>VLOOKUP(D115,'Detail Balok'!$C$10:$AU$140,43,FALSE)</f>
        <v>8</v>
      </c>
      <c r="G137" t="str">
        <v>-</v>
      </c>
      <c r="H137">
        <f>VLOOKUP(D115,'Detail Balok'!$C$10:$AU$140,45,FALSE)</f>
        <v>150</v>
      </c>
      <c r="J137">
        <f>(IF(D137=0,(2*(D116+G116))-(F$5*8),IF(D137=3,(2*(D116+G116))-(F$5*8)+(G116-2*F$5),IF(D137=4,(2*(D116+G116))-(F$5*8)+2*(G116-2*F$5)))))/1000</f>
        <v>0.88</v>
      </c>
      <c r="K137" t="str">
        <v>+</v>
      </c>
      <c r="L137">
        <f>IF(D137=0,2*MAX(6*F137,75),(D137-1)*2*MAX(6*F137,75))/1000</f>
        <v>0.15</v>
      </c>
      <c r="M137" t="str">
        <v>=</v>
      </c>
      <c r="N137">
        <f>J137+L137</f>
        <v>1.03</v>
      </c>
      <c r="T137" t="str">
        <v>x</v>
      </c>
      <c r="U137">
        <f>0.006165*F137^2</f>
        <v>0.39456</v>
      </c>
      <c r="V137" t="str">
        <v>x</v>
      </c>
      <c r="W137">
        <f>IF(D118&gt;4*G116,ROUND(MAX(D118/4,2*G116)/H137,0)+1,0)</f>
        <v>6</v>
      </c>
      <c r="X137" t="str">
        <v>x</v>
      </c>
      <c r="Y137">
        <f>D121</f>
        <v>1</v>
      </c>
      <c r="Z137" t="str">
        <v>=</v>
      </c>
      <c r="AA137">
        <f>N137*U137*W137*Y137</f>
        <v>2.4383808000000005</v>
      </c>
    </row>
    <row r="139">
      <c r="A139" t="str">
        <f>A115</f>
        <v>Lantai 1</v>
      </c>
      <c r="B139">
        <f>B115</f>
        <v>4</v>
      </c>
      <c r="C139" t="str">
        <v>Kait Horizontal Tump.</v>
      </c>
      <c r="D139">
        <f>VLOOKUP(D115,'Detail Balok'!$C$10:$BJ$140,46,FALSE)</f>
        <v>0</v>
      </c>
      <c r="E139" t="str">
        <v>D</v>
      </c>
      <c r="F139">
        <f>VLOOKUP(D115,'Detail Balok'!$C$10:$BJ$140,48,FALSE)</f>
        <v>0</v>
      </c>
      <c r="G139" t="str">
        <v>-</v>
      </c>
      <c r="H139">
        <f>VLOOKUP(D115,'Detail Balok'!$C$10:$BJ$140,50,FALSE)</f>
        <v>100</v>
      </c>
      <c r="J139">
        <f>(D116-2*F$5)/1000</f>
        <v>0.12</v>
      </c>
      <c r="K139" t="str">
        <v>+</v>
      </c>
      <c r="L139">
        <f>IF(D139=0,2*MAX(6*F139,75),(D139-1)*2*MAX(6*F139,75))/1000</f>
        <v>0.15</v>
      </c>
      <c r="M139" t="str">
        <v>=</v>
      </c>
      <c r="N139">
        <f>J139+L139</f>
        <v>0.27</v>
      </c>
      <c r="T139" t="str">
        <v>x</v>
      </c>
      <c r="U139">
        <f>0.006165*F139^2</f>
        <v>0</v>
      </c>
      <c r="V139" t="str">
        <v>x</v>
      </c>
      <c r="W139">
        <f>W135</f>
        <v>6</v>
      </c>
      <c r="X139" t="str">
        <v>x</v>
      </c>
      <c r="Y139">
        <f>D125</f>
        <v>3</v>
      </c>
      <c r="Z139" t="str">
        <v>=</v>
      </c>
      <c r="AA139">
        <f>N139*U139*W139*Y139</f>
        <v>0</v>
      </c>
    </row>
    <row r="140">
      <c r="A140" t="str">
        <f>A115</f>
        <v>Lantai 1</v>
      </c>
      <c r="B140">
        <f>B115</f>
        <v>4</v>
      </c>
      <c r="C140" t="str">
        <v>Kait Horizontal Lap.</v>
      </c>
      <c r="D140">
        <f>VLOOKUP(D115,'Detail Balok'!$C$10:$BJ$140,51,FALSE)</f>
        <v>0</v>
      </c>
      <c r="E140" t="str">
        <v>D</v>
      </c>
      <c r="F140">
        <f>VLOOKUP(D115,'Detail Balok'!$C$10:$BJ$140,53,FALSE)</f>
        <v>0</v>
      </c>
      <c r="G140" t="str">
        <v>-</v>
      </c>
      <c r="H140">
        <f>VLOOKUP(D115,'Detail Balok'!$C$10:$BJ$140,55,FALSE)</f>
        <v>100</v>
      </c>
      <c r="J140">
        <f>(D116-2*F$5)/1000</f>
        <v>0.12</v>
      </c>
      <c r="K140" t="str">
        <v>+</v>
      </c>
      <c r="L140">
        <f>IF(D140=0,2*MAX(6*F140,75),(D140-1)*2*MAX(6*F140,75))/1000</f>
        <v>0.15</v>
      </c>
      <c r="M140" t="str">
        <v>=</v>
      </c>
      <c r="N140">
        <f>J140+L140</f>
        <v>0.27</v>
      </c>
      <c r="T140" t="str">
        <v>x</v>
      </c>
      <c r="U140">
        <f>0.006165*F140^2</f>
        <v>0</v>
      </c>
      <c r="V140" t="str">
        <v>x</v>
      </c>
      <c r="W140">
        <f>W136</f>
        <v>7</v>
      </c>
      <c r="X140" t="str">
        <v>x</v>
      </c>
      <c r="Y140">
        <f>D125</f>
        <v>3</v>
      </c>
      <c r="Z140" t="str">
        <v>=</v>
      </c>
      <c r="AA140">
        <f>N140*U140*W140*Y140</f>
        <v>0</v>
      </c>
    </row>
    <row r="141">
      <c r="A141" t="str">
        <f>A115</f>
        <v>Lantai 1</v>
      </c>
      <c r="B141">
        <f>B115</f>
        <v>4</v>
      </c>
      <c r="C141" t="str">
        <v>Kait Horizontal Tump.</v>
      </c>
      <c r="D141">
        <f>VLOOKUP(D115,'Detail Balok'!$C$10:$BJ$140,56,FALSE)</f>
        <v>0</v>
      </c>
      <c r="E141" t="str">
        <v>D</v>
      </c>
      <c r="F141">
        <f>VLOOKUP(D115,'Detail Balok'!$C$10:$BJ$140,58,FALSE)</f>
        <v>0</v>
      </c>
      <c r="G141" t="str">
        <v>-</v>
      </c>
      <c r="H141">
        <f>VLOOKUP(D115,'Detail Balok'!$C$10:$BJ$140,60,FALSE)</f>
        <v>100</v>
      </c>
      <c r="J141">
        <f>(D116-2*F$5)/1000</f>
        <v>0.12</v>
      </c>
      <c r="K141" t="str">
        <v>+</v>
      </c>
      <c r="L141">
        <f>IF(D141=0,2*MAX(6*F141,75),(D141-1)*2*MAX(6*F141,75))/1000</f>
        <v>0.15</v>
      </c>
      <c r="M141" t="str">
        <v>=</v>
      </c>
      <c r="N141">
        <f>J141+L141</f>
        <v>0.27</v>
      </c>
      <c r="T141" t="str">
        <v>x</v>
      </c>
      <c r="U141">
        <f>0.006165*F141^2</f>
        <v>0</v>
      </c>
      <c r="V141" t="str">
        <v>x</v>
      </c>
      <c r="W141">
        <f>W137</f>
        <v>6</v>
      </c>
      <c r="X141" t="str">
        <v>x</v>
      </c>
      <c r="Y141">
        <f>D125</f>
        <v>3</v>
      </c>
      <c r="Z141" t="str">
        <v>=</v>
      </c>
      <c r="AA141">
        <f>N141*U141*W141*Y141</f>
        <v>0</v>
      </c>
    </row>
    <row r="145">
      <c r="A145" t="str">
        <f>A115</f>
        <v>Lantai 1</v>
      </c>
      <c r="B145">
        <f>B115+1</f>
        <v>5</v>
      </c>
      <c r="C145" t="str">
        <f>CONCATENATE(A145," no. ",B145)</f>
        <v>Lantai 1 no. 5</v>
      </c>
      <c r="D145" t="str">
        <f>VLOOKUP(C145,'Data Panjang Balok'!$C$9:$N$254,2,FALSE)</f>
        <v>S24-1</v>
      </c>
    </row>
    <row r="146">
      <c r="C146" t="str">
        <v>Dimensi</v>
      </c>
      <c r="D146">
        <f>VLOOKUP(D145,'Detail Balok'!$C$10:$AU$140,2,FALSE)</f>
        <v>200</v>
      </c>
      <c r="F146" t="str">
        <v>x</v>
      </c>
      <c r="G146">
        <f>VLOOKUP(D145,'Detail Balok'!$C$10:$AU$140,3,FALSE)</f>
        <v>400</v>
      </c>
    </row>
    <row r="147">
      <c r="C147" t="str">
        <v>Panjang as ke as</v>
      </c>
      <c r="D147">
        <f>VLOOKUP(C145,'Data Panjang Balok'!$C$9:$N$254,4,FALSE)</f>
        <v>2590</v>
      </c>
    </row>
    <row r="148">
      <c r="C148" t="str">
        <v>Panjang netto</v>
      </c>
      <c r="D148">
        <f>VLOOKUP(C145,'Data Panjang Balok'!$C$9:$N$254,7,FALSE)</f>
        <v>2590</v>
      </c>
    </row>
    <row r="149">
      <c r="C149" t="str">
        <v>Kolom / balok kiri</v>
      </c>
      <c r="D149">
        <f>VLOOKUP(C145,'Data Panjang Balok'!$C$9:$N$254,9,FALSE)</f>
        <v>0</v>
      </c>
    </row>
    <row r="150">
      <c r="C150" t="str">
        <v>Kolom / balok kanan</v>
      </c>
      <c r="D150">
        <f>VLOOKUP(C145,'Data Panjang Balok'!$C$9:$N$254,10,FALSE)</f>
        <v>0</v>
      </c>
    </row>
    <row r="151">
      <c r="C151" t="str">
        <v>Jumlah</v>
      </c>
      <c r="D151">
        <f>VLOOKUP(C145,'Data Panjang Balok'!$C$9:$N$254,3,FALSE)</f>
        <v>1</v>
      </c>
    </row>
    <row r="152">
      <c r="A152" t="str">
        <f>A145</f>
        <v>Lantai 1</v>
      </c>
      <c r="B152">
        <f>B145</f>
        <v>5</v>
      </c>
      <c r="C152" t="str">
        <v>Tul Atas Tumpuan</v>
      </c>
      <c r="D152">
        <f>VLOOKUP(D145,'Detail Balok'!$C$10:$AU$140,4,FALSE)</f>
        <v>3</v>
      </c>
      <c r="E152" t="str">
        <v>D</v>
      </c>
      <c r="F152">
        <f>VLOOKUP(D145,'Detail Balok'!$C$10:$AU$140,6,FALSE)</f>
        <v>13</v>
      </c>
      <c r="I152" t="str">
        <v>(</v>
      </c>
      <c r="J152">
        <f>+D147/4/1000</f>
        <v>0.6475</v>
      </c>
      <c r="K152" t="str">
        <v>+</v>
      </c>
      <c r="L152">
        <f>MAX(VLOOKUP(F152,N$6:P$15,3,FALSE)/1000,2/3*D149/1000)+F$16*F152/1000</f>
        <v>0.156</v>
      </c>
      <c r="M152" t="str">
        <v>=</v>
      </c>
      <c r="N152">
        <f>J152+L152</f>
        <v>0.8035</v>
      </c>
      <c r="O152" t="str">
        <v>+</v>
      </c>
      <c r="P152">
        <f>D152-D153</f>
        <v>0</v>
      </c>
      <c r="Q152" t="str">
        <v>x</v>
      </c>
      <c r="R152">
        <f>IF(P152&gt;0,$F$18*F152/1000,0)</f>
        <v>0</v>
      </c>
      <c r="S152" t="str">
        <v>)</v>
      </c>
      <c r="T152" t="str">
        <v>x</v>
      </c>
      <c r="U152">
        <f>0.006165*F152^2</f>
        <v>1.041885</v>
      </c>
      <c r="X152" t="str">
        <v>x</v>
      </c>
      <c r="Y152">
        <f>D151</f>
        <v>1</v>
      </c>
      <c r="Z152" t="str">
        <v>=</v>
      </c>
      <c r="AA152">
        <f>IF(AA155=0,(D152*N152+P152*R152)*U152*Y152,0)</f>
        <v>0</v>
      </c>
    </row>
    <row r="153">
      <c r="A153" t="str">
        <f>A145</f>
        <v>Lantai 1</v>
      </c>
      <c r="B153">
        <f>B145</f>
        <v>5</v>
      </c>
      <c r="C153" t="str">
        <v>Tul Atas Lapangan</v>
      </c>
      <c r="D153">
        <f>VLOOKUP(D145,'Detail Balok'!$C$10:$AU$140,7,FALSE)</f>
        <v>3</v>
      </c>
      <c r="E153" t="str">
        <v>D</v>
      </c>
      <c r="F153">
        <f>VLOOKUP(D145,'Detail Balok'!$C$10:$AU$140,9,FALSE)</f>
        <v>13</v>
      </c>
      <c r="I153" t="str">
        <v>(</v>
      </c>
      <c r="J153">
        <f>+D147/2/1000</f>
        <v>1.295</v>
      </c>
      <c r="K153" t="str">
        <v>+</v>
      </c>
      <c r="M153" t="str">
        <v>=</v>
      </c>
      <c r="N153">
        <f>J153+L153</f>
        <v>1.295</v>
      </c>
      <c r="O153" t="str">
        <v>+</v>
      </c>
      <c r="P153">
        <f>MAX(D153-D152,D153-D154)</f>
        <v>0</v>
      </c>
      <c r="Q153" t="str">
        <v>x</v>
      </c>
      <c r="R153">
        <f>IF(P153&gt;0,2*(1-2*$F$19-1/2)*D148/1000,0)</f>
        <v>0</v>
      </c>
      <c r="S153" t="str">
        <v>)</v>
      </c>
      <c r="T153" t="str">
        <v>x</v>
      </c>
      <c r="U153">
        <f>0.006165*F153^2</f>
        <v>1.041885</v>
      </c>
      <c r="X153" t="str">
        <v>x</v>
      </c>
      <c r="Y153">
        <f>D151</f>
        <v>1</v>
      </c>
      <c r="Z153" t="str">
        <v>=</v>
      </c>
      <c r="AA153">
        <f>IF(AA155=0,(D153*N153+P153*R153)*U153*Y153,0)</f>
        <v>0</v>
      </c>
    </row>
    <row r="154">
      <c r="A154" t="str">
        <f>A145</f>
        <v>Lantai 1</v>
      </c>
      <c r="B154">
        <f>B145</f>
        <v>5</v>
      </c>
      <c r="C154" t="str">
        <v>Tul Atas Tumpuan</v>
      </c>
      <c r="D154">
        <f>VLOOKUP(D145,'Detail Balok'!$C$10:$AU$140,10,FALSE)</f>
        <v>3</v>
      </c>
      <c r="E154" t="str">
        <v>D</v>
      </c>
      <c r="F154">
        <f>VLOOKUP(D145,'Detail Balok'!$C$10:$AU$140,12,FALSE)</f>
        <v>13</v>
      </c>
      <c r="I154" t="str">
        <v>(</v>
      </c>
      <c r="J154">
        <f>+D147/4/1000</f>
        <v>0.6475</v>
      </c>
      <c r="K154" t="str">
        <v>+</v>
      </c>
      <c r="L154">
        <f>MAX(VLOOKUP(F154,N$6:P$15,3,FALSE)/1000,2/3*D149/1000)+F$16*F154/1000</f>
        <v>0.156</v>
      </c>
      <c r="M154" t="str">
        <v>=</v>
      </c>
      <c r="N154">
        <f>J154+L154</f>
        <v>0.8035</v>
      </c>
      <c r="O154" t="str">
        <v>+</v>
      </c>
      <c r="P154">
        <f>D154-D153</f>
        <v>0</v>
      </c>
      <c r="Q154" t="str">
        <v>x</v>
      </c>
      <c r="R154">
        <f>IF(P154&gt;0,$F$18*F154/1000,0)</f>
        <v>0</v>
      </c>
      <c r="S154" t="str">
        <v>)</v>
      </c>
      <c r="T154" t="str">
        <v>x</v>
      </c>
      <c r="U154">
        <f>0.006165*F154^2</f>
        <v>1.041885</v>
      </c>
      <c r="X154" t="str">
        <v>x</v>
      </c>
      <c r="Y154">
        <f>D151</f>
        <v>1</v>
      </c>
      <c r="Z154" t="str">
        <v>=</v>
      </c>
      <c r="AA154">
        <f>IF(AA155=0,(D154*N154+P154*R154)*U154*Y154,0)</f>
        <v>0</v>
      </c>
    </row>
    <row r="155">
      <c r="A155" t="str">
        <f>A145</f>
        <v>Lantai 1</v>
      </c>
      <c r="B155">
        <f>B145</f>
        <v>5</v>
      </c>
      <c r="D155">
        <f>IF(AND(D152=D153,D153=D154,D152=D154),D152,0)</f>
        <v>3</v>
      </c>
      <c r="E155" t="str">
        <v>D</v>
      </c>
      <c r="F155">
        <f>IF(AND(F152=F153,F152=F154,F153=F154),F152,0)</f>
        <v>13</v>
      </c>
      <c r="L155" t="str">
        <v>Total panjang per balok</v>
      </c>
      <c r="M155" t="str">
        <v>=</v>
      </c>
      <c r="N155">
        <f>IF(AND(D152=D153,D152=D154,D153=D154,F152=F153,F152=F154,F153=F154),SUM(N152:N154),0)</f>
        <v>2.902</v>
      </c>
      <c r="O155" t="str">
        <v>+</v>
      </c>
      <c r="P155">
        <f>IF(N155&gt;12,ROUNDDOWN(N155/12,0),0)</f>
        <v>0</v>
      </c>
      <c r="Q155" t="str">
        <v>x</v>
      </c>
      <c r="R155">
        <f>IF(P155&gt;0,MAX(VLOOKUP(F155,$D$6:$G$15,3,FALSE),600),0)/1000</f>
        <v>0</v>
      </c>
      <c r="T155" t="str">
        <v>x</v>
      </c>
      <c r="U155">
        <f>U154</f>
        <v>1.041885</v>
      </c>
      <c r="V155" t="str">
        <v>x</v>
      </c>
      <c r="W155">
        <f>D155</f>
        <v>3</v>
      </c>
      <c r="X155" t="str">
        <v>x</v>
      </c>
      <c r="Y155">
        <f>Y154</f>
        <v>1</v>
      </c>
      <c r="Z155" t="str">
        <v>=</v>
      </c>
      <c r="AA155">
        <f>(N155+P155*R155/1000)*U155*W155*Y155</f>
        <v>9.07065081</v>
      </c>
    </row>
    <row r="157">
      <c r="A157" t="str">
        <f>A145</f>
        <v>Lantai 1</v>
      </c>
      <c r="B157">
        <f>B145</f>
        <v>5</v>
      </c>
      <c r="C157" t="str">
        <v>Tul Peminggang</v>
      </c>
      <c r="D157">
        <f>VLOOKUP(D145,'Detail Balok'!$C$10:$AU$140,13,FALSE)</f>
        <v>0</v>
      </c>
      <c r="E157" t="str">
        <v>D</v>
      </c>
      <c r="F157">
        <f>VLOOKUP(D145,'Detail Balok'!$C$10:$AU$140,15,FALSE)</f>
        <v>8</v>
      </c>
      <c r="J157">
        <f>+D147/1000</f>
        <v>2.59</v>
      </c>
      <c r="K157" t="str">
        <v>+</v>
      </c>
      <c r="L157">
        <f>2*$F$16*F157/1000</f>
        <v>0.192</v>
      </c>
      <c r="M157" t="str">
        <v>=</v>
      </c>
      <c r="N157">
        <f>J157+L157</f>
        <v>2.782</v>
      </c>
      <c r="O157" t="str">
        <v>+</v>
      </c>
      <c r="P157">
        <f>IF(N157&gt;12,ROUNDDOWN(N157/12,0),0)</f>
        <v>0</v>
      </c>
      <c r="Q157" t="str">
        <v>x</v>
      </c>
      <c r="R157">
        <f>IF(P157&gt;0,MAX(VLOOKUP(F157,$D$6:$G$15,3,FALSE),600),0)/1000</f>
        <v>0</v>
      </c>
      <c r="T157" t="str">
        <v>x</v>
      </c>
      <c r="U157">
        <f>0.006165*F157^2</f>
        <v>0.39456</v>
      </c>
      <c r="V157" t="str">
        <v>x</v>
      </c>
      <c r="W157">
        <f>+D157</f>
        <v>0</v>
      </c>
      <c r="X157" t="str">
        <v>x</v>
      </c>
      <c r="Y157">
        <f>D151</f>
        <v>1</v>
      </c>
      <c r="Z157" t="str">
        <v>=</v>
      </c>
      <c r="AA157">
        <f>(N157+P157*R157/1000)*U157*W157*Y157</f>
        <v>0</v>
      </c>
    </row>
    <row r="160">
      <c r="A160" t="str">
        <f>A145</f>
        <v>Lantai 1</v>
      </c>
      <c r="B160">
        <f>B145</f>
        <v>5</v>
      </c>
      <c r="C160" t="str">
        <v>Tul Bawah Tumpuan</v>
      </c>
      <c r="D160">
        <f>VLOOKUP(D145,'Detail Balok'!$C$10:$AU$140,22,FALSE)</f>
        <v>3</v>
      </c>
      <c r="E160" t="str">
        <v>D</v>
      </c>
      <c r="F160">
        <f>VLOOKUP(D145,'Detail Balok'!$C$10:$AU$140,24,FALSE)</f>
        <v>13</v>
      </c>
      <c r="I160" t="str">
        <v>(</v>
      </c>
      <c r="J160">
        <f>+J152</f>
        <v>0.6475</v>
      </c>
      <c r="K160" t="str">
        <v>+</v>
      </c>
      <c r="L160">
        <f>MAX(VLOOKUP(F160,N$6:P$15,3,FALSE)/1000,2/3*D150/1000)+F$16*F160/1000</f>
        <v>0.156</v>
      </c>
      <c r="M160" t="str">
        <v>=</v>
      </c>
      <c r="N160">
        <f>J160+L160</f>
        <v>0.8035</v>
      </c>
      <c r="O160" t="str">
        <v>+</v>
      </c>
      <c r="P160">
        <f>D160-D161</f>
        <v>0</v>
      </c>
      <c r="Q160" t="str">
        <v>x</v>
      </c>
      <c r="R160">
        <f>IF(P160&gt;0,$F$18*F160/1000,0)</f>
        <v>0</v>
      </c>
      <c r="S160" t="str">
        <v>)</v>
      </c>
      <c r="T160" t="str">
        <v>x</v>
      </c>
      <c r="U160">
        <f>0.006165*F160^2</f>
        <v>1.041885</v>
      </c>
      <c r="X160" t="str">
        <v>x</v>
      </c>
      <c r="Y160">
        <f>D151</f>
        <v>1</v>
      </c>
      <c r="Z160" t="str">
        <v>=</v>
      </c>
      <c r="AA160">
        <f>IF(AA163=0,(D160*N160+P160*R160)*U160*Y160,0)</f>
        <v>0</v>
      </c>
    </row>
    <row r="161">
      <c r="A161" t="str">
        <f>A145</f>
        <v>Lantai 1</v>
      </c>
      <c r="B161">
        <f>B145</f>
        <v>5</v>
      </c>
      <c r="C161" t="str">
        <v>Tul Bawah Lapangan</v>
      </c>
      <c r="D161">
        <f>VLOOKUP(D145,'Detail Balok'!$C$10:$AU$140,25,FALSE)</f>
        <v>3</v>
      </c>
      <c r="E161" t="str">
        <v>D</v>
      </c>
      <c r="F161">
        <f>VLOOKUP(D145,'Detail Balok'!$C$10:$AU$140,27,FALSE)</f>
        <v>13</v>
      </c>
      <c r="I161" t="str">
        <v>(</v>
      </c>
      <c r="J161">
        <f>+J153</f>
        <v>1.295</v>
      </c>
      <c r="K161" t="str">
        <v>+</v>
      </c>
      <c r="M161" t="str">
        <v>=</v>
      </c>
      <c r="N161">
        <f>J161+L161</f>
        <v>1.295</v>
      </c>
      <c r="O161" t="str">
        <v>+</v>
      </c>
      <c r="P161">
        <f>MAX(D161-D160,D161-D162)</f>
        <v>0</v>
      </c>
      <c r="Q161" t="str">
        <v>x</v>
      </c>
      <c r="R161">
        <f>IF(P161&gt;0,2*(1-2*$F$19-1/2)*D148/1000,0)</f>
        <v>0</v>
      </c>
      <c r="S161" t="str">
        <v>)</v>
      </c>
      <c r="T161" t="str">
        <v>x</v>
      </c>
      <c r="U161">
        <f>0.006165*F161^2</f>
        <v>1.041885</v>
      </c>
      <c r="X161" t="str">
        <v>x</v>
      </c>
      <c r="Y161">
        <f>D151</f>
        <v>1</v>
      </c>
      <c r="Z161" t="str">
        <v>=</v>
      </c>
      <c r="AA161">
        <f>IF(AA163=0,(D161*N161+P161*R161)*U161*Y161,0)</f>
        <v>0</v>
      </c>
    </row>
    <row r="162">
      <c r="A162" t="str">
        <f>A145</f>
        <v>Lantai 1</v>
      </c>
      <c r="B162">
        <f>B145</f>
        <v>5</v>
      </c>
      <c r="C162" t="str">
        <v>Tul Bawah Tumpuan</v>
      </c>
      <c r="D162">
        <f>VLOOKUP(D145,'Detail Balok'!$C$10:$AU$140,28,FALSE)</f>
        <v>3</v>
      </c>
      <c r="E162" t="str">
        <v>D</v>
      </c>
      <c r="F162">
        <f>VLOOKUP(D145,'Detail Balok'!$C$10:$AU$140,30,FALSE)</f>
        <v>13</v>
      </c>
      <c r="I162" t="str">
        <v>(</v>
      </c>
      <c r="J162">
        <f>+J154</f>
        <v>0.6475</v>
      </c>
      <c r="K162" t="str">
        <v>+</v>
      </c>
      <c r="L162">
        <f>MAX(VLOOKUP(F162,N$6:P$15,3,FALSE)/1000,2/3*D150/1000)+F$16*F162/1000</f>
        <v>0.156</v>
      </c>
      <c r="M162" t="str">
        <v>=</v>
      </c>
      <c r="N162">
        <f>J162+L162</f>
        <v>0.8035</v>
      </c>
      <c r="O162" t="str">
        <v>+</v>
      </c>
      <c r="P162">
        <f>D162-D161</f>
        <v>0</v>
      </c>
      <c r="Q162" t="str">
        <v>x</v>
      </c>
      <c r="R162">
        <f>IF(P162&gt;0,$F$18*F162/1000,0)</f>
        <v>0</v>
      </c>
      <c r="S162" t="str">
        <v>)</v>
      </c>
      <c r="T162" t="str">
        <v>x</v>
      </c>
      <c r="U162">
        <f>0.006165*F162^2</f>
        <v>1.041885</v>
      </c>
      <c r="X162" t="str">
        <v>x</v>
      </c>
      <c r="Y162">
        <f>D151</f>
        <v>1</v>
      </c>
      <c r="Z162" t="str">
        <v>=</v>
      </c>
      <c r="AA162">
        <f>IF(AA163=0,(D162*N162+P162*R162)*U162*Y162,0)</f>
        <v>0</v>
      </c>
    </row>
    <row r="163">
      <c r="A163" t="str">
        <f>A145</f>
        <v>Lantai 1</v>
      </c>
      <c r="B163">
        <f>B145</f>
        <v>5</v>
      </c>
      <c r="D163">
        <f>IF(AND(D160=D161,D161=D162,D160=D162),D160,0)</f>
        <v>3</v>
      </c>
      <c r="E163" t="str">
        <v>D</v>
      </c>
      <c r="F163">
        <f>IF(AND(F160=F161,F160=F162,F161=F162),F160,0)</f>
        <v>13</v>
      </c>
      <c r="L163" t="str">
        <v>Total panjang per balok</v>
      </c>
      <c r="M163" t="str">
        <v>=</v>
      </c>
      <c r="N163">
        <f>IF(AND(D160=D161,D160=D162,D161=D162,F160=F161,F160=F162,F161=F162),SUM(N160:N162),0)</f>
        <v>2.902</v>
      </c>
      <c r="O163" t="str">
        <v>+</v>
      </c>
      <c r="P163">
        <f>IF(N163&gt;12,ROUNDDOWN(N163/12,0),0)</f>
        <v>0</v>
      </c>
      <c r="Q163" t="str">
        <v>x</v>
      </c>
      <c r="R163">
        <f>IF(P163&gt;0,MAX(VLOOKUP(F163,$D$6:$G$15,3,FALSE),600),0)/1000</f>
        <v>0</v>
      </c>
      <c r="T163" t="str">
        <v>x</v>
      </c>
      <c r="U163">
        <f>U162</f>
        <v>1.041885</v>
      </c>
      <c r="V163" t="str">
        <v>x</v>
      </c>
      <c r="W163">
        <f>D163</f>
        <v>3</v>
      </c>
      <c r="X163" t="str">
        <v>x</v>
      </c>
      <c r="Y163">
        <f>Y162</f>
        <v>1</v>
      </c>
      <c r="Z163" t="str">
        <v>=</v>
      </c>
      <c r="AA163">
        <f>(N163+P163*R163/1000)*U163*W163*Y163</f>
        <v>9.07065081</v>
      </c>
    </row>
    <row r="165">
      <c r="A165" t="str">
        <f>A145</f>
        <v>Lantai 1</v>
      </c>
      <c r="B165">
        <f>B145</f>
        <v>5</v>
      </c>
      <c r="C165" t="str">
        <v>Sengkang Tumpuan</v>
      </c>
      <c r="D165">
        <f>VLOOKUP(D145,'Detail Balok'!$C$10:$AU$140,31,FALSE)</f>
        <v>0</v>
      </c>
      <c r="E165" t="str">
        <v>D</v>
      </c>
      <c r="F165">
        <f>VLOOKUP(D145,'Detail Balok'!$C$10:$AU$140,33,FALSE)</f>
        <v>8</v>
      </c>
      <c r="G165" t="str">
        <v>-</v>
      </c>
      <c r="H165">
        <f>VLOOKUP(D145,'Detail Balok'!$C$10:$AU$140,35,FALSE)</f>
        <v>150</v>
      </c>
      <c r="J165">
        <f>(IF(D165=0,(2*(D146+G146))-(F$5*8),IF(D165=3,(2*(D146+G146))-(F$5*8)+(G146-2*F$5),IF(D165=4,(2*(D146+G146))-(F$5*8)+2*(G146-2*F$5)))))/1000</f>
        <v>0.88</v>
      </c>
      <c r="K165" t="str">
        <v>+</v>
      </c>
      <c r="L165">
        <f>IF(D165=0,2*MAX(6*F165,75),(D165-1)*2*MAX(6*F165,75))/1000</f>
        <v>0.15</v>
      </c>
      <c r="M165" t="str">
        <v>=</v>
      </c>
      <c r="N165">
        <f>J165+L165</f>
        <v>1.03</v>
      </c>
      <c r="T165" t="str">
        <v>x</v>
      </c>
      <c r="U165">
        <f>0.006165*F165^2</f>
        <v>0.39456</v>
      </c>
      <c r="V165" t="str">
        <v>x</v>
      </c>
      <c r="W165">
        <f>IF(D148&gt;4*G146,ROUND(MAX(D148/4,2*G146)/H165,0)+1,ROUND(D148/H165,0)+1)</f>
        <v>6</v>
      </c>
      <c r="X165" t="str">
        <v>x</v>
      </c>
      <c r="Y165">
        <f>D151</f>
        <v>1</v>
      </c>
      <c r="Z165" t="str">
        <v>=</v>
      </c>
      <c r="AA165">
        <f>N165*U165*W165*Y165</f>
        <v>2.4383808000000005</v>
      </c>
    </row>
    <row r="166">
      <c r="A166" t="str">
        <f>A145</f>
        <v>Lantai 1</v>
      </c>
      <c r="B166">
        <f>B145</f>
        <v>5</v>
      </c>
      <c r="C166" t="str">
        <v>Sengkang Lapangan</v>
      </c>
      <c r="D166">
        <f>VLOOKUP(D145,'Detail Balok'!$C$10:$AU$140,36,FALSE)</f>
        <v>0</v>
      </c>
      <c r="E166" t="str">
        <v>D</v>
      </c>
      <c r="F166">
        <f>VLOOKUP(D145,'Detail Balok'!$C$10:$AU$140,38,FALSE)</f>
        <v>8</v>
      </c>
      <c r="G166" t="str">
        <v>-</v>
      </c>
      <c r="H166">
        <f>VLOOKUP(D145,'Detail Balok'!$C$10:$AU$140,40,FALSE)</f>
        <v>200</v>
      </c>
      <c r="J166">
        <f>(IF(D166=0,(2*(D146+G146))-(F$5*8),IF(D166=3,(2*(D146+G146))-(F$5*8)+(G146-2*F$5),IF(D166=4,(2*(D146+G146))-(F$5*8)+2*(G146-2*F$5)))))/1000</f>
        <v>0.88</v>
      </c>
      <c r="K166" t="str">
        <v>+</v>
      </c>
      <c r="L166">
        <f>IF(D166=0,2*MAX(6*F166,75),(D166-1)*2*MAX(6*F166,75))/1000</f>
        <v>0.15</v>
      </c>
      <c r="M166" t="str">
        <v>=</v>
      </c>
      <c r="N166">
        <f>J166+L166</f>
        <v>1.03</v>
      </c>
      <c r="T166" t="str">
        <v>x</v>
      </c>
      <c r="U166">
        <f>0.006165*F166^2</f>
        <v>0.39456</v>
      </c>
      <c r="V166" t="str">
        <v>x</v>
      </c>
      <c r="W166">
        <f>IF(D148-MAX(D148/4,2*G146)*2&gt;0,ROUND((D148-MAX(D148/4,2*G146)*2)/H166,0),0)</f>
        <v>5</v>
      </c>
      <c r="X166" t="str">
        <v>x</v>
      </c>
      <c r="Y166">
        <f>D151</f>
        <v>1</v>
      </c>
      <c r="Z166" t="str">
        <v>=</v>
      </c>
      <c r="AA166">
        <f>N166*U166*W166*Y166</f>
        <v>2.0319840000000005</v>
      </c>
    </row>
    <row r="167">
      <c r="A167" t="str">
        <f>A145</f>
        <v>Lantai 1</v>
      </c>
      <c r="B167">
        <f>B145</f>
        <v>5</v>
      </c>
      <c r="C167" t="str">
        <v>Sengkang Tumpuan</v>
      </c>
      <c r="D167">
        <f>VLOOKUP(D145,'Detail Balok'!$C$10:$AU$140,41,FALSE)</f>
        <v>0</v>
      </c>
      <c r="E167" t="str">
        <v>D</v>
      </c>
      <c r="F167">
        <f>VLOOKUP(D145,'Detail Balok'!$C$10:$AU$140,43,FALSE)</f>
        <v>8</v>
      </c>
      <c r="G167" t="str">
        <v>-</v>
      </c>
      <c r="H167">
        <f>VLOOKUP(D145,'Detail Balok'!$C$10:$AU$140,45,FALSE)</f>
        <v>150</v>
      </c>
      <c r="J167">
        <f>(IF(D167=0,(2*(D146+G146))-(F$5*8),IF(D167=3,(2*(D146+G146))-(F$5*8)+(G146-2*F$5),IF(D167=4,(2*(D146+G146))-(F$5*8)+2*(G146-2*F$5)))))/1000</f>
        <v>0.88</v>
      </c>
      <c r="K167" t="str">
        <v>+</v>
      </c>
      <c r="L167">
        <f>IF(D167=0,2*MAX(6*F167,75),(D167-1)*2*MAX(6*F167,75))/1000</f>
        <v>0.15</v>
      </c>
      <c r="M167" t="str">
        <v>=</v>
      </c>
      <c r="N167">
        <f>J167+L167</f>
        <v>1.03</v>
      </c>
      <c r="T167" t="str">
        <v>x</v>
      </c>
      <c r="U167">
        <f>0.006165*F167^2</f>
        <v>0.39456</v>
      </c>
      <c r="V167" t="str">
        <v>x</v>
      </c>
      <c r="W167">
        <f>IF(D148&gt;4*G146,ROUND(MAX(D148/4,2*G146)/H167,0)+1,0)</f>
        <v>6</v>
      </c>
      <c r="X167" t="str">
        <v>x</v>
      </c>
      <c r="Y167">
        <f>D151</f>
        <v>1</v>
      </c>
      <c r="Z167" t="str">
        <v>=</v>
      </c>
      <c r="AA167">
        <f>N167*U167*W167*Y167</f>
        <v>2.4383808000000005</v>
      </c>
    </row>
    <row r="169">
      <c r="A169" t="str">
        <f>A145</f>
        <v>Lantai 1</v>
      </c>
      <c r="B169">
        <f>B145</f>
        <v>5</v>
      </c>
      <c r="C169" t="str">
        <v>Kait Horizontal Tump.</v>
      </c>
      <c r="D169">
        <f>VLOOKUP(D145,'Detail Balok'!$C$10:$BJ$140,46,FALSE)</f>
        <v>0</v>
      </c>
      <c r="E169" t="str">
        <v>D</v>
      </c>
      <c r="F169">
        <f>VLOOKUP(D145,'Detail Balok'!$C$10:$BJ$140,48,FALSE)</f>
        <v>0</v>
      </c>
      <c r="G169" t="str">
        <v>-</v>
      </c>
      <c r="H169">
        <f>VLOOKUP(D145,'Detail Balok'!$C$10:$BJ$140,50,FALSE)</f>
        <v>100</v>
      </c>
      <c r="J169">
        <f>(D146-2*F$5)/1000</f>
        <v>0.12</v>
      </c>
      <c r="K169" t="str">
        <v>+</v>
      </c>
      <c r="L169">
        <f>IF(D169=0,2*MAX(6*F169,75),(D169-1)*2*MAX(6*F169,75))/1000</f>
        <v>0.15</v>
      </c>
      <c r="M169" t="str">
        <v>=</v>
      </c>
      <c r="N169">
        <f>J169+L169</f>
        <v>0.27</v>
      </c>
      <c r="T169" t="str">
        <v>x</v>
      </c>
      <c r="U169">
        <f>0.006165*F169^2</f>
        <v>0</v>
      </c>
      <c r="V169" t="str">
        <v>x</v>
      </c>
      <c r="W169">
        <f>W165</f>
        <v>6</v>
      </c>
      <c r="X169" t="str">
        <v>x</v>
      </c>
      <c r="Y169">
        <f>D155</f>
        <v>3</v>
      </c>
      <c r="Z169" t="str">
        <v>=</v>
      </c>
      <c r="AA169">
        <f>N169*U169*W169*Y169</f>
        <v>0</v>
      </c>
    </row>
    <row r="170">
      <c r="A170" t="str">
        <f>A145</f>
        <v>Lantai 1</v>
      </c>
      <c r="B170">
        <f>B145</f>
        <v>5</v>
      </c>
      <c r="C170" t="str">
        <v>Kait Horizontal Lap.</v>
      </c>
      <c r="D170">
        <f>VLOOKUP(D145,'Detail Balok'!$C$10:$BJ$140,51,FALSE)</f>
        <v>0</v>
      </c>
      <c r="E170" t="str">
        <v>D</v>
      </c>
      <c r="F170">
        <f>VLOOKUP(D145,'Detail Balok'!$C$10:$BJ$140,53,FALSE)</f>
        <v>0</v>
      </c>
      <c r="G170" t="str">
        <v>-</v>
      </c>
      <c r="H170">
        <f>VLOOKUP(D145,'Detail Balok'!$C$10:$BJ$140,55,FALSE)</f>
        <v>100</v>
      </c>
      <c r="J170">
        <f>(D146-2*F$5)/1000</f>
        <v>0.12</v>
      </c>
      <c r="K170" t="str">
        <v>+</v>
      </c>
      <c r="L170">
        <f>IF(D170=0,2*MAX(6*F170,75),(D170-1)*2*MAX(6*F170,75))/1000</f>
        <v>0.15</v>
      </c>
      <c r="M170" t="str">
        <v>=</v>
      </c>
      <c r="N170">
        <f>J170+L170</f>
        <v>0.27</v>
      </c>
      <c r="T170" t="str">
        <v>x</v>
      </c>
      <c r="U170">
        <f>0.006165*F170^2</f>
        <v>0</v>
      </c>
      <c r="V170" t="str">
        <v>x</v>
      </c>
      <c r="W170">
        <f>W166</f>
        <v>5</v>
      </c>
      <c r="X170" t="str">
        <v>x</v>
      </c>
      <c r="Y170">
        <f>D155</f>
        <v>3</v>
      </c>
      <c r="Z170" t="str">
        <v>=</v>
      </c>
      <c r="AA170">
        <f>N170*U170*W170*Y170</f>
        <v>0</v>
      </c>
    </row>
    <row r="171">
      <c r="A171" t="str">
        <f>A145</f>
        <v>Lantai 1</v>
      </c>
      <c r="B171">
        <f>B145</f>
        <v>5</v>
      </c>
      <c r="C171" t="str">
        <v>Kait Horizontal Tump.</v>
      </c>
      <c r="D171">
        <f>VLOOKUP(D145,'Detail Balok'!$C$10:$BJ$140,56,FALSE)</f>
        <v>0</v>
      </c>
      <c r="E171" t="str">
        <v>D</v>
      </c>
      <c r="F171">
        <f>VLOOKUP(D145,'Detail Balok'!$C$10:$BJ$140,58,FALSE)</f>
        <v>0</v>
      </c>
      <c r="G171" t="str">
        <v>-</v>
      </c>
      <c r="H171">
        <f>VLOOKUP(D145,'Detail Balok'!$C$10:$BJ$140,60,FALSE)</f>
        <v>100</v>
      </c>
      <c r="J171">
        <f>(D146-2*F$5)/1000</f>
        <v>0.12</v>
      </c>
      <c r="K171" t="str">
        <v>+</v>
      </c>
      <c r="L171">
        <f>IF(D171=0,2*MAX(6*F171,75),(D171-1)*2*MAX(6*F171,75))/1000</f>
        <v>0.15</v>
      </c>
      <c r="M171" t="str">
        <v>=</v>
      </c>
      <c r="N171">
        <f>J171+L171</f>
        <v>0.27</v>
      </c>
      <c r="T171" t="str">
        <v>x</v>
      </c>
      <c r="U171">
        <f>0.006165*F171^2</f>
        <v>0</v>
      </c>
      <c r="V171" t="str">
        <v>x</v>
      </c>
      <c r="W171">
        <f>W167</f>
        <v>6</v>
      </c>
      <c r="X171" t="str">
        <v>x</v>
      </c>
      <c r="Y171">
        <f>D155</f>
        <v>3</v>
      </c>
      <c r="Z171" t="str">
        <v>=</v>
      </c>
      <c r="AA171">
        <f>N171*U171*W171*Y171</f>
        <v>0</v>
      </c>
    </row>
    <row r="175">
      <c r="A175" t="str">
        <f>A145</f>
        <v>Lantai 1</v>
      </c>
      <c r="B175">
        <f>B145+1</f>
        <v>6</v>
      </c>
      <c r="C175" t="str">
        <f>CONCATENATE(A175," no. ",B175)</f>
        <v>Lantai 1 no. 6</v>
      </c>
      <c r="D175" t="str">
        <f>VLOOKUP(C175,'Data Panjang Balok'!$C$9:$N$254,2,FALSE)</f>
        <v>S24-1</v>
      </c>
    </row>
    <row r="176">
      <c r="C176" t="str">
        <v>Dimensi</v>
      </c>
      <c r="D176">
        <f>VLOOKUP(D175,'Detail Balok'!$C$10:$AU$140,2,FALSE)</f>
        <v>200</v>
      </c>
      <c r="F176" t="str">
        <v>x</v>
      </c>
      <c r="G176">
        <f>VLOOKUP(D175,'Detail Balok'!$C$10:$AU$140,3,FALSE)</f>
        <v>400</v>
      </c>
    </row>
    <row r="177">
      <c r="C177" t="str">
        <v>Panjang as ke as</v>
      </c>
      <c r="D177">
        <f>VLOOKUP(C175,'Data Panjang Balok'!$C$9:$N$254,4,FALSE)</f>
        <v>2415</v>
      </c>
    </row>
    <row r="178">
      <c r="C178" t="str">
        <v>Panjang netto</v>
      </c>
      <c r="D178">
        <f>VLOOKUP(C175,'Data Panjang Balok'!$C$9:$N$254,7,FALSE)</f>
        <v>2415</v>
      </c>
    </row>
    <row r="179">
      <c r="C179" t="str">
        <v>Kolom / balok kiri</v>
      </c>
      <c r="D179">
        <f>VLOOKUP(C175,'Data Panjang Balok'!$C$9:$N$254,9,FALSE)</f>
        <v>0</v>
      </c>
    </row>
    <row r="180">
      <c r="C180" t="str">
        <v>Kolom / balok kanan</v>
      </c>
      <c r="D180">
        <f>VLOOKUP(C175,'Data Panjang Balok'!$C$9:$N$254,10,FALSE)</f>
        <v>0</v>
      </c>
    </row>
    <row r="181">
      <c r="C181" t="str">
        <v>Jumlah</v>
      </c>
      <c r="D181">
        <f>VLOOKUP(C175,'Data Panjang Balok'!$C$9:$N$254,3,FALSE)</f>
        <v>1</v>
      </c>
    </row>
    <row r="182">
      <c r="A182" t="str">
        <f>A175</f>
        <v>Lantai 1</v>
      </c>
      <c r="B182">
        <f>B175</f>
        <v>6</v>
      </c>
      <c r="C182" t="str">
        <v>Tul Atas Tumpuan</v>
      </c>
      <c r="D182">
        <f>VLOOKUP(D175,'Detail Balok'!$C$10:$AU$140,4,FALSE)</f>
        <v>3</v>
      </c>
      <c r="E182" t="str">
        <v>D</v>
      </c>
      <c r="F182">
        <f>VLOOKUP(D175,'Detail Balok'!$C$10:$AU$140,6,FALSE)</f>
        <v>13</v>
      </c>
      <c r="I182" t="str">
        <v>(</v>
      </c>
      <c r="J182">
        <f>+D177/4/1000</f>
        <v>0.60375</v>
      </c>
      <c r="K182" t="str">
        <v>+</v>
      </c>
      <c r="L182">
        <f>MAX(VLOOKUP(F182,N$6:P$15,3,FALSE)/1000,2/3*D179/1000)+F$16*F182/1000</f>
        <v>0.156</v>
      </c>
      <c r="M182" t="str">
        <v>=</v>
      </c>
      <c r="N182">
        <f>J182+L182</f>
        <v>0.75975</v>
      </c>
      <c r="O182" t="str">
        <v>+</v>
      </c>
      <c r="P182">
        <f>D182-D183</f>
        <v>0</v>
      </c>
      <c r="Q182" t="str">
        <v>x</v>
      </c>
      <c r="R182">
        <f>IF(P182&gt;0,$F$18*F182/1000,0)</f>
        <v>0</v>
      </c>
      <c r="S182" t="str">
        <v>)</v>
      </c>
      <c r="T182" t="str">
        <v>x</v>
      </c>
      <c r="U182">
        <f>0.006165*F182^2</f>
        <v>1.041885</v>
      </c>
      <c r="X182" t="str">
        <v>x</v>
      </c>
      <c r="Y182">
        <f>D181</f>
        <v>1</v>
      </c>
      <c r="Z182" t="str">
        <v>=</v>
      </c>
      <c r="AA182">
        <f>IF(AA185=0,(D182*N182+P182*R182)*U182*Y182,0)</f>
        <v>0</v>
      </c>
    </row>
    <row r="183">
      <c r="A183" t="str">
        <f>A175</f>
        <v>Lantai 1</v>
      </c>
      <c r="B183">
        <f>B175</f>
        <v>6</v>
      </c>
      <c r="C183" t="str">
        <v>Tul Atas Lapangan</v>
      </c>
      <c r="D183">
        <f>VLOOKUP(D175,'Detail Balok'!$C$10:$AU$140,7,FALSE)</f>
        <v>3</v>
      </c>
      <c r="E183" t="str">
        <v>D</v>
      </c>
      <c r="F183">
        <f>VLOOKUP(D175,'Detail Balok'!$C$10:$AU$140,9,FALSE)</f>
        <v>13</v>
      </c>
      <c r="I183" t="str">
        <v>(</v>
      </c>
      <c r="J183">
        <f>+D177/2/1000</f>
        <v>1.2075</v>
      </c>
      <c r="K183" t="str">
        <v>+</v>
      </c>
      <c r="M183" t="str">
        <v>=</v>
      </c>
      <c r="N183">
        <f>J183+L183</f>
        <v>1.2075</v>
      </c>
      <c r="O183" t="str">
        <v>+</v>
      </c>
      <c r="P183">
        <f>MAX(D183-D182,D183-D184)</f>
        <v>0</v>
      </c>
      <c r="Q183" t="str">
        <v>x</v>
      </c>
      <c r="R183">
        <f>IF(P183&gt;0,2*(1-2*$F$19-1/2)*D178/1000,0)</f>
        <v>0</v>
      </c>
      <c r="S183" t="str">
        <v>)</v>
      </c>
      <c r="T183" t="str">
        <v>x</v>
      </c>
      <c r="U183">
        <f>0.006165*F183^2</f>
        <v>1.041885</v>
      </c>
      <c r="X183" t="str">
        <v>x</v>
      </c>
      <c r="Y183">
        <f>D181</f>
        <v>1</v>
      </c>
      <c r="Z183" t="str">
        <v>=</v>
      </c>
      <c r="AA183">
        <f>IF(AA185=0,(D183*N183+P183*R183)*U183*Y183,0)</f>
        <v>0</v>
      </c>
    </row>
    <row r="184">
      <c r="A184" t="str">
        <f>A175</f>
        <v>Lantai 1</v>
      </c>
      <c r="B184">
        <f>B175</f>
        <v>6</v>
      </c>
      <c r="C184" t="str">
        <v>Tul Atas Tumpuan</v>
      </c>
      <c r="D184">
        <f>VLOOKUP(D175,'Detail Balok'!$C$10:$AU$140,10,FALSE)</f>
        <v>3</v>
      </c>
      <c r="E184" t="str">
        <v>D</v>
      </c>
      <c r="F184">
        <f>VLOOKUP(D175,'Detail Balok'!$C$10:$AU$140,12,FALSE)</f>
        <v>13</v>
      </c>
      <c r="I184" t="str">
        <v>(</v>
      </c>
      <c r="J184">
        <f>+D177/4/1000</f>
        <v>0.60375</v>
      </c>
      <c r="K184" t="str">
        <v>+</v>
      </c>
      <c r="L184">
        <f>MAX(VLOOKUP(F184,N$6:P$15,3,FALSE)/1000,2/3*D179/1000)+F$16*F184/1000</f>
        <v>0.156</v>
      </c>
      <c r="M184" t="str">
        <v>=</v>
      </c>
      <c r="N184">
        <f>J184+L184</f>
        <v>0.75975</v>
      </c>
      <c r="O184" t="str">
        <v>+</v>
      </c>
      <c r="P184">
        <f>D184-D183</f>
        <v>0</v>
      </c>
      <c r="Q184" t="str">
        <v>x</v>
      </c>
      <c r="R184">
        <f>IF(P184&gt;0,$F$18*F184/1000,0)</f>
        <v>0</v>
      </c>
      <c r="S184" t="str">
        <v>)</v>
      </c>
      <c r="T184" t="str">
        <v>x</v>
      </c>
      <c r="U184">
        <f>0.006165*F184^2</f>
        <v>1.041885</v>
      </c>
      <c r="X184" t="str">
        <v>x</v>
      </c>
      <c r="Y184">
        <f>D181</f>
        <v>1</v>
      </c>
      <c r="Z184" t="str">
        <v>=</v>
      </c>
      <c r="AA184">
        <f>IF(AA185=0,(D184*N184+P184*R184)*U184*Y184,0)</f>
        <v>0</v>
      </c>
    </row>
    <row r="185">
      <c r="A185" t="str">
        <f>A175</f>
        <v>Lantai 1</v>
      </c>
      <c r="B185">
        <f>B175</f>
        <v>6</v>
      </c>
      <c r="D185">
        <f>IF(AND(D182=D183,D183=D184,D182=D184),D182,0)</f>
        <v>3</v>
      </c>
      <c r="E185" t="str">
        <v>D</v>
      </c>
      <c r="F185">
        <f>IF(AND(F182=F183,F182=F184,F183=F184),F182,0)</f>
        <v>13</v>
      </c>
      <c r="L185" t="str">
        <v>Total panjang per balok</v>
      </c>
      <c r="M185" t="str">
        <v>=</v>
      </c>
      <c r="N185">
        <f>IF(AND(D182=D183,D182=D184,D183=D184,F182=F183,F182=F184,F183=F184),SUM(N182:N184),0)</f>
        <v>2.727</v>
      </c>
      <c r="O185" t="str">
        <v>+</v>
      </c>
      <c r="P185">
        <f>IF(N185&gt;12,ROUNDDOWN(N185/12,0),0)</f>
        <v>0</v>
      </c>
      <c r="Q185" t="str">
        <v>x</v>
      </c>
      <c r="R185">
        <f>IF(P185&gt;0,MAX(VLOOKUP(F185,$D$6:$G$15,3,FALSE),600),0)/1000</f>
        <v>0</v>
      </c>
      <c r="T185" t="str">
        <v>x</v>
      </c>
      <c r="U185">
        <f>U184</f>
        <v>1.041885</v>
      </c>
      <c r="V185" t="str">
        <v>x</v>
      </c>
      <c r="W185">
        <f>D185</f>
        <v>3</v>
      </c>
      <c r="X185" t="str">
        <v>x</v>
      </c>
      <c r="Y185">
        <f>Y184</f>
        <v>1</v>
      </c>
      <c r="Z185" t="str">
        <v>=</v>
      </c>
      <c r="AA185">
        <f>(N185+P185*R185/1000)*U185*W185*Y185</f>
        <v>8.523661184999998</v>
      </c>
    </row>
    <row r="187">
      <c r="A187" t="str">
        <f>A175</f>
        <v>Lantai 1</v>
      </c>
      <c r="B187">
        <f>B175</f>
        <v>6</v>
      </c>
      <c r="C187" t="str">
        <v>Tul Peminggang</v>
      </c>
      <c r="D187">
        <f>VLOOKUP(D175,'Detail Balok'!$C$10:$AU$140,13,FALSE)</f>
        <v>0</v>
      </c>
      <c r="E187" t="str">
        <v>D</v>
      </c>
      <c r="F187">
        <f>VLOOKUP(D175,'Detail Balok'!$C$10:$AU$140,15,FALSE)</f>
        <v>8</v>
      </c>
      <c r="J187">
        <f>+D177/1000</f>
        <v>2.415</v>
      </c>
      <c r="K187" t="str">
        <v>+</v>
      </c>
      <c r="L187">
        <f>2*$F$16*F187/1000</f>
        <v>0.192</v>
      </c>
      <c r="M187" t="str">
        <v>=</v>
      </c>
      <c r="N187">
        <f>J187+L187</f>
        <v>2.607</v>
      </c>
      <c r="O187" t="str">
        <v>+</v>
      </c>
      <c r="P187">
        <f>IF(N187&gt;12,ROUNDDOWN(N187/12,0),0)</f>
        <v>0</v>
      </c>
      <c r="Q187" t="str">
        <v>x</v>
      </c>
      <c r="R187">
        <f>IF(P187&gt;0,MAX(VLOOKUP(F187,$D$6:$G$15,3,FALSE),600),0)/1000</f>
        <v>0</v>
      </c>
      <c r="T187" t="str">
        <v>x</v>
      </c>
      <c r="U187">
        <f>0.006165*F187^2</f>
        <v>0.39456</v>
      </c>
      <c r="V187" t="str">
        <v>x</v>
      </c>
      <c r="W187">
        <f>+D187</f>
        <v>0</v>
      </c>
      <c r="X187" t="str">
        <v>x</v>
      </c>
      <c r="Y187">
        <f>D181</f>
        <v>1</v>
      </c>
      <c r="Z187" t="str">
        <v>=</v>
      </c>
      <c r="AA187">
        <f>(N187+P187*R187/1000)*U187*W187*Y187</f>
        <v>0</v>
      </c>
    </row>
    <row r="190">
      <c r="A190" t="str">
        <f>A175</f>
        <v>Lantai 1</v>
      </c>
      <c r="B190">
        <f>B175</f>
        <v>6</v>
      </c>
      <c r="C190" t="str">
        <v>Tul Bawah Tumpuan</v>
      </c>
      <c r="D190">
        <f>VLOOKUP(D175,'Detail Balok'!$C$10:$AU$140,22,FALSE)</f>
        <v>3</v>
      </c>
      <c r="E190" t="str">
        <v>D</v>
      </c>
      <c r="F190">
        <f>VLOOKUP(D175,'Detail Balok'!$C$10:$AU$140,24,FALSE)</f>
        <v>13</v>
      </c>
      <c r="I190" t="str">
        <v>(</v>
      </c>
      <c r="J190">
        <f>+J182</f>
        <v>0.60375</v>
      </c>
      <c r="K190" t="str">
        <v>+</v>
      </c>
      <c r="L190">
        <f>MAX(VLOOKUP(F190,N$6:P$15,3,FALSE)/1000,2/3*D180/1000)+F$16*F190/1000</f>
        <v>0.156</v>
      </c>
      <c r="M190" t="str">
        <v>=</v>
      </c>
      <c r="N190">
        <f>J190+L190</f>
        <v>0.75975</v>
      </c>
      <c r="O190" t="str">
        <v>+</v>
      </c>
      <c r="P190">
        <f>D190-D191</f>
        <v>0</v>
      </c>
      <c r="Q190" t="str">
        <v>x</v>
      </c>
      <c r="R190">
        <f>IF(P190&gt;0,$F$18*F190/1000,0)</f>
        <v>0</v>
      </c>
      <c r="S190" t="str">
        <v>)</v>
      </c>
      <c r="T190" t="str">
        <v>x</v>
      </c>
      <c r="U190">
        <f>0.006165*F190^2</f>
        <v>1.041885</v>
      </c>
      <c r="X190" t="str">
        <v>x</v>
      </c>
      <c r="Y190">
        <f>D181</f>
        <v>1</v>
      </c>
      <c r="Z190" t="str">
        <v>=</v>
      </c>
      <c r="AA190">
        <f>IF(AA193=0,(D190*N190+P190*R190)*U190*Y190,0)</f>
        <v>0</v>
      </c>
    </row>
    <row r="191">
      <c r="A191" t="str">
        <f>A175</f>
        <v>Lantai 1</v>
      </c>
      <c r="B191">
        <f>B175</f>
        <v>6</v>
      </c>
      <c r="C191" t="str">
        <v>Tul Bawah Lapangan</v>
      </c>
      <c r="D191">
        <f>VLOOKUP(D175,'Detail Balok'!$C$10:$AU$140,25,FALSE)</f>
        <v>3</v>
      </c>
      <c r="E191" t="str">
        <v>D</v>
      </c>
      <c r="F191">
        <f>VLOOKUP(D175,'Detail Balok'!$C$10:$AU$140,27,FALSE)</f>
        <v>13</v>
      </c>
      <c r="I191" t="str">
        <v>(</v>
      </c>
      <c r="J191">
        <f>+J183</f>
        <v>1.2075</v>
      </c>
      <c r="K191" t="str">
        <v>+</v>
      </c>
      <c r="M191" t="str">
        <v>=</v>
      </c>
      <c r="N191">
        <f>J191+L191</f>
        <v>1.2075</v>
      </c>
      <c r="O191" t="str">
        <v>+</v>
      </c>
      <c r="P191">
        <f>MAX(D191-D190,D191-D192)</f>
        <v>0</v>
      </c>
      <c r="Q191" t="str">
        <v>x</v>
      </c>
      <c r="R191">
        <f>IF(P191&gt;0,2*(1-2*$F$19-1/2)*D178/1000,0)</f>
        <v>0</v>
      </c>
      <c r="S191" t="str">
        <v>)</v>
      </c>
      <c r="T191" t="str">
        <v>x</v>
      </c>
      <c r="U191">
        <f>0.006165*F191^2</f>
        <v>1.041885</v>
      </c>
      <c r="X191" t="str">
        <v>x</v>
      </c>
      <c r="Y191">
        <f>D181</f>
        <v>1</v>
      </c>
      <c r="Z191" t="str">
        <v>=</v>
      </c>
      <c r="AA191">
        <f>IF(AA193=0,(D191*N191+P191*R191)*U191*Y191,0)</f>
        <v>0</v>
      </c>
    </row>
    <row r="192">
      <c r="A192" t="str">
        <f>A175</f>
        <v>Lantai 1</v>
      </c>
      <c r="B192">
        <f>B175</f>
        <v>6</v>
      </c>
      <c r="C192" t="str">
        <v>Tul Bawah Tumpuan</v>
      </c>
      <c r="D192">
        <f>VLOOKUP(D175,'Detail Balok'!$C$10:$AU$140,28,FALSE)</f>
        <v>3</v>
      </c>
      <c r="E192" t="str">
        <v>D</v>
      </c>
      <c r="F192">
        <f>VLOOKUP(D175,'Detail Balok'!$C$10:$AU$140,30,FALSE)</f>
        <v>13</v>
      </c>
      <c r="I192" t="str">
        <v>(</v>
      </c>
      <c r="J192">
        <f>+J184</f>
        <v>0.60375</v>
      </c>
      <c r="K192" t="str">
        <v>+</v>
      </c>
      <c r="L192">
        <f>MAX(VLOOKUP(F192,N$6:P$15,3,FALSE)/1000,2/3*D180/1000)+F$16*F192/1000</f>
        <v>0.156</v>
      </c>
      <c r="M192" t="str">
        <v>=</v>
      </c>
      <c r="N192">
        <f>J192+L192</f>
        <v>0.75975</v>
      </c>
      <c r="O192" t="str">
        <v>+</v>
      </c>
      <c r="P192">
        <f>D192-D191</f>
        <v>0</v>
      </c>
      <c r="Q192" t="str">
        <v>x</v>
      </c>
      <c r="R192">
        <f>IF(P192&gt;0,$F$18*F192/1000,0)</f>
        <v>0</v>
      </c>
      <c r="S192" t="str">
        <v>)</v>
      </c>
      <c r="T192" t="str">
        <v>x</v>
      </c>
      <c r="U192">
        <f>0.006165*F192^2</f>
        <v>1.041885</v>
      </c>
      <c r="X192" t="str">
        <v>x</v>
      </c>
      <c r="Y192">
        <f>D181</f>
        <v>1</v>
      </c>
      <c r="Z192" t="str">
        <v>=</v>
      </c>
      <c r="AA192">
        <f>IF(AA193=0,(D192*N192+P192*R192)*U192*Y192,0)</f>
        <v>0</v>
      </c>
    </row>
    <row r="193">
      <c r="A193" t="str">
        <f>A175</f>
        <v>Lantai 1</v>
      </c>
      <c r="B193">
        <f>B175</f>
        <v>6</v>
      </c>
      <c r="D193">
        <f>IF(AND(D190=D191,D191=D192,D190=D192),D190,0)</f>
        <v>3</v>
      </c>
      <c r="E193" t="str">
        <v>D</v>
      </c>
      <c r="F193">
        <f>IF(AND(F190=F191,F190=F192,F191=F192),F190,0)</f>
        <v>13</v>
      </c>
      <c r="L193" t="str">
        <v>Total panjang per balok</v>
      </c>
      <c r="M193" t="str">
        <v>=</v>
      </c>
      <c r="N193">
        <f>IF(AND(D190=D191,D190=D192,D191=D192,F190=F191,F190=F192,F191=F192),SUM(N190:N192),0)</f>
        <v>2.727</v>
      </c>
      <c r="O193" t="str">
        <v>+</v>
      </c>
      <c r="P193">
        <f>IF(N193&gt;12,ROUNDDOWN(N193/12,0),0)</f>
        <v>0</v>
      </c>
      <c r="Q193" t="str">
        <v>x</v>
      </c>
      <c r="R193">
        <f>IF(P193&gt;0,MAX(VLOOKUP(F193,$D$6:$G$15,3,FALSE),600),0)/1000</f>
        <v>0</v>
      </c>
      <c r="T193" t="str">
        <v>x</v>
      </c>
      <c r="U193">
        <f>U192</f>
        <v>1.041885</v>
      </c>
      <c r="V193" t="str">
        <v>x</v>
      </c>
      <c r="W193">
        <f>D193</f>
        <v>3</v>
      </c>
      <c r="X193" t="str">
        <v>x</v>
      </c>
      <c r="Y193">
        <f>Y192</f>
        <v>1</v>
      </c>
      <c r="Z193" t="str">
        <v>=</v>
      </c>
      <c r="AA193">
        <f>(N193+P193*R193/1000)*U193*W193*Y193</f>
        <v>8.523661184999998</v>
      </c>
    </row>
    <row r="195">
      <c r="A195" t="str">
        <f>A175</f>
        <v>Lantai 1</v>
      </c>
      <c r="B195">
        <f>B175</f>
        <v>6</v>
      </c>
      <c r="C195" t="str">
        <v>Sengkang Tumpuan</v>
      </c>
      <c r="D195">
        <f>VLOOKUP(D175,'Detail Balok'!$C$10:$AU$140,31,FALSE)</f>
        <v>0</v>
      </c>
      <c r="E195" t="str">
        <v>D</v>
      </c>
      <c r="F195">
        <f>VLOOKUP(D175,'Detail Balok'!$C$10:$AU$140,33,FALSE)</f>
        <v>8</v>
      </c>
      <c r="G195" t="str">
        <v>-</v>
      </c>
      <c r="H195">
        <f>VLOOKUP(D175,'Detail Balok'!$C$10:$AU$140,35,FALSE)</f>
        <v>150</v>
      </c>
      <c r="J195">
        <f>(IF(D195=0,(2*(D176+G176))-(F$5*8),IF(D195=3,(2*(D176+G176))-(F$5*8)+(G176-2*F$5),IF(D195=4,(2*(D176+G176))-(F$5*8)+2*(G176-2*F$5)))))/1000</f>
        <v>0.88</v>
      </c>
      <c r="K195" t="str">
        <v>+</v>
      </c>
      <c r="L195">
        <f>IF(D195=0,2*MAX(6*F195,75),(D195-1)*2*MAX(6*F195,75))/1000</f>
        <v>0.15</v>
      </c>
      <c r="M195" t="str">
        <v>=</v>
      </c>
      <c r="N195">
        <f>J195+L195</f>
        <v>1.03</v>
      </c>
      <c r="T195" t="str">
        <v>x</v>
      </c>
      <c r="U195">
        <f>0.006165*F195^2</f>
        <v>0.39456</v>
      </c>
      <c r="V195" t="str">
        <v>x</v>
      </c>
      <c r="W195">
        <f>IF(D178&gt;4*G176,ROUND(MAX(D178/4,2*G176)/H195,0)+1,ROUND(D178/H195,0)+1)</f>
        <v>6</v>
      </c>
      <c r="X195" t="str">
        <v>x</v>
      </c>
      <c r="Y195">
        <f>D181</f>
        <v>1</v>
      </c>
      <c r="Z195" t="str">
        <v>=</v>
      </c>
      <c r="AA195">
        <f>N195*U195*W195*Y195</f>
        <v>2.4383808000000005</v>
      </c>
    </row>
    <row r="196">
      <c r="A196" t="str">
        <f>A175</f>
        <v>Lantai 1</v>
      </c>
      <c r="B196">
        <f>B175</f>
        <v>6</v>
      </c>
      <c r="C196" t="str">
        <v>Sengkang Lapangan</v>
      </c>
      <c r="D196">
        <f>VLOOKUP(D175,'Detail Balok'!$C$10:$AU$140,36,FALSE)</f>
        <v>0</v>
      </c>
      <c r="E196" t="str">
        <v>D</v>
      </c>
      <c r="F196">
        <f>VLOOKUP(D175,'Detail Balok'!$C$10:$AU$140,38,FALSE)</f>
        <v>8</v>
      </c>
      <c r="G196" t="str">
        <v>-</v>
      </c>
      <c r="H196">
        <f>VLOOKUP(D175,'Detail Balok'!$C$10:$AU$140,40,FALSE)</f>
        <v>200</v>
      </c>
      <c r="J196">
        <f>(IF(D196=0,(2*(D176+G176))-(F$5*8),IF(D196=3,(2*(D176+G176))-(F$5*8)+(G176-2*F$5),IF(D196=4,(2*(D176+G176))-(F$5*8)+2*(G176-2*F$5)))))/1000</f>
        <v>0.88</v>
      </c>
      <c r="K196" t="str">
        <v>+</v>
      </c>
      <c r="L196">
        <f>IF(D196=0,2*MAX(6*F196,75),(D196-1)*2*MAX(6*F196,75))/1000</f>
        <v>0.15</v>
      </c>
      <c r="M196" t="str">
        <v>=</v>
      </c>
      <c r="N196">
        <f>J196+L196</f>
        <v>1.03</v>
      </c>
      <c r="T196" t="str">
        <v>x</v>
      </c>
      <c r="U196">
        <f>0.006165*F196^2</f>
        <v>0.39456</v>
      </c>
      <c r="V196" t="str">
        <v>x</v>
      </c>
      <c r="W196">
        <f>IF(D178-MAX(D178/4,2*G176)*2&gt;0,ROUND((D178-MAX(D178/4,2*G176)*2)/H196,0),0)</f>
        <v>4</v>
      </c>
      <c r="X196" t="str">
        <v>x</v>
      </c>
      <c r="Y196">
        <f>D181</f>
        <v>1</v>
      </c>
      <c r="Z196" t="str">
        <v>=</v>
      </c>
      <c r="AA196">
        <f>N196*U196*W196*Y196</f>
        <v>1.6255872000000002</v>
      </c>
    </row>
    <row r="197">
      <c r="A197" t="str">
        <f>A175</f>
        <v>Lantai 1</v>
      </c>
      <c r="B197">
        <f>B175</f>
        <v>6</v>
      </c>
      <c r="C197" t="str">
        <v>Sengkang Tumpuan</v>
      </c>
      <c r="D197">
        <f>VLOOKUP(D175,'Detail Balok'!$C$10:$AU$140,41,FALSE)</f>
        <v>0</v>
      </c>
      <c r="E197" t="str">
        <v>D</v>
      </c>
      <c r="F197">
        <f>VLOOKUP(D175,'Detail Balok'!$C$10:$AU$140,43,FALSE)</f>
        <v>8</v>
      </c>
      <c r="G197" t="str">
        <v>-</v>
      </c>
      <c r="H197">
        <f>VLOOKUP(D175,'Detail Balok'!$C$10:$AU$140,45,FALSE)</f>
        <v>150</v>
      </c>
      <c r="J197">
        <f>(IF(D197=0,(2*(D176+G176))-(F$5*8),IF(D197=3,(2*(D176+G176))-(F$5*8)+(G176-2*F$5),IF(D197=4,(2*(D176+G176))-(F$5*8)+2*(G176-2*F$5)))))/1000</f>
        <v>0.88</v>
      </c>
      <c r="K197" t="str">
        <v>+</v>
      </c>
      <c r="L197">
        <f>IF(D197=0,2*MAX(6*F197,75),(D197-1)*2*MAX(6*F197,75))/1000</f>
        <v>0.15</v>
      </c>
      <c r="M197" t="str">
        <v>=</v>
      </c>
      <c r="N197">
        <f>J197+L197</f>
        <v>1.03</v>
      </c>
      <c r="T197" t="str">
        <v>x</v>
      </c>
      <c r="U197">
        <f>0.006165*F197^2</f>
        <v>0.39456</v>
      </c>
      <c r="V197" t="str">
        <v>x</v>
      </c>
      <c r="W197">
        <f>IF(D178&gt;4*G176,ROUND(MAX(D178/4,2*G176)/H197,0)+1,0)</f>
        <v>6</v>
      </c>
      <c r="X197" t="str">
        <v>x</v>
      </c>
      <c r="Y197">
        <f>D181</f>
        <v>1</v>
      </c>
      <c r="Z197" t="str">
        <v>=</v>
      </c>
      <c r="AA197">
        <f>N197*U197*W197*Y197</f>
        <v>2.4383808000000005</v>
      </c>
    </row>
    <row r="199">
      <c r="A199" t="str">
        <f>A175</f>
        <v>Lantai 1</v>
      </c>
      <c r="B199">
        <f>B175</f>
        <v>6</v>
      </c>
      <c r="C199" t="str">
        <v>Kait Horizontal Tump.</v>
      </c>
      <c r="D199">
        <f>VLOOKUP(D175,'Detail Balok'!$C$10:$BJ$140,46,FALSE)</f>
        <v>0</v>
      </c>
      <c r="E199" t="str">
        <v>D</v>
      </c>
      <c r="F199">
        <f>VLOOKUP(D175,'Detail Balok'!$C$10:$BJ$140,48,FALSE)</f>
        <v>0</v>
      </c>
      <c r="G199" t="str">
        <v>-</v>
      </c>
      <c r="H199">
        <f>VLOOKUP(D175,'Detail Balok'!$C$10:$BJ$140,50,FALSE)</f>
        <v>100</v>
      </c>
      <c r="J199">
        <f>(D176-2*F$5)/1000</f>
        <v>0.12</v>
      </c>
      <c r="K199" t="str">
        <v>+</v>
      </c>
      <c r="L199">
        <f>IF(D199=0,2*MAX(6*F199,75),(D199-1)*2*MAX(6*F199,75))/1000</f>
        <v>0.15</v>
      </c>
      <c r="M199" t="str">
        <v>=</v>
      </c>
      <c r="N199">
        <f>J199+L199</f>
        <v>0.27</v>
      </c>
      <c r="T199" t="str">
        <v>x</v>
      </c>
      <c r="U199">
        <f>0.006165*F199^2</f>
        <v>0</v>
      </c>
      <c r="V199" t="str">
        <v>x</v>
      </c>
      <c r="W199">
        <f>W195</f>
        <v>6</v>
      </c>
      <c r="X199" t="str">
        <v>x</v>
      </c>
      <c r="Y199">
        <f>D185</f>
        <v>3</v>
      </c>
      <c r="Z199" t="str">
        <v>=</v>
      </c>
      <c r="AA199">
        <f>N199*U199*W199*Y199</f>
        <v>0</v>
      </c>
    </row>
    <row r="200">
      <c r="A200" t="str">
        <f>A175</f>
        <v>Lantai 1</v>
      </c>
      <c r="B200">
        <f>B175</f>
        <v>6</v>
      </c>
      <c r="C200" t="str">
        <v>Kait Horizontal Lap.</v>
      </c>
      <c r="D200">
        <f>VLOOKUP(D175,'Detail Balok'!$C$10:$BJ$140,51,FALSE)</f>
        <v>0</v>
      </c>
      <c r="E200" t="str">
        <v>D</v>
      </c>
      <c r="F200">
        <f>VLOOKUP(D175,'Detail Balok'!$C$10:$BJ$140,53,FALSE)</f>
        <v>0</v>
      </c>
      <c r="G200" t="str">
        <v>-</v>
      </c>
      <c r="H200">
        <f>VLOOKUP(D175,'Detail Balok'!$C$10:$BJ$140,55,FALSE)</f>
        <v>100</v>
      </c>
      <c r="J200">
        <f>(D176-2*F$5)/1000</f>
        <v>0.12</v>
      </c>
      <c r="K200" t="str">
        <v>+</v>
      </c>
      <c r="L200">
        <f>IF(D200=0,2*MAX(6*F200,75),(D200-1)*2*MAX(6*F200,75))/1000</f>
        <v>0.15</v>
      </c>
      <c r="M200" t="str">
        <v>=</v>
      </c>
      <c r="N200">
        <f>J200+L200</f>
        <v>0.27</v>
      </c>
      <c r="T200" t="str">
        <v>x</v>
      </c>
      <c r="U200">
        <f>0.006165*F200^2</f>
        <v>0</v>
      </c>
      <c r="V200" t="str">
        <v>x</v>
      </c>
      <c r="W200">
        <f>W196</f>
        <v>4</v>
      </c>
      <c r="X200" t="str">
        <v>x</v>
      </c>
      <c r="Y200">
        <f>D185</f>
        <v>3</v>
      </c>
      <c r="Z200" t="str">
        <v>=</v>
      </c>
      <c r="AA200">
        <f>N200*U200*W200*Y200</f>
        <v>0</v>
      </c>
    </row>
    <row r="201">
      <c r="A201" t="str">
        <f>A175</f>
        <v>Lantai 1</v>
      </c>
      <c r="B201">
        <f>B175</f>
        <v>6</v>
      </c>
      <c r="C201" t="str">
        <v>Kait Horizontal Tump.</v>
      </c>
      <c r="D201">
        <f>VLOOKUP(D175,'Detail Balok'!$C$10:$BJ$140,56,FALSE)</f>
        <v>0</v>
      </c>
      <c r="E201" t="str">
        <v>D</v>
      </c>
      <c r="F201">
        <f>VLOOKUP(D175,'Detail Balok'!$C$10:$BJ$140,58,FALSE)</f>
        <v>0</v>
      </c>
      <c r="G201" t="str">
        <v>-</v>
      </c>
      <c r="H201">
        <f>VLOOKUP(D175,'Detail Balok'!$C$10:$BJ$140,60,FALSE)</f>
        <v>100</v>
      </c>
      <c r="J201">
        <f>(D176-2*F$5)/1000</f>
        <v>0.12</v>
      </c>
      <c r="K201" t="str">
        <v>+</v>
      </c>
      <c r="L201">
        <f>IF(D201=0,2*MAX(6*F201,75),(D201-1)*2*MAX(6*F201,75))/1000</f>
        <v>0.15</v>
      </c>
      <c r="M201" t="str">
        <v>=</v>
      </c>
      <c r="N201">
        <f>J201+L201</f>
        <v>0.27</v>
      </c>
      <c r="T201" t="str">
        <v>x</v>
      </c>
      <c r="U201">
        <f>0.006165*F201^2</f>
        <v>0</v>
      </c>
      <c r="V201" t="str">
        <v>x</v>
      </c>
      <c r="W201">
        <f>W197</f>
        <v>6</v>
      </c>
      <c r="X201" t="str">
        <v>x</v>
      </c>
      <c r="Y201">
        <f>D185</f>
        <v>3</v>
      </c>
      <c r="Z201" t="str">
        <v>=</v>
      </c>
      <c r="AA201">
        <f>N201*U201*W201*Y201</f>
        <v>0</v>
      </c>
    </row>
    <row r="205">
      <c r="A205" t="str">
        <f>A175</f>
        <v>Lantai 1</v>
      </c>
      <c r="B205">
        <f>B175+1</f>
        <v>7</v>
      </c>
      <c r="C205" t="str">
        <f>CONCATENATE(A205," no. ",B205)</f>
        <v>Lantai 1 no. 7</v>
      </c>
      <c r="D205" t="str">
        <f>VLOOKUP(C205,'Data Panjang Balok'!$C$9:$N$254,2,FALSE)</f>
        <v>S24-2</v>
      </c>
    </row>
    <row r="206">
      <c r="C206" t="str">
        <v>Dimensi</v>
      </c>
      <c r="D206">
        <f>VLOOKUP(D205,'Detail Balok'!$C$10:$AU$140,2,FALSE)</f>
        <v>200</v>
      </c>
      <c r="F206" t="str">
        <v>x</v>
      </c>
      <c r="G206">
        <f>VLOOKUP(D205,'Detail Balok'!$C$10:$AU$140,3,FALSE)</f>
        <v>400</v>
      </c>
    </row>
    <row r="207">
      <c r="C207" t="str">
        <v>Panjang as ke as</v>
      </c>
      <c r="D207">
        <f>VLOOKUP(C205,'Data Panjang Balok'!$C$9:$N$254,4,FALSE)</f>
        <v>9445</v>
      </c>
    </row>
    <row r="208">
      <c r="C208" t="str">
        <v>Panjang netto</v>
      </c>
      <c r="D208">
        <f>VLOOKUP(C205,'Data Panjang Balok'!$C$9:$N$254,7,FALSE)</f>
        <v>9445</v>
      </c>
    </row>
    <row r="209">
      <c r="C209" t="str">
        <v>Kolom / balok kiri</v>
      </c>
      <c r="D209">
        <f>VLOOKUP(C205,'Data Panjang Balok'!$C$9:$N$254,9,FALSE)</f>
        <v>0</v>
      </c>
    </row>
    <row r="210">
      <c r="C210" t="str">
        <v>Kolom / balok kanan</v>
      </c>
      <c r="D210">
        <f>VLOOKUP(C205,'Data Panjang Balok'!$C$9:$N$254,10,FALSE)</f>
        <v>0</v>
      </c>
    </row>
    <row r="211">
      <c r="C211" t="str">
        <v>Jumlah</v>
      </c>
      <c r="D211">
        <f>VLOOKUP(C205,'Data Panjang Balok'!$C$9:$N$254,3,FALSE)</f>
        <v>2</v>
      </c>
    </row>
    <row r="212">
      <c r="A212" t="str">
        <f>A205</f>
        <v>Lantai 1</v>
      </c>
      <c r="B212">
        <f>B205</f>
        <v>7</v>
      </c>
      <c r="C212" t="str">
        <v>Tul Atas Tumpuan</v>
      </c>
      <c r="D212">
        <f>VLOOKUP(D205,'Detail Balok'!$C$10:$AU$140,4,FALSE)</f>
        <v>3</v>
      </c>
      <c r="E212" t="str">
        <v>D</v>
      </c>
      <c r="F212">
        <f>VLOOKUP(D205,'Detail Balok'!$C$10:$AU$140,6,FALSE)</f>
        <v>16</v>
      </c>
      <c r="I212" t="str">
        <v>(</v>
      </c>
      <c r="J212">
        <f>+D207/4/1000</f>
        <v>2.36125</v>
      </c>
      <c r="K212" t="str">
        <v>+</v>
      </c>
      <c r="L212">
        <f>MAX(VLOOKUP(F212,N$6:P$15,3,FALSE)/1000,2/3*D209/1000)+F$16*F212/1000</f>
        <v>0.192</v>
      </c>
      <c r="M212" t="str">
        <v>=</v>
      </c>
      <c r="N212">
        <f>J212+L212</f>
        <v>2.5532500000000002</v>
      </c>
      <c r="O212" t="str">
        <v>+</v>
      </c>
      <c r="P212">
        <f>D212-D213</f>
        <v>0</v>
      </c>
      <c r="Q212" t="str">
        <v>x</v>
      </c>
      <c r="R212">
        <f>IF(P212&gt;0,$F$18*F212/1000,0)</f>
        <v>0</v>
      </c>
      <c r="S212" t="str">
        <v>)</v>
      </c>
      <c r="T212" t="str">
        <v>x</v>
      </c>
      <c r="U212">
        <f>0.006165*F212^2</f>
        <v>1.57824</v>
      </c>
      <c r="X212" t="str">
        <v>x</v>
      </c>
      <c r="Y212">
        <f>D211</f>
        <v>2</v>
      </c>
      <c r="Z212" t="str">
        <v>=</v>
      </c>
      <c r="AA212">
        <f>IF(AA215=0,(D212*N212+P212*R212)*U212*Y212,0)</f>
        <v>0</v>
      </c>
    </row>
    <row r="213">
      <c r="A213" t="str">
        <f>A205</f>
        <v>Lantai 1</v>
      </c>
      <c r="B213">
        <f>B205</f>
        <v>7</v>
      </c>
      <c r="C213" t="str">
        <v>Tul Atas Lapangan</v>
      </c>
      <c r="D213">
        <f>VLOOKUP(D205,'Detail Balok'!$C$10:$AU$140,7,FALSE)</f>
        <v>3</v>
      </c>
      <c r="E213" t="str">
        <v>D</v>
      </c>
      <c r="F213">
        <f>VLOOKUP(D205,'Detail Balok'!$C$10:$AU$140,9,FALSE)</f>
        <v>16</v>
      </c>
      <c r="I213" t="str">
        <v>(</v>
      </c>
      <c r="J213">
        <f>+D207/2/1000</f>
        <v>4.7225</v>
      </c>
      <c r="K213" t="str">
        <v>+</v>
      </c>
      <c r="M213" t="str">
        <v>=</v>
      </c>
      <c r="N213">
        <f>J213+L213</f>
        <v>4.7225</v>
      </c>
      <c r="O213" t="str">
        <v>+</v>
      </c>
      <c r="P213">
        <f>MAX(D213-D212,D213-D214)</f>
        <v>0</v>
      </c>
      <c r="Q213" t="str">
        <v>x</v>
      </c>
      <c r="R213">
        <f>IF(P213&gt;0,2*(1-2*$F$19-1/2)*D208/1000,0)</f>
        <v>0</v>
      </c>
      <c r="S213" t="str">
        <v>)</v>
      </c>
      <c r="T213" t="str">
        <v>x</v>
      </c>
      <c r="U213">
        <f>0.006165*F213^2</f>
        <v>1.57824</v>
      </c>
      <c r="X213" t="str">
        <v>x</v>
      </c>
      <c r="Y213">
        <f>D211</f>
        <v>2</v>
      </c>
      <c r="Z213" t="str">
        <v>=</v>
      </c>
      <c r="AA213">
        <f>IF(AA215=0,(D213*N213+P213*R213)*U213*Y213,0)</f>
        <v>0</v>
      </c>
    </row>
    <row r="214">
      <c r="A214" t="str">
        <f>A205</f>
        <v>Lantai 1</v>
      </c>
      <c r="B214">
        <f>B205</f>
        <v>7</v>
      </c>
      <c r="C214" t="str">
        <v>Tul Atas Tumpuan</v>
      </c>
      <c r="D214">
        <f>VLOOKUP(D205,'Detail Balok'!$C$10:$AU$140,10,FALSE)</f>
        <v>3</v>
      </c>
      <c r="E214" t="str">
        <v>D</v>
      </c>
      <c r="F214">
        <f>VLOOKUP(D205,'Detail Balok'!$C$10:$AU$140,12,FALSE)</f>
        <v>16</v>
      </c>
      <c r="I214" t="str">
        <v>(</v>
      </c>
      <c r="J214">
        <f>+D207/4/1000</f>
        <v>2.36125</v>
      </c>
      <c r="K214" t="str">
        <v>+</v>
      </c>
      <c r="L214">
        <f>MAX(VLOOKUP(F214,N$6:P$15,3,FALSE)/1000,2/3*D209/1000)+F$16*F214/1000</f>
        <v>0.192</v>
      </c>
      <c r="M214" t="str">
        <v>=</v>
      </c>
      <c r="N214">
        <f>J214+L214</f>
        <v>2.5532500000000002</v>
      </c>
      <c r="O214" t="str">
        <v>+</v>
      </c>
      <c r="P214">
        <f>D214-D213</f>
        <v>0</v>
      </c>
      <c r="Q214" t="str">
        <v>x</v>
      </c>
      <c r="R214">
        <f>IF(P214&gt;0,$F$18*F214/1000,0)</f>
        <v>0</v>
      </c>
      <c r="S214" t="str">
        <v>)</v>
      </c>
      <c r="T214" t="str">
        <v>x</v>
      </c>
      <c r="U214">
        <f>0.006165*F214^2</f>
        <v>1.57824</v>
      </c>
      <c r="X214" t="str">
        <v>x</v>
      </c>
      <c r="Y214">
        <f>D211</f>
        <v>2</v>
      </c>
      <c r="Z214" t="str">
        <v>=</v>
      </c>
      <c r="AA214">
        <f>IF(AA215=0,(D214*N214+P214*R214)*U214*Y214,0)</f>
        <v>0</v>
      </c>
    </row>
    <row r="215">
      <c r="A215" t="str">
        <f>A205</f>
        <v>Lantai 1</v>
      </c>
      <c r="B215">
        <f>B205</f>
        <v>7</v>
      </c>
      <c r="D215">
        <f>IF(AND(D212=D213,D213=D214,D212=D214),D212,0)</f>
        <v>3</v>
      </c>
      <c r="E215" t="str">
        <v>D</v>
      </c>
      <c r="F215">
        <f>IF(AND(F212=F213,F212=F214,F213=F214),F212,0)</f>
        <v>16</v>
      </c>
      <c r="L215" t="str">
        <v>Total panjang per balok</v>
      </c>
      <c r="M215" t="str">
        <v>=</v>
      </c>
      <c r="N215">
        <f>IF(AND(D212=D213,D212=D214,D213=D214,F212=F213,F212=F214,F213=F214),SUM(N212:N214),0)</f>
        <v>9.829</v>
      </c>
      <c r="O215" t="str">
        <v>+</v>
      </c>
      <c r="P215">
        <f>IF(N215&gt;12,ROUNDDOWN(N215/12,0),0)</f>
        <v>0</v>
      </c>
      <c r="Q215" t="str">
        <v>x</v>
      </c>
      <c r="R215">
        <f>IF(P215&gt;0,MAX(VLOOKUP(F215,$D$6:$G$15,3,FALSE),600),0)/1000</f>
        <v>0</v>
      </c>
      <c r="T215" t="str">
        <v>x</v>
      </c>
      <c r="U215">
        <f>U214</f>
        <v>1.57824</v>
      </c>
      <c r="V215" t="str">
        <v>x</v>
      </c>
      <c r="W215">
        <f>D215</f>
        <v>3</v>
      </c>
      <c r="X215" t="str">
        <v>x</v>
      </c>
      <c r="Y215">
        <f>Y214</f>
        <v>2</v>
      </c>
      <c r="Z215" t="str">
        <v>=</v>
      </c>
      <c r="AA215">
        <f>(N215+P215*R215/1000)*U215*W215*Y215</f>
        <v>93.07512576</v>
      </c>
    </row>
    <row r="217">
      <c r="A217" t="str">
        <f>A205</f>
        <v>Lantai 1</v>
      </c>
      <c r="B217">
        <f>B205</f>
        <v>7</v>
      </c>
      <c r="C217" t="str">
        <v>Tul Peminggang</v>
      </c>
      <c r="D217">
        <f>VLOOKUP(D205,'Detail Balok'!$C$10:$AU$140,13,FALSE)</f>
        <v>0</v>
      </c>
      <c r="E217" t="str">
        <v>D</v>
      </c>
      <c r="F217">
        <f>VLOOKUP(D205,'Detail Balok'!$C$10:$AU$140,15,FALSE)</f>
        <v>8</v>
      </c>
      <c r="J217">
        <f>+D207/1000</f>
        <v>9.445</v>
      </c>
      <c r="K217" t="str">
        <v>+</v>
      </c>
      <c r="L217">
        <f>2*$F$16*F217/1000</f>
        <v>0.192</v>
      </c>
      <c r="M217" t="str">
        <v>=</v>
      </c>
      <c r="N217">
        <f>J217+L217</f>
        <v>9.637</v>
      </c>
      <c r="O217" t="str">
        <v>+</v>
      </c>
      <c r="P217">
        <f>IF(N217&gt;12,ROUNDDOWN(N217/12,0),0)</f>
        <v>0</v>
      </c>
      <c r="Q217" t="str">
        <v>x</v>
      </c>
      <c r="R217">
        <f>IF(P217&gt;0,MAX(VLOOKUP(F217,$D$6:$G$15,3,FALSE),600),0)/1000</f>
        <v>0</v>
      </c>
      <c r="T217" t="str">
        <v>x</v>
      </c>
      <c r="U217">
        <f>0.006165*F217^2</f>
        <v>0.39456</v>
      </c>
      <c r="V217" t="str">
        <v>x</v>
      </c>
      <c r="W217">
        <f>+D217</f>
        <v>0</v>
      </c>
      <c r="X217" t="str">
        <v>x</v>
      </c>
      <c r="Y217">
        <f>D211</f>
        <v>2</v>
      </c>
      <c r="Z217" t="str">
        <v>=</v>
      </c>
      <c r="AA217">
        <f>(N217+P217*R217/1000)*U217*W217*Y217</f>
        <v>0</v>
      </c>
    </row>
    <row r="220">
      <c r="A220" t="str">
        <f>A205</f>
        <v>Lantai 1</v>
      </c>
      <c r="B220">
        <f>B205</f>
        <v>7</v>
      </c>
      <c r="C220" t="str">
        <v>Tul Bawah Tumpuan</v>
      </c>
      <c r="D220">
        <f>VLOOKUP(D205,'Detail Balok'!$C$10:$AU$140,22,FALSE)</f>
        <v>3</v>
      </c>
      <c r="E220" t="str">
        <v>D</v>
      </c>
      <c r="F220">
        <f>VLOOKUP(D205,'Detail Balok'!$C$10:$AU$140,24,FALSE)</f>
        <v>16</v>
      </c>
      <c r="I220" t="str">
        <v>(</v>
      </c>
      <c r="J220">
        <f>+J212</f>
        <v>2.36125</v>
      </c>
      <c r="K220" t="str">
        <v>+</v>
      </c>
      <c r="L220">
        <f>MAX(VLOOKUP(F220,N$6:P$15,3,FALSE)/1000,2/3*D210/1000)+F$16*F220/1000</f>
        <v>0.192</v>
      </c>
      <c r="M220" t="str">
        <v>=</v>
      </c>
      <c r="N220">
        <f>J220+L220</f>
        <v>2.5532500000000002</v>
      </c>
      <c r="O220" t="str">
        <v>+</v>
      </c>
      <c r="P220">
        <f>D220-D221</f>
        <v>0</v>
      </c>
      <c r="Q220" t="str">
        <v>x</v>
      </c>
      <c r="R220">
        <f>IF(P220&gt;0,$F$18*F220/1000,0)</f>
        <v>0</v>
      </c>
      <c r="S220" t="str">
        <v>)</v>
      </c>
      <c r="T220" t="str">
        <v>x</v>
      </c>
      <c r="U220">
        <f>0.006165*F220^2</f>
        <v>1.57824</v>
      </c>
      <c r="X220" t="str">
        <v>x</v>
      </c>
      <c r="Y220">
        <f>D211</f>
        <v>2</v>
      </c>
      <c r="Z220" t="str">
        <v>=</v>
      </c>
      <c r="AA220">
        <f>IF(AA223=0,(D220*N220+P220*R220)*U220*Y220,0)</f>
        <v>0</v>
      </c>
    </row>
    <row r="221">
      <c r="A221" t="str">
        <f>A205</f>
        <v>Lantai 1</v>
      </c>
      <c r="B221">
        <f>B205</f>
        <v>7</v>
      </c>
      <c r="C221" t="str">
        <v>Tul Bawah Lapangan</v>
      </c>
      <c r="D221">
        <f>VLOOKUP(D205,'Detail Balok'!$C$10:$AU$140,25,FALSE)</f>
        <v>3</v>
      </c>
      <c r="E221" t="str">
        <v>D</v>
      </c>
      <c r="F221">
        <f>VLOOKUP(D205,'Detail Balok'!$C$10:$AU$140,27,FALSE)</f>
        <v>16</v>
      </c>
      <c r="I221" t="str">
        <v>(</v>
      </c>
      <c r="J221">
        <f>+J213</f>
        <v>4.7225</v>
      </c>
      <c r="K221" t="str">
        <v>+</v>
      </c>
      <c r="M221" t="str">
        <v>=</v>
      </c>
      <c r="N221">
        <f>J221+L221</f>
        <v>4.7225</v>
      </c>
      <c r="O221" t="str">
        <v>+</v>
      </c>
      <c r="P221">
        <f>MAX(D221-D220,D221-D222)</f>
        <v>0</v>
      </c>
      <c r="Q221" t="str">
        <v>x</v>
      </c>
      <c r="R221">
        <f>IF(P221&gt;0,2*(1-2*$F$19-1/2)*D208/1000,0)</f>
        <v>0</v>
      </c>
      <c r="S221" t="str">
        <v>)</v>
      </c>
      <c r="T221" t="str">
        <v>x</v>
      </c>
      <c r="U221">
        <f>0.006165*F221^2</f>
        <v>1.57824</v>
      </c>
      <c r="X221" t="str">
        <v>x</v>
      </c>
      <c r="Y221">
        <f>D211</f>
        <v>2</v>
      </c>
      <c r="Z221" t="str">
        <v>=</v>
      </c>
      <c r="AA221">
        <f>IF(AA223=0,(D221*N221+P221*R221)*U221*Y221,0)</f>
        <v>0</v>
      </c>
    </row>
    <row r="222">
      <c r="A222" t="str">
        <f>A205</f>
        <v>Lantai 1</v>
      </c>
      <c r="B222">
        <f>B205</f>
        <v>7</v>
      </c>
      <c r="C222" t="str">
        <v>Tul Bawah Tumpuan</v>
      </c>
      <c r="D222">
        <f>VLOOKUP(D205,'Detail Balok'!$C$10:$AU$140,28,FALSE)</f>
        <v>3</v>
      </c>
      <c r="E222" t="str">
        <v>D</v>
      </c>
      <c r="F222">
        <f>VLOOKUP(D205,'Detail Balok'!$C$10:$AU$140,30,FALSE)</f>
        <v>16</v>
      </c>
      <c r="I222" t="str">
        <v>(</v>
      </c>
      <c r="J222">
        <f>+J214</f>
        <v>2.36125</v>
      </c>
      <c r="K222" t="str">
        <v>+</v>
      </c>
      <c r="L222">
        <f>MAX(VLOOKUP(F222,N$6:P$15,3,FALSE)/1000,2/3*D210/1000)+F$16*F222/1000</f>
        <v>0.192</v>
      </c>
      <c r="M222" t="str">
        <v>=</v>
      </c>
      <c r="N222">
        <f>J222+L222</f>
        <v>2.5532500000000002</v>
      </c>
      <c r="O222" t="str">
        <v>+</v>
      </c>
      <c r="P222">
        <f>D222-D221</f>
        <v>0</v>
      </c>
      <c r="Q222" t="str">
        <v>x</v>
      </c>
      <c r="R222">
        <f>IF(P222&gt;0,$F$18*F222/1000,0)</f>
        <v>0</v>
      </c>
      <c r="S222" t="str">
        <v>)</v>
      </c>
      <c r="T222" t="str">
        <v>x</v>
      </c>
      <c r="U222">
        <f>0.006165*F222^2</f>
        <v>1.57824</v>
      </c>
      <c r="X222" t="str">
        <v>x</v>
      </c>
      <c r="Y222">
        <f>D211</f>
        <v>2</v>
      </c>
      <c r="Z222" t="str">
        <v>=</v>
      </c>
      <c r="AA222">
        <f>IF(AA223=0,(D222*N222+P222*R222)*U222*Y222,0)</f>
        <v>0</v>
      </c>
    </row>
    <row r="223">
      <c r="A223" t="str">
        <f>A205</f>
        <v>Lantai 1</v>
      </c>
      <c r="B223">
        <f>B205</f>
        <v>7</v>
      </c>
      <c r="D223">
        <f>IF(AND(D220=D221,D221=D222,D220=D222),D220,0)</f>
        <v>3</v>
      </c>
      <c r="E223" t="str">
        <v>D</v>
      </c>
      <c r="F223">
        <f>IF(AND(F220=F221,F220=F222,F221=F222),F220,0)</f>
        <v>16</v>
      </c>
      <c r="L223" t="str">
        <v>Total panjang per balok</v>
      </c>
      <c r="M223" t="str">
        <v>=</v>
      </c>
      <c r="N223">
        <f>IF(AND(D220=D221,D220=D222,D221=D222,F220=F221,F220=F222,F221=F222),SUM(N220:N222),0)</f>
        <v>9.829</v>
      </c>
      <c r="O223" t="str">
        <v>+</v>
      </c>
      <c r="P223">
        <f>IF(N223&gt;12,ROUNDDOWN(N223/12,0),0)</f>
        <v>0</v>
      </c>
      <c r="Q223" t="str">
        <v>x</v>
      </c>
      <c r="R223">
        <f>IF(P223&gt;0,MAX(VLOOKUP(F223,$D$6:$G$15,3,FALSE),600),0)/1000</f>
        <v>0</v>
      </c>
      <c r="T223" t="str">
        <v>x</v>
      </c>
      <c r="U223">
        <f>U222</f>
        <v>1.57824</v>
      </c>
      <c r="V223" t="str">
        <v>x</v>
      </c>
      <c r="W223">
        <f>D223</f>
        <v>3</v>
      </c>
      <c r="X223" t="str">
        <v>x</v>
      </c>
      <c r="Y223">
        <f>Y222</f>
        <v>2</v>
      </c>
      <c r="Z223" t="str">
        <v>=</v>
      </c>
      <c r="AA223">
        <f>(N223+P223*R223/1000)*U223*W223*Y223</f>
        <v>93.07512576</v>
      </c>
    </row>
    <row r="225">
      <c r="A225" t="str">
        <f>A205</f>
        <v>Lantai 1</v>
      </c>
      <c r="B225">
        <f>B205</f>
        <v>7</v>
      </c>
      <c r="C225" t="str">
        <v>Sengkang Tumpuan</v>
      </c>
      <c r="D225">
        <f>VLOOKUP(D205,'Detail Balok'!$C$10:$AU$140,31,FALSE)</f>
        <v>0</v>
      </c>
      <c r="E225" t="str">
        <v>D</v>
      </c>
      <c r="F225">
        <f>VLOOKUP(D205,'Detail Balok'!$C$10:$AU$140,33,FALSE)</f>
        <v>8</v>
      </c>
      <c r="G225" t="str">
        <v>-</v>
      </c>
      <c r="H225">
        <f>VLOOKUP(D205,'Detail Balok'!$C$10:$AU$140,35,FALSE)</f>
        <v>150</v>
      </c>
      <c r="J225">
        <f>(IF(D225=0,(2*(D206+G206))-(F$5*8),IF(D225=3,(2*(D206+G206))-(F$5*8)+(G206-2*F$5),IF(D225=4,(2*(D206+G206))-(F$5*8)+2*(G206-2*F$5)))))/1000</f>
        <v>0.88</v>
      </c>
      <c r="K225" t="str">
        <v>+</v>
      </c>
      <c r="L225">
        <f>IF(D225=0,2*MAX(6*F225,75),(D225-1)*2*MAX(6*F225,75))/1000</f>
        <v>0.15</v>
      </c>
      <c r="M225" t="str">
        <v>=</v>
      </c>
      <c r="N225">
        <f>J225+L225</f>
        <v>1.03</v>
      </c>
      <c r="T225" t="str">
        <v>x</v>
      </c>
      <c r="U225">
        <f>0.006165*F225^2</f>
        <v>0.39456</v>
      </c>
      <c r="V225" t="str">
        <v>x</v>
      </c>
      <c r="W225">
        <f>IF(D208&gt;4*G206,ROUND(MAX(D208/4,2*G206)/H225,0)+1,ROUND(D208/H225,0)+1)</f>
        <v>17</v>
      </c>
      <c r="X225" t="str">
        <v>x</v>
      </c>
      <c r="Y225">
        <f>D211</f>
        <v>2</v>
      </c>
      <c r="Z225" t="str">
        <v>=</v>
      </c>
      <c r="AA225">
        <f>N225*U225*W225*Y225</f>
        <v>13.817491200000003</v>
      </c>
    </row>
    <row r="226">
      <c r="A226" t="str">
        <f>A205</f>
        <v>Lantai 1</v>
      </c>
      <c r="B226">
        <f>B205</f>
        <v>7</v>
      </c>
      <c r="C226" t="str">
        <v>Sengkang Lapangan</v>
      </c>
      <c r="D226">
        <f>VLOOKUP(D205,'Detail Balok'!$C$10:$AU$140,36,FALSE)</f>
        <v>0</v>
      </c>
      <c r="E226" t="str">
        <v>D</v>
      </c>
      <c r="F226">
        <f>VLOOKUP(D205,'Detail Balok'!$C$10:$AU$140,38,FALSE)</f>
        <v>8</v>
      </c>
      <c r="G226" t="str">
        <v>-</v>
      </c>
      <c r="H226">
        <f>VLOOKUP(D205,'Detail Balok'!$C$10:$AU$140,40,FALSE)</f>
        <v>200</v>
      </c>
      <c r="J226">
        <f>(IF(D226=0,(2*(D206+G206))-(F$5*8),IF(D226=3,(2*(D206+G206))-(F$5*8)+(G206-2*F$5),IF(D226=4,(2*(D206+G206))-(F$5*8)+2*(G206-2*F$5)))))/1000</f>
        <v>0.88</v>
      </c>
      <c r="K226" t="str">
        <v>+</v>
      </c>
      <c r="L226">
        <f>IF(D226=0,2*MAX(6*F226,75),(D226-1)*2*MAX(6*F226,75))/1000</f>
        <v>0.15</v>
      </c>
      <c r="M226" t="str">
        <v>=</v>
      </c>
      <c r="N226">
        <f>J226+L226</f>
        <v>1.03</v>
      </c>
      <c r="T226" t="str">
        <v>x</v>
      </c>
      <c r="U226">
        <f>0.006165*F226^2</f>
        <v>0.39456</v>
      </c>
      <c r="V226" t="str">
        <v>x</v>
      </c>
      <c r="W226">
        <f>IF(D208-MAX(D208/4,2*G206)*2&gt;0,ROUND((D208-MAX(D208/4,2*G206)*2)/H226,0),0)</f>
        <v>24</v>
      </c>
      <c r="X226" t="str">
        <v>x</v>
      </c>
      <c r="Y226">
        <f>D211</f>
        <v>2</v>
      </c>
      <c r="Z226" t="str">
        <v>=</v>
      </c>
      <c r="AA226">
        <f>N226*U226*W226*Y226</f>
        <v>19.507046400000004</v>
      </c>
    </row>
    <row r="227">
      <c r="A227" t="str">
        <f>A205</f>
        <v>Lantai 1</v>
      </c>
      <c r="B227">
        <f>B205</f>
        <v>7</v>
      </c>
      <c r="C227" t="str">
        <v>Sengkang Tumpuan</v>
      </c>
      <c r="D227">
        <f>VLOOKUP(D205,'Detail Balok'!$C$10:$AU$140,41,FALSE)</f>
        <v>0</v>
      </c>
      <c r="E227" t="str">
        <v>D</v>
      </c>
      <c r="F227">
        <f>VLOOKUP(D205,'Detail Balok'!$C$10:$AU$140,43,FALSE)</f>
        <v>8</v>
      </c>
      <c r="G227" t="str">
        <v>-</v>
      </c>
      <c r="H227">
        <f>VLOOKUP(D205,'Detail Balok'!$C$10:$AU$140,45,FALSE)</f>
        <v>150</v>
      </c>
      <c r="J227">
        <f>(IF(D227=0,(2*(D206+G206))-(F$5*8),IF(D227=3,(2*(D206+G206))-(F$5*8)+(G206-2*F$5),IF(D227=4,(2*(D206+G206))-(F$5*8)+2*(G206-2*F$5)))))/1000</f>
        <v>0.88</v>
      </c>
      <c r="K227" t="str">
        <v>+</v>
      </c>
      <c r="L227">
        <f>IF(D227=0,2*MAX(6*F227,75),(D227-1)*2*MAX(6*F227,75))/1000</f>
        <v>0.15</v>
      </c>
      <c r="M227" t="str">
        <v>=</v>
      </c>
      <c r="N227">
        <f>J227+L227</f>
        <v>1.03</v>
      </c>
      <c r="T227" t="str">
        <v>x</v>
      </c>
      <c r="U227">
        <f>0.006165*F227^2</f>
        <v>0.39456</v>
      </c>
      <c r="V227" t="str">
        <v>x</v>
      </c>
      <c r="W227">
        <f>IF(D208&gt;4*G206,ROUND(MAX(D208/4,2*G206)/H227,0)+1,0)</f>
        <v>17</v>
      </c>
      <c r="X227" t="str">
        <v>x</v>
      </c>
      <c r="Y227">
        <f>D211</f>
        <v>2</v>
      </c>
      <c r="Z227" t="str">
        <v>=</v>
      </c>
      <c r="AA227">
        <f>N227*U227*W227*Y227</f>
        <v>13.817491200000003</v>
      </c>
    </row>
    <row r="229">
      <c r="A229" t="str">
        <f>A205</f>
        <v>Lantai 1</v>
      </c>
      <c r="B229">
        <f>B205</f>
        <v>7</v>
      </c>
      <c r="C229" t="str">
        <v>Kait Horizontal Tump.</v>
      </c>
      <c r="D229">
        <f>VLOOKUP(D205,'Detail Balok'!$C$10:$BJ$140,46,FALSE)</f>
        <v>0</v>
      </c>
      <c r="E229" t="str">
        <v>D</v>
      </c>
      <c r="F229">
        <f>VLOOKUP(D205,'Detail Balok'!$C$10:$BJ$140,48,FALSE)</f>
        <v>0</v>
      </c>
      <c r="G229" t="str">
        <v>-</v>
      </c>
      <c r="H229">
        <f>VLOOKUP(D205,'Detail Balok'!$C$10:$BJ$140,50,FALSE)</f>
        <v>100</v>
      </c>
      <c r="J229">
        <f>(D206-2*F$5)/1000</f>
        <v>0.12</v>
      </c>
      <c r="K229" t="str">
        <v>+</v>
      </c>
      <c r="L229">
        <f>IF(D229=0,2*MAX(6*F229,75),(D229-1)*2*MAX(6*F229,75))/1000</f>
        <v>0.15</v>
      </c>
      <c r="M229" t="str">
        <v>=</v>
      </c>
      <c r="N229">
        <f>J229+L229</f>
        <v>0.27</v>
      </c>
      <c r="T229" t="str">
        <v>x</v>
      </c>
      <c r="U229">
        <f>0.006165*F229^2</f>
        <v>0</v>
      </c>
      <c r="V229" t="str">
        <v>x</v>
      </c>
      <c r="W229">
        <f>W225</f>
        <v>17</v>
      </c>
      <c r="X229" t="str">
        <v>x</v>
      </c>
      <c r="Y229">
        <f>D215</f>
        <v>3</v>
      </c>
      <c r="Z229" t="str">
        <v>=</v>
      </c>
      <c r="AA229">
        <f>N229*U229*W229*Y229</f>
        <v>0</v>
      </c>
    </row>
    <row r="230">
      <c r="A230" t="str">
        <f>A205</f>
        <v>Lantai 1</v>
      </c>
      <c r="B230">
        <f>B205</f>
        <v>7</v>
      </c>
      <c r="C230" t="str">
        <v>Kait Horizontal Lap.</v>
      </c>
      <c r="D230">
        <f>VLOOKUP(D205,'Detail Balok'!$C$10:$BJ$140,51,FALSE)</f>
        <v>0</v>
      </c>
      <c r="E230" t="str">
        <v>D</v>
      </c>
      <c r="F230">
        <f>VLOOKUP(D205,'Detail Balok'!$C$10:$BJ$140,53,FALSE)</f>
        <v>0</v>
      </c>
      <c r="G230" t="str">
        <v>-</v>
      </c>
      <c r="H230">
        <f>VLOOKUP(D205,'Detail Balok'!$C$10:$BJ$140,55,FALSE)</f>
        <v>100</v>
      </c>
      <c r="J230">
        <f>(D206-2*F$5)/1000</f>
        <v>0.12</v>
      </c>
      <c r="K230" t="str">
        <v>+</v>
      </c>
      <c r="L230">
        <f>IF(D230=0,2*MAX(6*F230,75),(D230-1)*2*MAX(6*F230,75))/1000</f>
        <v>0.15</v>
      </c>
      <c r="M230" t="str">
        <v>=</v>
      </c>
      <c r="N230">
        <f>J230+L230</f>
        <v>0.27</v>
      </c>
      <c r="T230" t="str">
        <v>x</v>
      </c>
      <c r="U230">
        <f>0.006165*F230^2</f>
        <v>0</v>
      </c>
      <c r="V230" t="str">
        <v>x</v>
      </c>
      <c r="W230">
        <f>W226</f>
        <v>24</v>
      </c>
      <c r="X230" t="str">
        <v>x</v>
      </c>
      <c r="Y230">
        <f>D215</f>
        <v>3</v>
      </c>
      <c r="Z230" t="str">
        <v>=</v>
      </c>
      <c r="AA230">
        <f>N230*U230*W230*Y230</f>
        <v>0</v>
      </c>
    </row>
    <row r="231">
      <c r="A231" t="str">
        <f>A205</f>
        <v>Lantai 1</v>
      </c>
      <c r="B231">
        <f>B205</f>
        <v>7</v>
      </c>
      <c r="C231" t="str">
        <v>Kait Horizontal Tump.</v>
      </c>
      <c r="D231">
        <f>VLOOKUP(D205,'Detail Balok'!$C$10:$BJ$140,56,FALSE)</f>
        <v>0</v>
      </c>
      <c r="E231" t="str">
        <v>D</v>
      </c>
      <c r="F231">
        <f>VLOOKUP(D205,'Detail Balok'!$C$10:$BJ$140,58,FALSE)</f>
        <v>0</v>
      </c>
      <c r="G231" t="str">
        <v>-</v>
      </c>
      <c r="H231">
        <f>VLOOKUP(D205,'Detail Balok'!$C$10:$BJ$140,60,FALSE)</f>
        <v>100</v>
      </c>
      <c r="J231">
        <f>(D206-2*F$5)/1000</f>
        <v>0.12</v>
      </c>
      <c r="K231" t="str">
        <v>+</v>
      </c>
      <c r="L231">
        <f>IF(D231=0,2*MAX(6*F231,75),(D231-1)*2*MAX(6*F231,75))/1000</f>
        <v>0.15</v>
      </c>
      <c r="M231" t="str">
        <v>=</v>
      </c>
      <c r="N231">
        <f>J231+L231</f>
        <v>0.27</v>
      </c>
      <c r="T231" t="str">
        <v>x</v>
      </c>
      <c r="U231">
        <f>0.006165*F231^2</f>
        <v>0</v>
      </c>
      <c r="V231" t="str">
        <v>x</v>
      </c>
      <c r="W231">
        <f>W227</f>
        <v>17</v>
      </c>
      <c r="X231" t="str">
        <v>x</v>
      </c>
      <c r="Y231">
        <f>D215</f>
        <v>3</v>
      </c>
      <c r="Z231" t="str">
        <v>=</v>
      </c>
      <c r="AA231">
        <f>N231*U231*W231*Y231</f>
        <v>0</v>
      </c>
    </row>
    <row r="235">
      <c r="A235" t="str">
        <f>A205</f>
        <v>Lantai 1</v>
      </c>
      <c r="B235">
        <f>B205+1</f>
        <v>8</v>
      </c>
      <c r="C235" t="str">
        <f>CONCATENATE(A235," no. ",B235)</f>
        <v>Lantai 1 no. 8</v>
      </c>
      <c r="D235" t="str">
        <f>VLOOKUP(C235,'Data Panjang Balok'!$C$9:$N$254,2,FALSE)</f>
        <v>S24-1</v>
      </c>
    </row>
    <row r="236">
      <c r="C236" t="str">
        <v>Dimensi</v>
      </c>
      <c r="D236">
        <f>VLOOKUP(D235,'Detail Balok'!$C$10:$AU$140,2,FALSE)</f>
        <v>200</v>
      </c>
      <c r="F236" t="str">
        <v>x</v>
      </c>
      <c r="G236">
        <f>VLOOKUP(D235,'Detail Balok'!$C$10:$AU$140,3,FALSE)</f>
        <v>400</v>
      </c>
    </row>
    <row r="237">
      <c r="C237" t="str">
        <v>Panjang as ke as</v>
      </c>
      <c r="D237">
        <f>VLOOKUP(C235,'Data Panjang Balok'!$C$9:$N$254,4,FALSE)</f>
        <v>1720</v>
      </c>
    </row>
    <row r="238">
      <c r="C238" t="str">
        <v>Panjang netto</v>
      </c>
      <c r="D238">
        <f>VLOOKUP(C235,'Data Panjang Balok'!$C$9:$N$254,7,FALSE)</f>
        <v>1720</v>
      </c>
    </row>
    <row r="239">
      <c r="C239" t="str">
        <v>Kolom / balok kiri</v>
      </c>
      <c r="D239">
        <f>VLOOKUP(C235,'Data Panjang Balok'!$C$9:$N$254,9,FALSE)</f>
        <v>0</v>
      </c>
    </row>
    <row r="240">
      <c r="C240" t="str">
        <v>Kolom / balok kanan</v>
      </c>
      <c r="D240">
        <f>VLOOKUP(C235,'Data Panjang Balok'!$C$9:$N$254,10,FALSE)</f>
        <v>0</v>
      </c>
    </row>
    <row r="241">
      <c r="C241" t="str">
        <v>Jumlah</v>
      </c>
      <c r="D241">
        <f>VLOOKUP(C235,'Data Panjang Balok'!$C$9:$N$254,3,FALSE)</f>
        <v>1</v>
      </c>
    </row>
    <row r="242">
      <c r="A242" t="str">
        <f>A235</f>
        <v>Lantai 1</v>
      </c>
      <c r="B242">
        <f>B235</f>
        <v>8</v>
      </c>
      <c r="C242" t="str">
        <v>Tul Atas Tumpuan</v>
      </c>
      <c r="D242">
        <f>VLOOKUP(D235,'Detail Balok'!$C$10:$AU$140,4,FALSE)</f>
        <v>3</v>
      </c>
      <c r="E242" t="str">
        <v>D</v>
      </c>
      <c r="F242">
        <f>VLOOKUP(D235,'Detail Balok'!$C$10:$AU$140,6,FALSE)</f>
        <v>13</v>
      </c>
      <c r="I242" t="str">
        <v>(</v>
      </c>
      <c r="J242">
        <f>+D237/4/1000</f>
        <v>0.43</v>
      </c>
      <c r="K242" t="str">
        <v>+</v>
      </c>
      <c r="L242">
        <f>MAX(VLOOKUP(F242,N$6:P$15,3,FALSE)/1000,2/3*D239/1000)+F$16*F242/1000</f>
        <v>0.156</v>
      </c>
      <c r="M242" t="str">
        <v>=</v>
      </c>
      <c r="N242">
        <f>J242+L242</f>
        <v>0.586</v>
      </c>
      <c r="O242" t="str">
        <v>+</v>
      </c>
      <c r="P242">
        <f>D242-D243</f>
        <v>0</v>
      </c>
      <c r="Q242" t="str">
        <v>x</v>
      </c>
      <c r="R242">
        <f>IF(P242&gt;0,$F$18*F242/1000,0)</f>
        <v>0</v>
      </c>
      <c r="S242" t="str">
        <v>)</v>
      </c>
      <c r="T242" t="str">
        <v>x</v>
      </c>
      <c r="U242">
        <f>0.006165*F242^2</f>
        <v>1.041885</v>
      </c>
      <c r="X242" t="str">
        <v>x</v>
      </c>
      <c r="Y242">
        <f>D241</f>
        <v>1</v>
      </c>
      <c r="Z242" t="str">
        <v>=</v>
      </c>
      <c r="AA242">
        <f>IF(AA245=0,(D242*N242+P242*R242)*U242*Y242,0)</f>
        <v>0</v>
      </c>
    </row>
    <row r="243">
      <c r="A243" t="str">
        <f>A235</f>
        <v>Lantai 1</v>
      </c>
      <c r="B243">
        <f>B235</f>
        <v>8</v>
      </c>
      <c r="C243" t="str">
        <v>Tul Atas Lapangan</v>
      </c>
      <c r="D243">
        <f>VLOOKUP(D235,'Detail Balok'!$C$10:$AU$140,7,FALSE)</f>
        <v>3</v>
      </c>
      <c r="E243" t="str">
        <v>D</v>
      </c>
      <c r="F243">
        <f>VLOOKUP(D235,'Detail Balok'!$C$10:$AU$140,9,FALSE)</f>
        <v>13</v>
      </c>
      <c r="I243" t="str">
        <v>(</v>
      </c>
      <c r="J243">
        <f>+D237/2/1000</f>
        <v>0.86</v>
      </c>
      <c r="K243" t="str">
        <v>+</v>
      </c>
      <c r="M243" t="str">
        <v>=</v>
      </c>
      <c r="N243">
        <f>J243+L243</f>
        <v>0.86</v>
      </c>
      <c r="O243" t="str">
        <v>+</v>
      </c>
      <c r="P243">
        <f>MAX(D243-D242,D243-D244)</f>
        <v>0</v>
      </c>
      <c r="Q243" t="str">
        <v>x</v>
      </c>
      <c r="R243">
        <f>IF(P243&gt;0,2*(1-2*$F$19-1/2)*D238/1000,0)</f>
        <v>0</v>
      </c>
      <c r="S243" t="str">
        <v>)</v>
      </c>
      <c r="T243" t="str">
        <v>x</v>
      </c>
      <c r="U243">
        <f>0.006165*F243^2</f>
        <v>1.041885</v>
      </c>
      <c r="X243" t="str">
        <v>x</v>
      </c>
      <c r="Y243">
        <f>D241</f>
        <v>1</v>
      </c>
      <c r="Z243" t="str">
        <v>=</v>
      </c>
      <c r="AA243">
        <f>IF(AA245=0,(D243*N243+P243*R243)*U243*Y243,0)</f>
        <v>0</v>
      </c>
    </row>
    <row r="244">
      <c r="A244" t="str">
        <f>A235</f>
        <v>Lantai 1</v>
      </c>
      <c r="B244">
        <f>B235</f>
        <v>8</v>
      </c>
      <c r="C244" t="str">
        <v>Tul Atas Tumpuan</v>
      </c>
      <c r="D244">
        <f>VLOOKUP(D235,'Detail Balok'!$C$10:$AU$140,10,FALSE)</f>
        <v>3</v>
      </c>
      <c r="E244" t="str">
        <v>D</v>
      </c>
      <c r="F244">
        <f>VLOOKUP(D235,'Detail Balok'!$C$10:$AU$140,12,FALSE)</f>
        <v>13</v>
      </c>
      <c r="I244" t="str">
        <v>(</v>
      </c>
      <c r="J244">
        <f>+D237/4/1000</f>
        <v>0.43</v>
      </c>
      <c r="K244" t="str">
        <v>+</v>
      </c>
      <c r="L244">
        <f>MAX(VLOOKUP(F244,N$6:P$15,3,FALSE)/1000,2/3*D239/1000)+F$16*F244/1000</f>
        <v>0.156</v>
      </c>
      <c r="M244" t="str">
        <v>=</v>
      </c>
      <c r="N244">
        <f>J244+L244</f>
        <v>0.586</v>
      </c>
      <c r="O244" t="str">
        <v>+</v>
      </c>
      <c r="P244">
        <f>D244-D243</f>
        <v>0</v>
      </c>
      <c r="Q244" t="str">
        <v>x</v>
      </c>
      <c r="R244">
        <f>IF(P244&gt;0,$F$18*F244/1000,0)</f>
        <v>0</v>
      </c>
      <c r="S244" t="str">
        <v>)</v>
      </c>
      <c r="T244" t="str">
        <v>x</v>
      </c>
      <c r="U244">
        <f>0.006165*F244^2</f>
        <v>1.041885</v>
      </c>
      <c r="X244" t="str">
        <v>x</v>
      </c>
      <c r="Y244">
        <f>D241</f>
        <v>1</v>
      </c>
      <c r="Z244" t="str">
        <v>=</v>
      </c>
      <c r="AA244">
        <f>IF(AA245=0,(D244*N244+P244*R244)*U244*Y244,0)</f>
        <v>0</v>
      </c>
    </row>
    <row r="245">
      <c r="A245" t="str">
        <f>A235</f>
        <v>Lantai 1</v>
      </c>
      <c r="B245">
        <f>B235</f>
        <v>8</v>
      </c>
      <c r="D245">
        <f>IF(AND(D242=D243,D243=D244,D242=D244),D242,0)</f>
        <v>3</v>
      </c>
      <c r="E245" t="str">
        <v>D</v>
      </c>
      <c r="F245">
        <f>IF(AND(F242=F243,F242=F244,F243=F244),F242,0)</f>
        <v>13</v>
      </c>
      <c r="L245" t="str">
        <v>Total panjang per balok</v>
      </c>
      <c r="M245" t="str">
        <v>=</v>
      </c>
      <c r="N245">
        <f>IF(AND(D242=D243,D242=D244,D243=D244,F242=F243,F242=F244,F243=F244),SUM(N242:N244),0)</f>
        <v>2.032</v>
      </c>
      <c r="O245" t="str">
        <v>+</v>
      </c>
      <c r="P245">
        <f>IF(N245&gt;12,ROUNDDOWN(N245/12,0),0)</f>
        <v>0</v>
      </c>
      <c r="Q245" t="str">
        <v>x</v>
      </c>
      <c r="R245">
        <f>IF(P245&gt;0,MAX(VLOOKUP(F245,$D$6:$G$15,3,FALSE),600),0)/1000</f>
        <v>0</v>
      </c>
      <c r="T245" t="str">
        <v>x</v>
      </c>
      <c r="U245">
        <f>U244</f>
        <v>1.041885</v>
      </c>
      <c r="V245" t="str">
        <v>x</v>
      </c>
      <c r="W245">
        <f>D245</f>
        <v>3</v>
      </c>
      <c r="X245" t="str">
        <v>x</v>
      </c>
      <c r="Y245">
        <f>Y244</f>
        <v>1</v>
      </c>
      <c r="Z245" t="str">
        <v>=</v>
      </c>
      <c r="AA245">
        <f>(N245+P245*R245/1000)*U245*W245*Y245</f>
        <v>6.35133096</v>
      </c>
    </row>
    <row r="247">
      <c r="A247" t="str">
        <f>A235</f>
        <v>Lantai 1</v>
      </c>
      <c r="B247">
        <f>B235</f>
        <v>8</v>
      </c>
      <c r="C247" t="str">
        <v>Tul Peminggang</v>
      </c>
      <c r="D247">
        <f>VLOOKUP(D235,'Detail Balok'!$C$10:$AU$140,13,FALSE)</f>
        <v>0</v>
      </c>
      <c r="E247" t="str">
        <v>D</v>
      </c>
      <c r="F247">
        <f>VLOOKUP(D235,'Detail Balok'!$C$10:$AU$140,15,FALSE)</f>
        <v>8</v>
      </c>
      <c r="J247">
        <f>+D237/1000</f>
        <v>1.72</v>
      </c>
      <c r="K247" t="str">
        <v>+</v>
      </c>
      <c r="L247">
        <f>2*$F$16*F247/1000</f>
        <v>0.192</v>
      </c>
      <c r="M247" t="str">
        <v>=</v>
      </c>
      <c r="N247">
        <f>J247+L247</f>
        <v>1.912</v>
      </c>
      <c r="O247" t="str">
        <v>+</v>
      </c>
      <c r="P247">
        <f>IF(N247&gt;12,ROUNDDOWN(N247/12,0),0)</f>
        <v>0</v>
      </c>
      <c r="Q247" t="str">
        <v>x</v>
      </c>
      <c r="R247">
        <f>IF(P247&gt;0,MAX(VLOOKUP(F247,$D$6:$G$15,3,FALSE),600),0)/1000</f>
        <v>0</v>
      </c>
      <c r="T247" t="str">
        <v>x</v>
      </c>
      <c r="U247">
        <f>0.006165*F247^2</f>
        <v>0.39456</v>
      </c>
      <c r="V247" t="str">
        <v>x</v>
      </c>
      <c r="W247">
        <f>+D247</f>
        <v>0</v>
      </c>
      <c r="X247" t="str">
        <v>x</v>
      </c>
      <c r="Y247">
        <f>D241</f>
        <v>1</v>
      </c>
      <c r="Z247" t="str">
        <v>=</v>
      </c>
      <c r="AA247">
        <f>(N247+P247*R247/1000)*U247*W247*Y247</f>
        <v>0</v>
      </c>
    </row>
    <row r="250">
      <c r="A250" t="str">
        <f>A235</f>
        <v>Lantai 1</v>
      </c>
      <c r="B250">
        <f>B235</f>
        <v>8</v>
      </c>
      <c r="C250" t="str">
        <v>Tul Bawah Tumpuan</v>
      </c>
      <c r="D250">
        <f>VLOOKUP(D235,'Detail Balok'!$C$10:$AU$140,22,FALSE)</f>
        <v>3</v>
      </c>
      <c r="E250" t="str">
        <v>D</v>
      </c>
      <c r="F250">
        <f>VLOOKUP(D235,'Detail Balok'!$C$10:$AU$140,24,FALSE)</f>
        <v>13</v>
      </c>
      <c r="I250" t="str">
        <v>(</v>
      </c>
      <c r="J250">
        <f>+J242</f>
        <v>0.43</v>
      </c>
      <c r="K250" t="str">
        <v>+</v>
      </c>
      <c r="L250">
        <f>MAX(VLOOKUP(F250,N$6:P$15,3,FALSE)/1000,2/3*D240/1000)+F$16*F250/1000</f>
        <v>0.156</v>
      </c>
      <c r="M250" t="str">
        <v>=</v>
      </c>
      <c r="N250">
        <f>J250+L250</f>
        <v>0.586</v>
      </c>
      <c r="O250" t="str">
        <v>+</v>
      </c>
      <c r="P250">
        <f>D250-D251</f>
        <v>0</v>
      </c>
      <c r="Q250" t="str">
        <v>x</v>
      </c>
      <c r="R250">
        <f>IF(P250&gt;0,$F$18*F250/1000,0)</f>
        <v>0</v>
      </c>
      <c r="S250" t="str">
        <v>)</v>
      </c>
      <c r="T250" t="str">
        <v>x</v>
      </c>
      <c r="U250">
        <f>0.006165*F250^2</f>
        <v>1.041885</v>
      </c>
      <c r="X250" t="str">
        <v>x</v>
      </c>
      <c r="Y250">
        <f>D241</f>
        <v>1</v>
      </c>
      <c r="Z250" t="str">
        <v>=</v>
      </c>
      <c r="AA250">
        <f>IF(AA253=0,(D250*N250+P250*R250)*U250*Y250,0)</f>
        <v>0</v>
      </c>
    </row>
    <row r="251">
      <c r="A251" t="str">
        <f>A235</f>
        <v>Lantai 1</v>
      </c>
      <c r="B251">
        <f>B235</f>
        <v>8</v>
      </c>
      <c r="C251" t="str">
        <v>Tul Bawah Lapangan</v>
      </c>
      <c r="D251">
        <f>VLOOKUP(D235,'Detail Balok'!$C$10:$AU$140,25,FALSE)</f>
        <v>3</v>
      </c>
      <c r="E251" t="str">
        <v>D</v>
      </c>
      <c r="F251">
        <f>VLOOKUP(D235,'Detail Balok'!$C$10:$AU$140,27,FALSE)</f>
        <v>13</v>
      </c>
      <c r="I251" t="str">
        <v>(</v>
      </c>
      <c r="J251">
        <f>+J243</f>
        <v>0.86</v>
      </c>
      <c r="K251" t="str">
        <v>+</v>
      </c>
      <c r="M251" t="str">
        <v>=</v>
      </c>
      <c r="N251">
        <f>J251+L251</f>
        <v>0.86</v>
      </c>
      <c r="O251" t="str">
        <v>+</v>
      </c>
      <c r="P251">
        <f>MAX(D251-D250,D251-D252)</f>
        <v>0</v>
      </c>
      <c r="Q251" t="str">
        <v>x</v>
      </c>
      <c r="R251">
        <f>IF(P251&gt;0,2*(1-2*$F$19-1/2)*D238/1000,0)</f>
        <v>0</v>
      </c>
      <c r="S251" t="str">
        <v>)</v>
      </c>
      <c r="T251" t="str">
        <v>x</v>
      </c>
      <c r="U251">
        <f>0.006165*F251^2</f>
        <v>1.041885</v>
      </c>
      <c r="X251" t="str">
        <v>x</v>
      </c>
      <c r="Y251">
        <f>D241</f>
        <v>1</v>
      </c>
      <c r="Z251" t="str">
        <v>=</v>
      </c>
      <c r="AA251">
        <f>IF(AA253=0,(D251*N251+P251*R251)*U251*Y251,0)</f>
        <v>0</v>
      </c>
    </row>
    <row r="252">
      <c r="A252" t="str">
        <f>A235</f>
        <v>Lantai 1</v>
      </c>
      <c r="B252">
        <f>B235</f>
        <v>8</v>
      </c>
      <c r="C252" t="str">
        <v>Tul Bawah Tumpuan</v>
      </c>
      <c r="D252">
        <f>VLOOKUP(D235,'Detail Balok'!$C$10:$AU$140,28,FALSE)</f>
        <v>3</v>
      </c>
      <c r="E252" t="str">
        <v>D</v>
      </c>
      <c r="F252">
        <f>VLOOKUP(D235,'Detail Balok'!$C$10:$AU$140,30,FALSE)</f>
        <v>13</v>
      </c>
      <c r="I252" t="str">
        <v>(</v>
      </c>
      <c r="J252">
        <f>+J244</f>
        <v>0.43</v>
      </c>
      <c r="K252" t="str">
        <v>+</v>
      </c>
      <c r="L252">
        <f>MAX(VLOOKUP(F252,N$6:P$15,3,FALSE)/1000,2/3*D240/1000)+F$16*F252/1000</f>
        <v>0.156</v>
      </c>
      <c r="M252" t="str">
        <v>=</v>
      </c>
      <c r="N252">
        <f>J252+L252</f>
        <v>0.586</v>
      </c>
      <c r="O252" t="str">
        <v>+</v>
      </c>
      <c r="P252">
        <f>D252-D251</f>
        <v>0</v>
      </c>
      <c r="Q252" t="str">
        <v>x</v>
      </c>
      <c r="R252">
        <f>IF(P252&gt;0,$F$18*F252/1000,0)</f>
        <v>0</v>
      </c>
      <c r="S252" t="str">
        <v>)</v>
      </c>
      <c r="T252" t="str">
        <v>x</v>
      </c>
      <c r="U252">
        <f>0.006165*F252^2</f>
        <v>1.041885</v>
      </c>
      <c r="X252" t="str">
        <v>x</v>
      </c>
      <c r="Y252">
        <f>D241</f>
        <v>1</v>
      </c>
      <c r="Z252" t="str">
        <v>=</v>
      </c>
      <c r="AA252">
        <f>IF(AA253=0,(D252*N252+P252*R252)*U252*Y252,0)</f>
        <v>0</v>
      </c>
    </row>
    <row r="253">
      <c r="A253" t="str">
        <f>A235</f>
        <v>Lantai 1</v>
      </c>
      <c r="B253">
        <f>B235</f>
        <v>8</v>
      </c>
      <c r="D253">
        <f>IF(AND(D250=D251,D251=D252,D250=D252),D250,0)</f>
        <v>3</v>
      </c>
      <c r="E253" t="str">
        <v>D</v>
      </c>
      <c r="F253">
        <f>IF(AND(F250=F251,F250=F252,F251=F252),F250,0)</f>
        <v>13</v>
      </c>
      <c r="L253" t="str">
        <v>Total panjang per balok</v>
      </c>
      <c r="M253" t="str">
        <v>=</v>
      </c>
      <c r="N253">
        <f>IF(AND(D250=D251,D250=D252,D251=D252,F250=F251,F250=F252,F251=F252),SUM(N250:N252),0)</f>
        <v>2.032</v>
      </c>
      <c r="O253" t="str">
        <v>+</v>
      </c>
      <c r="P253">
        <f>IF(N253&gt;12,ROUNDDOWN(N253/12,0),0)</f>
        <v>0</v>
      </c>
      <c r="Q253" t="str">
        <v>x</v>
      </c>
      <c r="R253">
        <f>IF(P253&gt;0,MAX(VLOOKUP(F253,$D$6:$G$15,3,FALSE),600),0)/1000</f>
        <v>0</v>
      </c>
      <c r="T253" t="str">
        <v>x</v>
      </c>
      <c r="U253">
        <f>U252</f>
        <v>1.041885</v>
      </c>
      <c r="V253" t="str">
        <v>x</v>
      </c>
      <c r="W253">
        <f>D253</f>
        <v>3</v>
      </c>
      <c r="X253" t="str">
        <v>x</v>
      </c>
      <c r="Y253">
        <f>Y252</f>
        <v>1</v>
      </c>
      <c r="Z253" t="str">
        <v>=</v>
      </c>
      <c r="AA253">
        <f>(N253+P253*R253/1000)*U253*W253*Y253</f>
        <v>6.35133096</v>
      </c>
    </row>
    <row r="255">
      <c r="A255" t="str">
        <f>A235</f>
        <v>Lantai 1</v>
      </c>
      <c r="B255">
        <f>B235</f>
        <v>8</v>
      </c>
      <c r="C255" t="str">
        <v>Sengkang Tumpuan</v>
      </c>
      <c r="D255">
        <f>VLOOKUP(D235,'Detail Balok'!$C$10:$AU$140,31,FALSE)</f>
        <v>0</v>
      </c>
      <c r="E255" t="str">
        <v>D</v>
      </c>
      <c r="F255">
        <f>VLOOKUP(D235,'Detail Balok'!$C$10:$AU$140,33,FALSE)</f>
        <v>8</v>
      </c>
      <c r="G255" t="str">
        <v>-</v>
      </c>
      <c r="H255">
        <f>VLOOKUP(D235,'Detail Balok'!$C$10:$AU$140,35,FALSE)</f>
        <v>150</v>
      </c>
      <c r="J255">
        <f>(IF(D255=0,(2*(D236+G236))-(F$5*8),IF(D255=3,(2*(D236+G236))-(F$5*8)+(G236-2*F$5),IF(D255=4,(2*(D236+G236))-(F$5*8)+2*(G236-2*F$5)))))/1000</f>
        <v>0.88</v>
      </c>
      <c r="K255" t="str">
        <v>+</v>
      </c>
      <c r="L255">
        <f>IF(D255=0,2*MAX(6*F255,75),(D255-1)*2*MAX(6*F255,75))/1000</f>
        <v>0.15</v>
      </c>
      <c r="M255" t="str">
        <v>=</v>
      </c>
      <c r="N255">
        <f>J255+L255</f>
        <v>1.03</v>
      </c>
      <c r="T255" t="str">
        <v>x</v>
      </c>
      <c r="U255">
        <f>0.006165*F255^2</f>
        <v>0.39456</v>
      </c>
      <c r="V255" t="str">
        <v>x</v>
      </c>
      <c r="W255">
        <f>IF(D238&gt;4*G236,ROUND(MAX(D238/4,2*G236)/H255,0)+1,ROUND(D238/H255,0)+1)</f>
        <v>6</v>
      </c>
      <c r="X255" t="str">
        <v>x</v>
      </c>
      <c r="Y255">
        <f>D241</f>
        <v>1</v>
      </c>
      <c r="Z255" t="str">
        <v>=</v>
      </c>
      <c r="AA255">
        <f>N255*U255*W255*Y255</f>
        <v>2.4383808000000005</v>
      </c>
    </row>
    <row r="256">
      <c r="A256" t="str">
        <f>A235</f>
        <v>Lantai 1</v>
      </c>
      <c r="B256">
        <f>B235</f>
        <v>8</v>
      </c>
      <c r="C256" t="str">
        <v>Sengkang Lapangan</v>
      </c>
      <c r="D256">
        <f>VLOOKUP(D235,'Detail Balok'!$C$10:$AU$140,36,FALSE)</f>
        <v>0</v>
      </c>
      <c r="E256" t="str">
        <v>D</v>
      </c>
      <c r="F256">
        <f>VLOOKUP(D235,'Detail Balok'!$C$10:$AU$140,38,FALSE)</f>
        <v>8</v>
      </c>
      <c r="G256" t="str">
        <v>-</v>
      </c>
      <c r="H256">
        <f>VLOOKUP(D235,'Detail Balok'!$C$10:$AU$140,40,FALSE)</f>
        <v>200</v>
      </c>
      <c r="J256">
        <f>(IF(D256=0,(2*(D236+G236))-(F$5*8),IF(D256=3,(2*(D236+G236))-(F$5*8)+(G236-2*F$5),IF(D256=4,(2*(D236+G236))-(F$5*8)+2*(G236-2*F$5)))))/1000</f>
        <v>0.88</v>
      </c>
      <c r="K256" t="str">
        <v>+</v>
      </c>
      <c r="L256">
        <f>IF(D256=0,2*MAX(6*F256,75),(D256-1)*2*MAX(6*F256,75))/1000</f>
        <v>0.15</v>
      </c>
      <c r="M256" t="str">
        <v>=</v>
      </c>
      <c r="N256">
        <f>J256+L256</f>
        <v>1.03</v>
      </c>
      <c r="T256" t="str">
        <v>x</v>
      </c>
      <c r="U256">
        <f>0.006165*F256^2</f>
        <v>0.39456</v>
      </c>
      <c r="V256" t="str">
        <v>x</v>
      </c>
      <c r="W256">
        <f>IF(D238-MAX(D238/4,2*G236)*2&gt;0,ROUND((D238-MAX(D238/4,2*G236)*2)/H256,0),0)</f>
        <v>1</v>
      </c>
      <c r="X256" t="str">
        <v>x</v>
      </c>
      <c r="Y256">
        <f>D241</f>
        <v>1</v>
      </c>
      <c r="Z256" t="str">
        <v>=</v>
      </c>
      <c r="AA256">
        <f>N256*U256*W256*Y256</f>
        <v>0.40639680000000006</v>
      </c>
    </row>
    <row r="257">
      <c r="A257" t="str">
        <f>A235</f>
        <v>Lantai 1</v>
      </c>
      <c r="B257">
        <f>B235</f>
        <v>8</v>
      </c>
      <c r="C257" t="str">
        <v>Sengkang Tumpuan</v>
      </c>
      <c r="D257">
        <f>VLOOKUP(D235,'Detail Balok'!$C$10:$AU$140,41,FALSE)</f>
        <v>0</v>
      </c>
      <c r="E257" t="str">
        <v>D</v>
      </c>
      <c r="F257">
        <f>VLOOKUP(D235,'Detail Balok'!$C$10:$AU$140,43,FALSE)</f>
        <v>8</v>
      </c>
      <c r="G257" t="str">
        <v>-</v>
      </c>
      <c r="H257">
        <f>VLOOKUP(D235,'Detail Balok'!$C$10:$AU$140,45,FALSE)</f>
        <v>150</v>
      </c>
      <c r="J257">
        <f>(IF(D257=0,(2*(D236+G236))-(F$5*8),IF(D257=3,(2*(D236+G236))-(F$5*8)+(G236-2*F$5),IF(D257=4,(2*(D236+G236))-(F$5*8)+2*(G236-2*F$5)))))/1000</f>
        <v>0.88</v>
      </c>
      <c r="K257" t="str">
        <v>+</v>
      </c>
      <c r="L257">
        <f>IF(D257=0,2*MAX(6*F257,75),(D257-1)*2*MAX(6*F257,75))/1000</f>
        <v>0.15</v>
      </c>
      <c r="M257" t="str">
        <v>=</v>
      </c>
      <c r="N257">
        <f>J257+L257</f>
        <v>1.03</v>
      </c>
      <c r="T257" t="str">
        <v>x</v>
      </c>
      <c r="U257">
        <f>0.006165*F257^2</f>
        <v>0.39456</v>
      </c>
      <c r="V257" t="str">
        <v>x</v>
      </c>
      <c r="W257">
        <f>IF(D238&gt;4*G236,ROUND(MAX(D238/4,2*G236)/H257,0)+1,0)</f>
        <v>6</v>
      </c>
      <c r="X257" t="str">
        <v>x</v>
      </c>
      <c r="Y257">
        <f>D241</f>
        <v>1</v>
      </c>
      <c r="Z257" t="str">
        <v>=</v>
      </c>
      <c r="AA257">
        <f>N257*U257*W257*Y257</f>
        <v>2.4383808000000005</v>
      </c>
    </row>
    <row r="259">
      <c r="A259" t="str">
        <f>A235</f>
        <v>Lantai 1</v>
      </c>
      <c r="B259">
        <f>B235</f>
        <v>8</v>
      </c>
      <c r="C259" t="str">
        <v>Kait Horizontal Tump.</v>
      </c>
      <c r="D259">
        <f>VLOOKUP(D235,'Detail Balok'!$C$10:$BJ$140,46,FALSE)</f>
        <v>0</v>
      </c>
      <c r="E259" t="str">
        <v>D</v>
      </c>
      <c r="F259">
        <f>VLOOKUP(D235,'Detail Balok'!$C$10:$BJ$140,48,FALSE)</f>
        <v>0</v>
      </c>
      <c r="G259" t="str">
        <v>-</v>
      </c>
      <c r="H259">
        <f>VLOOKUP(D235,'Detail Balok'!$C$10:$BJ$140,50,FALSE)</f>
        <v>100</v>
      </c>
      <c r="J259">
        <f>(D236-2*F$5)/1000</f>
        <v>0.12</v>
      </c>
      <c r="K259" t="str">
        <v>+</v>
      </c>
      <c r="L259">
        <f>IF(D259=0,2*MAX(6*F259,75),(D259-1)*2*MAX(6*F259,75))/1000</f>
        <v>0.15</v>
      </c>
      <c r="M259" t="str">
        <v>=</v>
      </c>
      <c r="N259">
        <f>J259+L259</f>
        <v>0.27</v>
      </c>
      <c r="T259" t="str">
        <v>x</v>
      </c>
      <c r="U259">
        <f>0.006165*F259^2</f>
        <v>0</v>
      </c>
      <c r="V259" t="str">
        <v>x</v>
      </c>
      <c r="W259">
        <f>W255</f>
        <v>6</v>
      </c>
      <c r="X259" t="str">
        <v>x</v>
      </c>
      <c r="Y259">
        <f>D245</f>
        <v>3</v>
      </c>
      <c r="Z259" t="str">
        <v>=</v>
      </c>
      <c r="AA259">
        <f>N259*U259*W259*Y259</f>
        <v>0</v>
      </c>
    </row>
    <row r="260">
      <c r="A260" t="str">
        <f>A235</f>
        <v>Lantai 1</v>
      </c>
      <c r="B260">
        <f>B235</f>
        <v>8</v>
      </c>
      <c r="C260" t="str">
        <v>Kait Horizontal Lap.</v>
      </c>
      <c r="D260">
        <f>VLOOKUP(D235,'Detail Balok'!$C$10:$BJ$140,51,FALSE)</f>
        <v>0</v>
      </c>
      <c r="E260" t="str">
        <v>D</v>
      </c>
      <c r="F260">
        <f>VLOOKUP(D235,'Detail Balok'!$C$10:$BJ$140,53,FALSE)</f>
        <v>0</v>
      </c>
      <c r="G260" t="str">
        <v>-</v>
      </c>
      <c r="H260">
        <f>VLOOKUP(D235,'Detail Balok'!$C$10:$BJ$140,55,FALSE)</f>
        <v>100</v>
      </c>
      <c r="J260">
        <f>(D236-2*F$5)/1000</f>
        <v>0.12</v>
      </c>
      <c r="K260" t="str">
        <v>+</v>
      </c>
      <c r="L260">
        <f>IF(D260=0,2*MAX(6*F260,75),(D260-1)*2*MAX(6*F260,75))/1000</f>
        <v>0.15</v>
      </c>
      <c r="M260" t="str">
        <v>=</v>
      </c>
      <c r="N260">
        <f>J260+L260</f>
        <v>0.27</v>
      </c>
      <c r="T260" t="str">
        <v>x</v>
      </c>
      <c r="U260">
        <f>0.006165*F260^2</f>
        <v>0</v>
      </c>
      <c r="V260" t="str">
        <v>x</v>
      </c>
      <c r="W260">
        <f>W256</f>
        <v>1</v>
      </c>
      <c r="X260" t="str">
        <v>x</v>
      </c>
      <c r="Y260">
        <f>D245</f>
        <v>3</v>
      </c>
      <c r="Z260" t="str">
        <v>=</v>
      </c>
      <c r="AA260">
        <f>N260*U260*W260*Y260</f>
        <v>0</v>
      </c>
    </row>
    <row r="261">
      <c r="A261" t="str">
        <f>A235</f>
        <v>Lantai 1</v>
      </c>
      <c r="B261">
        <f>B235</f>
        <v>8</v>
      </c>
      <c r="C261" t="str">
        <v>Kait Horizontal Tump.</v>
      </c>
      <c r="D261">
        <f>VLOOKUP(D235,'Detail Balok'!$C$10:$BJ$140,56,FALSE)</f>
        <v>0</v>
      </c>
      <c r="E261" t="str">
        <v>D</v>
      </c>
      <c r="F261">
        <f>VLOOKUP(D235,'Detail Balok'!$C$10:$BJ$140,58,FALSE)</f>
        <v>0</v>
      </c>
      <c r="G261" t="str">
        <v>-</v>
      </c>
      <c r="H261">
        <f>VLOOKUP(D235,'Detail Balok'!$C$10:$BJ$140,60,FALSE)</f>
        <v>100</v>
      </c>
      <c r="J261">
        <f>(D236-2*F$5)/1000</f>
        <v>0.12</v>
      </c>
      <c r="K261" t="str">
        <v>+</v>
      </c>
      <c r="L261">
        <f>IF(D261=0,2*MAX(6*F261,75),(D261-1)*2*MAX(6*F261,75))/1000</f>
        <v>0.15</v>
      </c>
      <c r="M261" t="str">
        <v>=</v>
      </c>
      <c r="N261">
        <f>J261+L261</f>
        <v>0.27</v>
      </c>
      <c r="T261" t="str">
        <v>x</v>
      </c>
      <c r="U261">
        <f>0.006165*F261^2</f>
        <v>0</v>
      </c>
      <c r="V261" t="str">
        <v>x</v>
      </c>
      <c r="W261">
        <f>W257</f>
        <v>6</v>
      </c>
      <c r="X261" t="str">
        <v>x</v>
      </c>
      <c r="Y261">
        <f>D245</f>
        <v>3</v>
      </c>
      <c r="Z261" t="str">
        <v>=</v>
      </c>
      <c r="AA261">
        <f>N261*U261*W261*Y261</f>
        <v>0</v>
      </c>
    </row>
    <row r="265">
      <c r="A265" t="str">
        <f>A235</f>
        <v>Lantai 1</v>
      </c>
      <c r="B265">
        <f>B235+1</f>
        <v>9</v>
      </c>
      <c r="C265" t="str">
        <f>CONCATENATE(A265," no. ",B265)</f>
        <v>Lantai 1 no. 9</v>
      </c>
      <c r="D265" t="str">
        <f>VLOOKUP(C265,'Data Panjang Balok'!$C$9:$N$254,2,FALSE)</f>
        <v>S23-1</v>
      </c>
    </row>
    <row r="266">
      <c r="C266" t="str">
        <v>Dimensi</v>
      </c>
      <c r="D266">
        <f>VLOOKUP(D265,'Detail Balok'!$C$10:$AU$140,2,FALSE)</f>
        <v>200</v>
      </c>
      <c r="F266" t="str">
        <v>x</v>
      </c>
      <c r="G266">
        <f>VLOOKUP(D265,'Detail Balok'!$C$10:$AU$140,3,FALSE)</f>
        <v>300</v>
      </c>
    </row>
    <row r="267">
      <c r="C267" t="str">
        <v>Panjang as ke as</v>
      </c>
      <c r="D267">
        <f>VLOOKUP(C265,'Data Panjang Balok'!$C$9:$N$254,4,FALSE)</f>
        <v>5000</v>
      </c>
    </row>
    <row r="268">
      <c r="C268" t="str">
        <v>Panjang netto</v>
      </c>
      <c r="D268">
        <f>VLOOKUP(C265,'Data Panjang Balok'!$C$9:$N$254,7,FALSE)</f>
        <v>5000</v>
      </c>
    </row>
    <row r="269">
      <c r="C269" t="str">
        <v>Kolom / balok kiri</v>
      </c>
      <c r="D269">
        <f>VLOOKUP(C265,'Data Panjang Balok'!$C$9:$N$254,9,FALSE)</f>
        <v>0</v>
      </c>
    </row>
    <row r="270">
      <c r="C270" t="str">
        <v>Kolom / balok kanan</v>
      </c>
      <c r="D270">
        <f>VLOOKUP(C265,'Data Panjang Balok'!$C$9:$N$254,10,FALSE)</f>
        <v>0</v>
      </c>
    </row>
    <row r="271">
      <c r="C271" t="str">
        <v>Jumlah</v>
      </c>
      <c r="D271">
        <f>VLOOKUP(C265,'Data Panjang Balok'!$C$9:$N$254,3,FALSE)</f>
        <v>1</v>
      </c>
    </row>
    <row r="272">
      <c r="A272" t="str">
        <f>A265</f>
        <v>Lantai 1</v>
      </c>
      <c r="B272">
        <f>B265</f>
        <v>9</v>
      </c>
      <c r="C272" t="str">
        <v>Tul Atas Tumpuan</v>
      </c>
      <c r="D272">
        <f>VLOOKUP(D265,'Detail Balok'!$C$10:$AU$140,4,FALSE)</f>
        <v>2</v>
      </c>
      <c r="E272" t="str">
        <v>D</v>
      </c>
      <c r="F272">
        <f>VLOOKUP(D265,'Detail Balok'!$C$10:$AU$140,6,FALSE)</f>
        <v>13</v>
      </c>
      <c r="I272" t="str">
        <v>(</v>
      </c>
      <c r="J272">
        <f>+D267/4/1000</f>
        <v>1.25</v>
      </c>
      <c r="K272" t="str">
        <v>+</v>
      </c>
      <c r="L272">
        <f>MAX(VLOOKUP(F272,N$6:P$15,3,FALSE)/1000,2/3*D269/1000)+F$16*F272/1000</f>
        <v>0.156</v>
      </c>
      <c r="M272" t="str">
        <v>=</v>
      </c>
      <c r="N272">
        <f>J272+L272</f>
        <v>1.406</v>
      </c>
      <c r="O272" t="str">
        <v>+</v>
      </c>
      <c r="P272">
        <f>D272-D273</f>
        <v>0</v>
      </c>
      <c r="Q272" t="str">
        <v>x</v>
      </c>
      <c r="R272">
        <f>IF(P272&gt;0,$F$18*F272/1000,0)</f>
        <v>0</v>
      </c>
      <c r="S272" t="str">
        <v>)</v>
      </c>
      <c r="T272" t="str">
        <v>x</v>
      </c>
      <c r="U272">
        <f>0.006165*F272^2</f>
        <v>1.041885</v>
      </c>
      <c r="X272" t="str">
        <v>x</v>
      </c>
      <c r="Y272">
        <f>D271</f>
        <v>1</v>
      </c>
      <c r="Z272" t="str">
        <v>=</v>
      </c>
      <c r="AA272">
        <f>IF(AA275=0,(D272*N272+P272*R272)*U272*Y272,0)</f>
        <v>0</v>
      </c>
    </row>
    <row r="273">
      <c r="A273" t="str">
        <f>A265</f>
        <v>Lantai 1</v>
      </c>
      <c r="B273">
        <f>B265</f>
        <v>9</v>
      </c>
      <c r="C273" t="str">
        <v>Tul Atas Lapangan</v>
      </c>
      <c r="D273">
        <f>VLOOKUP(D265,'Detail Balok'!$C$10:$AU$140,7,FALSE)</f>
        <v>2</v>
      </c>
      <c r="E273" t="str">
        <v>D</v>
      </c>
      <c r="F273">
        <f>VLOOKUP(D265,'Detail Balok'!$C$10:$AU$140,9,FALSE)</f>
        <v>13</v>
      </c>
      <c r="I273" t="str">
        <v>(</v>
      </c>
      <c r="J273">
        <f>+D267/2/1000</f>
        <v>2.5</v>
      </c>
      <c r="K273" t="str">
        <v>+</v>
      </c>
      <c r="M273" t="str">
        <v>=</v>
      </c>
      <c r="N273">
        <f>J273+L273</f>
        <v>2.5</v>
      </c>
      <c r="O273" t="str">
        <v>+</v>
      </c>
      <c r="P273">
        <f>MAX(D273-D272,D273-D274)</f>
        <v>0</v>
      </c>
      <c r="Q273" t="str">
        <v>x</v>
      </c>
      <c r="R273">
        <f>IF(P273&gt;0,2*(1-2*$F$19-1/2)*D268/1000,0)</f>
        <v>0</v>
      </c>
      <c r="S273" t="str">
        <v>)</v>
      </c>
      <c r="T273" t="str">
        <v>x</v>
      </c>
      <c r="U273">
        <f>0.006165*F273^2</f>
        <v>1.041885</v>
      </c>
      <c r="X273" t="str">
        <v>x</v>
      </c>
      <c r="Y273">
        <f>D271</f>
        <v>1</v>
      </c>
      <c r="Z273" t="str">
        <v>=</v>
      </c>
      <c r="AA273">
        <f>IF(AA275=0,(D273*N273+P273*R273)*U273*Y273,0)</f>
        <v>0</v>
      </c>
    </row>
    <row r="274">
      <c r="A274" t="str">
        <f>A265</f>
        <v>Lantai 1</v>
      </c>
      <c r="B274">
        <f>B265</f>
        <v>9</v>
      </c>
      <c r="C274" t="str">
        <v>Tul Atas Tumpuan</v>
      </c>
      <c r="D274">
        <f>VLOOKUP(D265,'Detail Balok'!$C$10:$AU$140,10,FALSE)</f>
        <v>2</v>
      </c>
      <c r="E274" t="str">
        <v>D</v>
      </c>
      <c r="F274">
        <f>VLOOKUP(D265,'Detail Balok'!$C$10:$AU$140,12,FALSE)</f>
        <v>13</v>
      </c>
      <c r="I274" t="str">
        <v>(</v>
      </c>
      <c r="J274">
        <f>+D267/4/1000</f>
        <v>1.25</v>
      </c>
      <c r="K274" t="str">
        <v>+</v>
      </c>
      <c r="L274">
        <f>MAX(VLOOKUP(F274,N$6:P$15,3,FALSE)/1000,2/3*D269/1000)+F$16*F274/1000</f>
        <v>0.156</v>
      </c>
      <c r="M274" t="str">
        <v>=</v>
      </c>
      <c r="N274">
        <f>J274+L274</f>
        <v>1.406</v>
      </c>
      <c r="O274" t="str">
        <v>+</v>
      </c>
      <c r="P274">
        <f>D274-D273</f>
        <v>0</v>
      </c>
      <c r="Q274" t="str">
        <v>x</v>
      </c>
      <c r="R274">
        <f>IF(P274&gt;0,$F$18*F274/1000,0)</f>
        <v>0</v>
      </c>
      <c r="S274" t="str">
        <v>)</v>
      </c>
      <c r="T274" t="str">
        <v>x</v>
      </c>
      <c r="U274">
        <f>0.006165*F274^2</f>
        <v>1.041885</v>
      </c>
      <c r="X274" t="str">
        <v>x</v>
      </c>
      <c r="Y274">
        <f>D271</f>
        <v>1</v>
      </c>
      <c r="Z274" t="str">
        <v>=</v>
      </c>
      <c r="AA274">
        <f>IF(AA275=0,(D274*N274+P274*R274)*U274*Y274,0)</f>
        <v>0</v>
      </c>
    </row>
    <row r="275">
      <c r="A275" t="str">
        <f>A265</f>
        <v>Lantai 1</v>
      </c>
      <c r="B275">
        <f>B265</f>
        <v>9</v>
      </c>
      <c r="D275">
        <f>IF(AND(D272=D273,D273=D274,D272=D274),D272,0)</f>
        <v>2</v>
      </c>
      <c r="E275" t="str">
        <v>D</v>
      </c>
      <c r="F275">
        <f>IF(AND(F272=F273,F272=F274,F273=F274),F272,0)</f>
        <v>13</v>
      </c>
      <c r="L275" t="str">
        <v>Total panjang per balok</v>
      </c>
      <c r="M275" t="str">
        <v>=</v>
      </c>
      <c r="N275">
        <f>IF(AND(D272=D273,D272=D274,D273=D274,F272=F273,F272=F274,F273=F274),SUM(N272:N274),0)</f>
        <v>5.311999999999999</v>
      </c>
      <c r="O275" t="str">
        <v>+</v>
      </c>
      <c r="P275">
        <f>IF(N275&gt;12,ROUNDDOWN(N275/12,0),0)</f>
        <v>0</v>
      </c>
      <c r="Q275" t="str">
        <v>x</v>
      </c>
      <c r="R275">
        <f>IF(P275&gt;0,MAX(VLOOKUP(F275,$D$6:$G$15,3,FALSE),600),0)/1000</f>
        <v>0</v>
      </c>
      <c r="T275" t="str">
        <v>x</v>
      </c>
      <c r="U275">
        <f>U274</f>
        <v>1.041885</v>
      </c>
      <c r="V275" t="str">
        <v>x</v>
      </c>
      <c r="W275">
        <f>D275</f>
        <v>2</v>
      </c>
      <c r="X275" t="str">
        <v>x</v>
      </c>
      <c r="Y275">
        <f>Y274</f>
        <v>1</v>
      </c>
      <c r="Z275" t="str">
        <v>=</v>
      </c>
      <c r="AA275">
        <f>(N275+P275*R275/1000)*U275*W275*Y275</f>
        <v>11.068986239999997</v>
      </c>
    </row>
    <row r="277">
      <c r="A277" t="str">
        <f>A265</f>
        <v>Lantai 1</v>
      </c>
      <c r="B277">
        <f>B265</f>
        <v>9</v>
      </c>
      <c r="C277" t="str">
        <v>Tul Peminggang</v>
      </c>
      <c r="D277">
        <f>VLOOKUP(D265,'Detail Balok'!$C$10:$AU$140,13,FALSE)</f>
        <v>0</v>
      </c>
      <c r="E277" t="str">
        <v>D</v>
      </c>
      <c r="F277">
        <f>VLOOKUP(D265,'Detail Balok'!$C$10:$AU$140,15,FALSE)</f>
        <v>8</v>
      </c>
      <c r="J277">
        <f>+D267/1000</f>
        <v>5</v>
      </c>
      <c r="K277" t="str">
        <v>+</v>
      </c>
      <c r="L277">
        <f>2*$F$16*F277/1000</f>
        <v>0.192</v>
      </c>
      <c r="M277" t="str">
        <v>=</v>
      </c>
      <c r="N277">
        <f>J277+L277</f>
        <v>5.192</v>
      </c>
      <c r="O277" t="str">
        <v>+</v>
      </c>
      <c r="P277">
        <f>IF(N277&gt;12,ROUNDDOWN(N277/12,0),0)</f>
        <v>0</v>
      </c>
      <c r="Q277" t="str">
        <v>x</v>
      </c>
      <c r="R277">
        <f>IF(P277&gt;0,MAX(VLOOKUP(F277,$D$6:$G$15,3,FALSE),600),0)/1000</f>
        <v>0</v>
      </c>
      <c r="T277" t="str">
        <v>x</v>
      </c>
      <c r="U277">
        <f>0.006165*F277^2</f>
        <v>0.39456</v>
      </c>
      <c r="V277" t="str">
        <v>x</v>
      </c>
      <c r="W277">
        <f>+D277</f>
        <v>0</v>
      </c>
      <c r="X277" t="str">
        <v>x</v>
      </c>
      <c r="Y277">
        <f>D271</f>
        <v>1</v>
      </c>
      <c r="Z277" t="str">
        <v>=</v>
      </c>
      <c r="AA277">
        <f>(N277+P277*R277/1000)*U277*W277*Y277</f>
        <v>0</v>
      </c>
    </row>
    <row r="280">
      <c r="A280" t="str">
        <f>A265</f>
        <v>Lantai 1</v>
      </c>
      <c r="B280">
        <f>B265</f>
        <v>9</v>
      </c>
      <c r="C280" t="str">
        <v>Tul Bawah Tumpuan</v>
      </c>
      <c r="D280">
        <f>VLOOKUP(D265,'Detail Balok'!$C$10:$AU$140,22,FALSE)</f>
        <v>2</v>
      </c>
      <c r="E280" t="str">
        <v>D</v>
      </c>
      <c r="F280">
        <f>VLOOKUP(D265,'Detail Balok'!$C$10:$AU$140,24,FALSE)</f>
        <v>13</v>
      </c>
      <c r="I280" t="str">
        <v>(</v>
      </c>
      <c r="J280">
        <f>+J272</f>
        <v>1.25</v>
      </c>
      <c r="K280" t="str">
        <v>+</v>
      </c>
      <c r="L280">
        <f>MAX(VLOOKUP(F280,N$6:P$15,3,FALSE)/1000,2/3*D270/1000)+F$16*F280/1000</f>
        <v>0.156</v>
      </c>
      <c r="M280" t="str">
        <v>=</v>
      </c>
      <c r="N280">
        <f>J280+L280</f>
        <v>1.406</v>
      </c>
      <c r="O280" t="str">
        <v>+</v>
      </c>
      <c r="P280">
        <f>D280-D281</f>
        <v>0</v>
      </c>
      <c r="Q280" t="str">
        <v>x</v>
      </c>
      <c r="R280">
        <f>IF(P280&gt;0,$F$18*F280/1000,0)</f>
        <v>0</v>
      </c>
      <c r="S280" t="str">
        <v>)</v>
      </c>
      <c r="T280" t="str">
        <v>x</v>
      </c>
      <c r="U280">
        <f>0.006165*F280^2</f>
        <v>1.041885</v>
      </c>
      <c r="X280" t="str">
        <v>x</v>
      </c>
      <c r="Y280">
        <f>D271</f>
        <v>1</v>
      </c>
      <c r="Z280" t="str">
        <v>=</v>
      </c>
      <c r="AA280">
        <f>IF(AA283=0,(D280*N280+P280*R280)*U280*Y280,0)</f>
        <v>0</v>
      </c>
    </row>
    <row r="281">
      <c r="A281" t="str">
        <f>A265</f>
        <v>Lantai 1</v>
      </c>
      <c r="B281">
        <f>B265</f>
        <v>9</v>
      </c>
      <c r="C281" t="str">
        <v>Tul Bawah Lapangan</v>
      </c>
      <c r="D281">
        <f>VLOOKUP(D265,'Detail Balok'!$C$10:$AU$140,25,FALSE)</f>
        <v>2</v>
      </c>
      <c r="E281" t="str">
        <v>D</v>
      </c>
      <c r="F281">
        <f>VLOOKUP(D265,'Detail Balok'!$C$10:$AU$140,27,FALSE)</f>
        <v>13</v>
      </c>
      <c r="I281" t="str">
        <v>(</v>
      </c>
      <c r="J281">
        <f>+J273</f>
        <v>2.5</v>
      </c>
      <c r="K281" t="str">
        <v>+</v>
      </c>
      <c r="M281" t="str">
        <v>=</v>
      </c>
      <c r="N281">
        <f>J281+L281</f>
        <v>2.5</v>
      </c>
      <c r="O281" t="str">
        <v>+</v>
      </c>
      <c r="P281">
        <f>MAX(D281-D280,D281-D282)</f>
        <v>0</v>
      </c>
      <c r="Q281" t="str">
        <v>x</v>
      </c>
      <c r="R281">
        <f>IF(P281&gt;0,2*(1-2*$F$19-1/2)*D268/1000,0)</f>
        <v>0</v>
      </c>
      <c r="S281" t="str">
        <v>)</v>
      </c>
      <c r="T281" t="str">
        <v>x</v>
      </c>
      <c r="U281">
        <f>0.006165*F281^2</f>
        <v>1.041885</v>
      </c>
      <c r="X281" t="str">
        <v>x</v>
      </c>
      <c r="Y281">
        <f>D271</f>
        <v>1</v>
      </c>
      <c r="Z281" t="str">
        <v>=</v>
      </c>
      <c r="AA281">
        <f>IF(AA283=0,(D281*N281+P281*R281)*U281*Y281,0)</f>
        <v>0</v>
      </c>
    </row>
    <row r="282">
      <c r="A282" t="str">
        <f>A265</f>
        <v>Lantai 1</v>
      </c>
      <c r="B282">
        <f>B265</f>
        <v>9</v>
      </c>
      <c r="C282" t="str">
        <v>Tul Bawah Tumpuan</v>
      </c>
      <c r="D282">
        <f>VLOOKUP(D265,'Detail Balok'!$C$10:$AU$140,28,FALSE)</f>
        <v>2</v>
      </c>
      <c r="E282" t="str">
        <v>D</v>
      </c>
      <c r="F282">
        <f>VLOOKUP(D265,'Detail Balok'!$C$10:$AU$140,30,FALSE)</f>
        <v>13</v>
      </c>
      <c r="I282" t="str">
        <v>(</v>
      </c>
      <c r="J282">
        <f>+J274</f>
        <v>1.25</v>
      </c>
      <c r="K282" t="str">
        <v>+</v>
      </c>
      <c r="L282">
        <f>MAX(VLOOKUP(F282,N$6:P$15,3,FALSE)/1000,2/3*D270/1000)+F$16*F282/1000</f>
        <v>0.156</v>
      </c>
      <c r="M282" t="str">
        <v>=</v>
      </c>
      <c r="N282">
        <f>J282+L282</f>
        <v>1.406</v>
      </c>
      <c r="O282" t="str">
        <v>+</v>
      </c>
      <c r="P282">
        <f>D282-D281</f>
        <v>0</v>
      </c>
      <c r="Q282" t="str">
        <v>x</v>
      </c>
      <c r="R282">
        <f>IF(P282&gt;0,$F$18*F282/1000,0)</f>
        <v>0</v>
      </c>
      <c r="S282" t="str">
        <v>)</v>
      </c>
      <c r="T282" t="str">
        <v>x</v>
      </c>
      <c r="U282">
        <f>0.006165*F282^2</f>
        <v>1.041885</v>
      </c>
      <c r="X282" t="str">
        <v>x</v>
      </c>
      <c r="Y282">
        <f>D271</f>
        <v>1</v>
      </c>
      <c r="Z282" t="str">
        <v>=</v>
      </c>
      <c r="AA282">
        <f>IF(AA283=0,(D282*N282+P282*R282)*U282*Y282,0)</f>
        <v>0</v>
      </c>
    </row>
    <row r="283">
      <c r="A283" t="str">
        <f>A265</f>
        <v>Lantai 1</v>
      </c>
      <c r="B283">
        <f>B265</f>
        <v>9</v>
      </c>
      <c r="D283">
        <f>IF(AND(D280=D281,D281=D282,D280=D282),D280,0)</f>
        <v>2</v>
      </c>
      <c r="E283" t="str">
        <v>D</v>
      </c>
      <c r="F283">
        <f>IF(AND(F280=F281,F280=F282,F281=F282),F280,0)</f>
        <v>13</v>
      </c>
      <c r="L283" t="str">
        <v>Total panjang per balok</v>
      </c>
      <c r="M283" t="str">
        <v>=</v>
      </c>
      <c r="N283">
        <f>IF(AND(D280=D281,D280=D282,D281=D282,F280=F281,F280=F282,F281=F282),SUM(N280:N282),0)</f>
        <v>5.311999999999999</v>
      </c>
      <c r="O283" t="str">
        <v>+</v>
      </c>
      <c r="P283">
        <f>IF(N283&gt;12,ROUNDDOWN(N283/12,0),0)</f>
        <v>0</v>
      </c>
      <c r="Q283" t="str">
        <v>x</v>
      </c>
      <c r="R283">
        <f>IF(P283&gt;0,MAX(VLOOKUP(F283,$D$6:$G$15,3,FALSE),600),0)/1000</f>
        <v>0</v>
      </c>
      <c r="T283" t="str">
        <v>x</v>
      </c>
      <c r="U283">
        <f>U282</f>
        <v>1.041885</v>
      </c>
      <c r="V283" t="str">
        <v>x</v>
      </c>
      <c r="W283">
        <f>D283</f>
        <v>2</v>
      </c>
      <c r="X283" t="str">
        <v>x</v>
      </c>
      <c r="Y283">
        <f>Y282</f>
        <v>1</v>
      </c>
      <c r="Z283" t="str">
        <v>=</v>
      </c>
      <c r="AA283">
        <f>(N283+P283*R283/1000)*U283*W283*Y283</f>
        <v>11.068986239999997</v>
      </c>
    </row>
    <row r="285">
      <c r="A285" t="str">
        <f>A265</f>
        <v>Lantai 1</v>
      </c>
      <c r="B285">
        <f>B265</f>
        <v>9</v>
      </c>
      <c r="C285" t="str">
        <v>Sengkang Tumpuan</v>
      </c>
      <c r="D285">
        <f>VLOOKUP(D265,'Detail Balok'!$C$10:$AU$140,31,FALSE)</f>
        <v>0</v>
      </c>
      <c r="E285" t="str">
        <v>D</v>
      </c>
      <c r="F285">
        <f>VLOOKUP(D265,'Detail Balok'!$C$10:$AU$140,33,FALSE)</f>
        <v>8</v>
      </c>
      <c r="G285" t="str">
        <v>-</v>
      </c>
      <c r="H285">
        <f>VLOOKUP(D265,'Detail Balok'!$C$10:$AU$140,35,FALSE)</f>
        <v>150</v>
      </c>
      <c r="J285">
        <f>(IF(D285=0,(2*(D266+G266))-(F$5*8),IF(D285=3,(2*(D266+G266))-(F$5*8)+(G266-2*F$5),IF(D285=4,(2*(D266+G266))-(F$5*8)+2*(G266-2*F$5)))))/1000</f>
        <v>0.68</v>
      </c>
      <c r="K285" t="str">
        <v>+</v>
      </c>
      <c r="L285">
        <f>IF(D285=0,2*MAX(6*F285,75),(D285-1)*2*MAX(6*F285,75))/1000</f>
        <v>0.15</v>
      </c>
      <c r="M285" t="str">
        <v>=</v>
      </c>
      <c r="N285">
        <f>J285+L285</f>
        <v>0.8300000000000001</v>
      </c>
      <c r="T285" t="str">
        <v>x</v>
      </c>
      <c r="U285">
        <f>0.006165*F285^2</f>
        <v>0.39456</v>
      </c>
      <c r="V285" t="str">
        <v>x</v>
      </c>
      <c r="W285">
        <f>IF(D268&gt;4*G266,ROUND(MAX(D268/4,2*G266)/H285,0)+1,ROUND(D268/H285,0)+1)</f>
        <v>9</v>
      </c>
      <c r="X285" t="str">
        <v>x</v>
      </c>
      <c r="Y285">
        <f>D271</f>
        <v>1</v>
      </c>
      <c r="Z285" t="str">
        <v>=</v>
      </c>
      <c r="AA285">
        <f>N285*U285*W285*Y285</f>
        <v>2.9473632000000003</v>
      </c>
    </row>
    <row r="286">
      <c r="A286" t="str">
        <f>A265</f>
        <v>Lantai 1</v>
      </c>
      <c r="B286">
        <f>B265</f>
        <v>9</v>
      </c>
      <c r="C286" t="str">
        <v>Sengkang Lapangan</v>
      </c>
      <c r="D286">
        <f>VLOOKUP(D265,'Detail Balok'!$C$10:$AU$140,36,FALSE)</f>
        <v>0</v>
      </c>
      <c r="E286" t="str">
        <v>D</v>
      </c>
      <c r="F286">
        <f>VLOOKUP(D265,'Detail Balok'!$C$10:$AU$140,38,FALSE)</f>
        <v>8</v>
      </c>
      <c r="G286" t="str">
        <v>-</v>
      </c>
      <c r="H286">
        <f>VLOOKUP(D265,'Detail Balok'!$C$10:$AU$140,40,FALSE)</f>
        <v>150</v>
      </c>
      <c r="J286">
        <f>(IF(D286=0,(2*(D266+G266))-(F$5*8),IF(D286=3,(2*(D266+G266))-(F$5*8)+(G266-2*F$5),IF(D286=4,(2*(D266+G266))-(F$5*8)+2*(G266-2*F$5)))))/1000</f>
        <v>0.68</v>
      </c>
      <c r="K286" t="str">
        <v>+</v>
      </c>
      <c r="L286">
        <f>IF(D286=0,2*MAX(6*F286,75),(D286-1)*2*MAX(6*F286,75))/1000</f>
        <v>0.15</v>
      </c>
      <c r="M286" t="str">
        <v>=</v>
      </c>
      <c r="N286">
        <f>J286+L286</f>
        <v>0.8300000000000001</v>
      </c>
      <c r="T286" t="str">
        <v>x</v>
      </c>
      <c r="U286">
        <f>0.006165*F286^2</f>
        <v>0.39456</v>
      </c>
      <c r="V286" t="str">
        <v>x</v>
      </c>
      <c r="W286">
        <f>IF(D268-MAX(D268/4,2*G266)*2&gt;0,ROUND((D268-MAX(D268/4,2*G266)*2)/H286,0),0)</f>
        <v>17</v>
      </c>
      <c r="X286" t="str">
        <v>x</v>
      </c>
      <c r="Y286">
        <f>D271</f>
        <v>1</v>
      </c>
      <c r="Z286" t="str">
        <v>=</v>
      </c>
      <c r="AA286">
        <f>N286*U286*W286*Y286</f>
        <v>5.5672416</v>
      </c>
    </row>
    <row r="287">
      <c r="A287" t="str">
        <f>A265</f>
        <v>Lantai 1</v>
      </c>
      <c r="B287">
        <f>B265</f>
        <v>9</v>
      </c>
      <c r="C287" t="str">
        <v>Sengkang Tumpuan</v>
      </c>
      <c r="D287">
        <f>VLOOKUP(D265,'Detail Balok'!$C$10:$AU$140,41,FALSE)</f>
        <v>0</v>
      </c>
      <c r="E287" t="str">
        <v>D</v>
      </c>
      <c r="F287">
        <f>VLOOKUP(D265,'Detail Balok'!$C$10:$AU$140,43,FALSE)</f>
        <v>8</v>
      </c>
      <c r="G287" t="str">
        <v>-</v>
      </c>
      <c r="H287">
        <f>VLOOKUP(D265,'Detail Balok'!$C$10:$AU$140,45,FALSE)</f>
        <v>150</v>
      </c>
      <c r="J287">
        <f>(IF(D287=0,(2*(D266+G266))-(F$5*8),IF(D287=3,(2*(D266+G266))-(F$5*8)+(G266-2*F$5),IF(D287=4,(2*(D266+G266))-(F$5*8)+2*(G266-2*F$5)))))/1000</f>
        <v>0.68</v>
      </c>
      <c r="K287" t="str">
        <v>+</v>
      </c>
      <c r="L287">
        <f>IF(D287=0,2*MAX(6*F287,75),(D287-1)*2*MAX(6*F287,75))/1000</f>
        <v>0.15</v>
      </c>
      <c r="M287" t="str">
        <v>=</v>
      </c>
      <c r="N287">
        <f>J287+L287</f>
        <v>0.8300000000000001</v>
      </c>
      <c r="T287" t="str">
        <v>x</v>
      </c>
      <c r="U287">
        <f>0.006165*F287^2</f>
        <v>0.39456</v>
      </c>
      <c r="V287" t="str">
        <v>x</v>
      </c>
      <c r="W287">
        <f>IF(D268&gt;4*G266,ROUND(MAX(D268/4,2*G266)/H287,0)+1,0)</f>
        <v>9</v>
      </c>
      <c r="X287" t="str">
        <v>x</v>
      </c>
      <c r="Y287">
        <f>D271</f>
        <v>1</v>
      </c>
      <c r="Z287" t="str">
        <v>=</v>
      </c>
      <c r="AA287">
        <f>N287*U287*W287*Y287</f>
        <v>2.9473632000000003</v>
      </c>
    </row>
    <row r="289">
      <c r="A289" t="str">
        <f>A265</f>
        <v>Lantai 1</v>
      </c>
      <c r="B289">
        <f>B265</f>
        <v>9</v>
      </c>
      <c r="C289" t="str">
        <v>Kait Horizontal Tump.</v>
      </c>
      <c r="D289">
        <f>VLOOKUP(D265,'Detail Balok'!$C$10:$BJ$140,46,FALSE)</f>
        <v>0</v>
      </c>
      <c r="E289" t="str">
        <v>D</v>
      </c>
      <c r="F289">
        <f>VLOOKUP(D265,'Detail Balok'!$C$10:$BJ$140,48,FALSE)</f>
        <v>0</v>
      </c>
      <c r="G289" t="str">
        <v>-</v>
      </c>
      <c r="H289">
        <f>VLOOKUP(D265,'Detail Balok'!$C$10:$BJ$140,50,FALSE)</f>
        <v>100</v>
      </c>
      <c r="J289">
        <f>(D266-2*F$5)/1000</f>
        <v>0.12</v>
      </c>
      <c r="K289" t="str">
        <v>+</v>
      </c>
      <c r="L289">
        <f>IF(D289=0,2*MAX(6*F289,75),(D289-1)*2*MAX(6*F289,75))/1000</f>
        <v>0.15</v>
      </c>
      <c r="M289" t="str">
        <v>=</v>
      </c>
      <c r="N289">
        <f>J289+L289</f>
        <v>0.27</v>
      </c>
      <c r="T289" t="str">
        <v>x</v>
      </c>
      <c r="U289">
        <f>0.006165*F289^2</f>
        <v>0</v>
      </c>
      <c r="V289" t="str">
        <v>x</v>
      </c>
      <c r="W289">
        <f>W285</f>
        <v>9</v>
      </c>
      <c r="X289" t="str">
        <v>x</v>
      </c>
      <c r="Y289">
        <f>D275</f>
        <v>2</v>
      </c>
      <c r="Z289" t="str">
        <v>=</v>
      </c>
      <c r="AA289">
        <f>N289*U289*W289*Y289</f>
        <v>0</v>
      </c>
    </row>
    <row r="290">
      <c r="A290" t="str">
        <f>A265</f>
        <v>Lantai 1</v>
      </c>
      <c r="B290">
        <f>B265</f>
        <v>9</v>
      </c>
      <c r="C290" t="str">
        <v>Kait Horizontal Lap.</v>
      </c>
      <c r="D290">
        <f>VLOOKUP(D265,'Detail Balok'!$C$10:$BJ$140,51,FALSE)</f>
        <v>0</v>
      </c>
      <c r="E290" t="str">
        <v>D</v>
      </c>
      <c r="F290">
        <f>VLOOKUP(D265,'Detail Balok'!$C$10:$BJ$140,53,FALSE)</f>
        <v>0</v>
      </c>
      <c r="G290" t="str">
        <v>-</v>
      </c>
      <c r="H290">
        <f>VLOOKUP(D265,'Detail Balok'!$C$10:$BJ$140,55,FALSE)</f>
        <v>100</v>
      </c>
      <c r="J290">
        <f>(D266-2*F$5)/1000</f>
        <v>0.12</v>
      </c>
      <c r="K290" t="str">
        <v>+</v>
      </c>
      <c r="L290">
        <f>IF(D290=0,2*MAX(6*F290,75),(D290-1)*2*MAX(6*F290,75))/1000</f>
        <v>0.15</v>
      </c>
      <c r="M290" t="str">
        <v>=</v>
      </c>
      <c r="N290">
        <f>J290+L290</f>
        <v>0.27</v>
      </c>
      <c r="T290" t="str">
        <v>x</v>
      </c>
      <c r="U290">
        <f>0.006165*F290^2</f>
        <v>0</v>
      </c>
      <c r="V290" t="str">
        <v>x</v>
      </c>
      <c r="W290">
        <f>W286</f>
        <v>17</v>
      </c>
      <c r="X290" t="str">
        <v>x</v>
      </c>
      <c r="Y290">
        <f>D275</f>
        <v>2</v>
      </c>
      <c r="Z290" t="str">
        <v>=</v>
      </c>
      <c r="AA290">
        <f>N290*U290*W290*Y290</f>
        <v>0</v>
      </c>
    </row>
    <row r="291">
      <c r="A291" t="str">
        <f>A265</f>
        <v>Lantai 1</v>
      </c>
      <c r="B291">
        <f>B265</f>
        <v>9</v>
      </c>
      <c r="C291" t="str">
        <v>Kait Horizontal Tump.</v>
      </c>
      <c r="D291">
        <f>VLOOKUP(D265,'Detail Balok'!$C$10:$BJ$140,56,FALSE)</f>
        <v>0</v>
      </c>
      <c r="E291" t="str">
        <v>D</v>
      </c>
      <c r="F291">
        <f>VLOOKUP(D265,'Detail Balok'!$C$10:$BJ$140,58,FALSE)</f>
        <v>0</v>
      </c>
      <c r="G291" t="str">
        <v>-</v>
      </c>
      <c r="H291">
        <f>VLOOKUP(D265,'Detail Balok'!$C$10:$BJ$140,60,FALSE)</f>
        <v>100</v>
      </c>
      <c r="J291">
        <f>(D266-2*F$5)/1000</f>
        <v>0.12</v>
      </c>
      <c r="K291" t="str">
        <v>+</v>
      </c>
      <c r="L291">
        <f>IF(D291=0,2*MAX(6*F291,75),(D291-1)*2*MAX(6*F291,75))/1000</f>
        <v>0.15</v>
      </c>
      <c r="M291" t="str">
        <v>=</v>
      </c>
      <c r="N291">
        <f>J291+L291</f>
        <v>0.27</v>
      </c>
      <c r="T291" t="str">
        <v>x</v>
      </c>
      <c r="U291">
        <f>0.006165*F291^2</f>
        <v>0</v>
      </c>
      <c r="V291" t="str">
        <v>x</v>
      </c>
      <c r="W291">
        <f>W287</f>
        <v>9</v>
      </c>
      <c r="X291" t="str">
        <v>x</v>
      </c>
      <c r="Y291">
        <f>D275</f>
        <v>2</v>
      </c>
      <c r="Z291" t="str">
        <v>=</v>
      </c>
      <c r="AA291">
        <f>N291*U291*W291*Y291</f>
        <v>0</v>
      </c>
    </row>
    <row r="295">
      <c r="A295" t="str">
        <f>A265</f>
        <v>Lantai 1</v>
      </c>
      <c r="B295">
        <f>B265+1</f>
        <v>10</v>
      </c>
      <c r="C295" t="str">
        <f>CONCATENATE(A295," no. ",B295)</f>
        <v>Lantai 1 no. 10</v>
      </c>
      <c r="D295" t="str">
        <f>VLOOKUP(C295,'Data Panjang Balok'!$C$9:$N$254,2,FALSE)</f>
        <v>S36-1</v>
      </c>
    </row>
    <row r="296">
      <c r="C296" t="str">
        <v>Dimensi</v>
      </c>
      <c r="D296">
        <f>VLOOKUP(D295,'Detail Balok'!$C$10:$AU$140,2,FALSE)</f>
        <v>300</v>
      </c>
      <c r="F296" t="str">
        <v>x</v>
      </c>
      <c r="G296">
        <f>VLOOKUP(D295,'Detail Balok'!$C$10:$AU$140,3,FALSE)</f>
        <v>600</v>
      </c>
    </row>
    <row r="297">
      <c r="C297" t="str">
        <v>Panjang as ke as</v>
      </c>
      <c r="D297">
        <f>VLOOKUP(C295,'Data Panjang Balok'!$C$9:$N$254,4,FALSE)</f>
        <v>5000</v>
      </c>
    </row>
    <row r="298">
      <c r="C298" t="str">
        <v>Panjang netto</v>
      </c>
      <c r="D298">
        <f>VLOOKUP(C295,'Data Panjang Balok'!$C$9:$N$254,7,FALSE)</f>
        <v>5000</v>
      </c>
    </row>
    <row r="299">
      <c r="C299" t="str">
        <v>Kolom / balok kiri</v>
      </c>
      <c r="D299">
        <f>VLOOKUP(C295,'Data Panjang Balok'!$C$9:$N$254,9,FALSE)</f>
        <v>0</v>
      </c>
    </row>
    <row r="300">
      <c r="C300" t="str">
        <v>Kolom / balok kanan</v>
      </c>
      <c r="D300">
        <f>VLOOKUP(C295,'Data Panjang Balok'!$C$9:$N$254,10,FALSE)</f>
        <v>0</v>
      </c>
    </row>
    <row r="301">
      <c r="C301" t="str">
        <v>Jumlah</v>
      </c>
      <c r="D301">
        <f>VLOOKUP(C295,'Data Panjang Balok'!$C$9:$N$254,3,FALSE)</f>
        <v>1</v>
      </c>
    </row>
    <row r="302">
      <c r="A302" t="str">
        <f>A295</f>
        <v>Lantai 1</v>
      </c>
      <c r="B302">
        <f>B295</f>
        <v>10</v>
      </c>
      <c r="C302" t="str">
        <v>Tul Atas Tumpuan</v>
      </c>
      <c r="D302">
        <f>VLOOKUP(D295,'Detail Balok'!$C$10:$AU$140,4,FALSE)</f>
        <v>4</v>
      </c>
      <c r="E302" t="str">
        <v>D</v>
      </c>
      <c r="F302">
        <f>VLOOKUP(D295,'Detail Balok'!$C$10:$AU$140,6,FALSE)</f>
        <v>16</v>
      </c>
      <c r="I302" t="str">
        <v>(</v>
      </c>
      <c r="J302">
        <f>+D297/4/1000</f>
        <v>1.25</v>
      </c>
      <c r="K302" t="str">
        <v>+</v>
      </c>
      <c r="L302">
        <f>MAX(VLOOKUP(F302,N$6:P$15,3,FALSE)/1000,2/3*D299/1000)+F$16*F302/1000</f>
        <v>0.192</v>
      </c>
      <c r="M302" t="str">
        <v>=</v>
      </c>
      <c r="N302">
        <f>J302+L302</f>
        <v>1.442</v>
      </c>
      <c r="O302" t="str">
        <v>+</v>
      </c>
      <c r="P302">
        <f>D302-D303</f>
        <v>0</v>
      </c>
      <c r="Q302" t="str">
        <v>x</v>
      </c>
      <c r="R302">
        <f>IF(P302&gt;0,$F$18*F302/1000,0)</f>
        <v>0</v>
      </c>
      <c r="S302" t="str">
        <v>)</v>
      </c>
      <c r="T302" t="str">
        <v>x</v>
      </c>
      <c r="U302">
        <f>0.006165*F302^2</f>
        <v>1.57824</v>
      </c>
      <c r="X302" t="str">
        <v>x</v>
      </c>
      <c r="Y302">
        <f>D301</f>
        <v>1</v>
      </c>
      <c r="Z302" t="str">
        <v>=</v>
      </c>
      <c r="AA302">
        <f>IF(AA305=0,(D302*N302+P302*R302)*U302*Y302,0)</f>
        <v>0</v>
      </c>
    </row>
    <row r="303">
      <c r="A303" t="str">
        <f>A295</f>
        <v>Lantai 1</v>
      </c>
      <c r="B303">
        <f>B295</f>
        <v>10</v>
      </c>
      <c r="C303" t="str">
        <v>Tul Atas Lapangan</v>
      </c>
      <c r="D303">
        <f>VLOOKUP(D295,'Detail Balok'!$C$10:$AU$140,7,FALSE)</f>
        <v>4</v>
      </c>
      <c r="E303" t="str">
        <v>D</v>
      </c>
      <c r="F303">
        <f>VLOOKUP(D295,'Detail Balok'!$C$10:$AU$140,9,FALSE)</f>
        <v>16</v>
      </c>
      <c r="I303" t="str">
        <v>(</v>
      </c>
      <c r="J303">
        <f>+D297/2/1000</f>
        <v>2.5</v>
      </c>
      <c r="K303" t="str">
        <v>+</v>
      </c>
      <c r="M303" t="str">
        <v>=</v>
      </c>
      <c r="N303">
        <f>J303+L303</f>
        <v>2.5</v>
      </c>
      <c r="O303" t="str">
        <v>+</v>
      </c>
      <c r="P303">
        <f>MAX(D303-D302,D303-D304)</f>
        <v>0</v>
      </c>
      <c r="Q303" t="str">
        <v>x</v>
      </c>
      <c r="R303">
        <f>IF(P303&gt;0,2*(1-2*$F$19-1/2)*D298/1000,0)</f>
        <v>0</v>
      </c>
      <c r="S303" t="str">
        <v>)</v>
      </c>
      <c r="T303" t="str">
        <v>x</v>
      </c>
      <c r="U303">
        <f>0.006165*F303^2</f>
        <v>1.57824</v>
      </c>
      <c r="X303" t="str">
        <v>x</v>
      </c>
      <c r="Y303">
        <f>D301</f>
        <v>1</v>
      </c>
      <c r="Z303" t="str">
        <v>=</v>
      </c>
      <c r="AA303">
        <f>IF(AA305=0,(D303*N303+P303*R303)*U303*Y303,0)</f>
        <v>0</v>
      </c>
    </row>
    <row r="304">
      <c r="A304" t="str">
        <f>A295</f>
        <v>Lantai 1</v>
      </c>
      <c r="B304">
        <f>B295</f>
        <v>10</v>
      </c>
      <c r="C304" t="str">
        <v>Tul Atas Tumpuan</v>
      </c>
      <c r="D304">
        <f>VLOOKUP(D295,'Detail Balok'!$C$10:$AU$140,10,FALSE)</f>
        <v>4</v>
      </c>
      <c r="E304" t="str">
        <v>D</v>
      </c>
      <c r="F304">
        <f>VLOOKUP(D295,'Detail Balok'!$C$10:$AU$140,12,FALSE)</f>
        <v>16</v>
      </c>
      <c r="I304" t="str">
        <v>(</v>
      </c>
      <c r="J304">
        <f>+D297/4/1000</f>
        <v>1.25</v>
      </c>
      <c r="K304" t="str">
        <v>+</v>
      </c>
      <c r="L304">
        <f>MAX(VLOOKUP(F304,N$6:P$15,3,FALSE)/1000,2/3*D299/1000)+F$16*F304/1000</f>
        <v>0.192</v>
      </c>
      <c r="M304" t="str">
        <v>=</v>
      </c>
      <c r="N304">
        <f>J304+L304</f>
        <v>1.442</v>
      </c>
      <c r="O304" t="str">
        <v>+</v>
      </c>
      <c r="P304">
        <f>D304-D303</f>
        <v>0</v>
      </c>
      <c r="Q304" t="str">
        <v>x</v>
      </c>
      <c r="R304">
        <f>IF(P304&gt;0,$F$18*F304/1000,0)</f>
        <v>0</v>
      </c>
      <c r="S304" t="str">
        <v>)</v>
      </c>
      <c r="T304" t="str">
        <v>x</v>
      </c>
      <c r="U304">
        <f>0.006165*F304^2</f>
        <v>1.57824</v>
      </c>
      <c r="X304" t="str">
        <v>x</v>
      </c>
      <c r="Y304">
        <f>D301</f>
        <v>1</v>
      </c>
      <c r="Z304" t="str">
        <v>=</v>
      </c>
      <c r="AA304">
        <f>IF(AA305=0,(D304*N304+P304*R304)*U304*Y304,0)</f>
        <v>0</v>
      </c>
    </row>
    <row r="305">
      <c r="A305" t="str">
        <f>A295</f>
        <v>Lantai 1</v>
      </c>
      <c r="B305">
        <f>B295</f>
        <v>10</v>
      </c>
      <c r="D305">
        <f>IF(AND(D302=D303,D303=D304,D302=D304),D302,0)</f>
        <v>4</v>
      </c>
      <c r="E305" t="str">
        <v>D</v>
      </c>
      <c r="F305">
        <f>IF(AND(F302=F303,F302=F304,F303=F304),F302,0)</f>
        <v>16</v>
      </c>
      <c r="L305" t="str">
        <v>Total panjang per balok</v>
      </c>
      <c r="M305" t="str">
        <v>=</v>
      </c>
      <c r="N305">
        <f>IF(AND(D302=D303,D302=D304,D303=D304,F302=F303,F302=F304,F303=F304),SUM(N302:N304),0)</f>
        <v>5.384</v>
      </c>
      <c r="O305" t="str">
        <v>+</v>
      </c>
      <c r="P305">
        <f>IF(N305&gt;12,ROUNDDOWN(N305/12,0),0)</f>
        <v>0</v>
      </c>
      <c r="Q305" t="str">
        <v>x</v>
      </c>
      <c r="R305">
        <f>IF(P305&gt;0,MAX(VLOOKUP(F305,$D$6:$G$15,3,FALSE),600),0)/1000</f>
        <v>0</v>
      </c>
      <c r="T305" t="str">
        <v>x</v>
      </c>
      <c r="U305">
        <f>U304</f>
        <v>1.57824</v>
      </c>
      <c r="V305" t="str">
        <v>x</v>
      </c>
      <c r="W305">
        <f>D305</f>
        <v>4</v>
      </c>
      <c r="X305" t="str">
        <v>x</v>
      </c>
      <c r="Y305">
        <f>Y304</f>
        <v>1</v>
      </c>
      <c r="Z305" t="str">
        <v>=</v>
      </c>
      <c r="AA305">
        <f>(N305+P305*R305/1000)*U305*W305*Y305</f>
        <v>33.988976640000004</v>
      </c>
    </row>
    <row r="307">
      <c r="A307" t="str">
        <f>A295</f>
        <v>Lantai 1</v>
      </c>
      <c r="B307">
        <f>B295</f>
        <v>10</v>
      </c>
      <c r="C307" t="str">
        <v>Tul Peminggang</v>
      </c>
      <c r="D307">
        <f>VLOOKUP(D295,'Detail Balok'!$C$10:$AU$140,13,FALSE)</f>
        <v>2</v>
      </c>
      <c r="E307" t="str">
        <v>D</v>
      </c>
      <c r="F307">
        <f>VLOOKUP(D295,'Detail Balok'!$C$10:$AU$140,15,FALSE)</f>
        <v>10</v>
      </c>
      <c r="J307">
        <f>+D297/1000</f>
        <v>5</v>
      </c>
      <c r="K307" t="str">
        <v>+</v>
      </c>
      <c r="L307">
        <f>2*$F$16*F307/1000</f>
        <v>0.24</v>
      </c>
      <c r="M307" t="str">
        <v>=</v>
      </c>
      <c r="N307">
        <f>J307+L307</f>
        <v>5.24</v>
      </c>
      <c r="O307" t="str">
        <v>+</v>
      </c>
      <c r="P307">
        <f>IF(N307&gt;12,ROUNDDOWN(N307/12,0),0)</f>
        <v>0</v>
      </c>
      <c r="Q307" t="str">
        <v>x</v>
      </c>
      <c r="R307">
        <f>IF(P307&gt;0,MAX(VLOOKUP(F307,$D$6:$G$15,3,FALSE),600),0)/1000</f>
        <v>0</v>
      </c>
      <c r="T307" t="str">
        <v>x</v>
      </c>
      <c r="U307">
        <f>0.006165*F307^2</f>
        <v>0.6165</v>
      </c>
      <c r="V307" t="str">
        <v>x</v>
      </c>
      <c r="W307">
        <f>+D307</f>
        <v>2</v>
      </c>
      <c r="X307" t="str">
        <v>x</v>
      </c>
      <c r="Y307">
        <f>D301</f>
        <v>1</v>
      </c>
      <c r="Z307" t="str">
        <v>=</v>
      </c>
      <c r="AA307">
        <f>(N307+P307*R307/1000)*U307*W307*Y307</f>
        <v>6.460920000000001</v>
      </c>
    </row>
    <row r="310">
      <c r="A310" t="str">
        <f>A295</f>
        <v>Lantai 1</v>
      </c>
      <c r="B310">
        <f>B295</f>
        <v>10</v>
      </c>
      <c r="C310" t="str">
        <v>Tul Bawah Tumpuan</v>
      </c>
      <c r="D310">
        <f>VLOOKUP(D295,'Detail Balok'!$C$10:$AU$140,22,FALSE)</f>
        <v>4</v>
      </c>
      <c r="E310" t="str">
        <v>D</v>
      </c>
      <c r="F310">
        <f>VLOOKUP(D295,'Detail Balok'!$C$10:$AU$140,24,FALSE)</f>
        <v>16</v>
      </c>
      <c r="I310" t="str">
        <v>(</v>
      </c>
      <c r="J310">
        <f>+J302</f>
        <v>1.25</v>
      </c>
      <c r="K310" t="str">
        <v>+</v>
      </c>
      <c r="L310">
        <f>MAX(VLOOKUP(F310,N$6:P$15,3,FALSE)/1000,2/3*D300/1000)+F$16*F310/1000</f>
        <v>0.192</v>
      </c>
      <c r="M310" t="str">
        <v>=</v>
      </c>
      <c r="N310">
        <f>J310+L310</f>
        <v>1.442</v>
      </c>
      <c r="O310" t="str">
        <v>+</v>
      </c>
      <c r="P310">
        <f>D310-D311</f>
        <v>0</v>
      </c>
      <c r="Q310" t="str">
        <v>x</v>
      </c>
      <c r="R310">
        <f>IF(P310&gt;0,$F$18*F310/1000,0)</f>
        <v>0</v>
      </c>
      <c r="S310" t="str">
        <v>)</v>
      </c>
      <c r="T310" t="str">
        <v>x</v>
      </c>
      <c r="U310">
        <f>0.006165*F310^2</f>
        <v>1.57824</v>
      </c>
      <c r="X310" t="str">
        <v>x</v>
      </c>
      <c r="Y310">
        <f>D301</f>
        <v>1</v>
      </c>
      <c r="Z310" t="str">
        <v>=</v>
      </c>
      <c r="AA310">
        <f>IF(AA313=0,(D310*N310+P310*R310)*U310*Y310,0)</f>
        <v>0</v>
      </c>
    </row>
    <row r="311">
      <c r="A311" t="str">
        <f>A295</f>
        <v>Lantai 1</v>
      </c>
      <c r="B311">
        <f>B295</f>
        <v>10</v>
      </c>
      <c r="C311" t="str">
        <v>Tul Bawah Lapangan</v>
      </c>
      <c r="D311">
        <f>VLOOKUP(D295,'Detail Balok'!$C$10:$AU$140,25,FALSE)</f>
        <v>4</v>
      </c>
      <c r="E311" t="str">
        <v>D</v>
      </c>
      <c r="F311">
        <f>VLOOKUP(D295,'Detail Balok'!$C$10:$AU$140,27,FALSE)</f>
        <v>16</v>
      </c>
      <c r="I311" t="str">
        <v>(</v>
      </c>
      <c r="J311">
        <f>+J303</f>
        <v>2.5</v>
      </c>
      <c r="K311" t="str">
        <v>+</v>
      </c>
      <c r="M311" t="str">
        <v>=</v>
      </c>
      <c r="N311">
        <f>J311+L311</f>
        <v>2.5</v>
      </c>
      <c r="O311" t="str">
        <v>+</v>
      </c>
      <c r="P311">
        <f>MAX(D311-D310,D311-D312)</f>
        <v>0</v>
      </c>
      <c r="Q311" t="str">
        <v>x</v>
      </c>
      <c r="R311">
        <f>IF(P311&gt;0,2*(1-2*$F$19-1/2)*D298/1000,0)</f>
        <v>0</v>
      </c>
      <c r="S311" t="str">
        <v>)</v>
      </c>
      <c r="T311" t="str">
        <v>x</v>
      </c>
      <c r="U311">
        <f>0.006165*F311^2</f>
        <v>1.57824</v>
      </c>
      <c r="X311" t="str">
        <v>x</v>
      </c>
      <c r="Y311">
        <f>D301</f>
        <v>1</v>
      </c>
      <c r="Z311" t="str">
        <v>=</v>
      </c>
      <c r="AA311">
        <f>IF(AA313=0,(D311*N311+P311*R311)*U311*Y311,0)</f>
        <v>0</v>
      </c>
    </row>
    <row r="312">
      <c r="A312" t="str">
        <f>A295</f>
        <v>Lantai 1</v>
      </c>
      <c r="B312">
        <f>B295</f>
        <v>10</v>
      </c>
      <c r="C312" t="str">
        <v>Tul Bawah Tumpuan</v>
      </c>
      <c r="D312">
        <f>VLOOKUP(D295,'Detail Balok'!$C$10:$AU$140,28,FALSE)</f>
        <v>4</v>
      </c>
      <c r="E312" t="str">
        <v>D</v>
      </c>
      <c r="F312">
        <f>VLOOKUP(D295,'Detail Balok'!$C$10:$AU$140,30,FALSE)</f>
        <v>16</v>
      </c>
      <c r="I312" t="str">
        <v>(</v>
      </c>
      <c r="J312">
        <f>+J304</f>
        <v>1.25</v>
      </c>
      <c r="K312" t="str">
        <v>+</v>
      </c>
      <c r="L312">
        <f>MAX(VLOOKUP(F312,N$6:P$15,3,FALSE)/1000,2/3*D300/1000)+F$16*F312/1000</f>
        <v>0.192</v>
      </c>
      <c r="M312" t="str">
        <v>=</v>
      </c>
      <c r="N312">
        <f>J312+L312</f>
        <v>1.442</v>
      </c>
      <c r="O312" t="str">
        <v>+</v>
      </c>
      <c r="P312">
        <f>D312-D311</f>
        <v>0</v>
      </c>
      <c r="Q312" t="str">
        <v>x</v>
      </c>
      <c r="R312">
        <f>IF(P312&gt;0,$F$18*F312/1000,0)</f>
        <v>0</v>
      </c>
      <c r="S312" t="str">
        <v>)</v>
      </c>
      <c r="T312" t="str">
        <v>x</v>
      </c>
      <c r="U312">
        <f>0.006165*F312^2</f>
        <v>1.57824</v>
      </c>
      <c r="X312" t="str">
        <v>x</v>
      </c>
      <c r="Y312">
        <f>D301</f>
        <v>1</v>
      </c>
      <c r="Z312" t="str">
        <v>=</v>
      </c>
      <c r="AA312">
        <f>IF(AA313=0,(D312*N312+P312*R312)*U312*Y312,0)</f>
        <v>0</v>
      </c>
    </row>
    <row r="313">
      <c r="A313" t="str">
        <f>A295</f>
        <v>Lantai 1</v>
      </c>
      <c r="B313">
        <f>B295</f>
        <v>10</v>
      </c>
      <c r="D313">
        <f>IF(AND(D310=D311,D311=D312,D310=D312),D310,0)</f>
        <v>4</v>
      </c>
      <c r="E313" t="str">
        <v>D</v>
      </c>
      <c r="F313">
        <f>IF(AND(F310=F311,F310=F312,F311=F312),F310,0)</f>
        <v>16</v>
      </c>
      <c r="L313" t="str">
        <v>Total panjang per balok</v>
      </c>
      <c r="M313" t="str">
        <v>=</v>
      </c>
      <c r="N313">
        <f>IF(AND(D310=D311,D310=D312,D311=D312,F310=F311,F310=F312,F311=F312),SUM(N310:N312),0)</f>
        <v>5.384</v>
      </c>
      <c r="O313" t="str">
        <v>+</v>
      </c>
      <c r="P313">
        <f>IF(N313&gt;12,ROUNDDOWN(N313/12,0),0)</f>
        <v>0</v>
      </c>
      <c r="Q313" t="str">
        <v>x</v>
      </c>
      <c r="R313">
        <f>IF(P313&gt;0,MAX(VLOOKUP(F313,$D$6:$G$15,3,FALSE),600),0)/1000</f>
        <v>0</v>
      </c>
      <c r="T313" t="str">
        <v>x</v>
      </c>
      <c r="U313">
        <f>U312</f>
        <v>1.57824</v>
      </c>
      <c r="V313" t="str">
        <v>x</v>
      </c>
      <c r="W313">
        <f>D313</f>
        <v>4</v>
      </c>
      <c r="X313" t="str">
        <v>x</v>
      </c>
      <c r="Y313">
        <f>Y312</f>
        <v>1</v>
      </c>
      <c r="Z313" t="str">
        <v>=</v>
      </c>
      <c r="AA313">
        <f>(N313+P313*R313/1000)*U313*W313*Y313</f>
        <v>33.988976640000004</v>
      </c>
    </row>
    <row r="315">
      <c r="A315" t="str">
        <f>A295</f>
        <v>Lantai 1</v>
      </c>
      <c r="B315">
        <f>B295</f>
        <v>10</v>
      </c>
      <c r="C315" t="str">
        <v>Sengkang Tumpuan</v>
      </c>
      <c r="D315">
        <f>VLOOKUP(D295,'Detail Balok'!$C$10:$AU$140,31,FALSE)</f>
        <v>0</v>
      </c>
      <c r="E315" t="str">
        <v>D</v>
      </c>
      <c r="F315">
        <f>VLOOKUP(D295,'Detail Balok'!$C$10:$AU$140,33,FALSE)</f>
        <v>8</v>
      </c>
      <c r="G315" t="str">
        <v>-</v>
      </c>
      <c r="H315">
        <f>VLOOKUP(D295,'Detail Balok'!$C$10:$AU$140,35,FALSE)</f>
        <v>150</v>
      </c>
      <c r="J315">
        <f>(IF(D315=0,(2*(D296+G296))-(F$5*8),IF(D315=3,(2*(D296+G296))-(F$5*8)+(G296-2*F$5),IF(D315=4,(2*(D296+G296))-(F$5*8)+2*(G296-2*F$5)))))/1000</f>
        <v>1.48</v>
      </c>
      <c r="K315" t="str">
        <v>+</v>
      </c>
      <c r="L315">
        <f>IF(D315=0,2*MAX(6*F315,75),(D315-1)*2*MAX(6*F315,75))/1000</f>
        <v>0.15</v>
      </c>
      <c r="M315" t="str">
        <v>=</v>
      </c>
      <c r="N315">
        <f>J315+L315</f>
        <v>1.63</v>
      </c>
      <c r="T315" t="str">
        <v>x</v>
      </c>
      <c r="U315">
        <f>0.006165*F315^2</f>
        <v>0.39456</v>
      </c>
      <c r="V315" t="str">
        <v>x</v>
      </c>
      <c r="W315">
        <f>IF(D298&gt;4*G296,ROUND(MAX(D298/4,2*G296)/H315,0)+1,ROUND(D298/H315,0)+1)</f>
        <v>9</v>
      </c>
      <c r="X315" t="str">
        <v>x</v>
      </c>
      <c r="Y315">
        <f>D301</f>
        <v>1</v>
      </c>
      <c r="Z315" t="str">
        <v>=</v>
      </c>
      <c r="AA315">
        <f>N315*U315*W315*Y315</f>
        <v>5.7881952</v>
      </c>
    </row>
    <row r="316">
      <c r="A316" t="str">
        <f>A295</f>
        <v>Lantai 1</v>
      </c>
      <c r="B316">
        <f>B295</f>
        <v>10</v>
      </c>
      <c r="C316" t="str">
        <v>Sengkang Lapangan</v>
      </c>
      <c r="D316">
        <f>VLOOKUP(D295,'Detail Balok'!$C$10:$AU$140,36,FALSE)</f>
        <v>0</v>
      </c>
      <c r="E316" t="str">
        <v>D</v>
      </c>
      <c r="F316">
        <f>VLOOKUP(D295,'Detail Balok'!$C$10:$AU$140,38,FALSE)</f>
        <v>8</v>
      </c>
      <c r="G316" t="str">
        <v>-</v>
      </c>
      <c r="H316">
        <f>VLOOKUP(D295,'Detail Balok'!$C$10:$AU$140,40,FALSE)</f>
        <v>200</v>
      </c>
      <c r="J316">
        <f>(IF(D316=0,(2*(D296+G296))-(F$5*8),IF(D316=3,(2*(D296+G296))-(F$5*8)+(G296-2*F$5),IF(D316=4,(2*(D296+G296))-(F$5*8)+2*(G296-2*F$5)))))/1000</f>
        <v>1.48</v>
      </c>
      <c r="K316" t="str">
        <v>+</v>
      </c>
      <c r="L316">
        <f>IF(D316=0,2*MAX(6*F316,75),(D316-1)*2*MAX(6*F316,75))/1000</f>
        <v>0.15</v>
      </c>
      <c r="M316" t="str">
        <v>=</v>
      </c>
      <c r="N316">
        <f>J316+L316</f>
        <v>1.63</v>
      </c>
      <c r="T316" t="str">
        <v>x</v>
      </c>
      <c r="U316">
        <f>0.006165*F316^2</f>
        <v>0.39456</v>
      </c>
      <c r="V316" t="str">
        <v>x</v>
      </c>
      <c r="W316">
        <f>IF(D298-MAX(D298/4,2*G296)*2&gt;0,ROUND((D298-MAX(D298/4,2*G296)*2)/H316,0),0)</f>
        <v>13</v>
      </c>
      <c r="X316" t="str">
        <v>x</v>
      </c>
      <c r="Y316">
        <f>D301</f>
        <v>1</v>
      </c>
      <c r="Z316" t="str">
        <v>=</v>
      </c>
      <c r="AA316">
        <f>N316*U316*W316*Y316</f>
        <v>8.360726399999999</v>
      </c>
    </row>
    <row r="317">
      <c r="A317" t="str">
        <f>A295</f>
        <v>Lantai 1</v>
      </c>
      <c r="B317">
        <f>B295</f>
        <v>10</v>
      </c>
      <c r="C317" t="str">
        <v>Sengkang Tumpuan</v>
      </c>
      <c r="D317">
        <f>VLOOKUP(D295,'Detail Balok'!$C$10:$AU$140,41,FALSE)</f>
        <v>0</v>
      </c>
      <c r="E317" t="str">
        <v>D</v>
      </c>
      <c r="F317">
        <f>VLOOKUP(D295,'Detail Balok'!$C$10:$AU$140,43,FALSE)</f>
        <v>8</v>
      </c>
      <c r="G317" t="str">
        <v>-</v>
      </c>
      <c r="H317">
        <f>VLOOKUP(D295,'Detail Balok'!$C$10:$AU$140,45,FALSE)</f>
        <v>150</v>
      </c>
      <c r="J317">
        <f>(IF(D317=0,(2*(D296+G296))-(F$5*8),IF(D317=3,(2*(D296+G296))-(F$5*8)+(G296-2*F$5),IF(D317=4,(2*(D296+G296))-(F$5*8)+2*(G296-2*F$5)))))/1000</f>
        <v>1.48</v>
      </c>
      <c r="K317" t="str">
        <v>+</v>
      </c>
      <c r="L317">
        <f>IF(D317=0,2*MAX(6*F317,75),(D317-1)*2*MAX(6*F317,75))/1000</f>
        <v>0.15</v>
      </c>
      <c r="M317" t="str">
        <v>=</v>
      </c>
      <c r="N317">
        <f>J317+L317</f>
        <v>1.63</v>
      </c>
      <c r="T317" t="str">
        <v>x</v>
      </c>
      <c r="U317">
        <f>0.006165*F317^2</f>
        <v>0.39456</v>
      </c>
      <c r="V317" t="str">
        <v>x</v>
      </c>
      <c r="W317">
        <f>IF(D298&gt;4*G296,ROUND(MAX(D298/4,2*G296)/H317,0)+1,0)</f>
        <v>9</v>
      </c>
      <c r="X317" t="str">
        <v>x</v>
      </c>
      <c r="Y317">
        <f>D301</f>
        <v>1</v>
      </c>
      <c r="Z317" t="str">
        <v>=</v>
      </c>
      <c r="AA317">
        <f>N317*U317*W317*Y317</f>
        <v>5.7881952</v>
      </c>
    </row>
    <row r="319">
      <c r="A319" t="str">
        <f>A295</f>
        <v>Lantai 1</v>
      </c>
      <c r="B319">
        <f>B295</f>
        <v>10</v>
      </c>
      <c r="C319" t="str">
        <v>Kait Horizontal Tump.</v>
      </c>
      <c r="D319">
        <f>VLOOKUP(D295,'Detail Balok'!$C$10:$BJ$140,46,FALSE)</f>
        <v>0</v>
      </c>
      <c r="E319" t="str">
        <v>D</v>
      </c>
      <c r="F319">
        <f>VLOOKUP(D295,'Detail Balok'!$C$10:$BJ$140,48,FALSE)</f>
        <v>0</v>
      </c>
      <c r="G319" t="str">
        <v>-</v>
      </c>
      <c r="H319">
        <f>VLOOKUP(D295,'Detail Balok'!$C$10:$BJ$140,50,FALSE)</f>
        <v>100</v>
      </c>
      <c r="J319">
        <f>(D296-2*F$5)/1000</f>
        <v>0.22</v>
      </c>
      <c r="K319" t="str">
        <v>+</v>
      </c>
      <c r="L319">
        <f>IF(D319=0,2*MAX(6*F319,75),(D319-1)*2*MAX(6*F319,75))/1000</f>
        <v>0.15</v>
      </c>
      <c r="M319" t="str">
        <v>=</v>
      </c>
      <c r="N319">
        <f>J319+L319</f>
        <v>0.37</v>
      </c>
      <c r="T319" t="str">
        <v>x</v>
      </c>
      <c r="U319">
        <f>0.006165*F319^2</f>
        <v>0</v>
      </c>
      <c r="V319" t="str">
        <v>x</v>
      </c>
      <c r="W319">
        <f>W315</f>
        <v>9</v>
      </c>
      <c r="X319" t="str">
        <v>x</v>
      </c>
      <c r="Y319">
        <f>D305</f>
        <v>4</v>
      </c>
      <c r="Z319" t="str">
        <v>=</v>
      </c>
      <c r="AA319">
        <f>N319*U319*W319*Y319</f>
        <v>0</v>
      </c>
    </row>
    <row r="320">
      <c r="A320" t="str">
        <f>A295</f>
        <v>Lantai 1</v>
      </c>
      <c r="B320">
        <f>B295</f>
        <v>10</v>
      </c>
      <c r="C320" t="str">
        <v>Kait Horizontal Lap.</v>
      </c>
      <c r="D320">
        <f>VLOOKUP(D295,'Detail Balok'!$C$10:$BJ$140,51,FALSE)</f>
        <v>0</v>
      </c>
      <c r="E320" t="str">
        <v>D</v>
      </c>
      <c r="F320">
        <f>VLOOKUP(D295,'Detail Balok'!$C$10:$BJ$140,53,FALSE)</f>
        <v>0</v>
      </c>
      <c r="G320" t="str">
        <v>-</v>
      </c>
      <c r="H320">
        <f>VLOOKUP(D295,'Detail Balok'!$C$10:$BJ$140,55,FALSE)</f>
        <v>100</v>
      </c>
      <c r="J320">
        <f>(D296-2*F$5)/1000</f>
        <v>0.22</v>
      </c>
      <c r="K320" t="str">
        <v>+</v>
      </c>
      <c r="L320">
        <f>IF(D320=0,2*MAX(6*F320,75),(D320-1)*2*MAX(6*F320,75))/1000</f>
        <v>0.15</v>
      </c>
      <c r="M320" t="str">
        <v>=</v>
      </c>
      <c r="N320">
        <f>J320+L320</f>
        <v>0.37</v>
      </c>
      <c r="T320" t="str">
        <v>x</v>
      </c>
      <c r="U320">
        <f>0.006165*F320^2</f>
        <v>0</v>
      </c>
      <c r="V320" t="str">
        <v>x</v>
      </c>
      <c r="W320">
        <f>W316</f>
        <v>13</v>
      </c>
      <c r="X320" t="str">
        <v>x</v>
      </c>
      <c r="Y320">
        <f>D305</f>
        <v>4</v>
      </c>
      <c r="Z320" t="str">
        <v>=</v>
      </c>
      <c r="AA320">
        <f>N320*U320*W320*Y320</f>
        <v>0</v>
      </c>
    </row>
    <row r="321">
      <c r="A321" t="str">
        <f>A295</f>
        <v>Lantai 1</v>
      </c>
      <c r="B321">
        <f>B295</f>
        <v>10</v>
      </c>
      <c r="C321" t="str">
        <v>Kait Horizontal Tump.</v>
      </c>
      <c r="D321">
        <f>VLOOKUP(D295,'Detail Balok'!$C$10:$BJ$140,56,FALSE)</f>
        <v>0</v>
      </c>
      <c r="E321" t="str">
        <v>D</v>
      </c>
      <c r="F321">
        <f>VLOOKUP(D295,'Detail Balok'!$C$10:$BJ$140,58,FALSE)</f>
        <v>0</v>
      </c>
      <c r="G321" t="str">
        <v>-</v>
      </c>
      <c r="H321">
        <f>VLOOKUP(D295,'Detail Balok'!$C$10:$BJ$140,60,FALSE)</f>
        <v>100</v>
      </c>
      <c r="J321">
        <f>(D296-2*F$5)/1000</f>
        <v>0.22</v>
      </c>
      <c r="K321" t="str">
        <v>+</v>
      </c>
      <c r="L321">
        <f>IF(D321=0,2*MAX(6*F321,75),(D321-1)*2*MAX(6*F321,75))/1000</f>
        <v>0.15</v>
      </c>
      <c r="M321" t="str">
        <v>=</v>
      </c>
      <c r="N321">
        <f>J321+L321</f>
        <v>0.37</v>
      </c>
      <c r="T321" t="str">
        <v>x</v>
      </c>
      <c r="U321">
        <f>0.006165*F321^2</f>
        <v>0</v>
      </c>
      <c r="V321" t="str">
        <v>x</v>
      </c>
      <c r="W321">
        <f>W317</f>
        <v>9</v>
      </c>
      <c r="X321" t="str">
        <v>x</v>
      </c>
      <c r="Y321">
        <f>D305</f>
        <v>4</v>
      </c>
      <c r="Z321" t="str">
        <v>=</v>
      </c>
      <c r="AA321">
        <f>N321*U321*W321*Y321</f>
        <v>0</v>
      </c>
    </row>
    <row r="325">
      <c r="A325" t="str">
        <f>A295</f>
        <v>Lantai 1</v>
      </c>
      <c r="B325">
        <f>B295+1</f>
        <v>11</v>
      </c>
      <c r="C325" t="str">
        <f>CONCATENATE(A325," no. ",B325)</f>
        <v>Lantai 1 no. 11</v>
      </c>
      <c r="D325" t="str">
        <f>VLOOKUP(C325,'Data Panjang Balok'!$C$9:$N$254,2,FALSE)</f>
        <v>S24-1</v>
      </c>
    </row>
    <row r="326">
      <c r="C326" t="str">
        <v>Dimensi</v>
      </c>
      <c r="D326">
        <f>VLOOKUP(D325,'Detail Balok'!$C$10:$AU$140,2,FALSE)</f>
        <v>200</v>
      </c>
      <c r="F326" t="str">
        <v>x</v>
      </c>
      <c r="G326">
        <f>VLOOKUP(D325,'Detail Balok'!$C$10:$AU$140,3,FALSE)</f>
        <v>400</v>
      </c>
    </row>
    <row r="327">
      <c r="C327" t="str">
        <v>Panjang as ke as</v>
      </c>
      <c r="D327">
        <f>VLOOKUP(C325,'Data Panjang Balok'!$C$9:$N$254,4,FALSE)</f>
        <v>4020</v>
      </c>
    </row>
    <row r="328">
      <c r="C328" t="str">
        <v>Panjang netto</v>
      </c>
      <c r="D328">
        <f>VLOOKUP(C325,'Data Panjang Balok'!$C$9:$N$254,7,FALSE)</f>
        <v>4020</v>
      </c>
    </row>
    <row r="329">
      <c r="C329" t="str">
        <v>Kolom / balok kiri</v>
      </c>
      <c r="D329">
        <f>VLOOKUP(C325,'Data Panjang Balok'!$C$9:$N$254,9,FALSE)</f>
        <v>0</v>
      </c>
    </row>
    <row r="330">
      <c r="C330" t="str">
        <v>Kolom / balok kanan</v>
      </c>
      <c r="D330">
        <f>VLOOKUP(C325,'Data Panjang Balok'!$C$9:$N$254,10,FALSE)</f>
        <v>0</v>
      </c>
    </row>
    <row r="331">
      <c r="C331" t="str">
        <v>Jumlah</v>
      </c>
      <c r="D331">
        <f>VLOOKUP(C325,'Data Panjang Balok'!$C$9:$N$254,3,FALSE)</f>
        <v>1</v>
      </c>
    </row>
    <row r="332">
      <c r="A332" t="str">
        <f>A325</f>
        <v>Lantai 1</v>
      </c>
      <c r="B332">
        <f>B325</f>
        <v>11</v>
      </c>
      <c r="C332" t="str">
        <v>Tul Atas Tumpuan</v>
      </c>
      <c r="D332">
        <f>VLOOKUP(D325,'Detail Balok'!$C$10:$AU$140,4,FALSE)</f>
        <v>3</v>
      </c>
      <c r="E332" t="str">
        <v>D</v>
      </c>
      <c r="F332">
        <f>VLOOKUP(D325,'Detail Balok'!$C$10:$AU$140,6,FALSE)</f>
        <v>13</v>
      </c>
      <c r="I332" t="str">
        <v>(</v>
      </c>
      <c r="J332">
        <f>+D327/4/1000</f>
        <v>1.005</v>
      </c>
      <c r="K332" t="str">
        <v>+</v>
      </c>
      <c r="L332">
        <f>MAX(VLOOKUP(F332,N$6:P$15,3,FALSE)/1000,2/3*D329/1000)+F$16*F332/1000</f>
        <v>0.156</v>
      </c>
      <c r="M332" t="str">
        <v>=</v>
      </c>
      <c r="N332">
        <f>J332+L332</f>
        <v>1.1609999999999998</v>
      </c>
      <c r="O332" t="str">
        <v>+</v>
      </c>
      <c r="P332">
        <f>D332-D333</f>
        <v>0</v>
      </c>
      <c r="Q332" t="str">
        <v>x</v>
      </c>
      <c r="R332">
        <f>IF(P332&gt;0,$F$18*F332/1000,0)</f>
        <v>0</v>
      </c>
      <c r="S332" t="str">
        <v>)</v>
      </c>
      <c r="T332" t="str">
        <v>x</v>
      </c>
      <c r="U332">
        <f>0.006165*F332^2</f>
        <v>1.041885</v>
      </c>
      <c r="X332" t="str">
        <v>x</v>
      </c>
      <c r="Y332">
        <f>D331</f>
        <v>1</v>
      </c>
      <c r="Z332" t="str">
        <v>=</v>
      </c>
      <c r="AA332">
        <f>IF(AA335=0,(D332*N332+P332*R332)*U332*Y332,0)</f>
        <v>0</v>
      </c>
    </row>
    <row r="333">
      <c r="A333" t="str">
        <f>A325</f>
        <v>Lantai 1</v>
      </c>
      <c r="B333">
        <f>B325</f>
        <v>11</v>
      </c>
      <c r="C333" t="str">
        <v>Tul Atas Lapangan</v>
      </c>
      <c r="D333">
        <f>VLOOKUP(D325,'Detail Balok'!$C$10:$AU$140,7,FALSE)</f>
        <v>3</v>
      </c>
      <c r="E333" t="str">
        <v>D</v>
      </c>
      <c r="F333">
        <f>VLOOKUP(D325,'Detail Balok'!$C$10:$AU$140,9,FALSE)</f>
        <v>13</v>
      </c>
      <c r="I333" t="str">
        <v>(</v>
      </c>
      <c r="J333">
        <f>+D327/2/1000</f>
        <v>2.01</v>
      </c>
      <c r="K333" t="str">
        <v>+</v>
      </c>
      <c r="M333" t="str">
        <v>=</v>
      </c>
      <c r="N333">
        <f>J333+L333</f>
        <v>2.01</v>
      </c>
      <c r="O333" t="str">
        <v>+</v>
      </c>
      <c r="P333">
        <f>MAX(D333-D332,D333-D334)</f>
        <v>0</v>
      </c>
      <c r="Q333" t="str">
        <v>x</v>
      </c>
      <c r="R333">
        <f>IF(P333&gt;0,2*(1-2*$F$19-1/2)*D328/1000,0)</f>
        <v>0</v>
      </c>
      <c r="S333" t="str">
        <v>)</v>
      </c>
      <c r="T333" t="str">
        <v>x</v>
      </c>
      <c r="U333">
        <f>0.006165*F333^2</f>
        <v>1.041885</v>
      </c>
      <c r="X333" t="str">
        <v>x</v>
      </c>
      <c r="Y333">
        <f>D331</f>
        <v>1</v>
      </c>
      <c r="Z333" t="str">
        <v>=</v>
      </c>
      <c r="AA333">
        <f>IF(AA335=0,(D333*N333+P333*R333)*U333*Y333,0)</f>
        <v>0</v>
      </c>
    </row>
    <row r="334">
      <c r="A334" t="str">
        <f>A325</f>
        <v>Lantai 1</v>
      </c>
      <c r="B334">
        <f>B325</f>
        <v>11</v>
      </c>
      <c r="C334" t="str">
        <v>Tul Atas Tumpuan</v>
      </c>
      <c r="D334">
        <f>VLOOKUP(D325,'Detail Balok'!$C$10:$AU$140,10,FALSE)</f>
        <v>3</v>
      </c>
      <c r="E334" t="str">
        <v>D</v>
      </c>
      <c r="F334">
        <f>VLOOKUP(D325,'Detail Balok'!$C$10:$AU$140,12,FALSE)</f>
        <v>13</v>
      </c>
      <c r="I334" t="str">
        <v>(</v>
      </c>
      <c r="J334">
        <f>+D327/4/1000</f>
        <v>1.005</v>
      </c>
      <c r="K334" t="str">
        <v>+</v>
      </c>
      <c r="L334">
        <f>MAX(VLOOKUP(F334,N$6:P$15,3,FALSE)/1000,2/3*D329/1000)+F$16*F334/1000</f>
        <v>0.156</v>
      </c>
      <c r="M334" t="str">
        <v>=</v>
      </c>
      <c r="N334">
        <f>J334+L334</f>
        <v>1.1609999999999998</v>
      </c>
      <c r="O334" t="str">
        <v>+</v>
      </c>
      <c r="P334">
        <f>D334-D333</f>
        <v>0</v>
      </c>
      <c r="Q334" t="str">
        <v>x</v>
      </c>
      <c r="R334">
        <f>IF(P334&gt;0,$F$18*F334/1000,0)</f>
        <v>0</v>
      </c>
      <c r="S334" t="str">
        <v>)</v>
      </c>
      <c r="T334" t="str">
        <v>x</v>
      </c>
      <c r="U334">
        <f>0.006165*F334^2</f>
        <v>1.041885</v>
      </c>
      <c r="X334" t="str">
        <v>x</v>
      </c>
      <c r="Y334">
        <f>D331</f>
        <v>1</v>
      </c>
      <c r="Z334" t="str">
        <v>=</v>
      </c>
      <c r="AA334">
        <f>IF(AA335=0,(D334*N334+P334*R334)*U334*Y334,0)</f>
        <v>0</v>
      </c>
    </row>
    <row r="335">
      <c r="A335" t="str">
        <f>A325</f>
        <v>Lantai 1</v>
      </c>
      <c r="B335">
        <f>B325</f>
        <v>11</v>
      </c>
      <c r="D335">
        <f>IF(AND(D332=D333,D333=D334,D332=D334),D332,0)</f>
        <v>3</v>
      </c>
      <c r="E335" t="str">
        <v>D</v>
      </c>
      <c r="F335">
        <f>IF(AND(F332=F333,F332=F334,F333=F334),F332,0)</f>
        <v>13</v>
      </c>
      <c r="L335" t="str">
        <v>Total panjang per balok</v>
      </c>
      <c r="M335" t="str">
        <v>=</v>
      </c>
      <c r="N335">
        <f>IF(AND(D332=D333,D332=D334,D333=D334,F332=F333,F332=F334,F333=F334),SUM(N332:N334),0)</f>
        <v>4.331999999999999</v>
      </c>
      <c r="O335" t="str">
        <v>+</v>
      </c>
      <c r="P335">
        <f>IF(N335&gt;12,ROUNDDOWN(N335/12,0),0)</f>
        <v>0</v>
      </c>
      <c r="Q335" t="str">
        <v>x</v>
      </c>
      <c r="R335">
        <f>IF(P335&gt;0,MAX(VLOOKUP(F335,$D$6:$G$15,3,FALSE),600),0)/1000</f>
        <v>0</v>
      </c>
      <c r="T335" t="str">
        <v>x</v>
      </c>
      <c r="U335">
        <f>U334</f>
        <v>1.041885</v>
      </c>
      <c r="V335" t="str">
        <v>x</v>
      </c>
      <c r="W335">
        <f>D335</f>
        <v>3</v>
      </c>
      <c r="X335" t="str">
        <v>x</v>
      </c>
      <c r="Y335">
        <f>Y334</f>
        <v>1</v>
      </c>
      <c r="Z335" t="str">
        <v>=</v>
      </c>
      <c r="AA335">
        <f>(N335+P335*R335/1000)*U335*W335*Y335</f>
        <v>13.540337459999996</v>
      </c>
    </row>
    <row r="337">
      <c r="A337" t="str">
        <f>A325</f>
        <v>Lantai 1</v>
      </c>
      <c r="B337">
        <f>B325</f>
        <v>11</v>
      </c>
      <c r="C337" t="str">
        <v>Tul Peminggang</v>
      </c>
      <c r="D337">
        <f>VLOOKUP(D325,'Detail Balok'!$C$10:$AU$140,13,FALSE)</f>
        <v>0</v>
      </c>
      <c r="E337" t="str">
        <v>D</v>
      </c>
      <c r="F337">
        <f>VLOOKUP(D325,'Detail Balok'!$C$10:$AU$140,15,FALSE)</f>
        <v>8</v>
      </c>
      <c r="J337">
        <f>+D327/1000</f>
        <v>4.02</v>
      </c>
      <c r="K337" t="str">
        <v>+</v>
      </c>
      <c r="L337">
        <f>2*$F$16*F337/1000</f>
        <v>0.192</v>
      </c>
      <c r="M337" t="str">
        <v>=</v>
      </c>
      <c r="N337">
        <f>J337+L337</f>
        <v>4.212</v>
      </c>
      <c r="O337" t="str">
        <v>+</v>
      </c>
      <c r="P337">
        <f>IF(N337&gt;12,ROUNDDOWN(N337/12,0),0)</f>
        <v>0</v>
      </c>
      <c r="Q337" t="str">
        <v>x</v>
      </c>
      <c r="R337">
        <f>IF(P337&gt;0,MAX(VLOOKUP(F337,$D$6:$G$15,3,FALSE),600),0)/1000</f>
        <v>0</v>
      </c>
      <c r="T337" t="str">
        <v>x</v>
      </c>
      <c r="U337">
        <f>0.006165*F337^2</f>
        <v>0.39456</v>
      </c>
      <c r="V337" t="str">
        <v>x</v>
      </c>
      <c r="W337">
        <f>+D337</f>
        <v>0</v>
      </c>
      <c r="X337" t="str">
        <v>x</v>
      </c>
      <c r="Y337">
        <f>D331</f>
        <v>1</v>
      </c>
      <c r="Z337" t="str">
        <v>=</v>
      </c>
      <c r="AA337">
        <f>(N337+P337*R337/1000)*U337*W337*Y337</f>
        <v>0</v>
      </c>
    </row>
    <row r="340">
      <c r="A340" t="str">
        <f>A325</f>
        <v>Lantai 1</v>
      </c>
      <c r="B340">
        <f>B325</f>
        <v>11</v>
      </c>
      <c r="C340" t="str">
        <v>Tul Bawah Tumpuan</v>
      </c>
      <c r="D340">
        <f>VLOOKUP(D325,'Detail Balok'!$C$10:$AU$140,22,FALSE)</f>
        <v>3</v>
      </c>
      <c r="E340" t="str">
        <v>D</v>
      </c>
      <c r="F340">
        <f>VLOOKUP(D325,'Detail Balok'!$C$10:$AU$140,24,FALSE)</f>
        <v>13</v>
      </c>
      <c r="I340" t="str">
        <v>(</v>
      </c>
      <c r="J340">
        <f>+J332</f>
        <v>1.005</v>
      </c>
      <c r="K340" t="str">
        <v>+</v>
      </c>
      <c r="L340">
        <f>MAX(VLOOKUP(F340,N$6:P$15,3,FALSE)/1000,2/3*D330/1000)+F$16*F340/1000</f>
        <v>0.156</v>
      </c>
      <c r="M340" t="str">
        <v>=</v>
      </c>
      <c r="N340">
        <f>J340+L340</f>
        <v>1.1609999999999998</v>
      </c>
      <c r="O340" t="str">
        <v>+</v>
      </c>
      <c r="P340">
        <f>D340-D341</f>
        <v>0</v>
      </c>
      <c r="Q340" t="str">
        <v>x</v>
      </c>
      <c r="R340">
        <f>IF(P340&gt;0,$F$18*F340/1000,0)</f>
        <v>0</v>
      </c>
      <c r="S340" t="str">
        <v>)</v>
      </c>
      <c r="T340" t="str">
        <v>x</v>
      </c>
      <c r="U340">
        <f>0.006165*F340^2</f>
        <v>1.041885</v>
      </c>
      <c r="X340" t="str">
        <v>x</v>
      </c>
      <c r="Y340">
        <f>D331</f>
        <v>1</v>
      </c>
      <c r="Z340" t="str">
        <v>=</v>
      </c>
      <c r="AA340">
        <f>IF(AA343=0,(D340*N340+P340*R340)*U340*Y340,0)</f>
        <v>0</v>
      </c>
    </row>
    <row r="341">
      <c r="A341" t="str">
        <f>A325</f>
        <v>Lantai 1</v>
      </c>
      <c r="B341">
        <f>B325</f>
        <v>11</v>
      </c>
      <c r="C341" t="str">
        <v>Tul Bawah Lapangan</v>
      </c>
      <c r="D341">
        <f>VLOOKUP(D325,'Detail Balok'!$C$10:$AU$140,25,FALSE)</f>
        <v>3</v>
      </c>
      <c r="E341" t="str">
        <v>D</v>
      </c>
      <c r="F341">
        <f>VLOOKUP(D325,'Detail Balok'!$C$10:$AU$140,27,FALSE)</f>
        <v>13</v>
      </c>
      <c r="I341" t="str">
        <v>(</v>
      </c>
      <c r="J341">
        <f>+J333</f>
        <v>2.01</v>
      </c>
      <c r="K341" t="str">
        <v>+</v>
      </c>
      <c r="M341" t="str">
        <v>=</v>
      </c>
      <c r="N341">
        <f>J341+L341</f>
        <v>2.01</v>
      </c>
      <c r="O341" t="str">
        <v>+</v>
      </c>
      <c r="P341">
        <f>MAX(D341-D340,D341-D342)</f>
        <v>0</v>
      </c>
      <c r="Q341" t="str">
        <v>x</v>
      </c>
      <c r="R341">
        <f>IF(P341&gt;0,2*(1-2*$F$19-1/2)*D328/1000,0)</f>
        <v>0</v>
      </c>
      <c r="S341" t="str">
        <v>)</v>
      </c>
      <c r="T341" t="str">
        <v>x</v>
      </c>
      <c r="U341">
        <f>0.006165*F341^2</f>
        <v>1.041885</v>
      </c>
      <c r="X341" t="str">
        <v>x</v>
      </c>
      <c r="Y341">
        <f>D331</f>
        <v>1</v>
      </c>
      <c r="Z341" t="str">
        <v>=</v>
      </c>
      <c r="AA341">
        <f>IF(AA343=0,(D341*N341+P341*R341)*U341*Y341,0)</f>
        <v>0</v>
      </c>
    </row>
    <row r="342">
      <c r="A342" t="str">
        <f>A325</f>
        <v>Lantai 1</v>
      </c>
      <c r="B342">
        <f>B325</f>
        <v>11</v>
      </c>
      <c r="C342" t="str">
        <v>Tul Bawah Tumpuan</v>
      </c>
      <c r="D342">
        <f>VLOOKUP(D325,'Detail Balok'!$C$10:$AU$140,28,FALSE)</f>
        <v>3</v>
      </c>
      <c r="E342" t="str">
        <v>D</v>
      </c>
      <c r="F342">
        <f>VLOOKUP(D325,'Detail Balok'!$C$10:$AU$140,30,FALSE)</f>
        <v>13</v>
      </c>
      <c r="I342" t="str">
        <v>(</v>
      </c>
      <c r="J342">
        <f>+J334</f>
        <v>1.005</v>
      </c>
      <c r="K342" t="str">
        <v>+</v>
      </c>
      <c r="L342">
        <f>MAX(VLOOKUP(F342,N$6:P$15,3,FALSE)/1000,2/3*D330/1000)+F$16*F342/1000</f>
        <v>0.156</v>
      </c>
      <c r="M342" t="str">
        <v>=</v>
      </c>
      <c r="N342">
        <f>J342+L342</f>
        <v>1.1609999999999998</v>
      </c>
      <c r="O342" t="str">
        <v>+</v>
      </c>
      <c r="P342">
        <f>D342-D341</f>
        <v>0</v>
      </c>
      <c r="Q342" t="str">
        <v>x</v>
      </c>
      <c r="R342">
        <f>IF(P342&gt;0,$F$18*F342/1000,0)</f>
        <v>0</v>
      </c>
      <c r="S342" t="str">
        <v>)</v>
      </c>
      <c r="T342" t="str">
        <v>x</v>
      </c>
      <c r="U342">
        <f>0.006165*F342^2</f>
        <v>1.041885</v>
      </c>
      <c r="X342" t="str">
        <v>x</v>
      </c>
      <c r="Y342">
        <f>D331</f>
        <v>1</v>
      </c>
      <c r="Z342" t="str">
        <v>=</v>
      </c>
      <c r="AA342">
        <f>IF(AA343=0,(D342*N342+P342*R342)*U342*Y342,0)</f>
        <v>0</v>
      </c>
    </row>
    <row r="343">
      <c r="A343" t="str">
        <f>A325</f>
        <v>Lantai 1</v>
      </c>
      <c r="B343">
        <f>B325</f>
        <v>11</v>
      </c>
      <c r="D343">
        <f>IF(AND(D340=D341,D341=D342,D340=D342),D340,0)</f>
        <v>3</v>
      </c>
      <c r="E343" t="str">
        <v>D</v>
      </c>
      <c r="F343">
        <f>IF(AND(F340=F341,F340=F342,F341=F342),F340,0)</f>
        <v>13</v>
      </c>
      <c r="L343" t="str">
        <v>Total panjang per balok</v>
      </c>
      <c r="M343" t="str">
        <v>=</v>
      </c>
      <c r="N343">
        <f>IF(AND(D340=D341,D340=D342,D341=D342,F340=F341,F340=F342,F341=F342),SUM(N340:N342),0)</f>
        <v>4.331999999999999</v>
      </c>
      <c r="O343" t="str">
        <v>+</v>
      </c>
      <c r="P343">
        <f>IF(N343&gt;12,ROUNDDOWN(N343/12,0),0)</f>
        <v>0</v>
      </c>
      <c r="Q343" t="str">
        <v>x</v>
      </c>
      <c r="R343">
        <f>IF(P343&gt;0,MAX(VLOOKUP(F343,$D$6:$G$15,3,FALSE),600),0)/1000</f>
        <v>0</v>
      </c>
      <c r="T343" t="str">
        <v>x</v>
      </c>
      <c r="U343">
        <f>U342</f>
        <v>1.041885</v>
      </c>
      <c r="V343" t="str">
        <v>x</v>
      </c>
      <c r="W343">
        <f>D343</f>
        <v>3</v>
      </c>
      <c r="X343" t="str">
        <v>x</v>
      </c>
      <c r="Y343">
        <f>Y342</f>
        <v>1</v>
      </c>
      <c r="Z343" t="str">
        <v>=</v>
      </c>
      <c r="AA343">
        <f>(N343+P343*R343/1000)*U343*W343*Y343</f>
        <v>13.540337459999996</v>
      </c>
    </row>
    <row r="345">
      <c r="A345" t="str">
        <f>A325</f>
        <v>Lantai 1</v>
      </c>
      <c r="B345">
        <f>B325</f>
        <v>11</v>
      </c>
      <c r="C345" t="str">
        <v>Sengkang Tumpuan</v>
      </c>
      <c r="D345">
        <f>VLOOKUP(D325,'Detail Balok'!$C$10:$AU$140,31,FALSE)</f>
        <v>0</v>
      </c>
      <c r="E345" t="str">
        <v>D</v>
      </c>
      <c r="F345">
        <f>VLOOKUP(D325,'Detail Balok'!$C$10:$AU$140,33,FALSE)</f>
        <v>8</v>
      </c>
      <c r="G345" t="str">
        <v>-</v>
      </c>
      <c r="H345">
        <f>VLOOKUP(D325,'Detail Balok'!$C$10:$AU$140,35,FALSE)</f>
        <v>150</v>
      </c>
      <c r="J345">
        <f>(IF(D345=0,(2*(D326+G326))-(F$5*8),IF(D345=3,(2*(D326+G326))-(F$5*8)+(G326-2*F$5),IF(D345=4,(2*(D326+G326))-(F$5*8)+2*(G326-2*F$5)))))/1000</f>
        <v>0.88</v>
      </c>
      <c r="K345" t="str">
        <v>+</v>
      </c>
      <c r="L345">
        <f>IF(D345=0,2*MAX(6*F345,75),(D345-1)*2*MAX(6*F345,75))/1000</f>
        <v>0.15</v>
      </c>
      <c r="M345" t="str">
        <v>=</v>
      </c>
      <c r="N345">
        <f>J345+L345</f>
        <v>1.03</v>
      </c>
      <c r="T345" t="str">
        <v>x</v>
      </c>
      <c r="U345">
        <f>0.006165*F345^2</f>
        <v>0.39456</v>
      </c>
      <c r="V345" t="str">
        <v>x</v>
      </c>
      <c r="W345">
        <f>IF(D328&gt;4*G326,ROUND(MAX(D328/4,2*G326)/H345,0)+1,ROUND(D328/H345,0)+1)</f>
        <v>8</v>
      </c>
      <c r="X345" t="str">
        <v>x</v>
      </c>
      <c r="Y345">
        <f>D331</f>
        <v>1</v>
      </c>
      <c r="Z345" t="str">
        <v>=</v>
      </c>
      <c r="AA345">
        <f>N345*U345*W345*Y345</f>
        <v>3.2511744000000005</v>
      </c>
    </row>
    <row r="346">
      <c r="A346" t="str">
        <f>A325</f>
        <v>Lantai 1</v>
      </c>
      <c r="B346">
        <f>B325</f>
        <v>11</v>
      </c>
      <c r="C346" t="str">
        <v>Sengkang Lapangan</v>
      </c>
      <c r="D346">
        <f>VLOOKUP(D325,'Detail Balok'!$C$10:$AU$140,36,FALSE)</f>
        <v>0</v>
      </c>
      <c r="E346" t="str">
        <v>D</v>
      </c>
      <c r="F346">
        <f>VLOOKUP(D325,'Detail Balok'!$C$10:$AU$140,38,FALSE)</f>
        <v>8</v>
      </c>
      <c r="G346" t="str">
        <v>-</v>
      </c>
      <c r="H346">
        <f>VLOOKUP(D325,'Detail Balok'!$C$10:$AU$140,40,FALSE)</f>
        <v>200</v>
      </c>
      <c r="J346">
        <f>(IF(D346=0,(2*(D326+G326))-(F$5*8),IF(D346=3,(2*(D326+G326))-(F$5*8)+(G326-2*F$5),IF(D346=4,(2*(D326+G326))-(F$5*8)+2*(G326-2*F$5)))))/1000</f>
        <v>0.88</v>
      </c>
      <c r="K346" t="str">
        <v>+</v>
      </c>
      <c r="L346">
        <f>IF(D346=0,2*MAX(6*F346,75),(D346-1)*2*MAX(6*F346,75))/1000</f>
        <v>0.15</v>
      </c>
      <c r="M346" t="str">
        <v>=</v>
      </c>
      <c r="N346">
        <f>J346+L346</f>
        <v>1.03</v>
      </c>
      <c r="T346" t="str">
        <v>x</v>
      </c>
      <c r="U346">
        <f>0.006165*F346^2</f>
        <v>0.39456</v>
      </c>
      <c r="V346" t="str">
        <v>x</v>
      </c>
      <c r="W346">
        <f>IF(D328-MAX(D328/4,2*G326)*2&gt;0,ROUND((D328-MAX(D328/4,2*G326)*2)/H346,0),0)</f>
        <v>10</v>
      </c>
      <c r="X346" t="str">
        <v>x</v>
      </c>
      <c r="Y346">
        <f>D331</f>
        <v>1</v>
      </c>
      <c r="Z346" t="str">
        <v>=</v>
      </c>
      <c r="AA346">
        <f>N346*U346*W346*Y346</f>
        <v>4.063968000000001</v>
      </c>
    </row>
    <row r="347">
      <c r="A347" t="str">
        <f>A325</f>
        <v>Lantai 1</v>
      </c>
      <c r="B347">
        <f>B325</f>
        <v>11</v>
      </c>
      <c r="C347" t="str">
        <v>Sengkang Tumpuan</v>
      </c>
      <c r="D347">
        <f>VLOOKUP(D325,'Detail Balok'!$C$10:$AU$140,41,FALSE)</f>
        <v>0</v>
      </c>
      <c r="E347" t="str">
        <v>D</v>
      </c>
      <c r="F347">
        <f>VLOOKUP(D325,'Detail Balok'!$C$10:$AU$140,43,FALSE)</f>
        <v>8</v>
      </c>
      <c r="G347" t="str">
        <v>-</v>
      </c>
      <c r="H347">
        <f>VLOOKUP(D325,'Detail Balok'!$C$10:$AU$140,45,FALSE)</f>
        <v>150</v>
      </c>
      <c r="J347">
        <f>(IF(D347=0,(2*(D326+G326))-(F$5*8),IF(D347=3,(2*(D326+G326))-(F$5*8)+(G326-2*F$5),IF(D347=4,(2*(D326+G326))-(F$5*8)+2*(G326-2*F$5)))))/1000</f>
        <v>0.88</v>
      </c>
      <c r="K347" t="str">
        <v>+</v>
      </c>
      <c r="L347">
        <f>IF(D347=0,2*MAX(6*F347,75),(D347-1)*2*MAX(6*F347,75))/1000</f>
        <v>0.15</v>
      </c>
      <c r="M347" t="str">
        <v>=</v>
      </c>
      <c r="N347">
        <f>J347+L347</f>
        <v>1.03</v>
      </c>
      <c r="T347" t="str">
        <v>x</v>
      </c>
      <c r="U347">
        <f>0.006165*F347^2</f>
        <v>0.39456</v>
      </c>
      <c r="V347" t="str">
        <v>x</v>
      </c>
      <c r="W347">
        <f>IF(D328&gt;4*G326,ROUND(MAX(D328/4,2*G326)/H347,0)+1,0)</f>
        <v>8</v>
      </c>
      <c r="X347" t="str">
        <v>x</v>
      </c>
      <c r="Y347">
        <f>D331</f>
        <v>1</v>
      </c>
      <c r="Z347" t="str">
        <v>=</v>
      </c>
      <c r="AA347">
        <f>N347*U347*W347*Y347</f>
        <v>3.2511744000000005</v>
      </c>
    </row>
    <row r="349">
      <c r="A349" t="str">
        <f>A325</f>
        <v>Lantai 1</v>
      </c>
      <c r="B349">
        <f>B325</f>
        <v>11</v>
      </c>
      <c r="C349" t="str">
        <v>Kait Horizontal Tump.</v>
      </c>
      <c r="D349">
        <f>VLOOKUP(D325,'Detail Balok'!$C$10:$BJ$140,46,FALSE)</f>
        <v>0</v>
      </c>
      <c r="E349" t="str">
        <v>D</v>
      </c>
      <c r="F349">
        <f>VLOOKUP(D325,'Detail Balok'!$C$10:$BJ$140,48,FALSE)</f>
        <v>0</v>
      </c>
      <c r="G349" t="str">
        <v>-</v>
      </c>
      <c r="H349">
        <f>VLOOKUP(D325,'Detail Balok'!$C$10:$BJ$140,50,FALSE)</f>
        <v>100</v>
      </c>
      <c r="J349">
        <f>(D326-2*F$5)/1000</f>
        <v>0.12</v>
      </c>
      <c r="K349" t="str">
        <v>+</v>
      </c>
      <c r="L349">
        <f>IF(D349=0,2*MAX(6*F349,75),(D349-1)*2*MAX(6*F349,75))/1000</f>
        <v>0.15</v>
      </c>
      <c r="M349" t="str">
        <v>=</v>
      </c>
      <c r="N349">
        <f>J349+L349</f>
        <v>0.27</v>
      </c>
      <c r="T349" t="str">
        <v>x</v>
      </c>
      <c r="U349">
        <f>0.006165*F349^2</f>
        <v>0</v>
      </c>
      <c r="V349" t="str">
        <v>x</v>
      </c>
      <c r="W349">
        <f>W345</f>
        <v>8</v>
      </c>
      <c r="X349" t="str">
        <v>x</v>
      </c>
      <c r="Y349">
        <f>D335</f>
        <v>3</v>
      </c>
      <c r="Z349" t="str">
        <v>=</v>
      </c>
      <c r="AA349">
        <f>N349*U349*W349*Y349</f>
        <v>0</v>
      </c>
    </row>
    <row r="350">
      <c r="A350" t="str">
        <f>A325</f>
        <v>Lantai 1</v>
      </c>
      <c r="B350">
        <f>B325</f>
        <v>11</v>
      </c>
      <c r="C350" t="str">
        <v>Kait Horizontal Lap.</v>
      </c>
      <c r="D350">
        <f>VLOOKUP(D325,'Detail Balok'!$C$10:$BJ$140,51,FALSE)</f>
        <v>0</v>
      </c>
      <c r="E350" t="str">
        <v>D</v>
      </c>
      <c r="F350">
        <f>VLOOKUP(D325,'Detail Balok'!$C$10:$BJ$140,53,FALSE)</f>
        <v>0</v>
      </c>
      <c r="G350" t="str">
        <v>-</v>
      </c>
      <c r="H350">
        <f>VLOOKUP(D325,'Detail Balok'!$C$10:$BJ$140,55,FALSE)</f>
        <v>100</v>
      </c>
      <c r="J350">
        <f>(D326-2*F$5)/1000</f>
        <v>0.12</v>
      </c>
      <c r="K350" t="str">
        <v>+</v>
      </c>
      <c r="L350">
        <f>IF(D350=0,2*MAX(6*F350,75),(D350-1)*2*MAX(6*F350,75))/1000</f>
        <v>0.15</v>
      </c>
      <c r="M350" t="str">
        <v>=</v>
      </c>
      <c r="N350">
        <f>J350+L350</f>
        <v>0.27</v>
      </c>
      <c r="T350" t="str">
        <v>x</v>
      </c>
      <c r="U350">
        <f>0.006165*F350^2</f>
        <v>0</v>
      </c>
      <c r="V350" t="str">
        <v>x</v>
      </c>
      <c r="W350">
        <f>W346</f>
        <v>10</v>
      </c>
      <c r="X350" t="str">
        <v>x</v>
      </c>
      <c r="Y350">
        <f>D335</f>
        <v>3</v>
      </c>
      <c r="Z350" t="str">
        <v>=</v>
      </c>
      <c r="AA350">
        <f>N350*U350*W350*Y350</f>
        <v>0</v>
      </c>
    </row>
    <row r="351">
      <c r="A351" t="str">
        <f>A325</f>
        <v>Lantai 1</v>
      </c>
      <c r="B351">
        <f>B325</f>
        <v>11</v>
      </c>
      <c r="C351" t="str">
        <v>Kait Horizontal Tump.</v>
      </c>
      <c r="D351">
        <f>VLOOKUP(D325,'Detail Balok'!$C$10:$BJ$140,56,FALSE)</f>
        <v>0</v>
      </c>
      <c r="E351" t="str">
        <v>D</v>
      </c>
      <c r="F351">
        <f>VLOOKUP(D325,'Detail Balok'!$C$10:$BJ$140,58,FALSE)</f>
        <v>0</v>
      </c>
      <c r="G351" t="str">
        <v>-</v>
      </c>
      <c r="H351">
        <f>VLOOKUP(D325,'Detail Balok'!$C$10:$BJ$140,60,FALSE)</f>
        <v>100</v>
      </c>
      <c r="J351">
        <f>(D326-2*F$5)/1000</f>
        <v>0.12</v>
      </c>
      <c r="K351" t="str">
        <v>+</v>
      </c>
      <c r="L351">
        <f>IF(D351=0,2*MAX(6*F351,75),(D351-1)*2*MAX(6*F351,75))/1000</f>
        <v>0.15</v>
      </c>
      <c r="M351" t="str">
        <v>=</v>
      </c>
      <c r="N351">
        <f>J351+L351</f>
        <v>0.27</v>
      </c>
      <c r="T351" t="str">
        <v>x</v>
      </c>
      <c r="U351">
        <f>0.006165*F351^2</f>
        <v>0</v>
      </c>
      <c r="V351" t="str">
        <v>x</v>
      </c>
      <c r="W351">
        <f>W347</f>
        <v>8</v>
      </c>
      <c r="X351" t="str">
        <v>x</v>
      </c>
      <c r="Y351">
        <f>D335</f>
        <v>3</v>
      </c>
      <c r="Z351" t="str">
        <v>=</v>
      </c>
      <c r="AA351">
        <f>N351*U351*W351*Y351</f>
        <v>0</v>
      </c>
    </row>
    <row r="355">
      <c r="A355" t="str">
        <f>A325</f>
        <v>Lantai 1</v>
      </c>
      <c r="B355">
        <f>B325+1</f>
        <v>12</v>
      </c>
      <c r="C355" t="str">
        <f>CONCATENATE(A355," no. ",B355)</f>
        <v>Lantai 1 no. 12</v>
      </c>
      <c r="D355" t="str">
        <f>VLOOKUP(C355,'Data Panjang Balok'!$C$9:$N$254,2,FALSE)</f>
        <v>S36-1</v>
      </c>
    </row>
    <row r="356">
      <c r="C356" t="str">
        <v>Dimensi</v>
      </c>
      <c r="D356">
        <f>VLOOKUP(D355,'Detail Balok'!$C$10:$AU$140,2,FALSE)</f>
        <v>300</v>
      </c>
      <c r="F356" t="str">
        <v>x</v>
      </c>
      <c r="G356">
        <f>VLOOKUP(D355,'Detail Balok'!$C$10:$AU$140,3,FALSE)</f>
        <v>600</v>
      </c>
    </row>
    <row r="357">
      <c r="C357" t="str">
        <v>Panjang as ke as</v>
      </c>
      <c r="D357">
        <f>VLOOKUP(C355,'Data Panjang Balok'!$C$9:$N$254,4,FALSE)</f>
        <v>4000</v>
      </c>
    </row>
    <row r="358">
      <c r="C358" t="str">
        <v>Panjang netto</v>
      </c>
      <c r="D358">
        <f>VLOOKUP(C355,'Data Panjang Balok'!$C$9:$N$254,7,FALSE)</f>
        <v>4000</v>
      </c>
    </row>
    <row r="359">
      <c r="C359" t="str">
        <v>Kolom / balok kiri</v>
      </c>
      <c r="D359">
        <f>VLOOKUP(C355,'Data Panjang Balok'!$C$9:$N$254,9,FALSE)</f>
        <v>0</v>
      </c>
    </row>
    <row r="360">
      <c r="C360" t="str">
        <v>Kolom / balok kanan</v>
      </c>
      <c r="D360">
        <f>VLOOKUP(C355,'Data Panjang Balok'!$C$9:$N$254,10,FALSE)</f>
        <v>0</v>
      </c>
    </row>
    <row r="361">
      <c r="C361" t="str">
        <v>Jumlah</v>
      </c>
      <c r="D361">
        <f>VLOOKUP(C355,'Data Panjang Balok'!$C$9:$N$254,3,FALSE)</f>
        <v>1</v>
      </c>
    </row>
    <row r="362">
      <c r="A362" t="str">
        <f>A355</f>
        <v>Lantai 1</v>
      </c>
      <c r="B362">
        <f>B355</f>
        <v>12</v>
      </c>
      <c r="C362" t="str">
        <v>Tul Atas Tumpuan</v>
      </c>
      <c r="D362">
        <f>VLOOKUP(D355,'Detail Balok'!$C$10:$AU$140,4,FALSE)</f>
        <v>4</v>
      </c>
      <c r="E362" t="str">
        <v>D</v>
      </c>
      <c r="F362">
        <f>VLOOKUP(D355,'Detail Balok'!$C$10:$AU$140,6,FALSE)</f>
        <v>16</v>
      </c>
      <c r="I362" t="str">
        <v>(</v>
      </c>
      <c r="J362">
        <f>+D357/4/1000</f>
        <v>1</v>
      </c>
      <c r="K362" t="str">
        <v>+</v>
      </c>
      <c r="L362">
        <f>MAX(VLOOKUP(F362,N$6:P$15,3,FALSE)/1000,2/3*D359/1000)+F$16*F362/1000</f>
        <v>0.192</v>
      </c>
      <c r="M362" t="str">
        <v>=</v>
      </c>
      <c r="N362">
        <f>J362+L362</f>
        <v>1.192</v>
      </c>
      <c r="O362" t="str">
        <v>+</v>
      </c>
      <c r="P362">
        <f>D362-D363</f>
        <v>0</v>
      </c>
      <c r="Q362" t="str">
        <v>x</v>
      </c>
      <c r="R362">
        <f>IF(P362&gt;0,$F$18*F362/1000,0)</f>
        <v>0</v>
      </c>
      <c r="S362" t="str">
        <v>)</v>
      </c>
      <c r="T362" t="str">
        <v>x</v>
      </c>
      <c r="U362">
        <f>0.006165*F362^2</f>
        <v>1.57824</v>
      </c>
      <c r="X362" t="str">
        <v>x</v>
      </c>
      <c r="Y362">
        <f>D361</f>
        <v>1</v>
      </c>
      <c r="Z362" t="str">
        <v>=</v>
      </c>
      <c r="AA362">
        <f>IF(AA365=0,(D362*N362+P362*R362)*U362*Y362,0)</f>
        <v>0</v>
      </c>
    </row>
    <row r="363">
      <c r="A363" t="str">
        <f>A355</f>
        <v>Lantai 1</v>
      </c>
      <c r="B363">
        <f>B355</f>
        <v>12</v>
      </c>
      <c r="C363" t="str">
        <v>Tul Atas Lapangan</v>
      </c>
      <c r="D363">
        <f>VLOOKUP(D355,'Detail Balok'!$C$10:$AU$140,7,FALSE)</f>
        <v>4</v>
      </c>
      <c r="E363" t="str">
        <v>D</v>
      </c>
      <c r="F363">
        <f>VLOOKUP(D355,'Detail Balok'!$C$10:$AU$140,9,FALSE)</f>
        <v>16</v>
      </c>
      <c r="I363" t="str">
        <v>(</v>
      </c>
      <c r="J363">
        <f>+D357/2/1000</f>
        <v>2</v>
      </c>
      <c r="K363" t="str">
        <v>+</v>
      </c>
      <c r="M363" t="str">
        <v>=</v>
      </c>
      <c r="N363">
        <f>J363+L363</f>
        <v>2</v>
      </c>
      <c r="O363" t="str">
        <v>+</v>
      </c>
      <c r="P363">
        <f>MAX(D363-D362,D363-D364)</f>
        <v>0</v>
      </c>
      <c r="Q363" t="str">
        <v>x</v>
      </c>
      <c r="R363">
        <f>IF(P363&gt;0,2*(1-2*$F$19-1/2)*D358/1000,0)</f>
        <v>0</v>
      </c>
      <c r="S363" t="str">
        <v>)</v>
      </c>
      <c r="T363" t="str">
        <v>x</v>
      </c>
      <c r="U363">
        <f>0.006165*F363^2</f>
        <v>1.57824</v>
      </c>
      <c r="X363" t="str">
        <v>x</v>
      </c>
      <c r="Y363">
        <f>D361</f>
        <v>1</v>
      </c>
      <c r="Z363" t="str">
        <v>=</v>
      </c>
      <c r="AA363">
        <f>IF(AA365=0,(D363*N363+P363*R363)*U363*Y363,0)</f>
        <v>0</v>
      </c>
    </row>
    <row r="364">
      <c r="A364" t="str">
        <f>A355</f>
        <v>Lantai 1</v>
      </c>
      <c r="B364">
        <f>B355</f>
        <v>12</v>
      </c>
      <c r="C364" t="str">
        <v>Tul Atas Tumpuan</v>
      </c>
      <c r="D364">
        <f>VLOOKUP(D355,'Detail Balok'!$C$10:$AU$140,10,FALSE)</f>
        <v>4</v>
      </c>
      <c r="E364" t="str">
        <v>D</v>
      </c>
      <c r="F364">
        <f>VLOOKUP(D355,'Detail Balok'!$C$10:$AU$140,12,FALSE)</f>
        <v>16</v>
      </c>
      <c r="I364" t="str">
        <v>(</v>
      </c>
      <c r="J364">
        <f>+D357/4/1000</f>
        <v>1</v>
      </c>
      <c r="K364" t="str">
        <v>+</v>
      </c>
      <c r="L364">
        <f>MAX(VLOOKUP(F364,N$6:P$15,3,FALSE)/1000,2/3*D359/1000)+F$16*F364/1000</f>
        <v>0.192</v>
      </c>
      <c r="M364" t="str">
        <v>=</v>
      </c>
      <c r="N364">
        <f>J364+L364</f>
        <v>1.192</v>
      </c>
      <c r="O364" t="str">
        <v>+</v>
      </c>
      <c r="P364">
        <f>D364-D363</f>
        <v>0</v>
      </c>
      <c r="Q364" t="str">
        <v>x</v>
      </c>
      <c r="R364">
        <f>IF(P364&gt;0,$F$18*F364/1000,0)</f>
        <v>0</v>
      </c>
      <c r="S364" t="str">
        <v>)</v>
      </c>
      <c r="T364" t="str">
        <v>x</v>
      </c>
      <c r="U364">
        <f>0.006165*F364^2</f>
        <v>1.57824</v>
      </c>
      <c r="X364" t="str">
        <v>x</v>
      </c>
      <c r="Y364">
        <f>D361</f>
        <v>1</v>
      </c>
      <c r="Z364" t="str">
        <v>=</v>
      </c>
      <c r="AA364">
        <f>IF(AA365=0,(D364*N364+P364*R364)*U364*Y364,0)</f>
        <v>0</v>
      </c>
    </row>
    <row r="365">
      <c r="A365" t="str">
        <f>A355</f>
        <v>Lantai 1</v>
      </c>
      <c r="B365">
        <f>B355</f>
        <v>12</v>
      </c>
      <c r="D365">
        <f>IF(AND(D362=D363,D363=D364,D362=D364),D362,0)</f>
        <v>4</v>
      </c>
      <c r="E365" t="str">
        <v>D</v>
      </c>
      <c r="F365">
        <f>IF(AND(F362=F363,F362=F364,F363=F364),F362,0)</f>
        <v>16</v>
      </c>
      <c r="L365" t="str">
        <v>Total panjang per balok</v>
      </c>
      <c r="M365" t="str">
        <v>=</v>
      </c>
      <c r="N365">
        <f>IF(AND(D362=D363,D362=D364,D363=D364,F362=F363,F362=F364,F363=F364),SUM(N362:N364),0)</f>
        <v>4.384</v>
      </c>
      <c r="O365" t="str">
        <v>+</v>
      </c>
      <c r="P365">
        <f>IF(N365&gt;12,ROUNDDOWN(N365/12,0),0)</f>
        <v>0</v>
      </c>
      <c r="Q365" t="str">
        <v>x</v>
      </c>
      <c r="R365">
        <f>IF(P365&gt;0,MAX(VLOOKUP(F365,$D$6:$G$15,3,FALSE),600),0)/1000</f>
        <v>0</v>
      </c>
      <c r="T365" t="str">
        <v>x</v>
      </c>
      <c r="U365">
        <f>U364</f>
        <v>1.57824</v>
      </c>
      <c r="V365" t="str">
        <v>x</v>
      </c>
      <c r="W365">
        <f>D365</f>
        <v>4</v>
      </c>
      <c r="X365" t="str">
        <v>x</v>
      </c>
      <c r="Y365">
        <f>Y364</f>
        <v>1</v>
      </c>
      <c r="Z365" t="str">
        <v>=</v>
      </c>
      <c r="AA365">
        <f>(N365+P365*R365/1000)*U365*W365*Y365</f>
        <v>27.676016640000004</v>
      </c>
    </row>
    <row r="367">
      <c r="A367" t="str">
        <f>A355</f>
        <v>Lantai 1</v>
      </c>
      <c r="B367">
        <f>B355</f>
        <v>12</v>
      </c>
      <c r="C367" t="str">
        <v>Tul Peminggang</v>
      </c>
      <c r="D367">
        <f>VLOOKUP(D355,'Detail Balok'!$C$10:$AU$140,13,FALSE)</f>
        <v>2</v>
      </c>
      <c r="E367" t="str">
        <v>D</v>
      </c>
      <c r="F367">
        <f>VLOOKUP(D355,'Detail Balok'!$C$10:$AU$140,15,FALSE)</f>
        <v>10</v>
      </c>
      <c r="J367">
        <f>+D357/1000</f>
        <v>4</v>
      </c>
      <c r="K367" t="str">
        <v>+</v>
      </c>
      <c r="L367">
        <f>2*$F$16*F367/1000</f>
        <v>0.24</v>
      </c>
      <c r="M367" t="str">
        <v>=</v>
      </c>
      <c r="N367">
        <f>J367+L367</f>
        <v>4.24</v>
      </c>
      <c r="O367" t="str">
        <v>+</v>
      </c>
      <c r="P367">
        <f>IF(N367&gt;12,ROUNDDOWN(N367/12,0),0)</f>
        <v>0</v>
      </c>
      <c r="Q367" t="str">
        <v>x</v>
      </c>
      <c r="R367">
        <f>IF(P367&gt;0,MAX(VLOOKUP(F367,$D$6:$G$15,3,FALSE),600),0)/1000</f>
        <v>0</v>
      </c>
      <c r="T367" t="str">
        <v>x</v>
      </c>
      <c r="U367">
        <f>0.006165*F367^2</f>
        <v>0.6165</v>
      </c>
      <c r="V367" t="str">
        <v>x</v>
      </c>
      <c r="W367">
        <f>+D367</f>
        <v>2</v>
      </c>
      <c r="X367" t="str">
        <v>x</v>
      </c>
      <c r="Y367">
        <f>D361</f>
        <v>1</v>
      </c>
      <c r="Z367" t="str">
        <v>=</v>
      </c>
      <c r="AA367">
        <f>(N367+P367*R367/1000)*U367*W367*Y367</f>
        <v>5.227920000000001</v>
      </c>
    </row>
    <row r="370">
      <c r="A370" t="str">
        <f>A355</f>
        <v>Lantai 1</v>
      </c>
      <c r="B370">
        <f>B355</f>
        <v>12</v>
      </c>
      <c r="C370" t="str">
        <v>Tul Bawah Tumpuan</v>
      </c>
      <c r="D370">
        <f>VLOOKUP(D355,'Detail Balok'!$C$10:$AU$140,22,FALSE)</f>
        <v>4</v>
      </c>
      <c r="E370" t="str">
        <v>D</v>
      </c>
      <c r="F370">
        <f>VLOOKUP(D355,'Detail Balok'!$C$10:$AU$140,24,FALSE)</f>
        <v>16</v>
      </c>
      <c r="I370" t="str">
        <v>(</v>
      </c>
      <c r="J370">
        <f>+J362</f>
        <v>1</v>
      </c>
      <c r="K370" t="str">
        <v>+</v>
      </c>
      <c r="L370">
        <f>MAX(VLOOKUP(F370,N$6:P$15,3,FALSE)/1000,2/3*D360/1000)+F$16*F370/1000</f>
        <v>0.192</v>
      </c>
      <c r="M370" t="str">
        <v>=</v>
      </c>
      <c r="N370">
        <f>J370+L370</f>
        <v>1.192</v>
      </c>
      <c r="O370" t="str">
        <v>+</v>
      </c>
      <c r="P370">
        <f>D370-D371</f>
        <v>0</v>
      </c>
      <c r="Q370" t="str">
        <v>x</v>
      </c>
      <c r="R370">
        <f>IF(P370&gt;0,$F$18*F370/1000,0)</f>
        <v>0</v>
      </c>
      <c r="S370" t="str">
        <v>)</v>
      </c>
      <c r="T370" t="str">
        <v>x</v>
      </c>
      <c r="U370">
        <f>0.006165*F370^2</f>
        <v>1.57824</v>
      </c>
      <c r="X370" t="str">
        <v>x</v>
      </c>
      <c r="Y370">
        <f>D361</f>
        <v>1</v>
      </c>
      <c r="Z370" t="str">
        <v>=</v>
      </c>
      <c r="AA370">
        <f>IF(AA373=0,(D370*N370+P370*R370)*U370*Y370,0)</f>
        <v>0</v>
      </c>
    </row>
    <row r="371">
      <c r="A371" t="str">
        <f>A355</f>
        <v>Lantai 1</v>
      </c>
      <c r="B371">
        <f>B355</f>
        <v>12</v>
      </c>
      <c r="C371" t="str">
        <v>Tul Bawah Lapangan</v>
      </c>
      <c r="D371">
        <f>VLOOKUP(D355,'Detail Balok'!$C$10:$AU$140,25,FALSE)</f>
        <v>4</v>
      </c>
      <c r="E371" t="str">
        <v>D</v>
      </c>
      <c r="F371">
        <f>VLOOKUP(D355,'Detail Balok'!$C$10:$AU$140,27,FALSE)</f>
        <v>16</v>
      </c>
      <c r="I371" t="str">
        <v>(</v>
      </c>
      <c r="J371">
        <f>+J363</f>
        <v>2</v>
      </c>
      <c r="K371" t="str">
        <v>+</v>
      </c>
      <c r="M371" t="str">
        <v>=</v>
      </c>
      <c r="N371">
        <f>J371+L371</f>
        <v>2</v>
      </c>
      <c r="O371" t="str">
        <v>+</v>
      </c>
      <c r="P371">
        <f>MAX(D371-D370,D371-D372)</f>
        <v>0</v>
      </c>
      <c r="Q371" t="str">
        <v>x</v>
      </c>
      <c r="R371">
        <f>IF(P371&gt;0,2*(1-2*$F$19-1/2)*D358/1000,0)</f>
        <v>0</v>
      </c>
      <c r="S371" t="str">
        <v>)</v>
      </c>
      <c r="T371" t="str">
        <v>x</v>
      </c>
      <c r="U371">
        <f>0.006165*F371^2</f>
        <v>1.57824</v>
      </c>
      <c r="X371" t="str">
        <v>x</v>
      </c>
      <c r="Y371">
        <f>D361</f>
        <v>1</v>
      </c>
      <c r="Z371" t="str">
        <v>=</v>
      </c>
      <c r="AA371">
        <f>IF(AA373=0,(D371*N371+P371*R371)*U371*Y371,0)</f>
        <v>0</v>
      </c>
    </row>
    <row r="372">
      <c r="A372" t="str">
        <f>A355</f>
        <v>Lantai 1</v>
      </c>
      <c r="B372">
        <f>B355</f>
        <v>12</v>
      </c>
      <c r="C372" t="str">
        <v>Tul Bawah Tumpuan</v>
      </c>
      <c r="D372">
        <f>VLOOKUP(D355,'Detail Balok'!$C$10:$AU$140,28,FALSE)</f>
        <v>4</v>
      </c>
      <c r="E372" t="str">
        <v>D</v>
      </c>
      <c r="F372">
        <f>VLOOKUP(D355,'Detail Balok'!$C$10:$AU$140,30,FALSE)</f>
        <v>16</v>
      </c>
      <c r="I372" t="str">
        <v>(</v>
      </c>
      <c r="J372">
        <f>+J364</f>
        <v>1</v>
      </c>
      <c r="K372" t="str">
        <v>+</v>
      </c>
      <c r="L372">
        <f>MAX(VLOOKUP(F372,N$6:P$15,3,FALSE)/1000,2/3*D360/1000)+F$16*F372/1000</f>
        <v>0.192</v>
      </c>
      <c r="M372" t="str">
        <v>=</v>
      </c>
      <c r="N372">
        <f>J372+L372</f>
        <v>1.192</v>
      </c>
      <c r="O372" t="str">
        <v>+</v>
      </c>
      <c r="P372">
        <f>D372-D371</f>
        <v>0</v>
      </c>
      <c r="Q372" t="str">
        <v>x</v>
      </c>
      <c r="R372">
        <f>IF(P372&gt;0,$F$18*F372/1000,0)</f>
        <v>0</v>
      </c>
      <c r="S372" t="str">
        <v>)</v>
      </c>
      <c r="T372" t="str">
        <v>x</v>
      </c>
      <c r="U372">
        <f>0.006165*F372^2</f>
        <v>1.57824</v>
      </c>
      <c r="X372" t="str">
        <v>x</v>
      </c>
      <c r="Y372">
        <f>D361</f>
        <v>1</v>
      </c>
      <c r="Z372" t="str">
        <v>=</v>
      </c>
      <c r="AA372">
        <f>IF(AA373=0,(D372*N372+P372*R372)*U372*Y372,0)</f>
        <v>0</v>
      </c>
    </row>
    <row r="373">
      <c r="A373" t="str">
        <f>A355</f>
        <v>Lantai 1</v>
      </c>
      <c r="B373">
        <f>B355</f>
        <v>12</v>
      </c>
      <c r="D373">
        <f>IF(AND(D370=D371,D371=D372,D370=D372),D370,0)</f>
        <v>4</v>
      </c>
      <c r="E373" t="str">
        <v>D</v>
      </c>
      <c r="F373">
        <f>IF(AND(F370=F371,F370=F372,F371=F372),F370,0)</f>
        <v>16</v>
      </c>
      <c r="L373" t="str">
        <v>Total panjang per balok</v>
      </c>
      <c r="M373" t="str">
        <v>=</v>
      </c>
      <c r="N373">
        <f>IF(AND(D370=D371,D370=D372,D371=D372,F370=F371,F370=F372,F371=F372),SUM(N370:N372),0)</f>
        <v>4.384</v>
      </c>
      <c r="O373" t="str">
        <v>+</v>
      </c>
      <c r="P373">
        <f>IF(N373&gt;12,ROUNDDOWN(N373/12,0),0)</f>
        <v>0</v>
      </c>
      <c r="Q373" t="str">
        <v>x</v>
      </c>
      <c r="R373">
        <f>IF(P373&gt;0,MAX(VLOOKUP(F373,$D$6:$G$15,3,FALSE),600),0)/1000</f>
        <v>0</v>
      </c>
      <c r="T373" t="str">
        <v>x</v>
      </c>
      <c r="U373">
        <f>U372</f>
        <v>1.57824</v>
      </c>
      <c r="V373" t="str">
        <v>x</v>
      </c>
      <c r="W373">
        <f>D373</f>
        <v>4</v>
      </c>
      <c r="X373" t="str">
        <v>x</v>
      </c>
      <c r="Y373">
        <f>Y372</f>
        <v>1</v>
      </c>
      <c r="Z373" t="str">
        <v>=</v>
      </c>
      <c r="AA373">
        <f>(N373+P373*R373/1000)*U373*W373*Y373</f>
        <v>27.676016640000004</v>
      </c>
    </row>
    <row r="375">
      <c r="A375" t="str">
        <f>A355</f>
        <v>Lantai 1</v>
      </c>
      <c r="B375">
        <f>B355</f>
        <v>12</v>
      </c>
      <c r="C375" t="str">
        <v>Sengkang Tumpuan</v>
      </c>
      <c r="D375">
        <f>VLOOKUP(D355,'Detail Balok'!$C$10:$AU$140,31,FALSE)</f>
        <v>0</v>
      </c>
      <c r="E375" t="str">
        <v>D</v>
      </c>
      <c r="F375">
        <f>VLOOKUP(D355,'Detail Balok'!$C$10:$AU$140,33,FALSE)</f>
        <v>8</v>
      </c>
      <c r="G375" t="str">
        <v>-</v>
      </c>
      <c r="H375">
        <f>VLOOKUP(D355,'Detail Balok'!$C$10:$AU$140,35,FALSE)</f>
        <v>150</v>
      </c>
      <c r="J375">
        <f>(IF(D375=0,(2*(D356+G356))-(F$5*8),IF(D375=3,(2*(D356+G356))-(F$5*8)+(G356-2*F$5),IF(D375=4,(2*(D356+G356))-(F$5*8)+2*(G356-2*F$5)))))/1000</f>
        <v>1.48</v>
      </c>
      <c r="K375" t="str">
        <v>+</v>
      </c>
      <c r="L375">
        <f>IF(D375=0,2*MAX(6*F375,75),(D375-1)*2*MAX(6*F375,75))/1000</f>
        <v>0.15</v>
      </c>
      <c r="M375" t="str">
        <v>=</v>
      </c>
      <c r="N375">
        <f>J375+L375</f>
        <v>1.63</v>
      </c>
      <c r="T375" t="str">
        <v>x</v>
      </c>
      <c r="U375">
        <f>0.006165*F375^2</f>
        <v>0.39456</v>
      </c>
      <c r="V375" t="str">
        <v>x</v>
      </c>
      <c r="W375">
        <f>IF(D358&gt;4*G356,ROUND(MAX(D358/4,2*G356)/H375,0)+1,ROUND(D358/H375,0)+1)</f>
        <v>9</v>
      </c>
      <c r="X375" t="str">
        <v>x</v>
      </c>
      <c r="Y375">
        <f>D361</f>
        <v>1</v>
      </c>
      <c r="Z375" t="str">
        <v>=</v>
      </c>
      <c r="AA375">
        <f>N375*U375*W375*Y375</f>
        <v>5.7881952</v>
      </c>
    </row>
    <row r="376">
      <c r="A376" t="str">
        <f>A355</f>
        <v>Lantai 1</v>
      </c>
      <c r="B376">
        <f>B355</f>
        <v>12</v>
      </c>
      <c r="C376" t="str">
        <v>Sengkang Lapangan</v>
      </c>
      <c r="D376">
        <f>VLOOKUP(D355,'Detail Balok'!$C$10:$AU$140,36,FALSE)</f>
        <v>0</v>
      </c>
      <c r="E376" t="str">
        <v>D</v>
      </c>
      <c r="F376">
        <f>VLOOKUP(D355,'Detail Balok'!$C$10:$AU$140,38,FALSE)</f>
        <v>8</v>
      </c>
      <c r="G376" t="str">
        <v>-</v>
      </c>
      <c r="H376">
        <f>VLOOKUP(D355,'Detail Balok'!$C$10:$AU$140,40,FALSE)</f>
        <v>200</v>
      </c>
      <c r="J376">
        <f>(IF(D376=0,(2*(D356+G356))-(F$5*8),IF(D376=3,(2*(D356+G356))-(F$5*8)+(G356-2*F$5),IF(D376=4,(2*(D356+G356))-(F$5*8)+2*(G356-2*F$5)))))/1000</f>
        <v>1.48</v>
      </c>
      <c r="K376" t="str">
        <v>+</v>
      </c>
      <c r="L376">
        <f>IF(D376=0,2*MAX(6*F376,75),(D376-1)*2*MAX(6*F376,75))/1000</f>
        <v>0.15</v>
      </c>
      <c r="M376" t="str">
        <v>=</v>
      </c>
      <c r="N376">
        <f>J376+L376</f>
        <v>1.63</v>
      </c>
      <c r="T376" t="str">
        <v>x</v>
      </c>
      <c r="U376">
        <f>0.006165*F376^2</f>
        <v>0.39456</v>
      </c>
      <c r="V376" t="str">
        <v>x</v>
      </c>
      <c r="W376">
        <f>IF(D358-MAX(D358/4,2*G356)*2&gt;0,ROUND((D358-MAX(D358/4,2*G356)*2)/H376,0),0)</f>
        <v>8</v>
      </c>
      <c r="X376" t="str">
        <v>x</v>
      </c>
      <c r="Y376">
        <f>D361</f>
        <v>1</v>
      </c>
      <c r="Z376" t="str">
        <v>=</v>
      </c>
      <c r="AA376">
        <f>N376*U376*W376*Y376</f>
        <v>5.1450624</v>
      </c>
    </row>
    <row r="377">
      <c r="A377" t="str">
        <f>A355</f>
        <v>Lantai 1</v>
      </c>
      <c r="B377">
        <f>B355</f>
        <v>12</v>
      </c>
      <c r="C377" t="str">
        <v>Sengkang Tumpuan</v>
      </c>
      <c r="D377">
        <f>VLOOKUP(D355,'Detail Balok'!$C$10:$AU$140,41,FALSE)</f>
        <v>0</v>
      </c>
      <c r="E377" t="str">
        <v>D</v>
      </c>
      <c r="F377">
        <f>VLOOKUP(D355,'Detail Balok'!$C$10:$AU$140,43,FALSE)</f>
        <v>8</v>
      </c>
      <c r="G377" t="str">
        <v>-</v>
      </c>
      <c r="H377">
        <f>VLOOKUP(D355,'Detail Balok'!$C$10:$AU$140,45,FALSE)</f>
        <v>150</v>
      </c>
      <c r="J377">
        <f>(IF(D377=0,(2*(D356+G356))-(F$5*8),IF(D377=3,(2*(D356+G356))-(F$5*8)+(G356-2*F$5),IF(D377=4,(2*(D356+G356))-(F$5*8)+2*(G356-2*F$5)))))/1000</f>
        <v>1.48</v>
      </c>
      <c r="K377" t="str">
        <v>+</v>
      </c>
      <c r="L377">
        <f>IF(D377=0,2*MAX(6*F377,75),(D377-1)*2*MAX(6*F377,75))/1000</f>
        <v>0.15</v>
      </c>
      <c r="M377" t="str">
        <v>=</v>
      </c>
      <c r="N377">
        <f>J377+L377</f>
        <v>1.63</v>
      </c>
      <c r="T377" t="str">
        <v>x</v>
      </c>
      <c r="U377">
        <f>0.006165*F377^2</f>
        <v>0.39456</v>
      </c>
      <c r="V377" t="str">
        <v>x</v>
      </c>
      <c r="W377">
        <f>IF(D358&gt;4*G356,ROUND(MAX(D358/4,2*G356)/H377,0)+1,0)</f>
        <v>9</v>
      </c>
      <c r="X377" t="str">
        <v>x</v>
      </c>
      <c r="Y377">
        <f>D361</f>
        <v>1</v>
      </c>
      <c r="Z377" t="str">
        <v>=</v>
      </c>
      <c r="AA377">
        <f>N377*U377*W377*Y377</f>
        <v>5.7881952</v>
      </c>
    </row>
    <row r="379">
      <c r="A379" t="str">
        <f>A355</f>
        <v>Lantai 1</v>
      </c>
      <c r="B379">
        <f>B355</f>
        <v>12</v>
      </c>
      <c r="C379" t="str">
        <v>Kait Horizontal Tump.</v>
      </c>
      <c r="D379">
        <f>VLOOKUP(D355,'Detail Balok'!$C$10:$BJ$140,46,FALSE)</f>
        <v>0</v>
      </c>
      <c r="E379" t="str">
        <v>D</v>
      </c>
      <c r="F379">
        <f>VLOOKUP(D355,'Detail Balok'!$C$10:$BJ$140,48,FALSE)</f>
        <v>0</v>
      </c>
      <c r="G379" t="str">
        <v>-</v>
      </c>
      <c r="H379">
        <f>VLOOKUP(D355,'Detail Balok'!$C$10:$BJ$140,50,FALSE)</f>
        <v>100</v>
      </c>
      <c r="J379">
        <f>(D356-2*F$5)/1000</f>
        <v>0.22</v>
      </c>
      <c r="K379" t="str">
        <v>+</v>
      </c>
      <c r="L379">
        <f>IF(D379=0,2*MAX(6*F379,75),(D379-1)*2*MAX(6*F379,75))/1000</f>
        <v>0.15</v>
      </c>
      <c r="M379" t="str">
        <v>=</v>
      </c>
      <c r="N379">
        <f>J379+L379</f>
        <v>0.37</v>
      </c>
      <c r="T379" t="str">
        <v>x</v>
      </c>
      <c r="U379">
        <f>0.006165*F379^2</f>
        <v>0</v>
      </c>
      <c r="V379" t="str">
        <v>x</v>
      </c>
      <c r="W379">
        <f>W375</f>
        <v>9</v>
      </c>
      <c r="X379" t="str">
        <v>x</v>
      </c>
      <c r="Y379">
        <f>D365</f>
        <v>4</v>
      </c>
      <c r="Z379" t="str">
        <v>=</v>
      </c>
      <c r="AA379">
        <f>N379*U379*W379*Y379</f>
        <v>0</v>
      </c>
    </row>
    <row r="380">
      <c r="A380" t="str">
        <f>A355</f>
        <v>Lantai 1</v>
      </c>
      <c r="B380">
        <f>B355</f>
        <v>12</v>
      </c>
      <c r="C380" t="str">
        <v>Kait Horizontal Lap.</v>
      </c>
      <c r="D380">
        <f>VLOOKUP(D355,'Detail Balok'!$C$10:$BJ$140,51,FALSE)</f>
        <v>0</v>
      </c>
      <c r="E380" t="str">
        <v>D</v>
      </c>
      <c r="F380">
        <f>VLOOKUP(D355,'Detail Balok'!$C$10:$BJ$140,53,FALSE)</f>
        <v>0</v>
      </c>
      <c r="G380" t="str">
        <v>-</v>
      </c>
      <c r="H380">
        <f>VLOOKUP(D355,'Detail Balok'!$C$10:$BJ$140,55,FALSE)</f>
        <v>100</v>
      </c>
      <c r="J380">
        <f>(D356-2*F$5)/1000</f>
        <v>0.22</v>
      </c>
      <c r="K380" t="str">
        <v>+</v>
      </c>
      <c r="L380">
        <f>IF(D380=0,2*MAX(6*F380,75),(D380-1)*2*MAX(6*F380,75))/1000</f>
        <v>0.15</v>
      </c>
      <c r="M380" t="str">
        <v>=</v>
      </c>
      <c r="N380">
        <f>J380+L380</f>
        <v>0.37</v>
      </c>
      <c r="T380" t="str">
        <v>x</v>
      </c>
      <c r="U380">
        <f>0.006165*F380^2</f>
        <v>0</v>
      </c>
      <c r="V380" t="str">
        <v>x</v>
      </c>
      <c r="W380">
        <f>W376</f>
        <v>8</v>
      </c>
      <c r="X380" t="str">
        <v>x</v>
      </c>
      <c r="Y380">
        <f>D365</f>
        <v>4</v>
      </c>
      <c r="Z380" t="str">
        <v>=</v>
      </c>
      <c r="AA380">
        <f>N380*U380*W380*Y380</f>
        <v>0</v>
      </c>
    </row>
    <row r="381">
      <c r="A381" t="str">
        <f>A355</f>
        <v>Lantai 1</v>
      </c>
      <c r="B381">
        <f>B355</f>
        <v>12</v>
      </c>
      <c r="C381" t="str">
        <v>Kait Horizontal Tump.</v>
      </c>
      <c r="D381">
        <f>VLOOKUP(D355,'Detail Balok'!$C$10:$BJ$140,56,FALSE)</f>
        <v>0</v>
      </c>
      <c r="E381" t="str">
        <v>D</v>
      </c>
      <c r="F381">
        <f>VLOOKUP(D355,'Detail Balok'!$C$10:$BJ$140,58,FALSE)</f>
        <v>0</v>
      </c>
      <c r="G381" t="str">
        <v>-</v>
      </c>
      <c r="H381">
        <f>VLOOKUP(D355,'Detail Balok'!$C$10:$BJ$140,60,FALSE)</f>
        <v>100</v>
      </c>
      <c r="J381">
        <f>(D356-2*F$5)/1000</f>
        <v>0.22</v>
      </c>
      <c r="K381" t="str">
        <v>+</v>
      </c>
      <c r="L381">
        <f>IF(D381=0,2*MAX(6*F381,75),(D381-1)*2*MAX(6*F381,75))/1000</f>
        <v>0.15</v>
      </c>
      <c r="M381" t="str">
        <v>=</v>
      </c>
      <c r="N381">
        <f>J381+L381</f>
        <v>0.37</v>
      </c>
      <c r="T381" t="str">
        <v>x</v>
      </c>
      <c r="U381">
        <f>0.006165*F381^2</f>
        <v>0</v>
      </c>
      <c r="V381" t="str">
        <v>x</v>
      </c>
      <c r="W381">
        <f>W377</f>
        <v>9</v>
      </c>
      <c r="X381" t="str">
        <v>x</v>
      </c>
      <c r="Y381">
        <f>D365</f>
        <v>4</v>
      </c>
      <c r="Z381" t="str">
        <v>=</v>
      </c>
      <c r="AA381">
        <f>N381*U381*W381*Y381</f>
        <v>0</v>
      </c>
    </row>
    <row r="385">
      <c r="A385" t="str">
        <f>A355</f>
        <v>Lantai 1</v>
      </c>
      <c r="B385">
        <f>B355+1</f>
        <v>13</v>
      </c>
      <c r="C385" t="str">
        <f>CONCATENATE(A385," no. ",B385)</f>
        <v>Lantai 1 no. 13</v>
      </c>
      <c r="D385" t="str">
        <f>VLOOKUP(C385,'Data Panjang Balok'!$C$9:$N$254,2,FALSE)</f>
        <v>S24-2</v>
      </c>
    </row>
    <row r="386">
      <c r="C386" t="str">
        <v>Dimensi</v>
      </c>
      <c r="D386">
        <f>VLOOKUP(D385,'Detail Balok'!$C$10:$AU$140,2,FALSE)</f>
        <v>200</v>
      </c>
      <c r="F386" t="str">
        <v>x</v>
      </c>
      <c r="G386">
        <f>VLOOKUP(D385,'Detail Balok'!$C$10:$AU$140,3,FALSE)</f>
        <v>400</v>
      </c>
    </row>
    <row r="387">
      <c r="C387" t="str">
        <v>Panjang as ke as</v>
      </c>
      <c r="D387">
        <f>VLOOKUP(C385,'Data Panjang Balok'!$C$9:$N$254,4,FALSE)</f>
        <v>9515</v>
      </c>
    </row>
    <row r="388">
      <c r="C388" t="str">
        <v>Panjang netto</v>
      </c>
      <c r="D388">
        <f>VLOOKUP(C385,'Data Panjang Balok'!$C$9:$N$254,7,FALSE)</f>
        <v>9515</v>
      </c>
    </row>
    <row r="389">
      <c r="C389" t="str">
        <v>Kolom / balok kiri</v>
      </c>
      <c r="D389">
        <f>VLOOKUP(C385,'Data Panjang Balok'!$C$9:$N$254,9,FALSE)</f>
        <v>0</v>
      </c>
    </row>
    <row r="390">
      <c r="C390" t="str">
        <v>Kolom / balok kanan</v>
      </c>
      <c r="D390">
        <f>VLOOKUP(C385,'Data Panjang Balok'!$C$9:$N$254,10,FALSE)</f>
        <v>0</v>
      </c>
    </row>
    <row r="391">
      <c r="C391" t="str">
        <v>Jumlah</v>
      </c>
      <c r="D391">
        <f>VLOOKUP(C385,'Data Panjang Balok'!$C$9:$N$254,3,FALSE)</f>
        <v>1</v>
      </c>
    </row>
    <row r="392">
      <c r="A392" t="str">
        <f>A385</f>
        <v>Lantai 1</v>
      </c>
      <c r="B392">
        <f>B385</f>
        <v>13</v>
      </c>
      <c r="C392" t="str">
        <v>Tul Atas Tumpuan</v>
      </c>
      <c r="D392">
        <f>VLOOKUP(D385,'Detail Balok'!$C$10:$AU$140,4,FALSE)</f>
        <v>3</v>
      </c>
      <c r="E392" t="str">
        <v>D</v>
      </c>
      <c r="F392">
        <f>VLOOKUP(D385,'Detail Balok'!$C$10:$AU$140,6,FALSE)</f>
        <v>16</v>
      </c>
      <c r="I392" t="str">
        <v>(</v>
      </c>
      <c r="J392">
        <f>+D387/4/1000</f>
        <v>2.37875</v>
      </c>
      <c r="K392" t="str">
        <v>+</v>
      </c>
      <c r="L392">
        <f>MAX(VLOOKUP(F392,N$6:P$15,3,FALSE)/1000,2/3*D389/1000)+F$16*F392/1000</f>
        <v>0.192</v>
      </c>
      <c r="M392" t="str">
        <v>=</v>
      </c>
      <c r="N392">
        <f>J392+L392</f>
        <v>2.5707500000000003</v>
      </c>
      <c r="O392" t="str">
        <v>+</v>
      </c>
      <c r="P392">
        <f>D392-D393</f>
        <v>0</v>
      </c>
      <c r="Q392" t="str">
        <v>x</v>
      </c>
      <c r="R392">
        <f>IF(P392&gt;0,$F$18*F392/1000,0)</f>
        <v>0</v>
      </c>
      <c r="S392" t="str">
        <v>)</v>
      </c>
      <c r="T392" t="str">
        <v>x</v>
      </c>
      <c r="U392">
        <f>0.006165*F392^2</f>
        <v>1.57824</v>
      </c>
      <c r="X392" t="str">
        <v>x</v>
      </c>
      <c r="Y392">
        <f>D391</f>
        <v>1</v>
      </c>
      <c r="Z392" t="str">
        <v>=</v>
      </c>
      <c r="AA392">
        <f>IF(AA395=0,(D392*N392+P392*R392)*U392*Y392,0)</f>
        <v>0</v>
      </c>
    </row>
    <row r="393">
      <c r="A393" t="str">
        <f>A385</f>
        <v>Lantai 1</v>
      </c>
      <c r="B393">
        <f>B385</f>
        <v>13</v>
      </c>
      <c r="C393" t="str">
        <v>Tul Atas Lapangan</v>
      </c>
      <c r="D393">
        <f>VLOOKUP(D385,'Detail Balok'!$C$10:$AU$140,7,FALSE)</f>
        <v>3</v>
      </c>
      <c r="E393" t="str">
        <v>D</v>
      </c>
      <c r="F393">
        <f>VLOOKUP(D385,'Detail Balok'!$C$10:$AU$140,9,FALSE)</f>
        <v>16</v>
      </c>
      <c r="I393" t="str">
        <v>(</v>
      </c>
      <c r="J393">
        <f>+D387/2/1000</f>
        <v>4.7575</v>
      </c>
      <c r="K393" t="str">
        <v>+</v>
      </c>
      <c r="M393" t="str">
        <v>=</v>
      </c>
      <c r="N393">
        <f>J393+L393</f>
        <v>4.7575</v>
      </c>
      <c r="O393" t="str">
        <v>+</v>
      </c>
      <c r="P393">
        <f>MAX(D393-D392,D393-D394)</f>
        <v>0</v>
      </c>
      <c r="Q393" t="str">
        <v>x</v>
      </c>
      <c r="R393">
        <f>IF(P393&gt;0,2*(1-2*$F$19-1/2)*D388/1000,0)</f>
        <v>0</v>
      </c>
      <c r="S393" t="str">
        <v>)</v>
      </c>
      <c r="T393" t="str">
        <v>x</v>
      </c>
      <c r="U393">
        <f>0.006165*F393^2</f>
        <v>1.57824</v>
      </c>
      <c r="X393" t="str">
        <v>x</v>
      </c>
      <c r="Y393">
        <f>D391</f>
        <v>1</v>
      </c>
      <c r="Z393" t="str">
        <v>=</v>
      </c>
      <c r="AA393">
        <f>IF(AA395=0,(D393*N393+P393*R393)*U393*Y393,0)</f>
        <v>0</v>
      </c>
    </row>
    <row r="394">
      <c r="A394" t="str">
        <f>A385</f>
        <v>Lantai 1</v>
      </c>
      <c r="B394">
        <f>B385</f>
        <v>13</v>
      </c>
      <c r="C394" t="str">
        <v>Tul Atas Tumpuan</v>
      </c>
      <c r="D394">
        <f>VLOOKUP(D385,'Detail Balok'!$C$10:$AU$140,10,FALSE)</f>
        <v>3</v>
      </c>
      <c r="E394" t="str">
        <v>D</v>
      </c>
      <c r="F394">
        <f>VLOOKUP(D385,'Detail Balok'!$C$10:$AU$140,12,FALSE)</f>
        <v>16</v>
      </c>
      <c r="I394" t="str">
        <v>(</v>
      </c>
      <c r="J394">
        <f>+D387/4/1000</f>
        <v>2.37875</v>
      </c>
      <c r="K394" t="str">
        <v>+</v>
      </c>
      <c r="L394">
        <f>MAX(VLOOKUP(F394,N$6:P$15,3,FALSE)/1000,2/3*D389/1000)+F$16*F394/1000</f>
        <v>0.192</v>
      </c>
      <c r="M394" t="str">
        <v>=</v>
      </c>
      <c r="N394">
        <f>J394+L394</f>
        <v>2.5707500000000003</v>
      </c>
      <c r="O394" t="str">
        <v>+</v>
      </c>
      <c r="P394">
        <f>D394-D393</f>
        <v>0</v>
      </c>
      <c r="Q394" t="str">
        <v>x</v>
      </c>
      <c r="R394">
        <f>IF(P394&gt;0,$F$18*F394/1000,0)</f>
        <v>0</v>
      </c>
      <c r="S394" t="str">
        <v>)</v>
      </c>
      <c r="T394" t="str">
        <v>x</v>
      </c>
      <c r="U394">
        <f>0.006165*F394^2</f>
        <v>1.57824</v>
      </c>
      <c r="X394" t="str">
        <v>x</v>
      </c>
      <c r="Y394">
        <f>D391</f>
        <v>1</v>
      </c>
      <c r="Z394" t="str">
        <v>=</v>
      </c>
      <c r="AA394">
        <f>IF(AA395=0,(D394*N394+P394*R394)*U394*Y394,0)</f>
        <v>0</v>
      </c>
    </row>
    <row r="395">
      <c r="A395" t="str">
        <f>A385</f>
        <v>Lantai 1</v>
      </c>
      <c r="B395">
        <f>B385</f>
        <v>13</v>
      </c>
      <c r="D395">
        <f>IF(AND(D392=D393,D393=D394,D392=D394),D392,0)</f>
        <v>3</v>
      </c>
      <c r="E395" t="str">
        <v>D</v>
      </c>
      <c r="F395">
        <f>IF(AND(F392=F393,F392=F394,F393=F394),F392,0)</f>
        <v>16</v>
      </c>
      <c r="L395" t="str">
        <v>Total panjang per balok</v>
      </c>
      <c r="M395" t="str">
        <v>=</v>
      </c>
      <c r="N395">
        <f>IF(AND(D392=D393,D392=D394,D393=D394,F392=F393,F392=F394,F393=F394),SUM(N392:N394),0)</f>
        <v>9.899000000000001</v>
      </c>
      <c r="O395" t="str">
        <v>+</v>
      </c>
      <c r="P395">
        <f>IF(N395&gt;12,ROUNDDOWN(N395/12,0),0)</f>
        <v>0</v>
      </c>
      <c r="Q395" t="str">
        <v>x</v>
      </c>
      <c r="R395">
        <f>IF(P395&gt;0,MAX(VLOOKUP(F395,$D$6:$G$15,3,FALSE),600),0)/1000</f>
        <v>0</v>
      </c>
      <c r="T395" t="str">
        <v>x</v>
      </c>
      <c r="U395">
        <f>U394</f>
        <v>1.57824</v>
      </c>
      <c r="V395" t="str">
        <v>x</v>
      </c>
      <c r="W395">
        <f>D395</f>
        <v>3</v>
      </c>
      <c r="X395" t="str">
        <v>x</v>
      </c>
      <c r="Y395">
        <f>Y394</f>
        <v>1</v>
      </c>
      <c r="Z395" t="str">
        <v>=</v>
      </c>
      <c r="AA395">
        <f>(N395+P395*R395/1000)*U395*W395*Y395</f>
        <v>46.868993280000005</v>
      </c>
    </row>
    <row r="397">
      <c r="A397" t="str">
        <f>A385</f>
        <v>Lantai 1</v>
      </c>
      <c r="B397">
        <f>B385</f>
        <v>13</v>
      </c>
      <c r="C397" t="str">
        <v>Tul Peminggang</v>
      </c>
      <c r="D397">
        <f>VLOOKUP(D385,'Detail Balok'!$C$10:$AU$140,13,FALSE)</f>
        <v>0</v>
      </c>
      <c r="E397" t="str">
        <v>D</v>
      </c>
      <c r="F397">
        <f>VLOOKUP(D385,'Detail Balok'!$C$10:$AU$140,15,FALSE)</f>
        <v>8</v>
      </c>
      <c r="J397">
        <f>+D387/1000</f>
        <v>9.515</v>
      </c>
      <c r="K397" t="str">
        <v>+</v>
      </c>
      <c r="L397">
        <f>2*$F$16*F397/1000</f>
        <v>0.192</v>
      </c>
      <c r="M397" t="str">
        <v>=</v>
      </c>
      <c r="N397">
        <f>J397+L397</f>
        <v>9.707</v>
      </c>
      <c r="O397" t="str">
        <v>+</v>
      </c>
      <c r="P397">
        <f>IF(N397&gt;12,ROUNDDOWN(N397/12,0),0)</f>
        <v>0</v>
      </c>
      <c r="Q397" t="str">
        <v>x</v>
      </c>
      <c r="R397">
        <f>IF(P397&gt;0,MAX(VLOOKUP(F397,$D$6:$G$15,3,FALSE),600),0)/1000</f>
        <v>0</v>
      </c>
      <c r="T397" t="str">
        <v>x</v>
      </c>
      <c r="U397">
        <f>0.006165*F397^2</f>
        <v>0.39456</v>
      </c>
      <c r="V397" t="str">
        <v>x</v>
      </c>
      <c r="W397">
        <f>+D397</f>
        <v>0</v>
      </c>
      <c r="X397" t="str">
        <v>x</v>
      </c>
      <c r="Y397">
        <f>D391</f>
        <v>1</v>
      </c>
      <c r="Z397" t="str">
        <v>=</v>
      </c>
      <c r="AA397">
        <f>(N397+P397*R397/1000)*U397*W397*Y397</f>
        <v>0</v>
      </c>
    </row>
    <row r="400">
      <c r="A400" t="str">
        <f>A385</f>
        <v>Lantai 1</v>
      </c>
      <c r="B400">
        <f>B385</f>
        <v>13</v>
      </c>
      <c r="C400" t="str">
        <v>Tul Bawah Tumpuan</v>
      </c>
      <c r="D400">
        <f>VLOOKUP(D385,'Detail Balok'!$C$10:$AU$140,22,FALSE)</f>
        <v>3</v>
      </c>
      <c r="E400" t="str">
        <v>D</v>
      </c>
      <c r="F400">
        <f>VLOOKUP(D385,'Detail Balok'!$C$10:$AU$140,24,FALSE)</f>
        <v>16</v>
      </c>
      <c r="I400" t="str">
        <v>(</v>
      </c>
      <c r="J400">
        <f>+J392</f>
        <v>2.37875</v>
      </c>
      <c r="K400" t="str">
        <v>+</v>
      </c>
      <c r="L400">
        <f>MAX(VLOOKUP(F400,N$6:P$15,3,FALSE)/1000,2/3*D390/1000)+F$16*F400/1000</f>
        <v>0.192</v>
      </c>
      <c r="M400" t="str">
        <v>=</v>
      </c>
      <c r="N400">
        <f>J400+L400</f>
        <v>2.5707500000000003</v>
      </c>
      <c r="O400" t="str">
        <v>+</v>
      </c>
      <c r="P400">
        <f>D400-D401</f>
        <v>0</v>
      </c>
      <c r="Q400" t="str">
        <v>x</v>
      </c>
      <c r="R400">
        <f>IF(P400&gt;0,$F$18*F400/1000,0)</f>
        <v>0</v>
      </c>
      <c r="S400" t="str">
        <v>)</v>
      </c>
      <c r="T400" t="str">
        <v>x</v>
      </c>
      <c r="U400">
        <f>0.006165*F400^2</f>
        <v>1.57824</v>
      </c>
      <c r="X400" t="str">
        <v>x</v>
      </c>
      <c r="Y400">
        <f>D391</f>
        <v>1</v>
      </c>
      <c r="Z400" t="str">
        <v>=</v>
      </c>
      <c r="AA400">
        <f>IF(AA403=0,(D400*N400+P400*R400)*U400*Y400,0)</f>
        <v>0</v>
      </c>
    </row>
    <row r="401">
      <c r="A401" t="str">
        <f>A385</f>
        <v>Lantai 1</v>
      </c>
      <c r="B401">
        <f>B385</f>
        <v>13</v>
      </c>
      <c r="C401" t="str">
        <v>Tul Bawah Lapangan</v>
      </c>
      <c r="D401">
        <f>VLOOKUP(D385,'Detail Balok'!$C$10:$AU$140,25,FALSE)</f>
        <v>3</v>
      </c>
      <c r="E401" t="str">
        <v>D</v>
      </c>
      <c r="F401">
        <f>VLOOKUP(D385,'Detail Balok'!$C$10:$AU$140,27,FALSE)</f>
        <v>16</v>
      </c>
      <c r="I401" t="str">
        <v>(</v>
      </c>
      <c r="J401">
        <f>+J393</f>
        <v>4.7575</v>
      </c>
      <c r="K401" t="str">
        <v>+</v>
      </c>
      <c r="M401" t="str">
        <v>=</v>
      </c>
      <c r="N401">
        <f>J401+L401</f>
        <v>4.7575</v>
      </c>
      <c r="O401" t="str">
        <v>+</v>
      </c>
      <c r="P401">
        <f>MAX(D401-D400,D401-D402)</f>
        <v>0</v>
      </c>
      <c r="Q401" t="str">
        <v>x</v>
      </c>
      <c r="R401">
        <f>IF(P401&gt;0,2*(1-2*$F$19-1/2)*D388/1000,0)</f>
        <v>0</v>
      </c>
      <c r="S401" t="str">
        <v>)</v>
      </c>
      <c r="T401" t="str">
        <v>x</v>
      </c>
      <c r="U401">
        <f>0.006165*F401^2</f>
        <v>1.57824</v>
      </c>
      <c r="X401" t="str">
        <v>x</v>
      </c>
      <c r="Y401">
        <f>D391</f>
        <v>1</v>
      </c>
      <c r="Z401" t="str">
        <v>=</v>
      </c>
      <c r="AA401">
        <f>IF(AA403=0,(D401*N401+P401*R401)*U401*Y401,0)</f>
        <v>0</v>
      </c>
    </row>
    <row r="402">
      <c r="A402" t="str">
        <f>A385</f>
        <v>Lantai 1</v>
      </c>
      <c r="B402">
        <f>B385</f>
        <v>13</v>
      </c>
      <c r="C402" t="str">
        <v>Tul Bawah Tumpuan</v>
      </c>
      <c r="D402">
        <f>VLOOKUP(D385,'Detail Balok'!$C$10:$AU$140,28,FALSE)</f>
        <v>3</v>
      </c>
      <c r="E402" t="str">
        <v>D</v>
      </c>
      <c r="F402">
        <f>VLOOKUP(D385,'Detail Balok'!$C$10:$AU$140,30,FALSE)</f>
        <v>16</v>
      </c>
      <c r="I402" t="str">
        <v>(</v>
      </c>
      <c r="J402">
        <f>+J394</f>
        <v>2.37875</v>
      </c>
      <c r="K402" t="str">
        <v>+</v>
      </c>
      <c r="L402">
        <f>MAX(VLOOKUP(F402,N$6:P$15,3,FALSE)/1000,2/3*D390/1000)+F$16*F402/1000</f>
        <v>0.192</v>
      </c>
      <c r="M402" t="str">
        <v>=</v>
      </c>
      <c r="N402">
        <f>J402+L402</f>
        <v>2.5707500000000003</v>
      </c>
      <c r="O402" t="str">
        <v>+</v>
      </c>
      <c r="P402">
        <f>D402-D401</f>
        <v>0</v>
      </c>
      <c r="Q402" t="str">
        <v>x</v>
      </c>
      <c r="R402">
        <f>IF(P402&gt;0,$F$18*F402/1000,0)</f>
        <v>0</v>
      </c>
      <c r="S402" t="str">
        <v>)</v>
      </c>
      <c r="T402" t="str">
        <v>x</v>
      </c>
      <c r="U402">
        <f>0.006165*F402^2</f>
        <v>1.57824</v>
      </c>
      <c r="X402" t="str">
        <v>x</v>
      </c>
      <c r="Y402">
        <f>D391</f>
        <v>1</v>
      </c>
      <c r="Z402" t="str">
        <v>=</v>
      </c>
      <c r="AA402">
        <f>IF(AA403=0,(D402*N402+P402*R402)*U402*Y402,0)</f>
        <v>0</v>
      </c>
    </row>
    <row r="403">
      <c r="A403" t="str">
        <f>A385</f>
        <v>Lantai 1</v>
      </c>
      <c r="B403">
        <f>B385</f>
        <v>13</v>
      </c>
      <c r="D403">
        <f>IF(AND(D400=D401,D401=D402,D400=D402),D400,0)</f>
        <v>3</v>
      </c>
      <c r="E403" t="str">
        <v>D</v>
      </c>
      <c r="F403">
        <f>IF(AND(F400=F401,F400=F402,F401=F402),F400,0)</f>
        <v>16</v>
      </c>
      <c r="L403" t="str">
        <v>Total panjang per balok</v>
      </c>
      <c r="M403" t="str">
        <v>=</v>
      </c>
      <c r="N403">
        <f>IF(AND(D400=D401,D400=D402,D401=D402,F400=F401,F400=F402,F401=F402),SUM(N400:N402),0)</f>
        <v>9.899000000000001</v>
      </c>
      <c r="O403" t="str">
        <v>+</v>
      </c>
      <c r="P403">
        <f>IF(N403&gt;12,ROUNDDOWN(N403/12,0),0)</f>
        <v>0</v>
      </c>
      <c r="Q403" t="str">
        <v>x</v>
      </c>
      <c r="R403">
        <f>IF(P403&gt;0,MAX(VLOOKUP(F403,$D$6:$G$15,3,FALSE),600),0)/1000</f>
        <v>0</v>
      </c>
      <c r="T403" t="str">
        <v>x</v>
      </c>
      <c r="U403">
        <f>U402</f>
        <v>1.57824</v>
      </c>
      <c r="V403" t="str">
        <v>x</v>
      </c>
      <c r="W403">
        <f>D403</f>
        <v>3</v>
      </c>
      <c r="X403" t="str">
        <v>x</v>
      </c>
      <c r="Y403">
        <f>Y402</f>
        <v>1</v>
      </c>
      <c r="Z403" t="str">
        <v>=</v>
      </c>
      <c r="AA403">
        <f>(N403+P403*R403/1000)*U403*W403*Y403</f>
        <v>46.868993280000005</v>
      </c>
    </row>
    <row r="405">
      <c r="A405" t="str">
        <f>A385</f>
        <v>Lantai 1</v>
      </c>
      <c r="B405">
        <f>B385</f>
        <v>13</v>
      </c>
      <c r="C405" t="str">
        <v>Sengkang Tumpuan</v>
      </c>
      <c r="D405">
        <f>VLOOKUP(D385,'Detail Balok'!$C$10:$AU$140,31,FALSE)</f>
        <v>0</v>
      </c>
      <c r="E405" t="str">
        <v>D</v>
      </c>
      <c r="F405">
        <f>VLOOKUP(D385,'Detail Balok'!$C$10:$AU$140,33,FALSE)</f>
        <v>8</v>
      </c>
      <c r="G405" t="str">
        <v>-</v>
      </c>
      <c r="H405">
        <f>VLOOKUP(D385,'Detail Balok'!$C$10:$AU$140,35,FALSE)</f>
        <v>150</v>
      </c>
      <c r="J405">
        <f>(IF(D405=0,(2*(D386+G386))-(F$5*8),IF(D405=3,(2*(D386+G386))-(F$5*8)+(G386-2*F$5),IF(D405=4,(2*(D386+G386))-(F$5*8)+2*(G386-2*F$5)))))/1000</f>
        <v>0.88</v>
      </c>
      <c r="K405" t="str">
        <v>+</v>
      </c>
      <c r="L405">
        <f>IF(D405=0,2*MAX(6*F405,75),(D405-1)*2*MAX(6*F405,75))/1000</f>
        <v>0.15</v>
      </c>
      <c r="M405" t="str">
        <v>=</v>
      </c>
      <c r="N405">
        <f>J405+L405</f>
        <v>1.03</v>
      </c>
      <c r="T405" t="str">
        <v>x</v>
      </c>
      <c r="U405">
        <f>0.006165*F405^2</f>
        <v>0.39456</v>
      </c>
      <c r="V405" t="str">
        <v>x</v>
      </c>
      <c r="W405">
        <f>IF(D388&gt;4*G386,ROUND(MAX(D388/4,2*G386)/H405,0)+1,ROUND(D388/H405,0)+1)</f>
        <v>17</v>
      </c>
      <c r="X405" t="str">
        <v>x</v>
      </c>
      <c r="Y405">
        <f>D391</f>
        <v>1</v>
      </c>
      <c r="Z405" t="str">
        <v>=</v>
      </c>
      <c r="AA405">
        <f>N405*U405*W405*Y405</f>
        <v>6.908745600000001</v>
      </c>
    </row>
    <row r="406">
      <c r="A406" t="str">
        <f>A385</f>
        <v>Lantai 1</v>
      </c>
      <c r="B406">
        <f>B385</f>
        <v>13</v>
      </c>
      <c r="C406" t="str">
        <v>Sengkang Lapangan</v>
      </c>
      <c r="D406">
        <f>VLOOKUP(D385,'Detail Balok'!$C$10:$AU$140,36,FALSE)</f>
        <v>0</v>
      </c>
      <c r="E406" t="str">
        <v>D</v>
      </c>
      <c r="F406">
        <f>VLOOKUP(D385,'Detail Balok'!$C$10:$AU$140,38,FALSE)</f>
        <v>8</v>
      </c>
      <c r="G406" t="str">
        <v>-</v>
      </c>
      <c r="H406">
        <f>VLOOKUP(D385,'Detail Balok'!$C$10:$AU$140,40,FALSE)</f>
        <v>200</v>
      </c>
      <c r="J406">
        <f>(IF(D406=0,(2*(D386+G386))-(F$5*8),IF(D406=3,(2*(D386+G386))-(F$5*8)+(G386-2*F$5),IF(D406=4,(2*(D386+G386))-(F$5*8)+2*(G386-2*F$5)))))/1000</f>
        <v>0.88</v>
      </c>
      <c r="K406" t="str">
        <v>+</v>
      </c>
      <c r="L406">
        <f>IF(D406=0,2*MAX(6*F406,75),(D406-1)*2*MAX(6*F406,75))/1000</f>
        <v>0.15</v>
      </c>
      <c r="M406" t="str">
        <v>=</v>
      </c>
      <c r="N406">
        <f>J406+L406</f>
        <v>1.03</v>
      </c>
      <c r="T406" t="str">
        <v>x</v>
      </c>
      <c r="U406">
        <f>0.006165*F406^2</f>
        <v>0.39456</v>
      </c>
      <c r="V406" t="str">
        <v>x</v>
      </c>
      <c r="W406">
        <f>IF(D388-MAX(D388/4,2*G386)*2&gt;0,ROUND((D388-MAX(D388/4,2*G386)*2)/H406,0),0)</f>
        <v>24</v>
      </c>
      <c r="X406" t="str">
        <v>x</v>
      </c>
      <c r="Y406">
        <f>D391</f>
        <v>1</v>
      </c>
      <c r="Z406" t="str">
        <v>=</v>
      </c>
      <c r="AA406">
        <f>N406*U406*W406*Y406</f>
        <v>9.753523200000002</v>
      </c>
    </row>
    <row r="407">
      <c r="A407" t="str">
        <f>A385</f>
        <v>Lantai 1</v>
      </c>
      <c r="B407">
        <f>B385</f>
        <v>13</v>
      </c>
      <c r="C407" t="str">
        <v>Sengkang Tumpuan</v>
      </c>
      <c r="D407">
        <f>VLOOKUP(D385,'Detail Balok'!$C$10:$AU$140,41,FALSE)</f>
        <v>0</v>
      </c>
      <c r="E407" t="str">
        <v>D</v>
      </c>
      <c r="F407">
        <f>VLOOKUP(D385,'Detail Balok'!$C$10:$AU$140,43,FALSE)</f>
        <v>8</v>
      </c>
      <c r="G407" t="str">
        <v>-</v>
      </c>
      <c r="H407">
        <f>VLOOKUP(D385,'Detail Balok'!$C$10:$AU$140,45,FALSE)</f>
        <v>150</v>
      </c>
      <c r="J407">
        <f>(IF(D407=0,(2*(D386+G386))-(F$5*8),IF(D407=3,(2*(D386+G386))-(F$5*8)+(G386-2*F$5),IF(D407=4,(2*(D386+G386))-(F$5*8)+2*(G386-2*F$5)))))/1000</f>
        <v>0.88</v>
      </c>
      <c r="K407" t="str">
        <v>+</v>
      </c>
      <c r="L407">
        <f>IF(D407=0,2*MAX(6*F407,75),(D407-1)*2*MAX(6*F407,75))/1000</f>
        <v>0.15</v>
      </c>
      <c r="M407" t="str">
        <v>=</v>
      </c>
      <c r="N407">
        <f>J407+L407</f>
        <v>1.03</v>
      </c>
      <c r="T407" t="str">
        <v>x</v>
      </c>
      <c r="U407">
        <f>0.006165*F407^2</f>
        <v>0.39456</v>
      </c>
      <c r="V407" t="str">
        <v>x</v>
      </c>
      <c r="W407">
        <f>IF(D388&gt;4*G386,ROUND(MAX(D388/4,2*G386)/H407,0)+1,0)</f>
        <v>17</v>
      </c>
      <c r="X407" t="str">
        <v>x</v>
      </c>
      <c r="Y407">
        <f>D391</f>
        <v>1</v>
      </c>
      <c r="Z407" t="str">
        <v>=</v>
      </c>
      <c r="AA407">
        <f>N407*U407*W407*Y407</f>
        <v>6.908745600000001</v>
      </c>
    </row>
    <row r="409">
      <c r="A409" t="str">
        <f>A385</f>
        <v>Lantai 1</v>
      </c>
      <c r="B409">
        <f>B385</f>
        <v>13</v>
      </c>
      <c r="C409" t="str">
        <v>Kait Horizontal Tump.</v>
      </c>
      <c r="D409">
        <f>VLOOKUP(D385,'Detail Balok'!$C$10:$BJ$140,46,FALSE)</f>
        <v>0</v>
      </c>
      <c r="E409" t="str">
        <v>D</v>
      </c>
      <c r="F409">
        <f>VLOOKUP(D385,'Detail Balok'!$C$10:$BJ$140,48,FALSE)</f>
        <v>0</v>
      </c>
      <c r="G409" t="str">
        <v>-</v>
      </c>
      <c r="H409">
        <f>VLOOKUP(D385,'Detail Balok'!$C$10:$BJ$140,50,FALSE)</f>
        <v>100</v>
      </c>
      <c r="J409">
        <f>(D386-2*F$5)/1000</f>
        <v>0.12</v>
      </c>
      <c r="K409" t="str">
        <v>+</v>
      </c>
      <c r="L409">
        <f>IF(D409=0,2*MAX(6*F409,75),(D409-1)*2*MAX(6*F409,75))/1000</f>
        <v>0.15</v>
      </c>
      <c r="M409" t="str">
        <v>=</v>
      </c>
      <c r="N409">
        <f>J409+L409</f>
        <v>0.27</v>
      </c>
      <c r="T409" t="str">
        <v>x</v>
      </c>
      <c r="U409">
        <f>0.006165*F409^2</f>
        <v>0</v>
      </c>
      <c r="V409" t="str">
        <v>x</v>
      </c>
      <c r="W409">
        <f>W405</f>
        <v>17</v>
      </c>
      <c r="X409" t="str">
        <v>x</v>
      </c>
      <c r="Y409">
        <f>D395</f>
        <v>3</v>
      </c>
      <c r="Z409" t="str">
        <v>=</v>
      </c>
      <c r="AA409">
        <f>N409*U409*W409*Y409</f>
        <v>0</v>
      </c>
    </row>
    <row r="410">
      <c r="A410" t="str">
        <f>A385</f>
        <v>Lantai 1</v>
      </c>
      <c r="B410">
        <f>B385</f>
        <v>13</v>
      </c>
      <c r="C410" t="str">
        <v>Kait Horizontal Lap.</v>
      </c>
      <c r="D410">
        <f>VLOOKUP(D385,'Detail Balok'!$C$10:$BJ$140,51,FALSE)</f>
        <v>0</v>
      </c>
      <c r="E410" t="str">
        <v>D</v>
      </c>
      <c r="F410">
        <f>VLOOKUP(D385,'Detail Balok'!$C$10:$BJ$140,53,FALSE)</f>
        <v>0</v>
      </c>
      <c r="G410" t="str">
        <v>-</v>
      </c>
      <c r="H410">
        <f>VLOOKUP(D385,'Detail Balok'!$C$10:$BJ$140,55,FALSE)</f>
        <v>100</v>
      </c>
      <c r="J410">
        <f>(D386-2*F$5)/1000</f>
        <v>0.12</v>
      </c>
      <c r="K410" t="str">
        <v>+</v>
      </c>
      <c r="L410">
        <f>IF(D410=0,2*MAX(6*F410,75),(D410-1)*2*MAX(6*F410,75))/1000</f>
        <v>0.15</v>
      </c>
      <c r="M410" t="str">
        <v>=</v>
      </c>
      <c r="N410">
        <f>J410+L410</f>
        <v>0.27</v>
      </c>
      <c r="T410" t="str">
        <v>x</v>
      </c>
      <c r="U410">
        <f>0.006165*F410^2</f>
        <v>0</v>
      </c>
      <c r="V410" t="str">
        <v>x</v>
      </c>
      <c r="W410">
        <f>W406</f>
        <v>24</v>
      </c>
      <c r="X410" t="str">
        <v>x</v>
      </c>
      <c r="Y410">
        <f>D395</f>
        <v>3</v>
      </c>
      <c r="Z410" t="str">
        <v>=</v>
      </c>
      <c r="AA410">
        <f>N410*U410*W410*Y410</f>
        <v>0</v>
      </c>
    </row>
    <row r="411">
      <c r="A411" t="str">
        <f>A385</f>
        <v>Lantai 1</v>
      </c>
      <c r="B411">
        <f>B385</f>
        <v>13</v>
      </c>
      <c r="C411" t="str">
        <v>Kait Horizontal Tump.</v>
      </c>
      <c r="D411">
        <f>VLOOKUP(D385,'Detail Balok'!$C$10:$BJ$140,56,FALSE)</f>
        <v>0</v>
      </c>
      <c r="E411" t="str">
        <v>D</v>
      </c>
      <c r="F411">
        <f>VLOOKUP(D385,'Detail Balok'!$C$10:$BJ$140,58,FALSE)</f>
        <v>0</v>
      </c>
      <c r="G411" t="str">
        <v>-</v>
      </c>
      <c r="H411">
        <f>VLOOKUP(D385,'Detail Balok'!$C$10:$BJ$140,60,FALSE)</f>
        <v>100</v>
      </c>
      <c r="J411">
        <f>(D386-2*F$5)/1000</f>
        <v>0.12</v>
      </c>
      <c r="K411" t="str">
        <v>+</v>
      </c>
      <c r="L411">
        <f>IF(D411=0,2*MAX(6*F411,75),(D411-1)*2*MAX(6*F411,75))/1000</f>
        <v>0.15</v>
      </c>
      <c r="M411" t="str">
        <v>=</v>
      </c>
      <c r="N411">
        <f>J411+L411</f>
        <v>0.27</v>
      </c>
      <c r="T411" t="str">
        <v>x</v>
      </c>
      <c r="U411">
        <f>0.006165*F411^2</f>
        <v>0</v>
      </c>
      <c r="V411" t="str">
        <v>x</v>
      </c>
      <c r="W411">
        <f>W407</f>
        <v>17</v>
      </c>
      <c r="X411" t="str">
        <v>x</v>
      </c>
      <c r="Y411">
        <f>D395</f>
        <v>3</v>
      </c>
      <c r="Z411" t="str">
        <v>=</v>
      </c>
      <c r="AA411">
        <f>N411*U411*W411*Y411</f>
        <v>0</v>
      </c>
    </row>
    <row r="415">
      <c r="A415" t="str">
        <f>A385</f>
        <v>Lantai 1</v>
      </c>
      <c r="B415" t="str">
        <v>13A</v>
      </c>
      <c r="C415" t="str">
        <f>CONCATENATE(A415," no. ",B415)</f>
        <v>Lantai 1 no. 13A</v>
      </c>
      <c r="D415" t="str">
        <f>VLOOKUP(C415,'Data Panjang Balok'!$C$9:$N$254,2,FALSE)</f>
        <v>S24-2</v>
      </c>
    </row>
    <row r="416">
      <c r="C416" t="str">
        <v>Dimensi</v>
      </c>
      <c r="D416">
        <f>VLOOKUP(D415,'Detail Balok'!$C$10:$AU$140,2,FALSE)</f>
        <v>200</v>
      </c>
      <c r="F416" t="str">
        <v>x</v>
      </c>
      <c r="G416">
        <f>VLOOKUP(D415,'Detail Balok'!$C$10:$AU$140,3,FALSE)</f>
        <v>400</v>
      </c>
    </row>
    <row r="417">
      <c r="C417" t="str">
        <v>Panjang as ke as</v>
      </c>
      <c r="D417">
        <f>VLOOKUP(C415,'Data Panjang Balok'!$C$9:$N$254,4,FALSE)</f>
        <v>7925</v>
      </c>
    </row>
    <row r="418">
      <c r="C418" t="str">
        <v>Panjang netto</v>
      </c>
      <c r="D418">
        <f>VLOOKUP(C415,'Data Panjang Balok'!$C$9:$N$254,7,FALSE)</f>
        <v>7925</v>
      </c>
    </row>
    <row r="419">
      <c r="C419" t="str">
        <v>Kolom / balok kiri</v>
      </c>
      <c r="D419">
        <f>VLOOKUP(C415,'Data Panjang Balok'!$C$9:$N$254,9,FALSE)</f>
        <v>0</v>
      </c>
    </row>
    <row r="420">
      <c r="C420" t="str">
        <v>Kolom / balok kanan</v>
      </c>
      <c r="D420">
        <f>VLOOKUP(C415,'Data Panjang Balok'!$C$9:$N$254,10,FALSE)</f>
        <v>0</v>
      </c>
    </row>
    <row r="421">
      <c r="C421" t="str">
        <v>Jumlah</v>
      </c>
      <c r="D421">
        <f>VLOOKUP(C415,'Data Panjang Balok'!$C$9:$N$254,3,FALSE)</f>
        <v>1</v>
      </c>
    </row>
    <row r="422">
      <c r="A422" t="str">
        <f>A415</f>
        <v>Lantai 1</v>
      </c>
      <c r="B422" t="str">
        <f>B415</f>
        <v>13A</v>
      </c>
      <c r="C422" t="str">
        <v>Tul Atas Tumpuan</v>
      </c>
      <c r="D422">
        <f>VLOOKUP(D415,'Detail Balok'!$C$10:$AU$140,4,FALSE)</f>
        <v>3</v>
      </c>
      <c r="E422" t="str">
        <v>D</v>
      </c>
      <c r="F422">
        <f>VLOOKUP(D415,'Detail Balok'!$C$10:$AU$140,6,FALSE)</f>
        <v>16</v>
      </c>
      <c r="I422" t="str">
        <v>(</v>
      </c>
      <c r="J422">
        <f>+D417/4/1000</f>
        <v>1.98125</v>
      </c>
      <c r="K422" t="str">
        <v>+</v>
      </c>
      <c r="L422">
        <f>MAX(VLOOKUP(F422,N$6:P$15,3,FALSE)/1000,2/3*D419/1000)+F$16*F422/1000</f>
        <v>0.192</v>
      </c>
      <c r="M422" t="str">
        <v>=</v>
      </c>
      <c r="N422">
        <f>J422+L422</f>
        <v>2.17325</v>
      </c>
      <c r="O422" t="str">
        <v>+</v>
      </c>
      <c r="P422">
        <f>D422-D423</f>
        <v>0</v>
      </c>
      <c r="Q422" t="str">
        <v>x</v>
      </c>
      <c r="R422">
        <f>IF(P422&gt;0,$F$18*F422/1000,0)</f>
        <v>0</v>
      </c>
      <c r="S422" t="str">
        <v>)</v>
      </c>
      <c r="T422" t="str">
        <v>x</v>
      </c>
      <c r="U422">
        <f>0.006165*F422^2</f>
        <v>1.57824</v>
      </c>
      <c r="X422" t="str">
        <v>x</v>
      </c>
      <c r="Y422">
        <f>D421</f>
        <v>1</v>
      </c>
      <c r="Z422" t="str">
        <v>=</v>
      </c>
      <c r="AA422">
        <f>IF(AA425=0,(D422*N422+P422*R422)*U422*Y422,0)</f>
        <v>0</v>
      </c>
    </row>
    <row r="423">
      <c r="A423" t="str">
        <f>A415</f>
        <v>Lantai 1</v>
      </c>
      <c r="B423" t="str">
        <f>B415</f>
        <v>13A</v>
      </c>
      <c r="C423" t="str">
        <v>Tul Atas Lapangan</v>
      </c>
      <c r="D423">
        <f>VLOOKUP(D415,'Detail Balok'!$C$10:$AU$140,7,FALSE)</f>
        <v>3</v>
      </c>
      <c r="E423" t="str">
        <v>D</v>
      </c>
      <c r="F423">
        <f>VLOOKUP(D415,'Detail Balok'!$C$10:$AU$140,9,FALSE)</f>
        <v>16</v>
      </c>
      <c r="I423" t="str">
        <v>(</v>
      </c>
      <c r="J423">
        <f>+D417/2/1000</f>
        <v>3.9625</v>
      </c>
      <c r="K423" t="str">
        <v>+</v>
      </c>
      <c r="M423" t="str">
        <v>=</v>
      </c>
      <c r="N423">
        <f>J423+L423</f>
        <v>3.9625</v>
      </c>
      <c r="O423" t="str">
        <v>+</v>
      </c>
      <c r="P423">
        <f>MAX(D423-D422,D423-D424)</f>
        <v>0</v>
      </c>
      <c r="Q423" t="str">
        <v>x</v>
      </c>
      <c r="R423">
        <f>IF(P423&gt;0,2*(1-2*$F$19-1/2)*D418/1000,0)</f>
        <v>0</v>
      </c>
      <c r="S423" t="str">
        <v>)</v>
      </c>
      <c r="T423" t="str">
        <v>x</v>
      </c>
      <c r="U423">
        <f>0.006165*F423^2</f>
        <v>1.57824</v>
      </c>
      <c r="X423" t="str">
        <v>x</v>
      </c>
      <c r="Y423">
        <f>D421</f>
        <v>1</v>
      </c>
      <c r="Z423" t="str">
        <v>=</v>
      </c>
      <c r="AA423">
        <f>IF(AA425=0,(D423*N423+P423*R423)*U423*Y423,0)</f>
        <v>0</v>
      </c>
    </row>
    <row r="424">
      <c r="A424" t="str">
        <f>A415</f>
        <v>Lantai 1</v>
      </c>
      <c r="B424" t="str">
        <f>B415</f>
        <v>13A</v>
      </c>
      <c r="C424" t="str">
        <v>Tul Atas Tumpuan</v>
      </c>
      <c r="D424">
        <f>VLOOKUP(D415,'Detail Balok'!$C$10:$AU$140,10,FALSE)</f>
        <v>3</v>
      </c>
      <c r="E424" t="str">
        <v>D</v>
      </c>
      <c r="F424">
        <f>VLOOKUP(D415,'Detail Balok'!$C$10:$AU$140,12,FALSE)</f>
        <v>16</v>
      </c>
      <c r="I424" t="str">
        <v>(</v>
      </c>
      <c r="J424">
        <f>+D417/4/1000</f>
        <v>1.98125</v>
      </c>
      <c r="K424" t="str">
        <v>+</v>
      </c>
      <c r="L424">
        <f>MAX(VLOOKUP(F424,N$6:P$15,3,FALSE)/1000,2/3*D419/1000)+F$16*F424/1000</f>
        <v>0.192</v>
      </c>
      <c r="M424" t="str">
        <v>=</v>
      </c>
      <c r="N424">
        <f>J424+L424</f>
        <v>2.17325</v>
      </c>
      <c r="O424" t="str">
        <v>+</v>
      </c>
      <c r="P424">
        <f>D424-D423</f>
        <v>0</v>
      </c>
      <c r="Q424" t="str">
        <v>x</v>
      </c>
      <c r="R424">
        <f>IF(P424&gt;0,$F$18*F424/1000,0)</f>
        <v>0</v>
      </c>
      <c r="S424" t="str">
        <v>)</v>
      </c>
      <c r="T424" t="str">
        <v>x</v>
      </c>
      <c r="U424">
        <f>0.006165*F424^2</f>
        <v>1.57824</v>
      </c>
      <c r="X424" t="str">
        <v>x</v>
      </c>
      <c r="Y424">
        <f>D421</f>
        <v>1</v>
      </c>
      <c r="Z424" t="str">
        <v>=</v>
      </c>
      <c r="AA424">
        <f>IF(AA425=0,(D424*N424+P424*R424)*U424*Y424,0)</f>
        <v>0</v>
      </c>
    </row>
    <row r="425">
      <c r="A425" t="str">
        <f>A415</f>
        <v>Lantai 1</v>
      </c>
      <c r="B425" t="str">
        <f>B415</f>
        <v>13A</v>
      </c>
      <c r="D425">
        <f>IF(AND(D422=D423,D423=D424,D422=D424),D422,0)</f>
        <v>3</v>
      </c>
      <c r="E425" t="str">
        <v>D</v>
      </c>
      <c r="F425">
        <f>IF(AND(F422=F423,F422=F424,F423=F424),F422,0)</f>
        <v>16</v>
      </c>
      <c r="L425" t="str">
        <v>Total panjang per balok</v>
      </c>
      <c r="M425" t="str">
        <v>=</v>
      </c>
      <c r="N425">
        <f>IF(AND(D422=D423,D422=D424,D423=D424,F422=F423,F422=F424,F423=F424),SUM(N422:N424),0)</f>
        <v>8.309</v>
      </c>
      <c r="O425" t="str">
        <v>+</v>
      </c>
      <c r="P425">
        <f>IF(N425&gt;12,ROUNDDOWN(N425/12,0),0)</f>
        <v>0</v>
      </c>
      <c r="Q425" t="str">
        <v>x</v>
      </c>
      <c r="R425">
        <f>IF(P425&gt;0,MAX(VLOOKUP(F425,$D$6:$G$15,3,FALSE),600),0)/1000</f>
        <v>0</v>
      </c>
      <c r="T425" t="str">
        <v>x</v>
      </c>
      <c r="U425">
        <f>U424</f>
        <v>1.57824</v>
      </c>
      <c r="V425" t="str">
        <v>x</v>
      </c>
      <c r="W425">
        <f>D425</f>
        <v>3</v>
      </c>
      <c r="X425" t="str">
        <v>x</v>
      </c>
      <c r="Y425">
        <f>Y424</f>
        <v>1</v>
      </c>
      <c r="Z425" t="str">
        <v>=</v>
      </c>
      <c r="AA425">
        <f>(N425+P425*R425/1000)*U425*W425*Y425</f>
        <v>39.34078848</v>
      </c>
    </row>
    <row r="427">
      <c r="A427" t="str">
        <f>A415</f>
        <v>Lantai 1</v>
      </c>
      <c r="B427" t="str">
        <f>B415</f>
        <v>13A</v>
      </c>
      <c r="C427" t="str">
        <v>Tul Peminggang</v>
      </c>
      <c r="D427">
        <f>VLOOKUP(D415,'Detail Balok'!$C$10:$AU$140,13,FALSE)</f>
        <v>0</v>
      </c>
      <c r="E427" t="str">
        <v>D</v>
      </c>
      <c r="F427">
        <f>VLOOKUP(D415,'Detail Balok'!$C$10:$AU$140,15,FALSE)</f>
        <v>8</v>
      </c>
      <c r="J427">
        <f>+D417/1000</f>
        <v>7.925</v>
      </c>
      <c r="K427" t="str">
        <v>+</v>
      </c>
      <c r="L427">
        <f>2*$F$16*F427/1000</f>
        <v>0.192</v>
      </c>
      <c r="M427" t="str">
        <v>=</v>
      </c>
      <c r="N427">
        <f>J427+L427</f>
        <v>8.116999999999999</v>
      </c>
      <c r="O427" t="str">
        <v>+</v>
      </c>
      <c r="P427">
        <f>IF(N427&gt;12,ROUNDDOWN(N427/12,0),0)</f>
        <v>0</v>
      </c>
      <c r="Q427" t="str">
        <v>x</v>
      </c>
      <c r="R427">
        <f>IF(P427&gt;0,MAX(VLOOKUP(F427,$D$6:$G$15,3,FALSE),600),0)/1000</f>
        <v>0</v>
      </c>
      <c r="T427" t="str">
        <v>x</v>
      </c>
      <c r="U427">
        <f>0.006165*F427^2</f>
        <v>0.39456</v>
      </c>
      <c r="V427" t="str">
        <v>x</v>
      </c>
      <c r="W427">
        <f>+D427</f>
        <v>0</v>
      </c>
      <c r="X427" t="str">
        <v>x</v>
      </c>
      <c r="Y427">
        <f>D421</f>
        <v>1</v>
      </c>
      <c r="Z427" t="str">
        <v>=</v>
      </c>
      <c r="AA427">
        <f>(N427+P427*R427/1000)*U427*W427*Y427</f>
        <v>0</v>
      </c>
    </row>
    <row r="430">
      <c r="A430" t="str">
        <f>A415</f>
        <v>Lantai 1</v>
      </c>
      <c r="B430" t="str">
        <f>B415</f>
        <v>13A</v>
      </c>
      <c r="C430" t="str">
        <v>Tul Bawah Tumpuan</v>
      </c>
      <c r="D430">
        <f>VLOOKUP(D415,'Detail Balok'!$C$10:$AU$140,22,FALSE)</f>
        <v>3</v>
      </c>
      <c r="E430" t="str">
        <v>D</v>
      </c>
      <c r="F430">
        <f>VLOOKUP(D415,'Detail Balok'!$C$10:$AU$140,24,FALSE)</f>
        <v>16</v>
      </c>
      <c r="I430" t="str">
        <v>(</v>
      </c>
      <c r="J430">
        <f>+J422</f>
        <v>1.98125</v>
      </c>
      <c r="K430" t="str">
        <v>+</v>
      </c>
      <c r="L430">
        <f>MAX(VLOOKUP(F430,N$6:P$15,3,FALSE)/1000,2/3*D420/1000)+F$16*F430/1000</f>
        <v>0.192</v>
      </c>
      <c r="M430" t="str">
        <v>=</v>
      </c>
      <c r="N430">
        <f>J430+L430</f>
        <v>2.17325</v>
      </c>
      <c r="O430" t="str">
        <v>+</v>
      </c>
      <c r="P430">
        <f>D430-D431</f>
        <v>0</v>
      </c>
      <c r="Q430" t="str">
        <v>x</v>
      </c>
      <c r="R430">
        <f>IF(P430&gt;0,$F$18*F430/1000,0)</f>
        <v>0</v>
      </c>
      <c r="S430" t="str">
        <v>)</v>
      </c>
      <c r="T430" t="str">
        <v>x</v>
      </c>
      <c r="U430">
        <f>0.006165*F430^2</f>
        <v>1.57824</v>
      </c>
      <c r="X430" t="str">
        <v>x</v>
      </c>
      <c r="Y430">
        <f>D421</f>
        <v>1</v>
      </c>
      <c r="Z430" t="str">
        <v>=</v>
      </c>
      <c r="AA430">
        <f>IF(AA433=0,(D430*N430+P430*R430)*U430*Y430,0)</f>
        <v>0</v>
      </c>
    </row>
    <row r="431">
      <c r="A431" t="str">
        <f>A415</f>
        <v>Lantai 1</v>
      </c>
      <c r="B431" t="str">
        <f>B415</f>
        <v>13A</v>
      </c>
      <c r="C431" t="str">
        <v>Tul Bawah Lapangan</v>
      </c>
      <c r="D431">
        <f>VLOOKUP(D415,'Detail Balok'!$C$10:$AU$140,25,FALSE)</f>
        <v>3</v>
      </c>
      <c r="E431" t="str">
        <v>D</v>
      </c>
      <c r="F431">
        <f>VLOOKUP(D415,'Detail Balok'!$C$10:$AU$140,27,FALSE)</f>
        <v>16</v>
      </c>
      <c r="I431" t="str">
        <v>(</v>
      </c>
      <c r="J431">
        <f>+J423</f>
        <v>3.9625</v>
      </c>
      <c r="K431" t="str">
        <v>+</v>
      </c>
      <c r="M431" t="str">
        <v>=</v>
      </c>
      <c r="N431">
        <f>J431+L431</f>
        <v>3.9625</v>
      </c>
      <c r="O431" t="str">
        <v>+</v>
      </c>
      <c r="P431">
        <f>MAX(D431-D430,D431-D432)</f>
        <v>0</v>
      </c>
      <c r="Q431" t="str">
        <v>x</v>
      </c>
      <c r="R431">
        <f>IF(P431&gt;0,2*(1-2*$F$19-1/2)*D418/1000,0)</f>
        <v>0</v>
      </c>
      <c r="S431" t="str">
        <v>)</v>
      </c>
      <c r="T431" t="str">
        <v>x</v>
      </c>
      <c r="U431">
        <f>0.006165*F431^2</f>
        <v>1.57824</v>
      </c>
      <c r="X431" t="str">
        <v>x</v>
      </c>
      <c r="Y431">
        <f>D421</f>
        <v>1</v>
      </c>
      <c r="Z431" t="str">
        <v>=</v>
      </c>
      <c r="AA431">
        <f>IF(AA433=0,(D431*N431+P431*R431)*U431*Y431,0)</f>
        <v>0</v>
      </c>
    </row>
    <row r="432">
      <c r="A432" t="str">
        <f>A415</f>
        <v>Lantai 1</v>
      </c>
      <c r="B432" t="str">
        <f>B415</f>
        <v>13A</v>
      </c>
      <c r="C432" t="str">
        <v>Tul Bawah Tumpuan</v>
      </c>
      <c r="D432">
        <f>VLOOKUP(D415,'Detail Balok'!$C$10:$AU$140,28,FALSE)</f>
        <v>3</v>
      </c>
      <c r="E432" t="str">
        <v>D</v>
      </c>
      <c r="F432">
        <f>VLOOKUP(D415,'Detail Balok'!$C$10:$AU$140,30,FALSE)</f>
        <v>16</v>
      </c>
      <c r="I432" t="str">
        <v>(</v>
      </c>
      <c r="J432">
        <f>+J424</f>
        <v>1.98125</v>
      </c>
      <c r="K432" t="str">
        <v>+</v>
      </c>
      <c r="L432">
        <f>MAX(VLOOKUP(F432,N$6:P$15,3,FALSE)/1000,2/3*D420/1000)+F$16*F432/1000</f>
        <v>0.192</v>
      </c>
      <c r="M432" t="str">
        <v>=</v>
      </c>
      <c r="N432">
        <f>J432+L432</f>
        <v>2.17325</v>
      </c>
      <c r="O432" t="str">
        <v>+</v>
      </c>
      <c r="P432">
        <f>D432-D431</f>
        <v>0</v>
      </c>
      <c r="Q432" t="str">
        <v>x</v>
      </c>
      <c r="R432">
        <f>IF(P432&gt;0,$F$18*F432/1000,0)</f>
        <v>0</v>
      </c>
      <c r="S432" t="str">
        <v>)</v>
      </c>
      <c r="T432" t="str">
        <v>x</v>
      </c>
      <c r="U432">
        <f>0.006165*F432^2</f>
        <v>1.57824</v>
      </c>
      <c r="X432" t="str">
        <v>x</v>
      </c>
      <c r="Y432">
        <f>D421</f>
        <v>1</v>
      </c>
      <c r="Z432" t="str">
        <v>=</v>
      </c>
      <c r="AA432">
        <f>IF(AA433=0,(D432*N432+P432*R432)*U432*Y432,0)</f>
        <v>0</v>
      </c>
    </row>
    <row r="433">
      <c r="A433" t="str">
        <f>A415</f>
        <v>Lantai 1</v>
      </c>
      <c r="B433" t="str">
        <f>B415</f>
        <v>13A</v>
      </c>
      <c r="D433">
        <f>IF(AND(D430=D431,D431=D432,D430=D432),D430,0)</f>
        <v>3</v>
      </c>
      <c r="E433" t="str">
        <v>D</v>
      </c>
      <c r="F433">
        <f>IF(AND(F430=F431,F430=F432,F431=F432),F430,0)</f>
        <v>16</v>
      </c>
      <c r="L433" t="str">
        <v>Total panjang per balok</v>
      </c>
      <c r="M433" t="str">
        <v>=</v>
      </c>
      <c r="N433">
        <f>IF(AND(D430=D431,D430=D432,D431=D432,F430=F431,F430=F432,F431=F432),SUM(N430:N432),0)</f>
        <v>8.309</v>
      </c>
      <c r="O433" t="str">
        <v>+</v>
      </c>
      <c r="P433">
        <f>IF(N433&gt;12,ROUNDDOWN(N433/12,0),0)</f>
        <v>0</v>
      </c>
      <c r="Q433" t="str">
        <v>x</v>
      </c>
      <c r="R433">
        <f>IF(P433&gt;0,MAX(VLOOKUP(F433,$D$6:$G$15,3,FALSE),600),0)/1000</f>
        <v>0</v>
      </c>
      <c r="T433" t="str">
        <v>x</v>
      </c>
      <c r="U433">
        <f>U432</f>
        <v>1.57824</v>
      </c>
      <c r="V433" t="str">
        <v>x</v>
      </c>
      <c r="W433">
        <f>D433</f>
        <v>3</v>
      </c>
      <c r="X433" t="str">
        <v>x</v>
      </c>
      <c r="Y433">
        <f>Y432</f>
        <v>1</v>
      </c>
      <c r="Z433" t="str">
        <v>=</v>
      </c>
      <c r="AA433">
        <f>(N433+P433*R433/1000)*U433*W433*Y433</f>
        <v>39.34078848</v>
      </c>
    </row>
    <row r="435">
      <c r="A435" t="str">
        <f>A415</f>
        <v>Lantai 1</v>
      </c>
      <c r="B435" t="str">
        <f>B415</f>
        <v>13A</v>
      </c>
      <c r="C435" t="str">
        <v>Sengkang Tumpuan</v>
      </c>
      <c r="D435">
        <f>VLOOKUP(D415,'Detail Balok'!$C$10:$AU$140,31,FALSE)</f>
        <v>0</v>
      </c>
      <c r="E435" t="str">
        <v>D</v>
      </c>
      <c r="F435">
        <f>VLOOKUP(D415,'Detail Balok'!$C$10:$AU$140,33,FALSE)</f>
        <v>8</v>
      </c>
      <c r="G435" t="str">
        <v>-</v>
      </c>
      <c r="H435">
        <f>VLOOKUP(D415,'Detail Balok'!$C$10:$AU$140,35,FALSE)</f>
        <v>150</v>
      </c>
      <c r="J435">
        <f>(IF(D435=0,(2*(D416+G416))-(F$5*8),IF(D435=3,(2*(D416+G416))-(F$5*8)+(G416-2*F$5),IF(D435=4,(2*(D416+G416))-(F$5*8)+2*(G416-2*F$5)))))/1000</f>
        <v>0.88</v>
      </c>
      <c r="K435" t="str">
        <v>+</v>
      </c>
      <c r="L435">
        <f>IF(D435=0,2*MAX(6*F435,75),(D435-1)*2*MAX(6*F435,75))/1000</f>
        <v>0.15</v>
      </c>
      <c r="M435" t="str">
        <v>=</v>
      </c>
      <c r="N435">
        <f>J435+L435</f>
        <v>1.03</v>
      </c>
      <c r="T435" t="str">
        <v>x</v>
      </c>
      <c r="U435">
        <f>0.006165*F435^2</f>
        <v>0.39456</v>
      </c>
      <c r="V435" t="str">
        <v>x</v>
      </c>
      <c r="W435">
        <f>IF(D418&gt;4*G416,ROUND(MAX(D418/4,2*G416)/H435,0)+1,ROUND(D418/H435,0)+1)</f>
        <v>14</v>
      </c>
      <c r="X435" t="str">
        <v>x</v>
      </c>
      <c r="Y435">
        <f>D421</f>
        <v>1</v>
      </c>
      <c r="Z435" t="str">
        <v>=</v>
      </c>
      <c r="AA435">
        <f>N435*U435*W435*Y435</f>
        <v>5.689555200000001</v>
      </c>
    </row>
    <row r="436">
      <c r="A436" t="str">
        <f>A415</f>
        <v>Lantai 1</v>
      </c>
      <c r="B436" t="str">
        <f>B415</f>
        <v>13A</v>
      </c>
      <c r="C436" t="str">
        <v>Sengkang Lapangan</v>
      </c>
      <c r="D436">
        <f>VLOOKUP(D415,'Detail Balok'!$C$10:$AU$140,36,FALSE)</f>
        <v>0</v>
      </c>
      <c r="E436" t="str">
        <v>D</v>
      </c>
      <c r="F436">
        <f>VLOOKUP(D415,'Detail Balok'!$C$10:$AU$140,38,FALSE)</f>
        <v>8</v>
      </c>
      <c r="G436" t="str">
        <v>-</v>
      </c>
      <c r="H436">
        <f>VLOOKUP(D415,'Detail Balok'!$C$10:$AU$140,40,FALSE)</f>
        <v>200</v>
      </c>
      <c r="J436">
        <f>(IF(D436=0,(2*(D416+G416))-(F$5*8),IF(D436=3,(2*(D416+G416))-(F$5*8)+(G416-2*F$5),IF(D436=4,(2*(D416+G416))-(F$5*8)+2*(G416-2*F$5)))))/1000</f>
        <v>0.88</v>
      </c>
      <c r="K436" t="str">
        <v>+</v>
      </c>
      <c r="L436">
        <f>IF(D436=0,2*MAX(6*F436,75),(D436-1)*2*MAX(6*F436,75))/1000</f>
        <v>0.15</v>
      </c>
      <c r="M436" t="str">
        <v>=</v>
      </c>
      <c r="N436">
        <f>J436+L436</f>
        <v>1.03</v>
      </c>
      <c r="T436" t="str">
        <v>x</v>
      </c>
      <c r="U436">
        <f>0.006165*F436^2</f>
        <v>0.39456</v>
      </c>
      <c r="V436" t="str">
        <v>x</v>
      </c>
      <c r="W436">
        <f>IF(D418-MAX(D418/4,2*G416)*2&gt;0,ROUND((D418-MAX(D418/4,2*G416)*2)/H436,0),0)</f>
        <v>20</v>
      </c>
      <c r="X436" t="str">
        <v>x</v>
      </c>
      <c r="Y436">
        <f>D421</f>
        <v>1</v>
      </c>
      <c r="Z436" t="str">
        <v>=</v>
      </c>
      <c r="AA436">
        <f>N436*U436*W436*Y436</f>
        <v>8.127936000000002</v>
      </c>
    </row>
    <row r="437">
      <c r="A437" t="str">
        <f>A415</f>
        <v>Lantai 1</v>
      </c>
      <c r="B437" t="str">
        <f>B415</f>
        <v>13A</v>
      </c>
      <c r="C437" t="str">
        <v>Sengkang Tumpuan</v>
      </c>
      <c r="D437">
        <f>VLOOKUP(D415,'Detail Balok'!$C$10:$AU$140,41,FALSE)</f>
        <v>0</v>
      </c>
      <c r="E437" t="str">
        <v>D</v>
      </c>
      <c r="F437">
        <f>VLOOKUP(D415,'Detail Balok'!$C$10:$AU$140,43,FALSE)</f>
        <v>8</v>
      </c>
      <c r="G437" t="str">
        <v>-</v>
      </c>
      <c r="H437">
        <f>VLOOKUP(D415,'Detail Balok'!$C$10:$AU$140,45,FALSE)</f>
        <v>150</v>
      </c>
      <c r="J437">
        <f>(IF(D437=0,(2*(D416+G416))-(F$5*8),IF(D437=3,(2*(D416+G416))-(F$5*8)+(G416-2*F$5),IF(D437=4,(2*(D416+G416))-(F$5*8)+2*(G416-2*F$5)))))/1000</f>
        <v>0.88</v>
      </c>
      <c r="K437" t="str">
        <v>+</v>
      </c>
      <c r="L437">
        <f>IF(D437=0,2*MAX(6*F437,75),(D437-1)*2*MAX(6*F437,75))/1000</f>
        <v>0.15</v>
      </c>
      <c r="M437" t="str">
        <v>=</v>
      </c>
      <c r="N437">
        <f>J437+L437</f>
        <v>1.03</v>
      </c>
      <c r="T437" t="str">
        <v>x</v>
      </c>
      <c r="U437">
        <f>0.006165*F437^2</f>
        <v>0.39456</v>
      </c>
      <c r="V437" t="str">
        <v>x</v>
      </c>
      <c r="W437">
        <f>IF(D418&gt;4*G416,ROUND(MAX(D418/4,2*G416)/H437,0)+1,0)</f>
        <v>14</v>
      </c>
      <c r="X437" t="str">
        <v>x</v>
      </c>
      <c r="Y437">
        <f>D421</f>
        <v>1</v>
      </c>
      <c r="Z437" t="str">
        <v>=</v>
      </c>
      <c r="AA437">
        <f>N437*U437*W437*Y437</f>
        <v>5.689555200000001</v>
      </c>
    </row>
    <row r="439">
      <c r="A439" t="str">
        <f>A415</f>
        <v>Lantai 1</v>
      </c>
      <c r="B439" t="str">
        <f>B415</f>
        <v>13A</v>
      </c>
      <c r="C439" t="str">
        <v>Kait Horizontal Tump.</v>
      </c>
      <c r="D439">
        <f>VLOOKUP(D415,'Detail Balok'!$C$10:$BJ$140,46,FALSE)</f>
        <v>0</v>
      </c>
      <c r="E439" t="str">
        <v>D</v>
      </c>
      <c r="F439">
        <f>VLOOKUP(D415,'Detail Balok'!$C$10:$BJ$140,48,FALSE)</f>
        <v>0</v>
      </c>
      <c r="G439" t="str">
        <v>-</v>
      </c>
      <c r="H439">
        <f>VLOOKUP(D415,'Detail Balok'!$C$10:$BJ$140,50,FALSE)</f>
        <v>100</v>
      </c>
      <c r="J439">
        <f>(D416-2*F$5)/1000</f>
        <v>0.12</v>
      </c>
      <c r="K439" t="str">
        <v>+</v>
      </c>
      <c r="L439">
        <f>IF(D439=0,2*MAX(6*F439,75),(D439-1)*2*MAX(6*F439,75))/1000</f>
        <v>0.15</v>
      </c>
      <c r="M439" t="str">
        <v>=</v>
      </c>
      <c r="N439">
        <f>J439+L439</f>
        <v>0.27</v>
      </c>
      <c r="T439" t="str">
        <v>x</v>
      </c>
      <c r="U439">
        <f>0.006165*F439^2</f>
        <v>0</v>
      </c>
      <c r="V439" t="str">
        <v>x</v>
      </c>
      <c r="W439">
        <f>W435</f>
        <v>14</v>
      </c>
      <c r="X439" t="str">
        <v>x</v>
      </c>
      <c r="Y439">
        <f>D425</f>
        <v>3</v>
      </c>
      <c r="Z439" t="str">
        <v>=</v>
      </c>
      <c r="AA439">
        <f>N439*U439*W439*Y439</f>
        <v>0</v>
      </c>
    </row>
    <row r="440">
      <c r="A440" t="str">
        <f>A415</f>
        <v>Lantai 1</v>
      </c>
      <c r="B440" t="str">
        <f>B415</f>
        <v>13A</v>
      </c>
      <c r="C440" t="str">
        <v>Kait Horizontal Lap.</v>
      </c>
      <c r="D440">
        <f>VLOOKUP(D415,'Detail Balok'!$C$10:$BJ$140,51,FALSE)</f>
        <v>0</v>
      </c>
      <c r="E440" t="str">
        <v>D</v>
      </c>
      <c r="F440">
        <f>VLOOKUP(D415,'Detail Balok'!$C$10:$BJ$140,53,FALSE)</f>
        <v>0</v>
      </c>
      <c r="G440" t="str">
        <v>-</v>
      </c>
      <c r="H440">
        <f>VLOOKUP(D415,'Detail Balok'!$C$10:$BJ$140,55,FALSE)</f>
        <v>100</v>
      </c>
      <c r="J440">
        <f>(D416-2*F$5)/1000</f>
        <v>0.12</v>
      </c>
      <c r="K440" t="str">
        <v>+</v>
      </c>
      <c r="L440">
        <f>IF(D440=0,2*MAX(6*F440,75),(D440-1)*2*MAX(6*F440,75))/1000</f>
        <v>0.15</v>
      </c>
      <c r="M440" t="str">
        <v>=</v>
      </c>
      <c r="N440">
        <f>J440+L440</f>
        <v>0.27</v>
      </c>
      <c r="T440" t="str">
        <v>x</v>
      </c>
      <c r="U440">
        <f>0.006165*F440^2</f>
        <v>0</v>
      </c>
      <c r="V440" t="str">
        <v>x</v>
      </c>
      <c r="W440">
        <f>W436</f>
        <v>20</v>
      </c>
      <c r="X440" t="str">
        <v>x</v>
      </c>
      <c r="Y440">
        <f>D425</f>
        <v>3</v>
      </c>
      <c r="Z440" t="str">
        <v>=</v>
      </c>
      <c r="AA440">
        <f>N440*U440*W440*Y440</f>
        <v>0</v>
      </c>
    </row>
    <row r="441">
      <c r="A441" t="str">
        <f>A415</f>
        <v>Lantai 1</v>
      </c>
      <c r="B441" t="str">
        <f>B415</f>
        <v>13A</v>
      </c>
      <c r="C441" t="str">
        <v>Kait Horizontal Tump.</v>
      </c>
      <c r="D441">
        <f>VLOOKUP(D415,'Detail Balok'!$C$10:$BJ$140,56,FALSE)</f>
        <v>0</v>
      </c>
      <c r="E441" t="str">
        <v>D</v>
      </c>
      <c r="F441">
        <f>VLOOKUP(D415,'Detail Balok'!$C$10:$BJ$140,58,FALSE)</f>
        <v>0</v>
      </c>
      <c r="G441" t="str">
        <v>-</v>
      </c>
      <c r="H441">
        <f>VLOOKUP(D415,'Detail Balok'!$C$10:$BJ$140,60,FALSE)</f>
        <v>100</v>
      </c>
      <c r="J441">
        <f>(D416-2*F$5)/1000</f>
        <v>0.12</v>
      </c>
      <c r="K441" t="str">
        <v>+</v>
      </c>
      <c r="L441">
        <f>IF(D441=0,2*MAX(6*F441,75),(D441-1)*2*MAX(6*F441,75))/1000</f>
        <v>0.15</v>
      </c>
      <c r="M441" t="str">
        <v>=</v>
      </c>
      <c r="N441">
        <f>J441+L441</f>
        <v>0.27</v>
      </c>
      <c r="T441" t="str">
        <v>x</v>
      </c>
      <c r="U441">
        <f>0.006165*F441^2</f>
        <v>0</v>
      </c>
      <c r="V441" t="str">
        <v>x</v>
      </c>
      <c r="W441">
        <f>W437</f>
        <v>14</v>
      </c>
      <c r="X441" t="str">
        <v>x</v>
      </c>
      <c r="Y441">
        <f>D425</f>
        <v>3</v>
      </c>
      <c r="Z441" t="str">
        <v>=</v>
      </c>
      <c r="AA441">
        <f>N441*U441*W441*Y441</f>
        <v>0</v>
      </c>
    </row>
    <row r="445">
      <c r="A445" t="str">
        <f>A385</f>
        <v>Lantai 1</v>
      </c>
      <c r="B445">
        <f>B385+1</f>
        <v>14</v>
      </c>
      <c r="C445" t="str">
        <f>CONCATENATE(A445," no. ",B445)</f>
        <v>Lantai 1 no. 14</v>
      </c>
      <c r="D445" t="str">
        <f>VLOOKUP(C445,'Data Panjang Balok'!$C$9:$N$254,2,FALSE)</f>
        <v>S36-1</v>
      </c>
    </row>
    <row r="446">
      <c r="C446" t="str">
        <v>Dimensi</v>
      </c>
      <c r="D446">
        <f>VLOOKUP(D445,'Detail Balok'!$C$10:$AU$140,2,FALSE)</f>
        <v>300</v>
      </c>
      <c r="F446" t="str">
        <v>x</v>
      </c>
      <c r="G446">
        <f>VLOOKUP(D445,'Detail Balok'!$C$10:$AU$140,3,FALSE)</f>
        <v>600</v>
      </c>
    </row>
    <row r="447">
      <c r="C447" t="str">
        <v>Panjang as ke as</v>
      </c>
      <c r="D447">
        <f>VLOOKUP(C445,'Data Panjang Balok'!$C$9:$N$254,4,FALSE)</f>
        <v>6000</v>
      </c>
    </row>
    <row r="448">
      <c r="C448" t="str">
        <v>Panjang netto</v>
      </c>
      <c r="D448">
        <f>VLOOKUP(C445,'Data Panjang Balok'!$C$9:$N$254,7,FALSE)</f>
        <v>6000</v>
      </c>
    </row>
    <row r="449">
      <c r="C449" t="str">
        <v>Kolom / balok kiri</v>
      </c>
      <c r="D449">
        <f>VLOOKUP(C445,'Data Panjang Balok'!$C$9:$N$254,9,FALSE)</f>
        <v>0</v>
      </c>
    </row>
    <row r="450">
      <c r="C450" t="str">
        <v>Kolom / balok kanan</v>
      </c>
      <c r="D450">
        <f>VLOOKUP(C445,'Data Panjang Balok'!$C$9:$N$254,10,FALSE)</f>
        <v>0</v>
      </c>
    </row>
    <row r="451">
      <c r="C451" t="str">
        <v>Jumlah</v>
      </c>
      <c r="D451">
        <f>VLOOKUP(C445,'Data Panjang Balok'!$C$9:$N$254,3,FALSE)</f>
        <v>1</v>
      </c>
    </row>
    <row r="452">
      <c r="A452" t="str">
        <f>A445</f>
        <v>Lantai 1</v>
      </c>
      <c r="B452">
        <f>B445</f>
        <v>14</v>
      </c>
      <c r="C452" t="str">
        <v>Tul Atas Tumpuan</v>
      </c>
      <c r="D452">
        <f>VLOOKUP(D445,'Detail Balok'!$C$10:$AU$140,4,FALSE)</f>
        <v>4</v>
      </c>
      <c r="E452" t="str">
        <v>D</v>
      </c>
      <c r="F452">
        <f>VLOOKUP(D445,'Detail Balok'!$C$10:$AU$140,6,FALSE)</f>
        <v>16</v>
      </c>
      <c r="I452" t="str">
        <v>(</v>
      </c>
      <c r="J452">
        <f>+D447/4/1000</f>
        <v>1.5</v>
      </c>
      <c r="K452" t="str">
        <v>+</v>
      </c>
      <c r="L452">
        <f>MAX(VLOOKUP(F452,N$6:P$15,3,FALSE)/1000,2/3*D449/1000)+F$16*F452/1000</f>
        <v>0.192</v>
      </c>
      <c r="M452" t="str">
        <v>=</v>
      </c>
      <c r="N452">
        <f>J452+L452</f>
        <v>1.692</v>
      </c>
      <c r="O452" t="str">
        <v>+</v>
      </c>
      <c r="P452">
        <f>D452-D453</f>
        <v>0</v>
      </c>
      <c r="Q452" t="str">
        <v>x</v>
      </c>
      <c r="R452">
        <f>IF(P452&gt;0,$F$18*F452/1000,0)</f>
        <v>0</v>
      </c>
      <c r="S452" t="str">
        <v>)</v>
      </c>
      <c r="T452" t="str">
        <v>x</v>
      </c>
      <c r="U452">
        <f>0.006165*F452^2</f>
        <v>1.57824</v>
      </c>
      <c r="X452" t="str">
        <v>x</v>
      </c>
      <c r="Y452">
        <f>D451</f>
        <v>1</v>
      </c>
      <c r="Z452" t="str">
        <v>=</v>
      </c>
      <c r="AA452">
        <f>IF(AA455=0,(D452*N452+P452*R452)*U452*Y452,0)</f>
        <v>0</v>
      </c>
    </row>
    <row r="453">
      <c r="A453" t="str">
        <f>A445</f>
        <v>Lantai 1</v>
      </c>
      <c r="B453">
        <f>B445</f>
        <v>14</v>
      </c>
      <c r="C453" t="str">
        <v>Tul Atas Lapangan</v>
      </c>
      <c r="D453">
        <f>VLOOKUP(D445,'Detail Balok'!$C$10:$AU$140,7,FALSE)</f>
        <v>4</v>
      </c>
      <c r="E453" t="str">
        <v>D</v>
      </c>
      <c r="F453">
        <f>VLOOKUP(D445,'Detail Balok'!$C$10:$AU$140,9,FALSE)</f>
        <v>16</v>
      </c>
      <c r="I453" t="str">
        <v>(</v>
      </c>
      <c r="J453">
        <f>+D447/2/1000</f>
        <v>3</v>
      </c>
      <c r="K453" t="str">
        <v>+</v>
      </c>
      <c r="M453" t="str">
        <v>=</v>
      </c>
      <c r="N453">
        <f>J453+L453</f>
        <v>3</v>
      </c>
      <c r="O453" t="str">
        <v>+</v>
      </c>
      <c r="P453">
        <f>MAX(D453-D452,D453-D454)</f>
        <v>0</v>
      </c>
      <c r="Q453" t="str">
        <v>x</v>
      </c>
      <c r="R453">
        <f>IF(P453&gt;0,2*(1-2*$F$19-1/2)*D448/1000,0)</f>
        <v>0</v>
      </c>
      <c r="S453" t="str">
        <v>)</v>
      </c>
      <c r="T453" t="str">
        <v>x</v>
      </c>
      <c r="U453">
        <f>0.006165*F453^2</f>
        <v>1.57824</v>
      </c>
      <c r="X453" t="str">
        <v>x</v>
      </c>
      <c r="Y453">
        <f>D451</f>
        <v>1</v>
      </c>
      <c r="Z453" t="str">
        <v>=</v>
      </c>
      <c r="AA453">
        <f>IF(AA455=0,(D453*N453+P453*R453)*U453*Y453,0)</f>
        <v>0</v>
      </c>
    </row>
    <row r="454">
      <c r="A454" t="str">
        <f>A445</f>
        <v>Lantai 1</v>
      </c>
      <c r="B454">
        <f>B445</f>
        <v>14</v>
      </c>
      <c r="C454" t="str">
        <v>Tul Atas Tumpuan</v>
      </c>
      <c r="D454">
        <f>VLOOKUP(D445,'Detail Balok'!$C$10:$AU$140,10,FALSE)</f>
        <v>4</v>
      </c>
      <c r="E454" t="str">
        <v>D</v>
      </c>
      <c r="F454">
        <f>VLOOKUP(D445,'Detail Balok'!$C$10:$AU$140,12,FALSE)</f>
        <v>16</v>
      </c>
      <c r="I454" t="str">
        <v>(</v>
      </c>
      <c r="J454">
        <f>+D447/4/1000</f>
        <v>1.5</v>
      </c>
      <c r="K454" t="str">
        <v>+</v>
      </c>
      <c r="L454">
        <f>MAX(VLOOKUP(F454,N$6:P$15,3,FALSE)/1000,2/3*D449/1000)+F$16*F454/1000</f>
        <v>0.192</v>
      </c>
      <c r="M454" t="str">
        <v>=</v>
      </c>
      <c r="N454">
        <f>J454+L454</f>
        <v>1.692</v>
      </c>
      <c r="O454" t="str">
        <v>+</v>
      </c>
      <c r="P454">
        <f>D454-D453</f>
        <v>0</v>
      </c>
      <c r="Q454" t="str">
        <v>x</v>
      </c>
      <c r="R454">
        <f>IF(P454&gt;0,$F$18*F454/1000,0)</f>
        <v>0</v>
      </c>
      <c r="S454" t="str">
        <v>)</v>
      </c>
      <c r="T454" t="str">
        <v>x</v>
      </c>
      <c r="U454">
        <f>0.006165*F454^2</f>
        <v>1.57824</v>
      </c>
      <c r="X454" t="str">
        <v>x</v>
      </c>
      <c r="Y454">
        <f>D451</f>
        <v>1</v>
      </c>
      <c r="Z454" t="str">
        <v>=</v>
      </c>
      <c r="AA454">
        <f>IF(AA455=0,(D454*N454+P454*R454)*U454*Y454,0)</f>
        <v>0</v>
      </c>
    </row>
    <row r="455">
      <c r="A455" t="str">
        <f>A445</f>
        <v>Lantai 1</v>
      </c>
      <c r="B455">
        <f>B445</f>
        <v>14</v>
      </c>
      <c r="D455">
        <f>IF(AND(D452=D453,D453=D454,D452=D454),D452,0)</f>
        <v>4</v>
      </c>
      <c r="E455" t="str">
        <v>D</v>
      </c>
      <c r="F455">
        <f>IF(AND(F452=F453,F452=F454,F453=F454),F452,0)</f>
        <v>16</v>
      </c>
      <c r="L455" t="str">
        <v>Total panjang per balok</v>
      </c>
      <c r="M455" t="str">
        <v>=</v>
      </c>
      <c r="N455">
        <f>IF(AND(D452=D453,D452=D454,D453=D454,F452=F453,F452=F454,F453=F454),SUM(N452:N454),0)</f>
        <v>6.384</v>
      </c>
      <c r="O455" t="str">
        <v>+</v>
      </c>
      <c r="P455">
        <f>IF(N455&gt;12,ROUNDDOWN(N455/12,0),0)</f>
        <v>0</v>
      </c>
      <c r="Q455" t="str">
        <v>x</v>
      </c>
      <c r="R455">
        <f>IF(P455&gt;0,MAX(VLOOKUP(F455,$D$6:$G$15,3,FALSE),600),0)/1000</f>
        <v>0</v>
      </c>
      <c r="T455" t="str">
        <v>x</v>
      </c>
      <c r="U455">
        <f>U454</f>
        <v>1.57824</v>
      </c>
      <c r="V455" t="str">
        <v>x</v>
      </c>
      <c r="W455">
        <f>D455</f>
        <v>4</v>
      </c>
      <c r="X455" t="str">
        <v>x</v>
      </c>
      <c r="Y455">
        <f>Y454</f>
        <v>1</v>
      </c>
      <c r="Z455" t="str">
        <v>=</v>
      </c>
      <c r="AA455">
        <f>(N455+P455*R455/1000)*U455*W455*Y455</f>
        <v>40.30193664</v>
      </c>
    </row>
    <row r="457">
      <c r="A457" t="str">
        <f>A445</f>
        <v>Lantai 1</v>
      </c>
      <c r="B457">
        <f>B445</f>
        <v>14</v>
      </c>
      <c r="C457" t="str">
        <v>Tul Peminggang</v>
      </c>
      <c r="D457">
        <f>VLOOKUP(D445,'Detail Balok'!$C$10:$AU$140,13,FALSE)</f>
        <v>2</v>
      </c>
      <c r="E457" t="str">
        <v>D</v>
      </c>
      <c r="F457">
        <f>VLOOKUP(D445,'Detail Balok'!$C$10:$AU$140,15,FALSE)</f>
        <v>10</v>
      </c>
      <c r="J457">
        <f>+D447/1000</f>
        <v>6</v>
      </c>
      <c r="K457" t="str">
        <v>+</v>
      </c>
      <c r="L457">
        <f>2*$F$16*F457/1000</f>
        <v>0.24</v>
      </c>
      <c r="M457" t="str">
        <v>=</v>
      </c>
      <c r="N457">
        <f>J457+L457</f>
        <v>6.24</v>
      </c>
      <c r="O457" t="str">
        <v>+</v>
      </c>
      <c r="P457">
        <f>IF(N457&gt;12,ROUNDDOWN(N457/12,0),0)</f>
        <v>0</v>
      </c>
      <c r="Q457" t="str">
        <v>x</v>
      </c>
      <c r="R457">
        <f>IF(P457&gt;0,MAX(VLOOKUP(F457,$D$6:$G$15,3,FALSE),600),0)/1000</f>
        <v>0</v>
      </c>
      <c r="T457" t="str">
        <v>x</v>
      </c>
      <c r="U457">
        <f>0.006165*F457^2</f>
        <v>0.6165</v>
      </c>
      <c r="V457" t="str">
        <v>x</v>
      </c>
      <c r="W457">
        <f>+D457</f>
        <v>2</v>
      </c>
      <c r="X457" t="str">
        <v>x</v>
      </c>
      <c r="Y457">
        <f>D451</f>
        <v>1</v>
      </c>
      <c r="Z457" t="str">
        <v>=</v>
      </c>
      <c r="AA457">
        <f>(N457+P457*R457/1000)*U457*W457*Y457</f>
        <v>7.693920000000001</v>
      </c>
    </row>
    <row r="460">
      <c r="A460" t="str">
        <f>A445</f>
        <v>Lantai 1</v>
      </c>
      <c r="B460">
        <f>B445</f>
        <v>14</v>
      </c>
      <c r="C460" t="str">
        <v>Tul Bawah Tumpuan</v>
      </c>
      <c r="D460">
        <f>VLOOKUP(D445,'Detail Balok'!$C$10:$AU$140,22,FALSE)</f>
        <v>4</v>
      </c>
      <c r="E460" t="str">
        <v>D</v>
      </c>
      <c r="F460">
        <f>VLOOKUP(D445,'Detail Balok'!$C$10:$AU$140,24,FALSE)</f>
        <v>16</v>
      </c>
      <c r="I460" t="str">
        <v>(</v>
      </c>
      <c r="J460">
        <f>+J452</f>
        <v>1.5</v>
      </c>
      <c r="K460" t="str">
        <v>+</v>
      </c>
      <c r="L460">
        <f>MAX(VLOOKUP(F460,N$6:P$15,3,FALSE)/1000,2/3*D450/1000)+F$16*F460/1000</f>
        <v>0.192</v>
      </c>
      <c r="M460" t="str">
        <v>=</v>
      </c>
      <c r="N460">
        <f>J460+L460</f>
        <v>1.692</v>
      </c>
      <c r="O460" t="str">
        <v>+</v>
      </c>
      <c r="P460">
        <f>D460-D461</f>
        <v>0</v>
      </c>
      <c r="Q460" t="str">
        <v>x</v>
      </c>
      <c r="R460">
        <f>IF(P460&gt;0,$F$18*F460/1000,0)</f>
        <v>0</v>
      </c>
      <c r="S460" t="str">
        <v>)</v>
      </c>
      <c r="T460" t="str">
        <v>x</v>
      </c>
      <c r="U460">
        <f>0.006165*F460^2</f>
        <v>1.57824</v>
      </c>
      <c r="X460" t="str">
        <v>x</v>
      </c>
      <c r="Y460">
        <f>D451</f>
        <v>1</v>
      </c>
      <c r="Z460" t="str">
        <v>=</v>
      </c>
      <c r="AA460">
        <f>IF(AA463=0,(D460*N460+P460*R460)*U460*Y460,0)</f>
        <v>0</v>
      </c>
    </row>
    <row r="461">
      <c r="A461" t="str">
        <f>A445</f>
        <v>Lantai 1</v>
      </c>
      <c r="B461">
        <f>B445</f>
        <v>14</v>
      </c>
      <c r="C461" t="str">
        <v>Tul Bawah Lapangan</v>
      </c>
      <c r="D461">
        <f>VLOOKUP(D445,'Detail Balok'!$C$10:$AU$140,25,FALSE)</f>
        <v>4</v>
      </c>
      <c r="E461" t="str">
        <v>D</v>
      </c>
      <c r="F461">
        <f>VLOOKUP(D445,'Detail Balok'!$C$10:$AU$140,27,FALSE)</f>
        <v>16</v>
      </c>
      <c r="I461" t="str">
        <v>(</v>
      </c>
      <c r="J461">
        <f>+J453</f>
        <v>3</v>
      </c>
      <c r="K461" t="str">
        <v>+</v>
      </c>
      <c r="M461" t="str">
        <v>=</v>
      </c>
      <c r="N461">
        <f>J461+L461</f>
        <v>3</v>
      </c>
      <c r="O461" t="str">
        <v>+</v>
      </c>
      <c r="P461">
        <f>MAX(D461-D460,D461-D462)</f>
        <v>0</v>
      </c>
      <c r="Q461" t="str">
        <v>x</v>
      </c>
      <c r="R461">
        <f>IF(P461&gt;0,2*(1-2*$F$19-1/2)*D448/1000,0)</f>
        <v>0</v>
      </c>
      <c r="S461" t="str">
        <v>)</v>
      </c>
      <c r="T461" t="str">
        <v>x</v>
      </c>
      <c r="U461">
        <f>0.006165*F461^2</f>
        <v>1.57824</v>
      </c>
      <c r="X461" t="str">
        <v>x</v>
      </c>
      <c r="Y461">
        <f>D451</f>
        <v>1</v>
      </c>
      <c r="Z461" t="str">
        <v>=</v>
      </c>
      <c r="AA461">
        <f>IF(AA463=0,(D461*N461+P461*R461)*U461*Y461,0)</f>
        <v>0</v>
      </c>
    </row>
    <row r="462">
      <c r="A462" t="str">
        <f>A445</f>
        <v>Lantai 1</v>
      </c>
      <c r="B462">
        <f>B445</f>
        <v>14</v>
      </c>
      <c r="C462" t="str">
        <v>Tul Bawah Tumpuan</v>
      </c>
      <c r="D462">
        <f>VLOOKUP(D445,'Detail Balok'!$C$10:$AU$140,28,FALSE)</f>
        <v>4</v>
      </c>
      <c r="E462" t="str">
        <v>D</v>
      </c>
      <c r="F462">
        <f>VLOOKUP(D445,'Detail Balok'!$C$10:$AU$140,30,FALSE)</f>
        <v>16</v>
      </c>
      <c r="I462" t="str">
        <v>(</v>
      </c>
      <c r="J462">
        <f>+J454</f>
        <v>1.5</v>
      </c>
      <c r="K462" t="str">
        <v>+</v>
      </c>
      <c r="L462">
        <f>MAX(VLOOKUP(F462,N$6:P$15,3,FALSE)/1000,2/3*D450/1000)+F$16*F462/1000</f>
        <v>0.192</v>
      </c>
      <c r="M462" t="str">
        <v>=</v>
      </c>
      <c r="N462">
        <f>J462+L462</f>
        <v>1.692</v>
      </c>
      <c r="O462" t="str">
        <v>+</v>
      </c>
      <c r="P462">
        <f>D462-D461</f>
        <v>0</v>
      </c>
      <c r="Q462" t="str">
        <v>x</v>
      </c>
      <c r="R462">
        <f>IF(P462&gt;0,$F$18*F462/1000,0)</f>
        <v>0</v>
      </c>
      <c r="S462" t="str">
        <v>)</v>
      </c>
      <c r="T462" t="str">
        <v>x</v>
      </c>
      <c r="U462">
        <f>0.006165*F462^2</f>
        <v>1.57824</v>
      </c>
      <c r="X462" t="str">
        <v>x</v>
      </c>
      <c r="Y462">
        <f>D451</f>
        <v>1</v>
      </c>
      <c r="Z462" t="str">
        <v>=</v>
      </c>
      <c r="AA462">
        <f>IF(AA463=0,(D462*N462+P462*R462)*U462*Y462,0)</f>
        <v>0</v>
      </c>
    </row>
    <row r="463">
      <c r="A463" t="str">
        <f>A445</f>
        <v>Lantai 1</v>
      </c>
      <c r="B463">
        <f>B445</f>
        <v>14</v>
      </c>
      <c r="D463">
        <f>IF(AND(D460=D461,D461=D462,D460=D462),D460,0)</f>
        <v>4</v>
      </c>
      <c r="E463" t="str">
        <v>D</v>
      </c>
      <c r="F463">
        <f>IF(AND(F460=F461,F460=F462,F461=F462),F460,0)</f>
        <v>16</v>
      </c>
      <c r="L463" t="str">
        <v>Total panjang per balok</v>
      </c>
      <c r="M463" t="str">
        <v>=</v>
      </c>
      <c r="N463">
        <f>IF(AND(D460=D461,D460=D462,D461=D462,F460=F461,F460=F462,F461=F462),SUM(N460:N462),0)</f>
        <v>6.384</v>
      </c>
      <c r="O463" t="str">
        <v>+</v>
      </c>
      <c r="P463">
        <f>IF(N463&gt;12,ROUNDDOWN(N463/12,0),0)</f>
        <v>0</v>
      </c>
      <c r="Q463" t="str">
        <v>x</v>
      </c>
      <c r="R463">
        <f>IF(P463&gt;0,MAX(VLOOKUP(F463,$D$6:$G$15,3,FALSE),600),0)/1000</f>
        <v>0</v>
      </c>
      <c r="T463" t="str">
        <v>x</v>
      </c>
      <c r="U463">
        <f>U462</f>
        <v>1.57824</v>
      </c>
      <c r="V463" t="str">
        <v>x</v>
      </c>
      <c r="W463">
        <f>D463</f>
        <v>4</v>
      </c>
      <c r="X463" t="str">
        <v>x</v>
      </c>
      <c r="Y463">
        <f>Y462</f>
        <v>1</v>
      </c>
      <c r="Z463" t="str">
        <v>=</v>
      </c>
      <c r="AA463">
        <f>(N463+P463*R463/1000)*U463*W463*Y463</f>
        <v>40.30193664</v>
      </c>
    </row>
    <row r="465">
      <c r="A465" t="str">
        <f>A445</f>
        <v>Lantai 1</v>
      </c>
      <c r="B465">
        <f>B445</f>
        <v>14</v>
      </c>
      <c r="C465" t="str">
        <v>Sengkang Tumpuan</v>
      </c>
      <c r="D465">
        <f>VLOOKUP(D445,'Detail Balok'!$C$10:$AU$140,31,FALSE)</f>
        <v>0</v>
      </c>
      <c r="E465" t="str">
        <v>D</v>
      </c>
      <c r="F465">
        <f>VLOOKUP(D445,'Detail Balok'!$C$10:$AU$140,33,FALSE)</f>
        <v>8</v>
      </c>
      <c r="G465" t="str">
        <v>-</v>
      </c>
      <c r="H465">
        <f>VLOOKUP(D445,'Detail Balok'!$C$10:$AU$140,35,FALSE)</f>
        <v>150</v>
      </c>
      <c r="J465">
        <f>(IF(D465=0,(2*(D446+G446))-(F$5*8),IF(D465=3,(2*(D446+G446))-(F$5*8)+(G446-2*F$5),IF(D465=4,(2*(D446+G446))-(F$5*8)+2*(G446-2*F$5)))))/1000</f>
        <v>1.48</v>
      </c>
      <c r="K465" t="str">
        <v>+</v>
      </c>
      <c r="L465">
        <f>IF(D465=0,2*MAX(6*F465,75),(D465-1)*2*MAX(6*F465,75))/1000</f>
        <v>0.15</v>
      </c>
      <c r="M465" t="str">
        <v>=</v>
      </c>
      <c r="N465">
        <f>J465+L465</f>
        <v>1.63</v>
      </c>
      <c r="T465" t="str">
        <v>x</v>
      </c>
      <c r="U465">
        <f>0.006165*F465^2</f>
        <v>0.39456</v>
      </c>
      <c r="V465" t="str">
        <v>x</v>
      </c>
      <c r="W465">
        <f>IF(D448&gt;4*G446,ROUND(MAX(D448/4,2*G446)/H465,0)+1,ROUND(D448/H465,0)+1)</f>
        <v>11</v>
      </c>
      <c r="X465" t="str">
        <v>x</v>
      </c>
      <c r="Y465">
        <f>D451</f>
        <v>1</v>
      </c>
      <c r="Z465" t="str">
        <v>=</v>
      </c>
      <c r="AA465">
        <f>N465*U465*W465*Y465</f>
        <v>7.0744608</v>
      </c>
    </row>
    <row r="466">
      <c r="A466" t="str">
        <f>A445</f>
        <v>Lantai 1</v>
      </c>
      <c r="B466">
        <f>B445</f>
        <v>14</v>
      </c>
      <c r="C466" t="str">
        <v>Sengkang Lapangan</v>
      </c>
      <c r="D466">
        <f>VLOOKUP(D445,'Detail Balok'!$C$10:$AU$140,36,FALSE)</f>
        <v>0</v>
      </c>
      <c r="E466" t="str">
        <v>D</v>
      </c>
      <c r="F466">
        <f>VLOOKUP(D445,'Detail Balok'!$C$10:$AU$140,38,FALSE)</f>
        <v>8</v>
      </c>
      <c r="G466" t="str">
        <v>-</v>
      </c>
      <c r="H466">
        <f>VLOOKUP(D445,'Detail Balok'!$C$10:$AU$140,40,FALSE)</f>
        <v>200</v>
      </c>
      <c r="J466">
        <f>(IF(D466=0,(2*(D446+G446))-(F$5*8),IF(D466=3,(2*(D446+G446))-(F$5*8)+(G446-2*F$5),IF(D466=4,(2*(D446+G446))-(F$5*8)+2*(G446-2*F$5)))))/1000</f>
        <v>1.48</v>
      </c>
      <c r="K466" t="str">
        <v>+</v>
      </c>
      <c r="L466">
        <f>IF(D466=0,2*MAX(6*F466,75),(D466-1)*2*MAX(6*F466,75))/1000</f>
        <v>0.15</v>
      </c>
      <c r="M466" t="str">
        <v>=</v>
      </c>
      <c r="N466">
        <f>J466+L466</f>
        <v>1.63</v>
      </c>
      <c r="T466" t="str">
        <v>x</v>
      </c>
      <c r="U466">
        <f>0.006165*F466^2</f>
        <v>0.39456</v>
      </c>
      <c r="V466" t="str">
        <v>x</v>
      </c>
      <c r="W466">
        <f>IF(D448-MAX(D448/4,2*G446)*2&gt;0,ROUND((D448-MAX(D448/4,2*G446)*2)/H466,0),0)</f>
        <v>15</v>
      </c>
      <c r="X466" t="str">
        <v>x</v>
      </c>
      <c r="Y466">
        <f>D451</f>
        <v>1</v>
      </c>
      <c r="Z466" t="str">
        <v>=</v>
      </c>
      <c r="AA466">
        <f>N466*U466*W466*Y466</f>
        <v>9.646992</v>
      </c>
    </row>
    <row r="467">
      <c r="A467" t="str">
        <f>A445</f>
        <v>Lantai 1</v>
      </c>
      <c r="B467">
        <f>B445</f>
        <v>14</v>
      </c>
      <c r="C467" t="str">
        <v>Sengkang Tumpuan</v>
      </c>
      <c r="D467">
        <f>VLOOKUP(D445,'Detail Balok'!$C$10:$AU$140,41,FALSE)</f>
        <v>0</v>
      </c>
      <c r="E467" t="str">
        <v>D</v>
      </c>
      <c r="F467">
        <f>VLOOKUP(D445,'Detail Balok'!$C$10:$AU$140,43,FALSE)</f>
        <v>8</v>
      </c>
      <c r="G467" t="str">
        <v>-</v>
      </c>
      <c r="H467">
        <f>VLOOKUP(D445,'Detail Balok'!$C$10:$AU$140,45,FALSE)</f>
        <v>150</v>
      </c>
      <c r="J467">
        <f>(IF(D467=0,(2*(D446+G446))-(F$5*8),IF(D467=3,(2*(D446+G446))-(F$5*8)+(G446-2*F$5),IF(D467=4,(2*(D446+G446))-(F$5*8)+2*(G446-2*F$5)))))/1000</f>
        <v>1.48</v>
      </c>
      <c r="K467" t="str">
        <v>+</v>
      </c>
      <c r="L467">
        <f>IF(D467=0,2*MAX(6*F467,75),(D467-1)*2*MAX(6*F467,75))/1000</f>
        <v>0.15</v>
      </c>
      <c r="M467" t="str">
        <v>=</v>
      </c>
      <c r="N467">
        <f>J467+L467</f>
        <v>1.63</v>
      </c>
      <c r="T467" t="str">
        <v>x</v>
      </c>
      <c r="U467">
        <f>0.006165*F467^2</f>
        <v>0.39456</v>
      </c>
      <c r="V467" t="str">
        <v>x</v>
      </c>
      <c r="W467">
        <f>IF(D448&gt;4*G446,ROUND(MAX(D448/4,2*G446)/H467,0)+1,0)</f>
        <v>11</v>
      </c>
      <c r="X467" t="str">
        <v>x</v>
      </c>
      <c r="Y467">
        <f>D451</f>
        <v>1</v>
      </c>
      <c r="Z467" t="str">
        <v>=</v>
      </c>
      <c r="AA467">
        <f>N467*U467*W467*Y467</f>
        <v>7.0744608</v>
      </c>
    </row>
    <row r="469">
      <c r="A469" t="str">
        <f>A445</f>
        <v>Lantai 1</v>
      </c>
      <c r="B469">
        <f>B445</f>
        <v>14</v>
      </c>
      <c r="C469" t="str">
        <v>Kait Horizontal Tump.</v>
      </c>
      <c r="D469">
        <f>VLOOKUP(D445,'Detail Balok'!$C$10:$BJ$140,46,FALSE)</f>
        <v>0</v>
      </c>
      <c r="E469" t="str">
        <v>D</v>
      </c>
      <c r="F469">
        <f>VLOOKUP(D445,'Detail Balok'!$C$10:$BJ$140,48,FALSE)</f>
        <v>0</v>
      </c>
      <c r="G469" t="str">
        <v>-</v>
      </c>
      <c r="H469">
        <f>VLOOKUP(D445,'Detail Balok'!$C$10:$BJ$140,50,FALSE)</f>
        <v>100</v>
      </c>
      <c r="J469">
        <f>(D446-2*F$5)/1000</f>
        <v>0.22</v>
      </c>
      <c r="K469" t="str">
        <v>+</v>
      </c>
      <c r="L469">
        <f>IF(D469=0,2*MAX(6*F469,75),(D469-1)*2*MAX(6*F469,75))/1000</f>
        <v>0.15</v>
      </c>
      <c r="M469" t="str">
        <v>=</v>
      </c>
      <c r="N469">
        <f>J469+L469</f>
        <v>0.37</v>
      </c>
      <c r="T469" t="str">
        <v>x</v>
      </c>
      <c r="U469">
        <f>0.006165*F469^2</f>
        <v>0</v>
      </c>
      <c r="V469" t="str">
        <v>x</v>
      </c>
      <c r="W469">
        <f>W465</f>
        <v>11</v>
      </c>
      <c r="X469" t="str">
        <v>x</v>
      </c>
      <c r="Y469">
        <f>D455</f>
        <v>4</v>
      </c>
      <c r="Z469" t="str">
        <v>=</v>
      </c>
      <c r="AA469">
        <f>N469*U469*W469*Y469</f>
        <v>0</v>
      </c>
    </row>
    <row r="470">
      <c r="A470" t="str">
        <f>A445</f>
        <v>Lantai 1</v>
      </c>
      <c r="B470">
        <f>B445</f>
        <v>14</v>
      </c>
      <c r="C470" t="str">
        <v>Kait Horizontal Lap.</v>
      </c>
      <c r="D470">
        <f>VLOOKUP(D445,'Detail Balok'!$C$10:$BJ$140,51,FALSE)</f>
        <v>0</v>
      </c>
      <c r="E470" t="str">
        <v>D</v>
      </c>
      <c r="F470">
        <f>VLOOKUP(D445,'Detail Balok'!$C$10:$BJ$140,53,FALSE)</f>
        <v>0</v>
      </c>
      <c r="G470" t="str">
        <v>-</v>
      </c>
      <c r="H470">
        <f>VLOOKUP(D445,'Detail Balok'!$C$10:$BJ$140,55,FALSE)</f>
        <v>100</v>
      </c>
      <c r="J470">
        <f>(D446-2*F$5)/1000</f>
        <v>0.22</v>
      </c>
      <c r="K470" t="str">
        <v>+</v>
      </c>
      <c r="L470">
        <f>IF(D470=0,2*MAX(6*F470,75),(D470-1)*2*MAX(6*F470,75))/1000</f>
        <v>0.15</v>
      </c>
      <c r="M470" t="str">
        <v>=</v>
      </c>
      <c r="N470">
        <f>J470+L470</f>
        <v>0.37</v>
      </c>
      <c r="T470" t="str">
        <v>x</v>
      </c>
      <c r="U470">
        <f>0.006165*F470^2</f>
        <v>0</v>
      </c>
      <c r="V470" t="str">
        <v>x</v>
      </c>
      <c r="W470">
        <f>W466</f>
        <v>15</v>
      </c>
      <c r="X470" t="str">
        <v>x</v>
      </c>
      <c r="Y470">
        <f>D455</f>
        <v>4</v>
      </c>
      <c r="Z470" t="str">
        <v>=</v>
      </c>
      <c r="AA470">
        <f>N470*U470*W470*Y470</f>
        <v>0</v>
      </c>
    </row>
    <row r="471">
      <c r="A471" t="str">
        <f>A445</f>
        <v>Lantai 1</v>
      </c>
      <c r="B471">
        <f>B445</f>
        <v>14</v>
      </c>
      <c r="C471" t="str">
        <v>Kait Horizontal Tump.</v>
      </c>
      <c r="D471">
        <f>VLOOKUP(D445,'Detail Balok'!$C$10:$BJ$140,56,FALSE)</f>
        <v>0</v>
      </c>
      <c r="E471" t="str">
        <v>D</v>
      </c>
      <c r="F471">
        <f>VLOOKUP(D445,'Detail Balok'!$C$10:$BJ$140,58,FALSE)</f>
        <v>0</v>
      </c>
      <c r="G471" t="str">
        <v>-</v>
      </c>
      <c r="H471">
        <f>VLOOKUP(D445,'Detail Balok'!$C$10:$BJ$140,60,FALSE)</f>
        <v>100</v>
      </c>
      <c r="J471">
        <f>(D446-2*F$5)/1000</f>
        <v>0.22</v>
      </c>
      <c r="K471" t="str">
        <v>+</v>
      </c>
      <c r="L471">
        <f>IF(D471=0,2*MAX(6*F471,75),(D471-1)*2*MAX(6*F471,75))/1000</f>
        <v>0.15</v>
      </c>
      <c r="M471" t="str">
        <v>=</v>
      </c>
      <c r="N471">
        <f>J471+L471</f>
        <v>0.37</v>
      </c>
      <c r="T471" t="str">
        <v>x</v>
      </c>
      <c r="U471">
        <f>0.006165*F471^2</f>
        <v>0</v>
      </c>
      <c r="V471" t="str">
        <v>x</v>
      </c>
      <c r="W471">
        <f>W467</f>
        <v>11</v>
      </c>
      <c r="X471" t="str">
        <v>x</v>
      </c>
      <c r="Y471">
        <f>D455</f>
        <v>4</v>
      </c>
      <c r="Z471" t="str">
        <v>=</v>
      </c>
      <c r="AA471">
        <f>N471*U471*W471*Y471</f>
        <v>0</v>
      </c>
    </row>
    <row r="475">
      <c r="A475" t="str">
        <f>A445</f>
        <v>Lantai 1</v>
      </c>
      <c r="B475">
        <f>B445+1</f>
        <v>15</v>
      </c>
      <c r="C475" t="str">
        <f>CONCATENATE(A475," no. ",B475)</f>
        <v>Lantai 1 no. 15</v>
      </c>
      <c r="D475" t="str">
        <f>VLOOKUP(C475,'Data Panjang Balok'!$C$9:$N$254,2,FALSE)</f>
        <v>S24-1</v>
      </c>
    </row>
    <row r="476">
      <c r="C476" t="str">
        <v>Dimensi</v>
      </c>
      <c r="D476">
        <f>VLOOKUP(D475,'Detail Balok'!$C$10:$AU$140,2,FALSE)</f>
        <v>200</v>
      </c>
      <c r="F476" t="str">
        <v>x</v>
      </c>
      <c r="G476">
        <f>VLOOKUP(D475,'Detail Balok'!$C$10:$AU$140,3,FALSE)</f>
        <v>400</v>
      </c>
    </row>
    <row r="477">
      <c r="C477" t="str">
        <v>Panjang as ke as</v>
      </c>
      <c r="D477">
        <f>VLOOKUP(C475,'Data Panjang Balok'!$C$9:$N$254,4,FALSE)</f>
        <v>2575</v>
      </c>
    </row>
    <row r="478">
      <c r="C478" t="str">
        <v>Panjang netto</v>
      </c>
      <c r="D478">
        <f>VLOOKUP(C475,'Data Panjang Balok'!$C$9:$N$254,7,FALSE)</f>
        <v>2575</v>
      </c>
    </row>
    <row r="479">
      <c r="C479" t="str">
        <v>Kolom / balok kiri</v>
      </c>
      <c r="D479">
        <f>VLOOKUP(C475,'Data Panjang Balok'!$C$9:$N$254,9,FALSE)</f>
        <v>0</v>
      </c>
    </row>
    <row r="480">
      <c r="C480" t="str">
        <v>Kolom / balok kanan</v>
      </c>
      <c r="D480">
        <f>VLOOKUP(C475,'Data Panjang Balok'!$C$9:$N$254,10,FALSE)</f>
        <v>0</v>
      </c>
    </row>
    <row r="481">
      <c r="C481" t="str">
        <v>Jumlah</v>
      </c>
      <c r="D481">
        <f>VLOOKUP(C475,'Data Panjang Balok'!$C$9:$N$254,3,FALSE)</f>
        <v>1</v>
      </c>
    </row>
    <row r="482">
      <c r="A482" t="str">
        <f>A475</f>
        <v>Lantai 1</v>
      </c>
      <c r="B482">
        <f>B475</f>
        <v>15</v>
      </c>
      <c r="C482" t="str">
        <v>Tul Atas Tumpuan</v>
      </c>
      <c r="D482">
        <f>VLOOKUP(D475,'Detail Balok'!$C$10:$AU$140,4,FALSE)</f>
        <v>3</v>
      </c>
      <c r="E482" t="str">
        <v>D</v>
      </c>
      <c r="F482">
        <f>VLOOKUP(D475,'Detail Balok'!$C$10:$AU$140,6,FALSE)</f>
        <v>13</v>
      </c>
      <c r="I482" t="str">
        <v>(</v>
      </c>
      <c r="J482">
        <f>+D477/4/1000</f>
        <v>0.64375</v>
      </c>
      <c r="K482" t="str">
        <v>+</v>
      </c>
      <c r="L482">
        <f>MAX(VLOOKUP(F482,N$6:P$15,3,FALSE)/1000,2/3*D479/1000)+F$16*F482/1000</f>
        <v>0.156</v>
      </c>
      <c r="M482" t="str">
        <v>=</v>
      </c>
      <c r="N482">
        <f>J482+L482</f>
        <v>0.7997500000000001</v>
      </c>
      <c r="O482" t="str">
        <v>+</v>
      </c>
      <c r="P482">
        <f>D482-D483</f>
        <v>0</v>
      </c>
      <c r="Q482" t="str">
        <v>x</v>
      </c>
      <c r="R482">
        <f>IF(P482&gt;0,$F$18*F482/1000,0)</f>
        <v>0</v>
      </c>
      <c r="S482" t="str">
        <v>)</v>
      </c>
      <c r="T482" t="str">
        <v>x</v>
      </c>
      <c r="U482">
        <f>0.006165*F482^2</f>
        <v>1.041885</v>
      </c>
      <c r="X482" t="str">
        <v>x</v>
      </c>
      <c r="Y482">
        <f>D481</f>
        <v>1</v>
      </c>
      <c r="Z482" t="str">
        <v>=</v>
      </c>
      <c r="AA482">
        <f>IF(AA485=0,(D482*N482+P482*R482)*U482*Y482,0)</f>
        <v>0</v>
      </c>
    </row>
    <row r="483">
      <c r="A483" t="str">
        <f>A475</f>
        <v>Lantai 1</v>
      </c>
      <c r="B483">
        <f>B475</f>
        <v>15</v>
      </c>
      <c r="C483" t="str">
        <v>Tul Atas Lapangan</v>
      </c>
      <c r="D483">
        <f>VLOOKUP(D475,'Detail Balok'!$C$10:$AU$140,7,FALSE)</f>
        <v>3</v>
      </c>
      <c r="E483" t="str">
        <v>D</v>
      </c>
      <c r="F483">
        <f>VLOOKUP(D475,'Detail Balok'!$C$10:$AU$140,9,FALSE)</f>
        <v>13</v>
      </c>
      <c r="I483" t="str">
        <v>(</v>
      </c>
      <c r="J483">
        <f>+D477/2/1000</f>
        <v>1.2875</v>
      </c>
      <c r="K483" t="str">
        <v>+</v>
      </c>
      <c r="M483" t="str">
        <v>=</v>
      </c>
      <c r="N483">
        <f>J483+L483</f>
        <v>1.2875</v>
      </c>
      <c r="O483" t="str">
        <v>+</v>
      </c>
      <c r="P483">
        <f>MAX(D483-D482,D483-D484)</f>
        <v>0</v>
      </c>
      <c r="Q483" t="str">
        <v>x</v>
      </c>
      <c r="R483">
        <f>IF(P483&gt;0,2*(1-2*$F$19-1/2)*D478/1000,0)</f>
        <v>0</v>
      </c>
      <c r="S483" t="str">
        <v>)</v>
      </c>
      <c r="T483" t="str">
        <v>x</v>
      </c>
      <c r="U483">
        <f>0.006165*F483^2</f>
        <v>1.041885</v>
      </c>
      <c r="X483" t="str">
        <v>x</v>
      </c>
      <c r="Y483">
        <f>D481</f>
        <v>1</v>
      </c>
      <c r="Z483" t="str">
        <v>=</v>
      </c>
      <c r="AA483">
        <f>IF(AA485=0,(D483*N483+P483*R483)*U483*Y483,0)</f>
        <v>0</v>
      </c>
    </row>
    <row r="484">
      <c r="A484" t="str">
        <f>A475</f>
        <v>Lantai 1</v>
      </c>
      <c r="B484">
        <f>B475</f>
        <v>15</v>
      </c>
      <c r="C484" t="str">
        <v>Tul Atas Tumpuan</v>
      </c>
      <c r="D484">
        <f>VLOOKUP(D475,'Detail Balok'!$C$10:$AU$140,10,FALSE)</f>
        <v>3</v>
      </c>
      <c r="E484" t="str">
        <v>D</v>
      </c>
      <c r="F484">
        <f>VLOOKUP(D475,'Detail Balok'!$C$10:$AU$140,12,FALSE)</f>
        <v>13</v>
      </c>
      <c r="I484" t="str">
        <v>(</v>
      </c>
      <c r="J484">
        <f>+D477/4/1000</f>
        <v>0.64375</v>
      </c>
      <c r="K484" t="str">
        <v>+</v>
      </c>
      <c r="L484">
        <f>MAX(VLOOKUP(F484,N$6:P$15,3,FALSE)/1000,2/3*D479/1000)+F$16*F484/1000</f>
        <v>0.156</v>
      </c>
      <c r="M484" t="str">
        <v>=</v>
      </c>
      <c r="N484">
        <f>J484+L484</f>
        <v>0.7997500000000001</v>
      </c>
      <c r="O484" t="str">
        <v>+</v>
      </c>
      <c r="P484">
        <f>D484-D483</f>
        <v>0</v>
      </c>
      <c r="Q484" t="str">
        <v>x</v>
      </c>
      <c r="R484">
        <f>IF(P484&gt;0,$F$18*F484/1000,0)</f>
        <v>0</v>
      </c>
      <c r="S484" t="str">
        <v>)</v>
      </c>
      <c r="T484" t="str">
        <v>x</v>
      </c>
      <c r="U484">
        <f>0.006165*F484^2</f>
        <v>1.041885</v>
      </c>
      <c r="X484" t="str">
        <v>x</v>
      </c>
      <c r="Y484">
        <f>D481</f>
        <v>1</v>
      </c>
      <c r="Z484" t="str">
        <v>=</v>
      </c>
      <c r="AA484">
        <f>IF(AA485=0,(D484*N484+P484*R484)*U484*Y484,0)</f>
        <v>0</v>
      </c>
    </row>
    <row r="485">
      <c r="A485" t="str">
        <f>A475</f>
        <v>Lantai 1</v>
      </c>
      <c r="B485">
        <f>B475</f>
        <v>15</v>
      </c>
      <c r="D485">
        <f>IF(AND(D482=D483,D483=D484,D482=D484),D482,0)</f>
        <v>3</v>
      </c>
      <c r="E485" t="str">
        <v>D</v>
      </c>
      <c r="F485">
        <f>IF(AND(F482=F483,F482=F484,F483=F484),F482,0)</f>
        <v>13</v>
      </c>
      <c r="L485" t="str">
        <v>Total panjang per balok</v>
      </c>
      <c r="M485" t="str">
        <v>=</v>
      </c>
      <c r="N485">
        <f>IF(AND(D482=D483,D482=D484,D483=D484,F482=F483,F482=F484,F483=F484),SUM(N482:N484),0)</f>
        <v>2.887</v>
      </c>
      <c r="O485" t="str">
        <v>+</v>
      </c>
      <c r="P485">
        <f>IF(N485&gt;12,ROUNDDOWN(N485/12,0),0)</f>
        <v>0</v>
      </c>
      <c r="Q485" t="str">
        <v>x</v>
      </c>
      <c r="R485">
        <f>IF(P485&gt;0,MAX(VLOOKUP(F485,$D$6:$G$15,3,FALSE),600),0)/1000</f>
        <v>0</v>
      </c>
      <c r="T485" t="str">
        <v>x</v>
      </c>
      <c r="U485">
        <f>U484</f>
        <v>1.041885</v>
      </c>
      <c r="V485" t="str">
        <v>x</v>
      </c>
      <c r="W485">
        <f>D485</f>
        <v>3</v>
      </c>
      <c r="X485" t="str">
        <v>x</v>
      </c>
      <c r="Y485">
        <f>Y484</f>
        <v>1</v>
      </c>
      <c r="Z485" t="str">
        <v>=</v>
      </c>
      <c r="AA485">
        <f>(N485+P485*R485/1000)*U485*W485*Y485</f>
        <v>9.023765984999999</v>
      </c>
    </row>
    <row r="487">
      <c r="A487" t="str">
        <f>A475</f>
        <v>Lantai 1</v>
      </c>
      <c r="B487">
        <f>B475</f>
        <v>15</v>
      </c>
      <c r="C487" t="str">
        <v>Tul Peminggang</v>
      </c>
      <c r="D487">
        <f>VLOOKUP(D475,'Detail Balok'!$C$10:$AU$140,13,FALSE)</f>
        <v>0</v>
      </c>
      <c r="E487" t="str">
        <v>D</v>
      </c>
      <c r="F487">
        <f>VLOOKUP(D475,'Detail Balok'!$C$10:$AU$140,15,FALSE)</f>
        <v>8</v>
      </c>
      <c r="J487">
        <f>+D477/1000</f>
        <v>2.575</v>
      </c>
      <c r="K487" t="str">
        <v>+</v>
      </c>
      <c r="L487">
        <f>2*$F$16*F487/1000</f>
        <v>0.192</v>
      </c>
      <c r="M487" t="str">
        <v>=</v>
      </c>
      <c r="N487">
        <f>J487+L487</f>
        <v>2.7670000000000003</v>
      </c>
      <c r="O487" t="str">
        <v>+</v>
      </c>
      <c r="P487">
        <f>IF(N487&gt;12,ROUNDDOWN(N487/12,0),0)</f>
        <v>0</v>
      </c>
      <c r="Q487" t="str">
        <v>x</v>
      </c>
      <c r="R487">
        <f>IF(P487&gt;0,MAX(VLOOKUP(F487,$D$6:$G$15,3,FALSE),600),0)/1000</f>
        <v>0</v>
      </c>
      <c r="T487" t="str">
        <v>x</v>
      </c>
      <c r="U487">
        <f>0.006165*F487^2</f>
        <v>0.39456</v>
      </c>
      <c r="V487" t="str">
        <v>x</v>
      </c>
      <c r="W487">
        <f>+D487</f>
        <v>0</v>
      </c>
      <c r="X487" t="str">
        <v>x</v>
      </c>
      <c r="Y487">
        <f>D481</f>
        <v>1</v>
      </c>
      <c r="Z487" t="str">
        <v>=</v>
      </c>
      <c r="AA487">
        <f>(N487+P487*R487/1000)*U487*W487*Y487</f>
        <v>0</v>
      </c>
    </row>
    <row r="490">
      <c r="A490" t="str">
        <f>A475</f>
        <v>Lantai 1</v>
      </c>
      <c r="B490">
        <f>B475</f>
        <v>15</v>
      </c>
      <c r="C490" t="str">
        <v>Tul Bawah Tumpuan</v>
      </c>
      <c r="D490">
        <f>VLOOKUP(D475,'Detail Balok'!$C$10:$AU$140,22,FALSE)</f>
        <v>3</v>
      </c>
      <c r="E490" t="str">
        <v>D</v>
      </c>
      <c r="F490">
        <f>VLOOKUP(D475,'Detail Balok'!$C$10:$AU$140,24,FALSE)</f>
        <v>13</v>
      </c>
      <c r="I490" t="str">
        <v>(</v>
      </c>
      <c r="J490">
        <f>+J482</f>
        <v>0.64375</v>
      </c>
      <c r="K490" t="str">
        <v>+</v>
      </c>
      <c r="L490">
        <f>MAX(VLOOKUP(F490,N$6:P$15,3,FALSE)/1000,2/3*D480/1000)+F$16*F490/1000</f>
        <v>0.156</v>
      </c>
      <c r="M490" t="str">
        <v>=</v>
      </c>
      <c r="N490">
        <f>J490+L490</f>
        <v>0.7997500000000001</v>
      </c>
      <c r="O490" t="str">
        <v>+</v>
      </c>
      <c r="P490">
        <f>D490-D491</f>
        <v>0</v>
      </c>
      <c r="Q490" t="str">
        <v>x</v>
      </c>
      <c r="R490">
        <f>IF(P490&gt;0,$F$18*F490/1000,0)</f>
        <v>0</v>
      </c>
      <c r="S490" t="str">
        <v>)</v>
      </c>
      <c r="T490" t="str">
        <v>x</v>
      </c>
      <c r="U490">
        <f>0.006165*F490^2</f>
        <v>1.041885</v>
      </c>
      <c r="X490" t="str">
        <v>x</v>
      </c>
      <c r="Y490">
        <f>D481</f>
        <v>1</v>
      </c>
      <c r="Z490" t="str">
        <v>=</v>
      </c>
      <c r="AA490">
        <f>IF(AA493=0,(D490*N490+P490*R490)*U490*Y490,0)</f>
        <v>0</v>
      </c>
    </row>
    <row r="491">
      <c r="A491" t="str">
        <f>A475</f>
        <v>Lantai 1</v>
      </c>
      <c r="B491">
        <f>B475</f>
        <v>15</v>
      </c>
      <c r="C491" t="str">
        <v>Tul Bawah Lapangan</v>
      </c>
      <c r="D491">
        <f>VLOOKUP(D475,'Detail Balok'!$C$10:$AU$140,25,FALSE)</f>
        <v>3</v>
      </c>
      <c r="E491" t="str">
        <v>D</v>
      </c>
      <c r="F491">
        <f>VLOOKUP(D475,'Detail Balok'!$C$10:$AU$140,27,FALSE)</f>
        <v>13</v>
      </c>
      <c r="I491" t="str">
        <v>(</v>
      </c>
      <c r="J491">
        <f>+J483</f>
        <v>1.2875</v>
      </c>
      <c r="K491" t="str">
        <v>+</v>
      </c>
      <c r="M491" t="str">
        <v>=</v>
      </c>
      <c r="N491">
        <f>J491+L491</f>
        <v>1.2875</v>
      </c>
      <c r="O491" t="str">
        <v>+</v>
      </c>
      <c r="P491">
        <f>MAX(D491-D490,D491-D492)</f>
        <v>0</v>
      </c>
      <c r="Q491" t="str">
        <v>x</v>
      </c>
      <c r="R491">
        <f>IF(P491&gt;0,2*(1-2*$F$19-1/2)*D478/1000,0)</f>
        <v>0</v>
      </c>
      <c r="S491" t="str">
        <v>)</v>
      </c>
      <c r="T491" t="str">
        <v>x</v>
      </c>
      <c r="U491">
        <f>0.006165*F491^2</f>
        <v>1.041885</v>
      </c>
      <c r="X491" t="str">
        <v>x</v>
      </c>
      <c r="Y491">
        <f>D481</f>
        <v>1</v>
      </c>
      <c r="Z491" t="str">
        <v>=</v>
      </c>
      <c r="AA491">
        <f>IF(AA493=0,(D491*N491+P491*R491)*U491*Y491,0)</f>
        <v>0</v>
      </c>
    </row>
    <row r="492">
      <c r="A492" t="str">
        <f>A475</f>
        <v>Lantai 1</v>
      </c>
      <c r="B492">
        <f>B475</f>
        <v>15</v>
      </c>
      <c r="C492" t="str">
        <v>Tul Bawah Tumpuan</v>
      </c>
      <c r="D492">
        <f>VLOOKUP(D475,'Detail Balok'!$C$10:$AU$140,28,FALSE)</f>
        <v>3</v>
      </c>
      <c r="E492" t="str">
        <v>D</v>
      </c>
      <c r="F492">
        <f>VLOOKUP(D475,'Detail Balok'!$C$10:$AU$140,30,FALSE)</f>
        <v>13</v>
      </c>
      <c r="I492" t="str">
        <v>(</v>
      </c>
      <c r="J492">
        <f>+J484</f>
        <v>0.64375</v>
      </c>
      <c r="K492" t="str">
        <v>+</v>
      </c>
      <c r="L492">
        <f>MAX(VLOOKUP(F492,N$6:P$15,3,FALSE)/1000,2/3*D480/1000)+F$16*F492/1000</f>
        <v>0.156</v>
      </c>
      <c r="M492" t="str">
        <v>=</v>
      </c>
      <c r="N492">
        <f>J492+L492</f>
        <v>0.7997500000000001</v>
      </c>
      <c r="O492" t="str">
        <v>+</v>
      </c>
      <c r="P492">
        <f>D492-D491</f>
        <v>0</v>
      </c>
      <c r="Q492" t="str">
        <v>x</v>
      </c>
      <c r="R492">
        <f>IF(P492&gt;0,$F$18*F492/1000,0)</f>
        <v>0</v>
      </c>
      <c r="S492" t="str">
        <v>)</v>
      </c>
      <c r="T492" t="str">
        <v>x</v>
      </c>
      <c r="U492">
        <f>0.006165*F492^2</f>
        <v>1.041885</v>
      </c>
      <c r="X492" t="str">
        <v>x</v>
      </c>
      <c r="Y492">
        <f>D481</f>
        <v>1</v>
      </c>
      <c r="Z492" t="str">
        <v>=</v>
      </c>
      <c r="AA492">
        <f>IF(AA493=0,(D492*N492+P492*R492)*U492*Y492,0)</f>
        <v>0</v>
      </c>
    </row>
    <row r="493">
      <c r="A493" t="str">
        <f>A475</f>
        <v>Lantai 1</v>
      </c>
      <c r="B493">
        <f>B475</f>
        <v>15</v>
      </c>
      <c r="D493">
        <f>IF(AND(D490=D491,D491=D492,D490=D492),D490,0)</f>
        <v>3</v>
      </c>
      <c r="E493" t="str">
        <v>D</v>
      </c>
      <c r="F493">
        <f>IF(AND(F490=F491,F490=F492,F491=F492),F490,0)</f>
        <v>13</v>
      </c>
      <c r="L493" t="str">
        <v>Total panjang per balok</v>
      </c>
      <c r="M493" t="str">
        <v>=</v>
      </c>
      <c r="N493">
        <f>IF(AND(D490=D491,D490=D492,D491=D492,F490=F491,F490=F492,F491=F492),SUM(N490:N492),0)</f>
        <v>2.887</v>
      </c>
      <c r="O493" t="str">
        <v>+</v>
      </c>
      <c r="P493">
        <f>IF(N493&gt;12,ROUNDDOWN(N493/12,0),0)</f>
        <v>0</v>
      </c>
      <c r="Q493" t="str">
        <v>x</v>
      </c>
      <c r="R493">
        <f>IF(P493&gt;0,MAX(VLOOKUP(F493,$D$6:$G$15,3,FALSE),600),0)/1000</f>
        <v>0</v>
      </c>
      <c r="T493" t="str">
        <v>x</v>
      </c>
      <c r="U493">
        <f>U492</f>
        <v>1.041885</v>
      </c>
      <c r="V493" t="str">
        <v>x</v>
      </c>
      <c r="W493">
        <f>D493</f>
        <v>3</v>
      </c>
      <c r="X493" t="str">
        <v>x</v>
      </c>
      <c r="Y493">
        <f>Y492</f>
        <v>1</v>
      </c>
      <c r="Z493" t="str">
        <v>=</v>
      </c>
      <c r="AA493">
        <f>(N493+P493*R493/1000)*U493*W493*Y493</f>
        <v>9.023765984999999</v>
      </c>
    </row>
    <row r="495">
      <c r="A495" t="str">
        <f>A475</f>
        <v>Lantai 1</v>
      </c>
      <c r="B495">
        <f>B475</f>
        <v>15</v>
      </c>
      <c r="C495" t="str">
        <v>Sengkang Tumpuan</v>
      </c>
      <c r="D495">
        <f>VLOOKUP(D475,'Detail Balok'!$C$10:$AU$140,31,FALSE)</f>
        <v>0</v>
      </c>
      <c r="E495" t="str">
        <v>D</v>
      </c>
      <c r="F495">
        <f>VLOOKUP(D475,'Detail Balok'!$C$10:$AU$140,33,FALSE)</f>
        <v>8</v>
      </c>
      <c r="G495" t="str">
        <v>-</v>
      </c>
      <c r="H495">
        <f>VLOOKUP(D475,'Detail Balok'!$C$10:$AU$140,35,FALSE)</f>
        <v>150</v>
      </c>
      <c r="J495">
        <f>(IF(D495=0,(2*(D476+G476))-(F$5*8),IF(D495=3,(2*(D476+G476))-(F$5*8)+(G476-2*F$5),IF(D495=4,(2*(D476+G476))-(F$5*8)+2*(G476-2*F$5)))))/1000</f>
        <v>0.88</v>
      </c>
      <c r="K495" t="str">
        <v>+</v>
      </c>
      <c r="L495">
        <f>IF(D495=0,2*MAX(6*F495,75),(D495-1)*2*MAX(6*F495,75))/1000</f>
        <v>0.15</v>
      </c>
      <c r="M495" t="str">
        <v>=</v>
      </c>
      <c r="N495">
        <f>J495+L495</f>
        <v>1.03</v>
      </c>
      <c r="T495" t="str">
        <v>x</v>
      </c>
      <c r="U495">
        <f>0.006165*F495^2</f>
        <v>0.39456</v>
      </c>
      <c r="V495" t="str">
        <v>x</v>
      </c>
      <c r="W495">
        <f>IF(D478&gt;4*G476,ROUND(MAX(D478/4,2*G476)/H495,0)+1,ROUND(D478/H495,0)+1)</f>
        <v>6</v>
      </c>
      <c r="X495" t="str">
        <v>x</v>
      </c>
      <c r="Y495">
        <f>D481</f>
        <v>1</v>
      </c>
      <c r="Z495" t="str">
        <v>=</v>
      </c>
      <c r="AA495">
        <f>N495*U495*W495*Y495</f>
        <v>2.4383808000000005</v>
      </c>
    </row>
    <row r="496">
      <c r="A496" t="str">
        <f>A475</f>
        <v>Lantai 1</v>
      </c>
      <c r="B496">
        <f>B475</f>
        <v>15</v>
      </c>
      <c r="C496" t="str">
        <v>Sengkang Lapangan</v>
      </c>
      <c r="D496">
        <f>VLOOKUP(D475,'Detail Balok'!$C$10:$AU$140,36,FALSE)</f>
        <v>0</v>
      </c>
      <c r="E496" t="str">
        <v>D</v>
      </c>
      <c r="F496">
        <f>VLOOKUP(D475,'Detail Balok'!$C$10:$AU$140,38,FALSE)</f>
        <v>8</v>
      </c>
      <c r="G496" t="str">
        <v>-</v>
      </c>
      <c r="H496">
        <f>VLOOKUP(D475,'Detail Balok'!$C$10:$AU$140,40,FALSE)</f>
        <v>200</v>
      </c>
      <c r="J496">
        <f>(IF(D496=0,(2*(D476+G476))-(F$5*8),IF(D496=3,(2*(D476+G476))-(F$5*8)+(G476-2*F$5),IF(D496=4,(2*(D476+G476))-(F$5*8)+2*(G476-2*F$5)))))/1000</f>
        <v>0.88</v>
      </c>
      <c r="K496" t="str">
        <v>+</v>
      </c>
      <c r="L496">
        <f>IF(D496=0,2*MAX(6*F496,75),(D496-1)*2*MAX(6*F496,75))/1000</f>
        <v>0.15</v>
      </c>
      <c r="M496" t="str">
        <v>=</v>
      </c>
      <c r="N496">
        <f>J496+L496</f>
        <v>1.03</v>
      </c>
      <c r="T496" t="str">
        <v>x</v>
      </c>
      <c r="U496">
        <f>0.006165*F496^2</f>
        <v>0.39456</v>
      </c>
      <c r="V496" t="str">
        <v>x</v>
      </c>
      <c r="W496">
        <f>IF(D478-MAX(D478/4,2*G476)*2&gt;0,ROUND((D478-MAX(D478/4,2*G476)*2)/H496,0),0)</f>
        <v>5</v>
      </c>
      <c r="X496" t="str">
        <v>x</v>
      </c>
      <c r="Y496">
        <f>D481</f>
        <v>1</v>
      </c>
      <c r="Z496" t="str">
        <v>=</v>
      </c>
      <c r="AA496">
        <f>N496*U496*W496*Y496</f>
        <v>2.0319840000000005</v>
      </c>
    </row>
    <row r="497">
      <c r="A497" t="str">
        <f>A475</f>
        <v>Lantai 1</v>
      </c>
      <c r="B497">
        <f>B475</f>
        <v>15</v>
      </c>
      <c r="C497" t="str">
        <v>Sengkang Tumpuan</v>
      </c>
      <c r="D497">
        <f>VLOOKUP(D475,'Detail Balok'!$C$10:$AU$140,41,FALSE)</f>
        <v>0</v>
      </c>
      <c r="E497" t="str">
        <v>D</v>
      </c>
      <c r="F497">
        <f>VLOOKUP(D475,'Detail Balok'!$C$10:$AU$140,43,FALSE)</f>
        <v>8</v>
      </c>
      <c r="G497" t="str">
        <v>-</v>
      </c>
      <c r="H497">
        <f>VLOOKUP(D475,'Detail Balok'!$C$10:$AU$140,45,FALSE)</f>
        <v>150</v>
      </c>
      <c r="J497">
        <f>(IF(D497=0,(2*(D476+G476))-(F$5*8),IF(D497=3,(2*(D476+G476))-(F$5*8)+(G476-2*F$5),IF(D497=4,(2*(D476+G476))-(F$5*8)+2*(G476-2*F$5)))))/1000</f>
        <v>0.88</v>
      </c>
      <c r="K497" t="str">
        <v>+</v>
      </c>
      <c r="L497">
        <f>IF(D497=0,2*MAX(6*F497,75),(D497-1)*2*MAX(6*F497,75))/1000</f>
        <v>0.15</v>
      </c>
      <c r="M497" t="str">
        <v>=</v>
      </c>
      <c r="N497">
        <f>J497+L497</f>
        <v>1.03</v>
      </c>
      <c r="T497" t="str">
        <v>x</v>
      </c>
      <c r="U497">
        <f>0.006165*F497^2</f>
        <v>0.39456</v>
      </c>
      <c r="V497" t="str">
        <v>x</v>
      </c>
      <c r="W497">
        <f>IF(D478&gt;4*G476,ROUND(MAX(D478/4,2*G476)/H497,0)+1,0)</f>
        <v>6</v>
      </c>
      <c r="X497" t="str">
        <v>x</v>
      </c>
      <c r="Y497">
        <f>D481</f>
        <v>1</v>
      </c>
      <c r="Z497" t="str">
        <v>=</v>
      </c>
      <c r="AA497">
        <f>N497*U497*W497*Y497</f>
        <v>2.4383808000000005</v>
      </c>
    </row>
    <row r="499">
      <c r="A499" t="str">
        <f>A475</f>
        <v>Lantai 1</v>
      </c>
      <c r="B499">
        <f>B475</f>
        <v>15</v>
      </c>
      <c r="C499" t="str">
        <v>Kait Horizontal Tump.</v>
      </c>
      <c r="D499">
        <f>VLOOKUP(D475,'Detail Balok'!$C$10:$BJ$140,46,FALSE)</f>
        <v>0</v>
      </c>
      <c r="E499" t="str">
        <v>D</v>
      </c>
      <c r="F499">
        <f>VLOOKUP(D475,'Detail Balok'!$C$10:$BJ$140,48,FALSE)</f>
        <v>0</v>
      </c>
      <c r="G499" t="str">
        <v>-</v>
      </c>
      <c r="H499">
        <f>VLOOKUP(D475,'Detail Balok'!$C$10:$BJ$140,50,FALSE)</f>
        <v>100</v>
      </c>
      <c r="J499">
        <f>(D476-2*F$5)/1000</f>
        <v>0.12</v>
      </c>
      <c r="K499" t="str">
        <v>+</v>
      </c>
      <c r="L499">
        <f>IF(D499=0,2*MAX(6*F499,75),(D499-1)*2*MAX(6*F499,75))/1000</f>
        <v>0.15</v>
      </c>
      <c r="M499" t="str">
        <v>=</v>
      </c>
      <c r="N499">
        <f>J499+L499</f>
        <v>0.27</v>
      </c>
      <c r="T499" t="str">
        <v>x</v>
      </c>
      <c r="U499">
        <f>0.006165*F499^2</f>
        <v>0</v>
      </c>
      <c r="V499" t="str">
        <v>x</v>
      </c>
      <c r="W499">
        <f>W495</f>
        <v>6</v>
      </c>
      <c r="X499" t="str">
        <v>x</v>
      </c>
      <c r="Y499">
        <f>D485</f>
        <v>3</v>
      </c>
      <c r="Z499" t="str">
        <v>=</v>
      </c>
      <c r="AA499">
        <f>N499*U499*W499*Y499</f>
        <v>0</v>
      </c>
    </row>
    <row r="500">
      <c r="A500" t="str">
        <f>A475</f>
        <v>Lantai 1</v>
      </c>
      <c r="B500">
        <f>B475</f>
        <v>15</v>
      </c>
      <c r="C500" t="str">
        <v>Kait Horizontal Lap.</v>
      </c>
      <c r="D500">
        <f>VLOOKUP(D475,'Detail Balok'!$C$10:$BJ$140,51,FALSE)</f>
        <v>0</v>
      </c>
      <c r="E500" t="str">
        <v>D</v>
      </c>
      <c r="F500">
        <f>VLOOKUP(D475,'Detail Balok'!$C$10:$BJ$140,53,FALSE)</f>
        <v>0</v>
      </c>
      <c r="G500" t="str">
        <v>-</v>
      </c>
      <c r="H500">
        <f>VLOOKUP(D475,'Detail Balok'!$C$10:$BJ$140,55,FALSE)</f>
        <v>100</v>
      </c>
      <c r="J500">
        <f>(D476-2*F$5)/1000</f>
        <v>0.12</v>
      </c>
      <c r="K500" t="str">
        <v>+</v>
      </c>
      <c r="L500">
        <f>IF(D500=0,2*MAX(6*F500,75),(D500-1)*2*MAX(6*F500,75))/1000</f>
        <v>0.15</v>
      </c>
      <c r="M500" t="str">
        <v>=</v>
      </c>
      <c r="N500">
        <f>J500+L500</f>
        <v>0.27</v>
      </c>
      <c r="T500" t="str">
        <v>x</v>
      </c>
      <c r="U500">
        <f>0.006165*F500^2</f>
        <v>0</v>
      </c>
      <c r="V500" t="str">
        <v>x</v>
      </c>
      <c r="W500">
        <f>W496</f>
        <v>5</v>
      </c>
      <c r="X500" t="str">
        <v>x</v>
      </c>
      <c r="Y500">
        <f>D485</f>
        <v>3</v>
      </c>
      <c r="Z500" t="str">
        <v>=</v>
      </c>
      <c r="AA500">
        <f>N500*U500*W500*Y500</f>
        <v>0</v>
      </c>
    </row>
    <row r="501">
      <c r="A501" t="str">
        <f>A475</f>
        <v>Lantai 1</v>
      </c>
      <c r="B501">
        <f>B475</f>
        <v>15</v>
      </c>
      <c r="C501" t="str">
        <v>Kait Horizontal Tump.</v>
      </c>
      <c r="D501">
        <f>VLOOKUP(D475,'Detail Balok'!$C$10:$BJ$140,56,FALSE)</f>
        <v>0</v>
      </c>
      <c r="E501" t="str">
        <v>D</v>
      </c>
      <c r="F501">
        <f>VLOOKUP(D475,'Detail Balok'!$C$10:$BJ$140,58,FALSE)</f>
        <v>0</v>
      </c>
      <c r="G501" t="str">
        <v>-</v>
      </c>
      <c r="H501">
        <f>VLOOKUP(D475,'Detail Balok'!$C$10:$BJ$140,60,FALSE)</f>
        <v>100</v>
      </c>
      <c r="J501">
        <f>(D476-2*F$5)/1000</f>
        <v>0.12</v>
      </c>
      <c r="K501" t="str">
        <v>+</v>
      </c>
      <c r="L501">
        <f>IF(D501=0,2*MAX(6*F501,75),(D501-1)*2*MAX(6*F501,75))/1000</f>
        <v>0.15</v>
      </c>
      <c r="M501" t="str">
        <v>=</v>
      </c>
      <c r="N501">
        <f>J501+L501</f>
        <v>0.27</v>
      </c>
      <c r="T501" t="str">
        <v>x</v>
      </c>
      <c r="U501">
        <f>0.006165*F501^2</f>
        <v>0</v>
      </c>
      <c r="V501" t="str">
        <v>x</v>
      </c>
      <c r="W501">
        <f>W497</f>
        <v>6</v>
      </c>
      <c r="X501" t="str">
        <v>x</v>
      </c>
      <c r="Y501">
        <f>D485</f>
        <v>3</v>
      </c>
      <c r="Z501" t="str">
        <v>=</v>
      </c>
      <c r="AA501">
        <f>N501*U501*W501*Y501</f>
        <v>0</v>
      </c>
    </row>
    <row r="505">
      <c r="A505" t="str">
        <f>A475</f>
        <v>Lantai 1</v>
      </c>
      <c r="B505">
        <f>B475+1</f>
        <v>16</v>
      </c>
      <c r="C505" t="str">
        <f>CONCATENATE(A505," no. ",B505)</f>
        <v>Lantai 1 no. 16</v>
      </c>
      <c r="D505" t="str">
        <f>VLOOKUP(C505,'Data Panjang Balok'!$C$9:$N$254,2,FALSE)</f>
        <v>S24-1</v>
      </c>
    </row>
    <row r="506">
      <c r="C506" t="str">
        <v>Dimensi</v>
      </c>
      <c r="D506">
        <f>VLOOKUP(D505,'Detail Balok'!$C$10:$AU$140,2,FALSE)</f>
        <v>200</v>
      </c>
      <c r="F506" t="str">
        <v>x</v>
      </c>
      <c r="G506">
        <f>VLOOKUP(D505,'Detail Balok'!$C$10:$AU$140,3,FALSE)</f>
        <v>400</v>
      </c>
    </row>
    <row r="507">
      <c r="C507" t="str">
        <v>Panjang as ke as</v>
      </c>
      <c r="D507">
        <f>VLOOKUP(C505,'Data Panjang Balok'!$C$9:$N$254,4,FALSE)</f>
        <v>2675</v>
      </c>
    </row>
    <row r="508">
      <c r="C508" t="str">
        <v>Panjang netto</v>
      </c>
      <c r="D508">
        <f>VLOOKUP(C505,'Data Panjang Balok'!$C$9:$N$254,7,FALSE)</f>
        <v>2675</v>
      </c>
    </row>
    <row r="509">
      <c r="C509" t="str">
        <v>Kolom / balok kiri</v>
      </c>
      <c r="D509">
        <f>VLOOKUP(C505,'Data Panjang Balok'!$C$9:$N$254,9,FALSE)</f>
        <v>0</v>
      </c>
    </row>
    <row r="510">
      <c r="C510" t="str">
        <v>Kolom / balok kanan</v>
      </c>
      <c r="D510">
        <f>VLOOKUP(C505,'Data Panjang Balok'!$C$9:$N$254,10,FALSE)</f>
        <v>0</v>
      </c>
    </row>
    <row r="511">
      <c r="C511" t="str">
        <v>Jumlah</v>
      </c>
      <c r="D511">
        <f>VLOOKUP(C505,'Data Panjang Balok'!$C$9:$N$254,3,FALSE)</f>
        <v>1</v>
      </c>
    </row>
    <row r="512">
      <c r="A512" t="str">
        <f>A505</f>
        <v>Lantai 1</v>
      </c>
      <c r="B512">
        <f>B505</f>
        <v>16</v>
      </c>
      <c r="C512" t="str">
        <v>Tul Atas Tumpuan</v>
      </c>
      <c r="D512">
        <f>VLOOKUP(D505,'Detail Balok'!$C$10:$AU$140,4,FALSE)</f>
        <v>3</v>
      </c>
      <c r="E512" t="str">
        <v>D</v>
      </c>
      <c r="F512">
        <f>VLOOKUP(D505,'Detail Balok'!$C$10:$AU$140,6,FALSE)</f>
        <v>13</v>
      </c>
      <c r="I512" t="str">
        <v>(</v>
      </c>
      <c r="J512">
        <f>+D507/4/1000</f>
        <v>0.66875</v>
      </c>
      <c r="K512" t="str">
        <v>+</v>
      </c>
      <c r="L512">
        <f>MAX(VLOOKUP(F512,N$6:P$15,3,FALSE)/1000,2/3*D509/1000)+F$16*F512/1000</f>
        <v>0.156</v>
      </c>
      <c r="M512" t="str">
        <v>=</v>
      </c>
      <c r="N512">
        <f>J512+L512</f>
        <v>0.82475</v>
      </c>
      <c r="O512" t="str">
        <v>+</v>
      </c>
      <c r="P512">
        <f>D512-D513</f>
        <v>0</v>
      </c>
      <c r="Q512" t="str">
        <v>x</v>
      </c>
      <c r="R512">
        <f>IF(P512&gt;0,$F$18*F512/1000,0)</f>
        <v>0</v>
      </c>
      <c r="S512" t="str">
        <v>)</v>
      </c>
      <c r="T512" t="str">
        <v>x</v>
      </c>
      <c r="U512">
        <f>0.006165*F512^2</f>
        <v>1.041885</v>
      </c>
      <c r="X512" t="str">
        <v>x</v>
      </c>
      <c r="Y512">
        <f>D511</f>
        <v>1</v>
      </c>
      <c r="Z512" t="str">
        <v>=</v>
      </c>
      <c r="AA512">
        <f>IF(AA515=0,(D512*N512+P512*R512)*U512*Y512,0)</f>
        <v>0</v>
      </c>
    </row>
    <row r="513">
      <c r="A513" t="str">
        <f>A505</f>
        <v>Lantai 1</v>
      </c>
      <c r="B513">
        <f>B505</f>
        <v>16</v>
      </c>
      <c r="C513" t="str">
        <v>Tul Atas Lapangan</v>
      </c>
      <c r="D513">
        <f>VLOOKUP(D505,'Detail Balok'!$C$10:$AU$140,7,FALSE)</f>
        <v>3</v>
      </c>
      <c r="E513" t="str">
        <v>D</v>
      </c>
      <c r="F513">
        <f>VLOOKUP(D505,'Detail Balok'!$C$10:$AU$140,9,FALSE)</f>
        <v>13</v>
      </c>
      <c r="I513" t="str">
        <v>(</v>
      </c>
      <c r="J513">
        <f>+D507/2/1000</f>
        <v>1.3375</v>
      </c>
      <c r="K513" t="str">
        <v>+</v>
      </c>
      <c r="M513" t="str">
        <v>=</v>
      </c>
      <c r="N513">
        <f>J513+L513</f>
        <v>1.3375</v>
      </c>
      <c r="O513" t="str">
        <v>+</v>
      </c>
      <c r="P513">
        <f>MAX(D513-D512,D513-D514)</f>
        <v>0</v>
      </c>
      <c r="Q513" t="str">
        <v>x</v>
      </c>
      <c r="R513">
        <f>IF(P513&gt;0,2*(1-2*$F$19-1/2)*D508/1000,0)</f>
        <v>0</v>
      </c>
      <c r="S513" t="str">
        <v>)</v>
      </c>
      <c r="T513" t="str">
        <v>x</v>
      </c>
      <c r="U513">
        <f>0.006165*F513^2</f>
        <v>1.041885</v>
      </c>
      <c r="X513" t="str">
        <v>x</v>
      </c>
      <c r="Y513">
        <f>D511</f>
        <v>1</v>
      </c>
      <c r="Z513" t="str">
        <v>=</v>
      </c>
      <c r="AA513">
        <f>IF(AA515=0,(D513*N513+P513*R513)*U513*Y513,0)</f>
        <v>0</v>
      </c>
    </row>
    <row r="514">
      <c r="A514" t="str">
        <f>A505</f>
        <v>Lantai 1</v>
      </c>
      <c r="B514">
        <f>B505</f>
        <v>16</v>
      </c>
      <c r="C514" t="str">
        <v>Tul Atas Tumpuan</v>
      </c>
      <c r="D514">
        <f>VLOOKUP(D505,'Detail Balok'!$C$10:$AU$140,10,FALSE)</f>
        <v>3</v>
      </c>
      <c r="E514" t="str">
        <v>D</v>
      </c>
      <c r="F514">
        <f>VLOOKUP(D505,'Detail Balok'!$C$10:$AU$140,12,FALSE)</f>
        <v>13</v>
      </c>
      <c r="I514" t="str">
        <v>(</v>
      </c>
      <c r="J514">
        <f>+D507/4/1000</f>
        <v>0.66875</v>
      </c>
      <c r="K514" t="str">
        <v>+</v>
      </c>
      <c r="L514">
        <f>MAX(VLOOKUP(F514,N$6:P$15,3,FALSE)/1000,2/3*D509/1000)+F$16*F514/1000</f>
        <v>0.156</v>
      </c>
      <c r="M514" t="str">
        <v>=</v>
      </c>
      <c r="N514">
        <f>J514+L514</f>
        <v>0.82475</v>
      </c>
      <c r="O514" t="str">
        <v>+</v>
      </c>
      <c r="P514">
        <f>D514-D513</f>
        <v>0</v>
      </c>
      <c r="Q514" t="str">
        <v>x</v>
      </c>
      <c r="R514">
        <f>IF(P514&gt;0,$F$18*F514/1000,0)</f>
        <v>0</v>
      </c>
      <c r="S514" t="str">
        <v>)</v>
      </c>
      <c r="T514" t="str">
        <v>x</v>
      </c>
      <c r="U514">
        <f>0.006165*F514^2</f>
        <v>1.041885</v>
      </c>
      <c r="X514" t="str">
        <v>x</v>
      </c>
      <c r="Y514">
        <f>D511</f>
        <v>1</v>
      </c>
      <c r="Z514" t="str">
        <v>=</v>
      </c>
      <c r="AA514">
        <f>IF(AA515=0,(D514*N514+P514*R514)*U514*Y514,0)</f>
        <v>0</v>
      </c>
    </row>
    <row r="515">
      <c r="A515" t="str">
        <f>A505</f>
        <v>Lantai 1</v>
      </c>
      <c r="B515">
        <f>B505</f>
        <v>16</v>
      </c>
      <c r="D515">
        <f>IF(AND(D512=D513,D513=D514,D512=D514),D512,0)</f>
        <v>3</v>
      </c>
      <c r="E515" t="str">
        <v>D</v>
      </c>
      <c r="F515">
        <f>IF(AND(F512=F513,F512=F514,F513=F514),F512,0)</f>
        <v>13</v>
      </c>
      <c r="L515" t="str">
        <v>Total panjang per balok</v>
      </c>
      <c r="M515" t="str">
        <v>=</v>
      </c>
      <c r="N515">
        <f>IF(AND(D512=D513,D512=D514,D513=D514,F512=F513,F512=F514,F513=F514),SUM(N512:N514),0)</f>
        <v>2.9869999999999997</v>
      </c>
      <c r="O515" t="str">
        <v>+</v>
      </c>
      <c r="P515">
        <f>IF(N515&gt;12,ROUNDDOWN(N515/12,0),0)</f>
        <v>0</v>
      </c>
      <c r="Q515" t="str">
        <v>x</v>
      </c>
      <c r="R515">
        <f>IF(P515&gt;0,MAX(VLOOKUP(F515,$D$6:$G$15,3,FALSE),600),0)/1000</f>
        <v>0</v>
      </c>
      <c r="T515" t="str">
        <v>x</v>
      </c>
      <c r="U515">
        <f>U514</f>
        <v>1.041885</v>
      </c>
      <c r="V515" t="str">
        <v>x</v>
      </c>
      <c r="W515">
        <f>D515</f>
        <v>3</v>
      </c>
      <c r="X515" t="str">
        <v>x</v>
      </c>
      <c r="Y515">
        <f>Y514</f>
        <v>1</v>
      </c>
      <c r="Z515" t="str">
        <v>=</v>
      </c>
      <c r="AA515">
        <f>(N515+P515*R515/1000)*U515*W515*Y515</f>
        <v>9.336331484999999</v>
      </c>
    </row>
    <row r="517">
      <c r="A517" t="str">
        <f>A505</f>
        <v>Lantai 1</v>
      </c>
      <c r="B517">
        <f>B505</f>
        <v>16</v>
      </c>
      <c r="C517" t="str">
        <v>Tul Peminggang</v>
      </c>
      <c r="D517">
        <f>VLOOKUP(D505,'Detail Balok'!$C$10:$AU$140,13,FALSE)</f>
        <v>0</v>
      </c>
      <c r="E517" t="str">
        <v>D</v>
      </c>
      <c r="F517">
        <f>VLOOKUP(D505,'Detail Balok'!$C$10:$AU$140,15,FALSE)</f>
        <v>8</v>
      </c>
      <c r="J517">
        <f>+D507/1000</f>
        <v>2.675</v>
      </c>
      <c r="K517" t="str">
        <v>+</v>
      </c>
      <c r="L517">
        <f>2*$F$16*F517/1000</f>
        <v>0.192</v>
      </c>
      <c r="M517" t="str">
        <v>=</v>
      </c>
      <c r="N517">
        <f>J517+L517</f>
        <v>2.867</v>
      </c>
      <c r="O517" t="str">
        <v>+</v>
      </c>
      <c r="P517">
        <f>IF(N517&gt;12,ROUNDDOWN(N517/12,0),0)</f>
        <v>0</v>
      </c>
      <c r="Q517" t="str">
        <v>x</v>
      </c>
      <c r="R517">
        <f>IF(P517&gt;0,MAX(VLOOKUP(F517,$D$6:$G$15,3,FALSE),600),0)/1000</f>
        <v>0</v>
      </c>
      <c r="T517" t="str">
        <v>x</v>
      </c>
      <c r="U517">
        <f>0.006165*F517^2</f>
        <v>0.39456</v>
      </c>
      <c r="V517" t="str">
        <v>x</v>
      </c>
      <c r="W517">
        <f>+D517</f>
        <v>0</v>
      </c>
      <c r="X517" t="str">
        <v>x</v>
      </c>
      <c r="Y517">
        <f>D511</f>
        <v>1</v>
      </c>
      <c r="Z517" t="str">
        <v>=</v>
      </c>
      <c r="AA517">
        <f>(N517+P517*R517/1000)*U517*W517*Y517</f>
        <v>0</v>
      </c>
    </row>
    <row r="520">
      <c r="A520" t="str">
        <f>A505</f>
        <v>Lantai 1</v>
      </c>
      <c r="B520">
        <f>B505</f>
        <v>16</v>
      </c>
      <c r="C520" t="str">
        <v>Tul Bawah Tumpuan</v>
      </c>
      <c r="D520">
        <f>VLOOKUP(D505,'Detail Balok'!$C$10:$AU$140,22,FALSE)</f>
        <v>3</v>
      </c>
      <c r="E520" t="str">
        <v>D</v>
      </c>
      <c r="F520">
        <f>VLOOKUP(D505,'Detail Balok'!$C$10:$AU$140,24,FALSE)</f>
        <v>13</v>
      </c>
      <c r="I520" t="str">
        <v>(</v>
      </c>
      <c r="J520">
        <f>+J512</f>
        <v>0.66875</v>
      </c>
      <c r="K520" t="str">
        <v>+</v>
      </c>
      <c r="L520">
        <f>MAX(VLOOKUP(F520,N$6:P$15,3,FALSE)/1000,2/3*D510/1000)+F$16*F520/1000</f>
        <v>0.156</v>
      </c>
      <c r="M520" t="str">
        <v>=</v>
      </c>
      <c r="N520">
        <f>J520+L520</f>
        <v>0.82475</v>
      </c>
      <c r="O520" t="str">
        <v>+</v>
      </c>
      <c r="P520">
        <f>D520-D521</f>
        <v>0</v>
      </c>
      <c r="Q520" t="str">
        <v>x</v>
      </c>
      <c r="R520">
        <f>IF(P520&gt;0,$F$18*F520/1000,0)</f>
        <v>0</v>
      </c>
      <c r="S520" t="str">
        <v>)</v>
      </c>
      <c r="T520" t="str">
        <v>x</v>
      </c>
      <c r="U520">
        <f>0.006165*F520^2</f>
        <v>1.041885</v>
      </c>
      <c r="X520" t="str">
        <v>x</v>
      </c>
      <c r="Y520">
        <f>D511</f>
        <v>1</v>
      </c>
      <c r="Z520" t="str">
        <v>=</v>
      </c>
      <c r="AA520">
        <f>IF(AA523=0,(D520*N520+P520*R520)*U520*Y520,0)</f>
        <v>0</v>
      </c>
    </row>
    <row r="521">
      <c r="A521" t="str">
        <f>A505</f>
        <v>Lantai 1</v>
      </c>
      <c r="B521">
        <f>B505</f>
        <v>16</v>
      </c>
      <c r="C521" t="str">
        <v>Tul Bawah Lapangan</v>
      </c>
      <c r="D521">
        <f>VLOOKUP(D505,'Detail Balok'!$C$10:$AU$140,25,FALSE)</f>
        <v>3</v>
      </c>
      <c r="E521" t="str">
        <v>D</v>
      </c>
      <c r="F521">
        <f>VLOOKUP(D505,'Detail Balok'!$C$10:$AU$140,27,FALSE)</f>
        <v>13</v>
      </c>
      <c r="I521" t="str">
        <v>(</v>
      </c>
      <c r="J521">
        <f>+J513</f>
        <v>1.3375</v>
      </c>
      <c r="K521" t="str">
        <v>+</v>
      </c>
      <c r="M521" t="str">
        <v>=</v>
      </c>
      <c r="N521">
        <f>J521+L521</f>
        <v>1.3375</v>
      </c>
      <c r="O521" t="str">
        <v>+</v>
      </c>
      <c r="P521">
        <f>MAX(D521-D520,D521-D522)</f>
        <v>0</v>
      </c>
      <c r="Q521" t="str">
        <v>x</v>
      </c>
      <c r="R521">
        <f>IF(P521&gt;0,2*(1-2*$F$19-1/2)*D508/1000,0)</f>
        <v>0</v>
      </c>
      <c r="S521" t="str">
        <v>)</v>
      </c>
      <c r="T521" t="str">
        <v>x</v>
      </c>
      <c r="U521">
        <f>0.006165*F521^2</f>
        <v>1.041885</v>
      </c>
      <c r="X521" t="str">
        <v>x</v>
      </c>
      <c r="Y521">
        <f>D511</f>
        <v>1</v>
      </c>
      <c r="Z521" t="str">
        <v>=</v>
      </c>
      <c r="AA521">
        <f>IF(AA523=0,(D521*N521+P521*R521)*U521*Y521,0)</f>
        <v>0</v>
      </c>
    </row>
    <row r="522">
      <c r="A522" t="str">
        <f>A505</f>
        <v>Lantai 1</v>
      </c>
      <c r="B522">
        <f>B505</f>
        <v>16</v>
      </c>
      <c r="C522" t="str">
        <v>Tul Bawah Tumpuan</v>
      </c>
      <c r="D522">
        <f>VLOOKUP(D505,'Detail Balok'!$C$10:$AU$140,28,FALSE)</f>
        <v>3</v>
      </c>
      <c r="E522" t="str">
        <v>D</v>
      </c>
      <c r="F522">
        <f>VLOOKUP(D505,'Detail Balok'!$C$10:$AU$140,30,FALSE)</f>
        <v>13</v>
      </c>
      <c r="I522" t="str">
        <v>(</v>
      </c>
      <c r="J522">
        <f>+J514</f>
        <v>0.66875</v>
      </c>
      <c r="K522" t="str">
        <v>+</v>
      </c>
      <c r="L522">
        <f>MAX(VLOOKUP(F522,N$6:P$15,3,FALSE)/1000,2/3*D510/1000)+F$16*F522/1000</f>
        <v>0.156</v>
      </c>
      <c r="M522" t="str">
        <v>=</v>
      </c>
      <c r="N522">
        <f>J522+L522</f>
        <v>0.82475</v>
      </c>
      <c r="O522" t="str">
        <v>+</v>
      </c>
      <c r="P522">
        <f>D522-D521</f>
        <v>0</v>
      </c>
      <c r="Q522" t="str">
        <v>x</v>
      </c>
      <c r="R522">
        <f>IF(P522&gt;0,$F$18*F522/1000,0)</f>
        <v>0</v>
      </c>
      <c r="S522" t="str">
        <v>)</v>
      </c>
      <c r="T522" t="str">
        <v>x</v>
      </c>
      <c r="U522">
        <f>0.006165*F522^2</f>
        <v>1.041885</v>
      </c>
      <c r="X522" t="str">
        <v>x</v>
      </c>
      <c r="Y522">
        <f>D511</f>
        <v>1</v>
      </c>
      <c r="Z522" t="str">
        <v>=</v>
      </c>
      <c r="AA522">
        <f>IF(AA523=0,(D522*N522+P522*R522)*U522*Y522,0)</f>
        <v>0</v>
      </c>
    </row>
    <row r="523">
      <c r="A523" t="str">
        <f>A505</f>
        <v>Lantai 1</v>
      </c>
      <c r="B523">
        <f>B505</f>
        <v>16</v>
      </c>
      <c r="D523">
        <f>IF(AND(D520=D521,D521=D522,D520=D522),D520,0)</f>
        <v>3</v>
      </c>
      <c r="E523" t="str">
        <v>D</v>
      </c>
      <c r="F523">
        <f>IF(AND(F520=F521,F520=F522,F521=F522),F520,0)</f>
        <v>13</v>
      </c>
      <c r="L523" t="str">
        <v>Total panjang per balok</v>
      </c>
      <c r="M523" t="str">
        <v>=</v>
      </c>
      <c r="N523">
        <f>IF(AND(D520=D521,D520=D522,D521=D522,F520=F521,F520=F522,F521=F522),SUM(N520:N522),0)</f>
        <v>2.9869999999999997</v>
      </c>
      <c r="O523" t="str">
        <v>+</v>
      </c>
      <c r="P523">
        <f>IF(N523&gt;12,ROUNDDOWN(N523/12,0),0)</f>
        <v>0</v>
      </c>
      <c r="Q523" t="str">
        <v>x</v>
      </c>
      <c r="R523">
        <f>IF(P523&gt;0,MAX(VLOOKUP(F523,$D$6:$G$15,3,FALSE),600),0)/1000</f>
        <v>0</v>
      </c>
      <c r="T523" t="str">
        <v>x</v>
      </c>
      <c r="U523">
        <f>U522</f>
        <v>1.041885</v>
      </c>
      <c r="V523" t="str">
        <v>x</v>
      </c>
      <c r="W523">
        <f>D523</f>
        <v>3</v>
      </c>
      <c r="X523" t="str">
        <v>x</v>
      </c>
      <c r="Y523">
        <f>Y522</f>
        <v>1</v>
      </c>
      <c r="Z523" t="str">
        <v>=</v>
      </c>
      <c r="AA523">
        <f>(N523+P523*R523/1000)*U523*W523*Y523</f>
        <v>9.336331484999999</v>
      </c>
    </row>
    <row r="525">
      <c r="A525" t="str">
        <f>A505</f>
        <v>Lantai 1</v>
      </c>
      <c r="B525">
        <f>B505</f>
        <v>16</v>
      </c>
      <c r="C525" t="str">
        <v>Sengkang Tumpuan</v>
      </c>
      <c r="D525">
        <f>VLOOKUP(D505,'Detail Balok'!$C$10:$AU$140,31,FALSE)</f>
        <v>0</v>
      </c>
      <c r="E525" t="str">
        <v>D</v>
      </c>
      <c r="F525">
        <f>VLOOKUP(D505,'Detail Balok'!$C$10:$AU$140,33,FALSE)</f>
        <v>8</v>
      </c>
      <c r="G525" t="str">
        <v>-</v>
      </c>
      <c r="H525">
        <f>VLOOKUP(D505,'Detail Balok'!$C$10:$AU$140,35,FALSE)</f>
        <v>150</v>
      </c>
      <c r="J525">
        <f>(IF(D525=0,(2*(D506+G506))-(F$5*8),IF(D525=3,(2*(D506+G506))-(F$5*8)+(G506-2*F$5),IF(D525=4,(2*(D506+G506))-(F$5*8)+2*(G506-2*F$5)))))/1000</f>
        <v>0.88</v>
      </c>
      <c r="K525" t="str">
        <v>+</v>
      </c>
      <c r="L525">
        <f>IF(D525=0,2*MAX(6*F525,75),(D525-1)*2*MAX(6*F525,75))/1000</f>
        <v>0.15</v>
      </c>
      <c r="M525" t="str">
        <v>=</v>
      </c>
      <c r="N525">
        <f>J525+L525</f>
        <v>1.03</v>
      </c>
      <c r="T525" t="str">
        <v>x</v>
      </c>
      <c r="U525">
        <f>0.006165*F525^2</f>
        <v>0.39456</v>
      </c>
      <c r="V525" t="str">
        <v>x</v>
      </c>
      <c r="W525">
        <f>IF(D508&gt;4*G506,ROUND(MAX(D508/4,2*G506)/H525,0)+1,ROUND(D508/H525,0)+1)</f>
        <v>6</v>
      </c>
      <c r="X525" t="str">
        <v>x</v>
      </c>
      <c r="Y525">
        <f>D511</f>
        <v>1</v>
      </c>
      <c r="Z525" t="str">
        <v>=</v>
      </c>
      <c r="AA525">
        <f>N525*U525*W525*Y525</f>
        <v>2.4383808000000005</v>
      </c>
    </row>
    <row r="526">
      <c r="A526" t="str">
        <f>A505</f>
        <v>Lantai 1</v>
      </c>
      <c r="B526">
        <f>B505</f>
        <v>16</v>
      </c>
      <c r="C526" t="str">
        <v>Sengkang Lapangan</v>
      </c>
      <c r="D526">
        <f>VLOOKUP(D505,'Detail Balok'!$C$10:$AU$140,36,FALSE)</f>
        <v>0</v>
      </c>
      <c r="E526" t="str">
        <v>D</v>
      </c>
      <c r="F526">
        <f>VLOOKUP(D505,'Detail Balok'!$C$10:$AU$140,38,FALSE)</f>
        <v>8</v>
      </c>
      <c r="G526" t="str">
        <v>-</v>
      </c>
      <c r="H526">
        <f>VLOOKUP(D505,'Detail Balok'!$C$10:$AU$140,40,FALSE)</f>
        <v>200</v>
      </c>
      <c r="J526">
        <f>(IF(D526=0,(2*(D506+G506))-(F$5*8),IF(D526=3,(2*(D506+G506))-(F$5*8)+(G506-2*F$5),IF(D526=4,(2*(D506+G506))-(F$5*8)+2*(G506-2*F$5)))))/1000</f>
        <v>0.88</v>
      </c>
      <c r="K526" t="str">
        <v>+</v>
      </c>
      <c r="L526">
        <f>IF(D526=0,2*MAX(6*F526,75),(D526-1)*2*MAX(6*F526,75))/1000</f>
        <v>0.15</v>
      </c>
      <c r="M526" t="str">
        <v>=</v>
      </c>
      <c r="N526">
        <f>J526+L526</f>
        <v>1.03</v>
      </c>
      <c r="T526" t="str">
        <v>x</v>
      </c>
      <c r="U526">
        <f>0.006165*F526^2</f>
        <v>0.39456</v>
      </c>
      <c r="V526" t="str">
        <v>x</v>
      </c>
      <c r="W526">
        <f>IF(D508-MAX(D508/4,2*G506)*2&gt;0,ROUND((D508-MAX(D508/4,2*G506)*2)/H526,0),0)</f>
        <v>5</v>
      </c>
      <c r="X526" t="str">
        <v>x</v>
      </c>
      <c r="Y526">
        <f>D511</f>
        <v>1</v>
      </c>
      <c r="Z526" t="str">
        <v>=</v>
      </c>
      <c r="AA526">
        <f>N526*U526*W526*Y526</f>
        <v>2.0319840000000005</v>
      </c>
    </row>
    <row r="527">
      <c r="A527" t="str">
        <f>A505</f>
        <v>Lantai 1</v>
      </c>
      <c r="B527">
        <f>B505</f>
        <v>16</v>
      </c>
      <c r="C527" t="str">
        <v>Sengkang Tumpuan</v>
      </c>
      <c r="D527">
        <f>VLOOKUP(D505,'Detail Balok'!$C$10:$AU$140,41,FALSE)</f>
        <v>0</v>
      </c>
      <c r="E527" t="str">
        <v>D</v>
      </c>
      <c r="F527">
        <f>VLOOKUP(D505,'Detail Balok'!$C$10:$AU$140,43,FALSE)</f>
        <v>8</v>
      </c>
      <c r="G527" t="str">
        <v>-</v>
      </c>
      <c r="H527">
        <f>VLOOKUP(D505,'Detail Balok'!$C$10:$AU$140,45,FALSE)</f>
        <v>150</v>
      </c>
      <c r="J527">
        <f>(IF(D527=0,(2*(D506+G506))-(F$5*8),IF(D527=3,(2*(D506+G506))-(F$5*8)+(G506-2*F$5),IF(D527=4,(2*(D506+G506))-(F$5*8)+2*(G506-2*F$5)))))/1000</f>
        <v>0.88</v>
      </c>
      <c r="K527" t="str">
        <v>+</v>
      </c>
      <c r="L527">
        <f>IF(D527=0,2*MAX(6*F527,75),(D527-1)*2*MAX(6*F527,75))/1000</f>
        <v>0.15</v>
      </c>
      <c r="M527" t="str">
        <v>=</v>
      </c>
      <c r="N527">
        <f>J527+L527</f>
        <v>1.03</v>
      </c>
      <c r="T527" t="str">
        <v>x</v>
      </c>
      <c r="U527">
        <f>0.006165*F527^2</f>
        <v>0.39456</v>
      </c>
      <c r="V527" t="str">
        <v>x</v>
      </c>
      <c r="W527">
        <f>IF(D508&gt;4*G506,ROUND(MAX(D508/4,2*G506)/H527,0)+1,0)</f>
        <v>6</v>
      </c>
      <c r="X527" t="str">
        <v>x</v>
      </c>
      <c r="Y527">
        <f>D511</f>
        <v>1</v>
      </c>
      <c r="Z527" t="str">
        <v>=</v>
      </c>
      <c r="AA527">
        <f>N527*U527*W527*Y527</f>
        <v>2.4383808000000005</v>
      </c>
    </row>
    <row r="529">
      <c r="A529" t="str">
        <f>A505</f>
        <v>Lantai 1</v>
      </c>
      <c r="B529">
        <f>B505</f>
        <v>16</v>
      </c>
      <c r="C529" t="str">
        <v>Kait Horizontal Tump.</v>
      </c>
      <c r="D529">
        <f>VLOOKUP(D505,'Detail Balok'!$C$10:$BJ$140,46,FALSE)</f>
        <v>0</v>
      </c>
      <c r="E529" t="str">
        <v>D</v>
      </c>
      <c r="F529">
        <f>VLOOKUP(D505,'Detail Balok'!$C$10:$BJ$140,48,FALSE)</f>
        <v>0</v>
      </c>
      <c r="G529" t="str">
        <v>-</v>
      </c>
      <c r="H529">
        <f>VLOOKUP(D505,'Detail Balok'!$C$10:$BJ$140,50,FALSE)</f>
        <v>100</v>
      </c>
      <c r="J529">
        <f>(D506-2*F$5)/1000</f>
        <v>0.12</v>
      </c>
      <c r="K529" t="str">
        <v>+</v>
      </c>
      <c r="L529">
        <f>IF(D529=0,2*MAX(6*F529,75),(D529-1)*2*MAX(6*F529,75))/1000</f>
        <v>0.15</v>
      </c>
      <c r="M529" t="str">
        <v>=</v>
      </c>
      <c r="N529">
        <f>J529+L529</f>
        <v>0.27</v>
      </c>
      <c r="T529" t="str">
        <v>x</v>
      </c>
      <c r="U529">
        <f>0.006165*F529^2</f>
        <v>0</v>
      </c>
      <c r="V529" t="str">
        <v>x</v>
      </c>
      <c r="W529">
        <f>W525</f>
        <v>6</v>
      </c>
      <c r="X529" t="str">
        <v>x</v>
      </c>
      <c r="Y529">
        <f>D515</f>
        <v>3</v>
      </c>
      <c r="Z529" t="str">
        <v>=</v>
      </c>
      <c r="AA529">
        <f>N529*U529*W529*Y529</f>
        <v>0</v>
      </c>
    </row>
    <row r="530">
      <c r="A530" t="str">
        <f>A505</f>
        <v>Lantai 1</v>
      </c>
      <c r="B530">
        <f>B505</f>
        <v>16</v>
      </c>
      <c r="C530" t="str">
        <v>Kait Horizontal Lap.</v>
      </c>
      <c r="D530">
        <f>VLOOKUP(D505,'Detail Balok'!$C$10:$BJ$140,51,FALSE)</f>
        <v>0</v>
      </c>
      <c r="E530" t="str">
        <v>D</v>
      </c>
      <c r="F530">
        <f>VLOOKUP(D505,'Detail Balok'!$C$10:$BJ$140,53,FALSE)</f>
        <v>0</v>
      </c>
      <c r="G530" t="str">
        <v>-</v>
      </c>
      <c r="H530">
        <f>VLOOKUP(D505,'Detail Balok'!$C$10:$BJ$140,55,FALSE)</f>
        <v>100</v>
      </c>
      <c r="J530">
        <f>(D506-2*F$5)/1000</f>
        <v>0.12</v>
      </c>
      <c r="K530" t="str">
        <v>+</v>
      </c>
      <c r="L530">
        <f>IF(D530=0,2*MAX(6*F530,75),(D530-1)*2*MAX(6*F530,75))/1000</f>
        <v>0.15</v>
      </c>
      <c r="M530" t="str">
        <v>=</v>
      </c>
      <c r="N530">
        <f>J530+L530</f>
        <v>0.27</v>
      </c>
      <c r="T530" t="str">
        <v>x</v>
      </c>
      <c r="U530">
        <f>0.006165*F530^2</f>
        <v>0</v>
      </c>
      <c r="V530" t="str">
        <v>x</v>
      </c>
      <c r="W530">
        <f>W526</f>
        <v>5</v>
      </c>
      <c r="X530" t="str">
        <v>x</v>
      </c>
      <c r="Y530">
        <f>D515</f>
        <v>3</v>
      </c>
      <c r="Z530" t="str">
        <v>=</v>
      </c>
      <c r="AA530">
        <f>N530*U530*W530*Y530</f>
        <v>0</v>
      </c>
    </row>
    <row r="531">
      <c r="A531" t="str">
        <f>A505</f>
        <v>Lantai 1</v>
      </c>
      <c r="B531">
        <f>B505</f>
        <v>16</v>
      </c>
      <c r="C531" t="str">
        <v>Kait Horizontal Tump.</v>
      </c>
      <c r="D531">
        <f>VLOOKUP(D505,'Detail Balok'!$C$10:$BJ$140,56,FALSE)</f>
        <v>0</v>
      </c>
      <c r="E531" t="str">
        <v>D</v>
      </c>
      <c r="F531">
        <f>VLOOKUP(D505,'Detail Balok'!$C$10:$BJ$140,58,FALSE)</f>
        <v>0</v>
      </c>
      <c r="G531" t="str">
        <v>-</v>
      </c>
      <c r="H531">
        <f>VLOOKUP(D505,'Detail Balok'!$C$10:$BJ$140,60,FALSE)</f>
        <v>100</v>
      </c>
      <c r="J531">
        <f>(D506-2*F$5)/1000</f>
        <v>0.12</v>
      </c>
      <c r="K531" t="str">
        <v>+</v>
      </c>
      <c r="L531">
        <f>IF(D531=0,2*MAX(6*F531,75),(D531-1)*2*MAX(6*F531,75))/1000</f>
        <v>0.15</v>
      </c>
      <c r="M531" t="str">
        <v>=</v>
      </c>
      <c r="N531">
        <f>J531+L531</f>
        <v>0.27</v>
      </c>
      <c r="T531" t="str">
        <v>x</v>
      </c>
      <c r="U531">
        <f>0.006165*F531^2</f>
        <v>0</v>
      </c>
      <c r="V531" t="str">
        <v>x</v>
      </c>
      <c r="W531">
        <f>W527</f>
        <v>6</v>
      </c>
      <c r="X531" t="str">
        <v>x</v>
      </c>
      <c r="Y531">
        <f>D515</f>
        <v>3</v>
      </c>
      <c r="Z531" t="str">
        <v>=</v>
      </c>
      <c r="AA531">
        <f>N531*U531*W531*Y531</f>
        <v>0</v>
      </c>
    </row>
    <row r="535">
      <c r="A535" t="str">
        <f>A505</f>
        <v>Lantai 1</v>
      </c>
      <c r="B535">
        <f>B505+1</f>
        <v>17</v>
      </c>
      <c r="C535" t="str">
        <f>CONCATENATE(A535," no. ",B535)</f>
        <v>Lantai 1 no. 17</v>
      </c>
      <c r="D535" t="str">
        <f>VLOOKUP(C535,'Data Panjang Balok'!$C$9:$N$254,2,FALSE)</f>
        <v>S24-1</v>
      </c>
    </row>
    <row r="536">
      <c r="C536" t="str">
        <v>Dimensi</v>
      </c>
      <c r="D536">
        <f>VLOOKUP(D535,'Detail Balok'!$C$10:$AU$140,2,FALSE)</f>
        <v>200</v>
      </c>
      <c r="F536" t="str">
        <v>x</v>
      </c>
      <c r="G536">
        <f>VLOOKUP(D535,'Detail Balok'!$C$10:$AU$140,3,FALSE)</f>
        <v>400</v>
      </c>
    </row>
    <row r="537">
      <c r="C537" t="str">
        <v>Panjang as ke as</v>
      </c>
      <c r="D537">
        <f>VLOOKUP(C535,'Data Panjang Balok'!$C$9:$N$254,4,FALSE)</f>
        <v>3100</v>
      </c>
    </row>
    <row r="538">
      <c r="C538" t="str">
        <v>Panjang netto</v>
      </c>
      <c r="D538">
        <f>VLOOKUP(C535,'Data Panjang Balok'!$C$9:$N$254,7,FALSE)</f>
        <v>3100</v>
      </c>
    </row>
    <row r="539">
      <c r="C539" t="str">
        <v>Kolom / balok kiri</v>
      </c>
      <c r="D539">
        <f>VLOOKUP(C535,'Data Panjang Balok'!$C$9:$N$254,9,FALSE)</f>
        <v>0</v>
      </c>
    </row>
    <row r="540">
      <c r="C540" t="str">
        <v>Kolom / balok kanan</v>
      </c>
      <c r="D540">
        <f>VLOOKUP(C535,'Data Panjang Balok'!$C$9:$N$254,10,FALSE)</f>
        <v>0</v>
      </c>
    </row>
    <row r="541">
      <c r="C541" t="str">
        <v>Jumlah</v>
      </c>
      <c r="D541">
        <f>VLOOKUP(C535,'Data Panjang Balok'!$C$9:$N$254,3,FALSE)</f>
        <v>1</v>
      </c>
    </row>
    <row r="542">
      <c r="A542" t="str">
        <f>A535</f>
        <v>Lantai 1</v>
      </c>
      <c r="B542">
        <f>B535</f>
        <v>17</v>
      </c>
      <c r="C542" t="str">
        <v>Tul Atas Tumpuan</v>
      </c>
      <c r="D542">
        <f>VLOOKUP(D535,'Detail Balok'!$C$10:$AU$140,4,FALSE)</f>
        <v>3</v>
      </c>
      <c r="E542" t="str">
        <v>D</v>
      </c>
      <c r="F542">
        <f>VLOOKUP(D535,'Detail Balok'!$C$10:$AU$140,6,FALSE)</f>
        <v>13</v>
      </c>
      <c r="I542" t="str">
        <v>(</v>
      </c>
      <c r="J542">
        <f>+D537/4/1000</f>
        <v>0.775</v>
      </c>
      <c r="K542" t="str">
        <v>+</v>
      </c>
      <c r="L542">
        <f>MAX(VLOOKUP(F542,N$6:P$15,3,FALSE)/1000,2/3*D539/1000)+F$16*F542/1000</f>
        <v>0.156</v>
      </c>
      <c r="M542" t="str">
        <v>=</v>
      </c>
      <c r="N542">
        <f>J542+L542</f>
        <v>0.931</v>
      </c>
      <c r="O542" t="str">
        <v>+</v>
      </c>
      <c r="P542">
        <f>D542-D543</f>
        <v>0</v>
      </c>
      <c r="Q542" t="str">
        <v>x</v>
      </c>
      <c r="R542">
        <f>IF(P542&gt;0,$F$18*F542/1000,0)</f>
        <v>0</v>
      </c>
      <c r="S542" t="str">
        <v>)</v>
      </c>
      <c r="T542" t="str">
        <v>x</v>
      </c>
      <c r="U542">
        <f>0.006165*F542^2</f>
        <v>1.041885</v>
      </c>
      <c r="X542" t="str">
        <v>x</v>
      </c>
      <c r="Y542">
        <f>D541</f>
        <v>1</v>
      </c>
      <c r="Z542" t="str">
        <v>=</v>
      </c>
      <c r="AA542">
        <f>IF(AA545=0,(D542*N542+P542*R542)*U542*Y542,0)</f>
        <v>0</v>
      </c>
    </row>
    <row r="543">
      <c r="A543" t="str">
        <f>A535</f>
        <v>Lantai 1</v>
      </c>
      <c r="B543">
        <f>B535</f>
        <v>17</v>
      </c>
      <c r="C543" t="str">
        <v>Tul Atas Lapangan</v>
      </c>
      <c r="D543">
        <f>VLOOKUP(D535,'Detail Balok'!$C$10:$AU$140,7,FALSE)</f>
        <v>3</v>
      </c>
      <c r="E543" t="str">
        <v>D</v>
      </c>
      <c r="F543">
        <f>VLOOKUP(D535,'Detail Balok'!$C$10:$AU$140,9,FALSE)</f>
        <v>13</v>
      </c>
      <c r="I543" t="str">
        <v>(</v>
      </c>
      <c r="J543">
        <f>+D537/2/1000</f>
        <v>1.55</v>
      </c>
      <c r="K543" t="str">
        <v>+</v>
      </c>
      <c r="M543" t="str">
        <v>=</v>
      </c>
      <c r="N543">
        <f>J543+L543</f>
        <v>1.55</v>
      </c>
      <c r="O543" t="str">
        <v>+</v>
      </c>
      <c r="P543">
        <f>MAX(D543-D542,D543-D544)</f>
        <v>0</v>
      </c>
      <c r="Q543" t="str">
        <v>x</v>
      </c>
      <c r="R543">
        <f>IF(P543&gt;0,2*(1-2*$F$19-1/2)*D538/1000,0)</f>
        <v>0</v>
      </c>
      <c r="S543" t="str">
        <v>)</v>
      </c>
      <c r="T543" t="str">
        <v>x</v>
      </c>
      <c r="U543">
        <f>0.006165*F543^2</f>
        <v>1.041885</v>
      </c>
      <c r="X543" t="str">
        <v>x</v>
      </c>
      <c r="Y543">
        <f>D541</f>
        <v>1</v>
      </c>
      <c r="Z543" t="str">
        <v>=</v>
      </c>
      <c r="AA543">
        <f>IF(AA545=0,(D543*N543+P543*R543)*U543*Y543,0)</f>
        <v>0</v>
      </c>
    </row>
    <row r="544">
      <c r="A544" t="str">
        <f>A535</f>
        <v>Lantai 1</v>
      </c>
      <c r="B544">
        <f>B535</f>
        <v>17</v>
      </c>
      <c r="C544" t="str">
        <v>Tul Atas Tumpuan</v>
      </c>
      <c r="D544">
        <f>VLOOKUP(D535,'Detail Balok'!$C$10:$AU$140,10,FALSE)</f>
        <v>3</v>
      </c>
      <c r="E544" t="str">
        <v>D</v>
      </c>
      <c r="F544">
        <f>VLOOKUP(D535,'Detail Balok'!$C$10:$AU$140,12,FALSE)</f>
        <v>13</v>
      </c>
      <c r="I544" t="str">
        <v>(</v>
      </c>
      <c r="J544">
        <f>+D537/4/1000</f>
        <v>0.775</v>
      </c>
      <c r="K544" t="str">
        <v>+</v>
      </c>
      <c r="L544">
        <f>MAX(VLOOKUP(F544,N$6:P$15,3,FALSE)/1000,2/3*D539/1000)+F$16*F544/1000</f>
        <v>0.156</v>
      </c>
      <c r="M544" t="str">
        <v>=</v>
      </c>
      <c r="N544">
        <f>J544+L544</f>
        <v>0.931</v>
      </c>
      <c r="O544" t="str">
        <v>+</v>
      </c>
      <c r="P544">
        <f>D544-D543</f>
        <v>0</v>
      </c>
      <c r="Q544" t="str">
        <v>x</v>
      </c>
      <c r="R544">
        <f>IF(P544&gt;0,$F$18*F544/1000,0)</f>
        <v>0</v>
      </c>
      <c r="S544" t="str">
        <v>)</v>
      </c>
      <c r="T544" t="str">
        <v>x</v>
      </c>
      <c r="U544">
        <f>0.006165*F544^2</f>
        <v>1.041885</v>
      </c>
      <c r="X544" t="str">
        <v>x</v>
      </c>
      <c r="Y544">
        <f>D541</f>
        <v>1</v>
      </c>
      <c r="Z544" t="str">
        <v>=</v>
      </c>
      <c r="AA544">
        <f>IF(AA545=0,(D544*N544+P544*R544)*U544*Y544,0)</f>
        <v>0</v>
      </c>
    </row>
    <row r="545">
      <c r="A545" t="str">
        <f>A535</f>
        <v>Lantai 1</v>
      </c>
      <c r="B545">
        <f>B535</f>
        <v>17</v>
      </c>
      <c r="D545">
        <f>IF(AND(D542=D543,D543=D544,D542=D544),D542,0)</f>
        <v>3</v>
      </c>
      <c r="E545" t="str">
        <v>D</v>
      </c>
      <c r="F545">
        <f>IF(AND(F542=F543,F542=F544,F543=F544),F542,0)</f>
        <v>13</v>
      </c>
      <c r="L545" t="str">
        <v>Total panjang per balok</v>
      </c>
      <c r="M545" t="str">
        <v>=</v>
      </c>
      <c r="N545">
        <f>IF(AND(D542=D543,D542=D544,D543=D544,F542=F543,F542=F544,F543=F544),SUM(N542:N544),0)</f>
        <v>3.412</v>
      </c>
      <c r="O545" t="str">
        <v>+</v>
      </c>
      <c r="P545">
        <f>IF(N545&gt;12,ROUNDDOWN(N545/12,0),0)</f>
        <v>0</v>
      </c>
      <c r="Q545" t="str">
        <v>x</v>
      </c>
      <c r="R545">
        <f>IF(P545&gt;0,MAX(VLOOKUP(F545,$D$6:$G$15,3,FALSE),600),0)/1000</f>
        <v>0</v>
      </c>
      <c r="T545" t="str">
        <v>x</v>
      </c>
      <c r="U545">
        <f>U544</f>
        <v>1.041885</v>
      </c>
      <c r="V545" t="str">
        <v>x</v>
      </c>
      <c r="W545">
        <f>D545</f>
        <v>3</v>
      </c>
      <c r="X545" t="str">
        <v>x</v>
      </c>
      <c r="Y545">
        <f>Y544</f>
        <v>1</v>
      </c>
      <c r="Z545" t="str">
        <v>=</v>
      </c>
      <c r="AA545">
        <f>(N545+P545*R545/1000)*U545*W545*Y545</f>
        <v>10.66473486</v>
      </c>
    </row>
    <row r="547">
      <c r="A547" t="str">
        <f>A535</f>
        <v>Lantai 1</v>
      </c>
      <c r="B547">
        <f>B535</f>
        <v>17</v>
      </c>
      <c r="C547" t="str">
        <v>Tul Peminggang</v>
      </c>
      <c r="D547">
        <f>VLOOKUP(D535,'Detail Balok'!$C$10:$AU$140,13,FALSE)</f>
        <v>0</v>
      </c>
      <c r="E547" t="str">
        <v>D</v>
      </c>
      <c r="F547">
        <f>VLOOKUP(D535,'Detail Balok'!$C$10:$AU$140,15,FALSE)</f>
        <v>8</v>
      </c>
      <c r="J547">
        <f>+D537/1000</f>
        <v>3.1</v>
      </c>
      <c r="K547" t="str">
        <v>+</v>
      </c>
      <c r="L547">
        <f>2*$F$16*F547/1000</f>
        <v>0.192</v>
      </c>
      <c r="M547" t="str">
        <v>=</v>
      </c>
      <c r="N547">
        <f>J547+L547</f>
        <v>3.2920000000000003</v>
      </c>
      <c r="O547" t="str">
        <v>+</v>
      </c>
      <c r="P547">
        <f>IF(N547&gt;12,ROUNDDOWN(N547/12,0),0)</f>
        <v>0</v>
      </c>
      <c r="Q547" t="str">
        <v>x</v>
      </c>
      <c r="R547">
        <f>IF(P547&gt;0,MAX(VLOOKUP(F547,$D$6:$G$15,3,FALSE),600),0)/1000</f>
        <v>0</v>
      </c>
      <c r="T547" t="str">
        <v>x</v>
      </c>
      <c r="U547">
        <f>0.006165*F547^2</f>
        <v>0.39456</v>
      </c>
      <c r="V547" t="str">
        <v>x</v>
      </c>
      <c r="W547">
        <f>+D547</f>
        <v>0</v>
      </c>
      <c r="X547" t="str">
        <v>x</v>
      </c>
      <c r="Y547">
        <f>D541</f>
        <v>1</v>
      </c>
      <c r="Z547" t="str">
        <v>=</v>
      </c>
      <c r="AA547">
        <f>(N547+P547*R547/1000)*U547*W547*Y547</f>
        <v>0</v>
      </c>
    </row>
    <row r="550">
      <c r="A550" t="str">
        <f>A535</f>
        <v>Lantai 1</v>
      </c>
      <c r="B550">
        <f>B535</f>
        <v>17</v>
      </c>
      <c r="C550" t="str">
        <v>Tul Bawah Tumpuan</v>
      </c>
      <c r="D550">
        <f>VLOOKUP(D535,'Detail Balok'!$C$10:$AU$140,22,FALSE)</f>
        <v>3</v>
      </c>
      <c r="E550" t="str">
        <v>D</v>
      </c>
      <c r="F550">
        <f>VLOOKUP(D535,'Detail Balok'!$C$10:$AU$140,24,FALSE)</f>
        <v>13</v>
      </c>
      <c r="I550" t="str">
        <v>(</v>
      </c>
      <c r="J550">
        <f>+J542</f>
        <v>0.775</v>
      </c>
      <c r="K550" t="str">
        <v>+</v>
      </c>
      <c r="L550">
        <f>MAX(VLOOKUP(F550,N$6:P$15,3,FALSE)/1000,2/3*D540/1000)+F$16*F550/1000</f>
        <v>0.156</v>
      </c>
      <c r="M550" t="str">
        <v>=</v>
      </c>
      <c r="N550">
        <f>J550+L550</f>
        <v>0.931</v>
      </c>
      <c r="O550" t="str">
        <v>+</v>
      </c>
      <c r="P550">
        <f>D550-D551</f>
        <v>0</v>
      </c>
      <c r="Q550" t="str">
        <v>x</v>
      </c>
      <c r="R550">
        <f>IF(P550&gt;0,$F$18*F550/1000,0)</f>
        <v>0</v>
      </c>
      <c r="S550" t="str">
        <v>)</v>
      </c>
      <c r="T550" t="str">
        <v>x</v>
      </c>
      <c r="U550">
        <f>0.006165*F550^2</f>
        <v>1.041885</v>
      </c>
      <c r="X550" t="str">
        <v>x</v>
      </c>
      <c r="Y550">
        <f>D541</f>
        <v>1</v>
      </c>
      <c r="Z550" t="str">
        <v>=</v>
      </c>
      <c r="AA550">
        <f>IF(AA553=0,(D550*N550+P550*R550)*U550*Y550,0)</f>
        <v>0</v>
      </c>
    </row>
    <row r="551">
      <c r="A551" t="str">
        <f>A535</f>
        <v>Lantai 1</v>
      </c>
      <c r="B551">
        <f>B535</f>
        <v>17</v>
      </c>
      <c r="C551" t="str">
        <v>Tul Bawah Lapangan</v>
      </c>
      <c r="D551">
        <f>VLOOKUP(D535,'Detail Balok'!$C$10:$AU$140,25,FALSE)</f>
        <v>3</v>
      </c>
      <c r="E551" t="str">
        <v>D</v>
      </c>
      <c r="F551">
        <f>VLOOKUP(D535,'Detail Balok'!$C$10:$AU$140,27,FALSE)</f>
        <v>13</v>
      </c>
      <c r="I551" t="str">
        <v>(</v>
      </c>
      <c r="J551">
        <f>+J543</f>
        <v>1.55</v>
      </c>
      <c r="K551" t="str">
        <v>+</v>
      </c>
      <c r="M551" t="str">
        <v>=</v>
      </c>
      <c r="N551">
        <f>J551+L551</f>
        <v>1.55</v>
      </c>
      <c r="O551" t="str">
        <v>+</v>
      </c>
      <c r="P551">
        <f>MAX(D551-D550,D551-D552)</f>
        <v>0</v>
      </c>
      <c r="Q551" t="str">
        <v>x</v>
      </c>
      <c r="R551">
        <f>IF(P551&gt;0,2*(1-2*$F$19-1/2)*D538/1000,0)</f>
        <v>0</v>
      </c>
      <c r="S551" t="str">
        <v>)</v>
      </c>
      <c r="T551" t="str">
        <v>x</v>
      </c>
      <c r="U551">
        <f>0.006165*F551^2</f>
        <v>1.041885</v>
      </c>
      <c r="X551" t="str">
        <v>x</v>
      </c>
      <c r="Y551">
        <f>D541</f>
        <v>1</v>
      </c>
      <c r="Z551" t="str">
        <v>=</v>
      </c>
      <c r="AA551">
        <f>IF(AA553=0,(D551*N551+P551*R551)*U551*Y551,0)</f>
        <v>0</v>
      </c>
    </row>
    <row r="552">
      <c r="A552" t="str">
        <f>A535</f>
        <v>Lantai 1</v>
      </c>
      <c r="B552">
        <f>B535</f>
        <v>17</v>
      </c>
      <c r="C552" t="str">
        <v>Tul Bawah Tumpuan</v>
      </c>
      <c r="D552">
        <f>VLOOKUP(D535,'Detail Balok'!$C$10:$AU$140,28,FALSE)</f>
        <v>3</v>
      </c>
      <c r="E552" t="str">
        <v>D</v>
      </c>
      <c r="F552">
        <f>VLOOKUP(D535,'Detail Balok'!$C$10:$AU$140,30,FALSE)</f>
        <v>13</v>
      </c>
      <c r="I552" t="str">
        <v>(</v>
      </c>
      <c r="J552">
        <f>+J544</f>
        <v>0.775</v>
      </c>
      <c r="K552" t="str">
        <v>+</v>
      </c>
      <c r="L552">
        <f>MAX(VLOOKUP(F552,N$6:P$15,3,FALSE)/1000,2/3*D540/1000)+F$16*F552/1000</f>
        <v>0.156</v>
      </c>
      <c r="M552" t="str">
        <v>=</v>
      </c>
      <c r="N552">
        <f>J552+L552</f>
        <v>0.931</v>
      </c>
      <c r="O552" t="str">
        <v>+</v>
      </c>
      <c r="P552">
        <f>D552-D551</f>
        <v>0</v>
      </c>
      <c r="Q552" t="str">
        <v>x</v>
      </c>
      <c r="R552">
        <f>IF(P552&gt;0,$F$18*F552/1000,0)</f>
        <v>0</v>
      </c>
      <c r="S552" t="str">
        <v>)</v>
      </c>
      <c r="T552" t="str">
        <v>x</v>
      </c>
      <c r="U552">
        <f>0.006165*F552^2</f>
        <v>1.041885</v>
      </c>
      <c r="X552" t="str">
        <v>x</v>
      </c>
      <c r="Y552">
        <f>D541</f>
        <v>1</v>
      </c>
      <c r="Z552" t="str">
        <v>=</v>
      </c>
      <c r="AA552">
        <f>IF(AA553=0,(D552*N552+P552*R552)*U552*Y552,0)</f>
        <v>0</v>
      </c>
    </row>
    <row r="553">
      <c r="A553" t="str">
        <f>A535</f>
        <v>Lantai 1</v>
      </c>
      <c r="B553">
        <f>B535</f>
        <v>17</v>
      </c>
      <c r="D553">
        <f>IF(AND(D550=D551,D551=D552,D550=D552),D550,0)</f>
        <v>3</v>
      </c>
      <c r="E553" t="str">
        <v>D</v>
      </c>
      <c r="F553">
        <f>IF(AND(F550=F551,F550=F552,F551=F552),F550,0)</f>
        <v>13</v>
      </c>
      <c r="L553" t="str">
        <v>Total panjang per balok</v>
      </c>
      <c r="M553" t="str">
        <v>=</v>
      </c>
      <c r="N553">
        <f>IF(AND(D550=D551,D550=D552,D551=D552,F550=F551,F550=F552,F551=F552),SUM(N550:N552),0)</f>
        <v>3.412</v>
      </c>
      <c r="O553" t="str">
        <v>+</v>
      </c>
      <c r="P553">
        <f>IF(N553&gt;12,ROUNDDOWN(N553/12,0),0)</f>
        <v>0</v>
      </c>
      <c r="Q553" t="str">
        <v>x</v>
      </c>
      <c r="R553">
        <f>IF(P553&gt;0,MAX(VLOOKUP(F553,$D$6:$G$15,3,FALSE),600),0)/1000</f>
        <v>0</v>
      </c>
      <c r="T553" t="str">
        <v>x</v>
      </c>
      <c r="U553">
        <f>U552</f>
        <v>1.041885</v>
      </c>
      <c r="V553" t="str">
        <v>x</v>
      </c>
      <c r="W553">
        <f>D553</f>
        <v>3</v>
      </c>
      <c r="X553" t="str">
        <v>x</v>
      </c>
      <c r="Y553">
        <f>Y552</f>
        <v>1</v>
      </c>
      <c r="Z553" t="str">
        <v>=</v>
      </c>
      <c r="AA553">
        <f>(N553+P553*R553/1000)*U553*W553*Y553</f>
        <v>10.66473486</v>
      </c>
    </row>
    <row r="555">
      <c r="A555" t="str">
        <f>A535</f>
        <v>Lantai 1</v>
      </c>
      <c r="B555">
        <f>B535</f>
        <v>17</v>
      </c>
      <c r="C555" t="str">
        <v>Sengkang Tumpuan</v>
      </c>
      <c r="D555">
        <f>VLOOKUP(D535,'Detail Balok'!$C$10:$AU$140,31,FALSE)</f>
        <v>0</v>
      </c>
      <c r="E555" t="str">
        <v>D</v>
      </c>
      <c r="F555">
        <f>VLOOKUP(D535,'Detail Balok'!$C$10:$AU$140,33,FALSE)</f>
        <v>8</v>
      </c>
      <c r="G555" t="str">
        <v>-</v>
      </c>
      <c r="H555">
        <f>VLOOKUP(D535,'Detail Balok'!$C$10:$AU$140,35,FALSE)</f>
        <v>150</v>
      </c>
      <c r="J555">
        <f>(IF(D555=0,(2*(D536+G536))-(F$5*8),IF(D555=3,(2*(D536+G536))-(F$5*8)+(G536-2*F$5),IF(D555=4,(2*(D536+G536))-(F$5*8)+2*(G536-2*F$5)))))/1000</f>
        <v>0.88</v>
      </c>
      <c r="K555" t="str">
        <v>+</v>
      </c>
      <c r="L555">
        <f>IF(D555=0,2*MAX(6*F555,75),(D555-1)*2*MAX(6*F555,75))/1000</f>
        <v>0.15</v>
      </c>
      <c r="M555" t="str">
        <v>=</v>
      </c>
      <c r="N555">
        <f>J555+L555</f>
        <v>1.03</v>
      </c>
      <c r="T555" t="str">
        <v>x</v>
      </c>
      <c r="U555">
        <f>0.006165*F555^2</f>
        <v>0.39456</v>
      </c>
      <c r="V555" t="str">
        <v>x</v>
      </c>
      <c r="W555">
        <f>IF(D538&gt;4*G536,ROUND(MAX(D538/4,2*G536)/H555,0)+1,ROUND(D538/H555,0)+1)</f>
        <v>6</v>
      </c>
      <c r="X555" t="str">
        <v>x</v>
      </c>
      <c r="Y555">
        <f>D541</f>
        <v>1</v>
      </c>
      <c r="Z555" t="str">
        <v>=</v>
      </c>
      <c r="AA555">
        <f>N555*U555*W555*Y555</f>
        <v>2.4383808000000005</v>
      </c>
    </row>
    <row r="556">
      <c r="A556" t="str">
        <f>A535</f>
        <v>Lantai 1</v>
      </c>
      <c r="B556">
        <f>B535</f>
        <v>17</v>
      </c>
      <c r="C556" t="str">
        <v>Sengkang Lapangan</v>
      </c>
      <c r="D556">
        <f>VLOOKUP(D535,'Detail Balok'!$C$10:$AU$140,36,FALSE)</f>
        <v>0</v>
      </c>
      <c r="E556" t="str">
        <v>D</v>
      </c>
      <c r="F556">
        <f>VLOOKUP(D535,'Detail Balok'!$C$10:$AU$140,38,FALSE)</f>
        <v>8</v>
      </c>
      <c r="G556" t="str">
        <v>-</v>
      </c>
      <c r="H556">
        <f>VLOOKUP(D535,'Detail Balok'!$C$10:$AU$140,40,FALSE)</f>
        <v>200</v>
      </c>
      <c r="J556">
        <f>(IF(D556=0,(2*(D536+G536))-(F$5*8),IF(D556=3,(2*(D536+G536))-(F$5*8)+(G536-2*F$5),IF(D556=4,(2*(D536+G536))-(F$5*8)+2*(G536-2*F$5)))))/1000</f>
        <v>0.88</v>
      </c>
      <c r="K556" t="str">
        <v>+</v>
      </c>
      <c r="L556">
        <f>IF(D556=0,2*MAX(6*F556,75),(D556-1)*2*MAX(6*F556,75))/1000</f>
        <v>0.15</v>
      </c>
      <c r="M556" t="str">
        <v>=</v>
      </c>
      <c r="N556">
        <f>J556+L556</f>
        <v>1.03</v>
      </c>
      <c r="T556" t="str">
        <v>x</v>
      </c>
      <c r="U556">
        <f>0.006165*F556^2</f>
        <v>0.39456</v>
      </c>
      <c r="V556" t="str">
        <v>x</v>
      </c>
      <c r="W556">
        <f>IF(D538-MAX(D538/4,2*G536)*2&gt;0,ROUND((D538-MAX(D538/4,2*G536)*2)/H556,0),0)</f>
        <v>8</v>
      </c>
      <c r="X556" t="str">
        <v>x</v>
      </c>
      <c r="Y556">
        <f>D541</f>
        <v>1</v>
      </c>
      <c r="Z556" t="str">
        <v>=</v>
      </c>
      <c r="AA556">
        <f>N556*U556*W556*Y556</f>
        <v>3.2511744000000005</v>
      </c>
    </row>
    <row r="557">
      <c r="A557" t="str">
        <f>A535</f>
        <v>Lantai 1</v>
      </c>
      <c r="B557">
        <f>B535</f>
        <v>17</v>
      </c>
      <c r="C557" t="str">
        <v>Sengkang Tumpuan</v>
      </c>
      <c r="D557">
        <f>VLOOKUP(D535,'Detail Balok'!$C$10:$AU$140,41,FALSE)</f>
        <v>0</v>
      </c>
      <c r="E557" t="str">
        <v>D</v>
      </c>
      <c r="F557">
        <f>VLOOKUP(D535,'Detail Balok'!$C$10:$AU$140,43,FALSE)</f>
        <v>8</v>
      </c>
      <c r="G557" t="str">
        <v>-</v>
      </c>
      <c r="H557">
        <f>VLOOKUP(D535,'Detail Balok'!$C$10:$AU$140,45,FALSE)</f>
        <v>150</v>
      </c>
      <c r="J557">
        <f>(IF(D557=0,(2*(D536+G536))-(F$5*8),IF(D557=3,(2*(D536+G536))-(F$5*8)+(G536-2*F$5),IF(D557=4,(2*(D536+G536))-(F$5*8)+2*(G536-2*F$5)))))/1000</f>
        <v>0.88</v>
      </c>
      <c r="K557" t="str">
        <v>+</v>
      </c>
      <c r="L557">
        <f>IF(D557=0,2*MAX(6*F557,75),(D557-1)*2*MAX(6*F557,75))/1000</f>
        <v>0.15</v>
      </c>
      <c r="M557" t="str">
        <v>=</v>
      </c>
      <c r="N557">
        <f>J557+L557</f>
        <v>1.03</v>
      </c>
      <c r="T557" t="str">
        <v>x</v>
      </c>
      <c r="U557">
        <f>0.006165*F557^2</f>
        <v>0.39456</v>
      </c>
      <c r="V557" t="str">
        <v>x</v>
      </c>
      <c r="W557">
        <f>IF(D538&gt;4*G536,ROUND(MAX(D538/4,2*G536)/H557,0)+1,0)</f>
        <v>6</v>
      </c>
      <c r="X557" t="str">
        <v>x</v>
      </c>
      <c r="Y557">
        <f>D541</f>
        <v>1</v>
      </c>
      <c r="Z557" t="str">
        <v>=</v>
      </c>
      <c r="AA557">
        <f>N557*U557*W557*Y557</f>
        <v>2.4383808000000005</v>
      </c>
    </row>
    <row r="559">
      <c r="A559" t="str">
        <f>A535</f>
        <v>Lantai 1</v>
      </c>
      <c r="B559">
        <f>B535</f>
        <v>17</v>
      </c>
      <c r="C559" t="str">
        <v>Kait Horizontal Tump.</v>
      </c>
      <c r="D559">
        <f>VLOOKUP(D535,'Detail Balok'!$C$10:$BJ$140,46,FALSE)</f>
        <v>0</v>
      </c>
      <c r="E559" t="str">
        <v>D</v>
      </c>
      <c r="F559">
        <f>VLOOKUP(D535,'Detail Balok'!$C$10:$BJ$140,48,FALSE)</f>
        <v>0</v>
      </c>
      <c r="G559" t="str">
        <v>-</v>
      </c>
      <c r="H559">
        <f>VLOOKUP(D535,'Detail Balok'!$C$10:$BJ$140,50,FALSE)</f>
        <v>100</v>
      </c>
      <c r="J559">
        <f>(D536-2*F$5)/1000</f>
        <v>0.12</v>
      </c>
      <c r="K559" t="str">
        <v>+</v>
      </c>
      <c r="L559">
        <f>IF(D559=0,2*MAX(6*F559,75),(D559-1)*2*MAX(6*F559,75))/1000</f>
        <v>0.15</v>
      </c>
      <c r="M559" t="str">
        <v>=</v>
      </c>
      <c r="N559">
        <f>J559+L559</f>
        <v>0.27</v>
      </c>
      <c r="T559" t="str">
        <v>x</v>
      </c>
      <c r="U559">
        <f>0.006165*F559^2</f>
        <v>0</v>
      </c>
      <c r="V559" t="str">
        <v>x</v>
      </c>
      <c r="W559">
        <f>W555</f>
        <v>6</v>
      </c>
      <c r="X559" t="str">
        <v>x</v>
      </c>
      <c r="Y559">
        <f>D545</f>
        <v>3</v>
      </c>
      <c r="Z559" t="str">
        <v>=</v>
      </c>
      <c r="AA559">
        <f>N559*U559*W559*Y559</f>
        <v>0</v>
      </c>
    </row>
    <row r="560">
      <c r="A560" t="str">
        <f>A535</f>
        <v>Lantai 1</v>
      </c>
      <c r="B560">
        <f>B535</f>
        <v>17</v>
      </c>
      <c r="C560" t="str">
        <v>Kait Horizontal Lap.</v>
      </c>
      <c r="D560">
        <f>VLOOKUP(D535,'Detail Balok'!$C$10:$BJ$140,51,FALSE)</f>
        <v>0</v>
      </c>
      <c r="E560" t="str">
        <v>D</v>
      </c>
      <c r="F560">
        <f>VLOOKUP(D535,'Detail Balok'!$C$10:$BJ$140,53,FALSE)</f>
        <v>0</v>
      </c>
      <c r="G560" t="str">
        <v>-</v>
      </c>
      <c r="H560">
        <f>VLOOKUP(D535,'Detail Balok'!$C$10:$BJ$140,55,FALSE)</f>
        <v>100</v>
      </c>
      <c r="J560">
        <f>(D536-2*F$5)/1000</f>
        <v>0.12</v>
      </c>
      <c r="K560" t="str">
        <v>+</v>
      </c>
      <c r="L560">
        <f>IF(D560=0,2*MAX(6*F560,75),(D560-1)*2*MAX(6*F560,75))/1000</f>
        <v>0.15</v>
      </c>
      <c r="M560" t="str">
        <v>=</v>
      </c>
      <c r="N560">
        <f>J560+L560</f>
        <v>0.27</v>
      </c>
      <c r="T560" t="str">
        <v>x</v>
      </c>
      <c r="U560">
        <f>0.006165*F560^2</f>
        <v>0</v>
      </c>
      <c r="V560" t="str">
        <v>x</v>
      </c>
      <c r="W560">
        <f>W556</f>
        <v>8</v>
      </c>
      <c r="X560" t="str">
        <v>x</v>
      </c>
      <c r="Y560">
        <f>D545</f>
        <v>3</v>
      </c>
      <c r="Z560" t="str">
        <v>=</v>
      </c>
      <c r="AA560">
        <f>N560*U560*W560*Y560</f>
        <v>0</v>
      </c>
    </row>
    <row r="561">
      <c r="A561" t="str">
        <f>A535</f>
        <v>Lantai 1</v>
      </c>
      <c r="B561">
        <f>B535</f>
        <v>17</v>
      </c>
      <c r="C561" t="str">
        <v>Kait Horizontal Tump.</v>
      </c>
      <c r="D561">
        <f>VLOOKUP(D535,'Detail Balok'!$C$10:$BJ$140,56,FALSE)</f>
        <v>0</v>
      </c>
      <c r="E561" t="str">
        <v>D</v>
      </c>
      <c r="F561">
        <f>VLOOKUP(D535,'Detail Balok'!$C$10:$BJ$140,58,FALSE)</f>
        <v>0</v>
      </c>
      <c r="G561" t="str">
        <v>-</v>
      </c>
      <c r="H561">
        <f>VLOOKUP(D535,'Detail Balok'!$C$10:$BJ$140,60,FALSE)</f>
        <v>100</v>
      </c>
      <c r="J561">
        <f>(D536-2*F$5)/1000</f>
        <v>0.12</v>
      </c>
      <c r="K561" t="str">
        <v>+</v>
      </c>
      <c r="L561">
        <f>IF(D561=0,2*MAX(6*F561,75),(D561-1)*2*MAX(6*F561,75))/1000</f>
        <v>0.15</v>
      </c>
      <c r="M561" t="str">
        <v>=</v>
      </c>
      <c r="N561">
        <f>J561+L561</f>
        <v>0.27</v>
      </c>
      <c r="T561" t="str">
        <v>x</v>
      </c>
      <c r="U561">
        <f>0.006165*F561^2</f>
        <v>0</v>
      </c>
      <c r="V561" t="str">
        <v>x</v>
      </c>
      <c r="W561">
        <f>W557</f>
        <v>6</v>
      </c>
      <c r="X561" t="str">
        <v>x</v>
      </c>
      <c r="Y561">
        <f>D545</f>
        <v>3</v>
      </c>
      <c r="Z561" t="str">
        <v>=</v>
      </c>
      <c r="AA561">
        <f>N561*U561*W561*Y561</f>
        <v>0</v>
      </c>
    </row>
    <row r="565">
      <c r="A565" t="str">
        <f>A535</f>
        <v>Lantai 1</v>
      </c>
      <c r="B565">
        <f>B535+1</f>
        <v>18</v>
      </c>
      <c r="C565" t="str">
        <f>CONCATENATE(A565," no. ",B565)</f>
        <v>Lantai 1 no. 18</v>
      </c>
      <c r="D565" t="str">
        <f>VLOOKUP(C565,'Data Panjang Balok'!$C$9:$N$254,2,FALSE)</f>
        <v>S25-1</v>
      </c>
    </row>
    <row r="566">
      <c r="C566" t="str">
        <v>Dimensi</v>
      </c>
      <c r="D566">
        <f>VLOOKUP(D565,'Detail Balok'!$C$10:$AU$140,2,FALSE)</f>
        <v>200</v>
      </c>
      <c r="F566" t="str">
        <v>x</v>
      </c>
      <c r="G566">
        <f>VLOOKUP(D565,'Detail Balok'!$C$10:$AU$140,3,FALSE)</f>
        <v>500</v>
      </c>
    </row>
    <row r="567">
      <c r="C567" t="str">
        <v>Panjang as ke as</v>
      </c>
      <c r="D567">
        <f>VLOOKUP(C565,'Data Panjang Balok'!$C$9:$N$254,4,FALSE)</f>
        <v>13400</v>
      </c>
    </row>
    <row r="568">
      <c r="C568" t="str">
        <v>Panjang netto</v>
      </c>
      <c r="D568">
        <f>VLOOKUP(C565,'Data Panjang Balok'!$C$9:$N$254,7,FALSE)</f>
        <v>13400</v>
      </c>
    </row>
    <row r="569">
      <c r="C569" t="str">
        <v>Kolom / balok kiri</v>
      </c>
      <c r="D569">
        <f>VLOOKUP(C565,'Data Panjang Balok'!$C$9:$N$254,9,FALSE)</f>
        <v>0</v>
      </c>
    </row>
    <row r="570">
      <c r="C570" t="str">
        <v>Kolom / balok kanan</v>
      </c>
      <c r="D570">
        <f>VLOOKUP(C565,'Data Panjang Balok'!$C$9:$N$254,10,FALSE)</f>
        <v>0</v>
      </c>
    </row>
    <row r="571">
      <c r="C571" t="str">
        <v>Jumlah</v>
      </c>
      <c r="D571">
        <f>VLOOKUP(C565,'Data Panjang Balok'!$C$9:$N$254,3,FALSE)</f>
        <v>1</v>
      </c>
    </row>
    <row r="572">
      <c r="A572" t="str">
        <f>A565</f>
        <v>Lantai 1</v>
      </c>
      <c r="B572">
        <f>B565</f>
        <v>18</v>
      </c>
      <c r="C572" t="str">
        <v>Tul Atas Tumpuan</v>
      </c>
      <c r="D572">
        <f>VLOOKUP(D565,'Detail Balok'!$C$10:$AU$140,4,FALSE)</f>
        <v>3</v>
      </c>
      <c r="E572" t="str">
        <v>D</v>
      </c>
      <c r="F572">
        <f>VLOOKUP(D565,'Detail Balok'!$C$10:$AU$140,6,FALSE)</f>
        <v>16</v>
      </c>
      <c r="I572" t="str">
        <v>(</v>
      </c>
      <c r="J572">
        <f>+D567/4/1000</f>
        <v>3.35</v>
      </c>
      <c r="K572" t="str">
        <v>+</v>
      </c>
      <c r="L572">
        <f>MAX(VLOOKUP(F572,N$6:P$15,3,FALSE)/1000,2/3*D569/1000)+F$16*F572/1000</f>
        <v>0.192</v>
      </c>
      <c r="M572" t="str">
        <v>=</v>
      </c>
      <c r="N572">
        <f>J572+L572</f>
        <v>3.5420000000000003</v>
      </c>
      <c r="O572" t="str">
        <v>+</v>
      </c>
      <c r="P572">
        <f>D572-D573</f>
        <v>0</v>
      </c>
      <c r="Q572" t="str">
        <v>x</v>
      </c>
      <c r="R572">
        <f>IF(P572&gt;0,$F$18*F572/1000,0)</f>
        <v>0</v>
      </c>
      <c r="S572" t="str">
        <v>)</v>
      </c>
      <c r="T572" t="str">
        <v>x</v>
      </c>
      <c r="U572">
        <f>0.006165*F572^2</f>
        <v>1.57824</v>
      </c>
      <c r="X572" t="str">
        <v>x</v>
      </c>
      <c r="Y572">
        <f>D571</f>
        <v>1</v>
      </c>
      <c r="Z572" t="str">
        <v>=</v>
      </c>
      <c r="AA572">
        <f>IF(AA575=0,(D572*N572+P572*R572)*U572*Y572,0)</f>
        <v>0</v>
      </c>
    </row>
    <row r="573">
      <c r="A573" t="str">
        <f>A565</f>
        <v>Lantai 1</v>
      </c>
      <c r="B573">
        <f>B565</f>
        <v>18</v>
      </c>
      <c r="C573" t="str">
        <v>Tul Atas Lapangan</v>
      </c>
      <c r="D573">
        <f>VLOOKUP(D565,'Detail Balok'!$C$10:$AU$140,7,FALSE)</f>
        <v>3</v>
      </c>
      <c r="E573" t="str">
        <v>D</v>
      </c>
      <c r="F573">
        <f>VLOOKUP(D565,'Detail Balok'!$C$10:$AU$140,9,FALSE)</f>
        <v>16</v>
      </c>
      <c r="I573" t="str">
        <v>(</v>
      </c>
      <c r="J573">
        <f>+D567/2/1000</f>
        <v>6.7</v>
      </c>
      <c r="K573" t="str">
        <v>+</v>
      </c>
      <c r="M573" t="str">
        <v>=</v>
      </c>
      <c r="N573">
        <f>J573+L573</f>
        <v>6.7</v>
      </c>
      <c r="O573" t="str">
        <v>+</v>
      </c>
      <c r="P573">
        <f>MAX(D573-D572,D573-D574)</f>
        <v>0</v>
      </c>
      <c r="Q573" t="str">
        <v>x</v>
      </c>
      <c r="R573">
        <f>IF(P573&gt;0,2*(1-2*$F$19-1/2)*D568/1000,0)</f>
        <v>0</v>
      </c>
      <c r="S573" t="str">
        <v>)</v>
      </c>
      <c r="T573" t="str">
        <v>x</v>
      </c>
      <c r="U573">
        <f>0.006165*F573^2</f>
        <v>1.57824</v>
      </c>
      <c r="X573" t="str">
        <v>x</v>
      </c>
      <c r="Y573">
        <f>D571</f>
        <v>1</v>
      </c>
      <c r="Z573" t="str">
        <v>=</v>
      </c>
      <c r="AA573">
        <f>IF(AA575=0,(D573*N573+P573*R573)*U573*Y573,0)</f>
        <v>0</v>
      </c>
    </row>
    <row r="574">
      <c r="A574" t="str">
        <f>A565</f>
        <v>Lantai 1</v>
      </c>
      <c r="B574">
        <f>B565</f>
        <v>18</v>
      </c>
      <c r="C574" t="str">
        <v>Tul Atas Tumpuan</v>
      </c>
      <c r="D574">
        <f>VLOOKUP(D565,'Detail Balok'!$C$10:$AU$140,10,FALSE)</f>
        <v>3</v>
      </c>
      <c r="E574" t="str">
        <v>D</v>
      </c>
      <c r="F574">
        <f>VLOOKUP(D565,'Detail Balok'!$C$10:$AU$140,12,FALSE)</f>
        <v>16</v>
      </c>
      <c r="I574" t="str">
        <v>(</v>
      </c>
      <c r="J574">
        <f>+D567/4/1000</f>
        <v>3.35</v>
      </c>
      <c r="K574" t="str">
        <v>+</v>
      </c>
      <c r="L574">
        <f>MAX(VLOOKUP(F574,N$6:P$15,3,FALSE)/1000,2/3*D569/1000)+F$16*F574/1000</f>
        <v>0.192</v>
      </c>
      <c r="M574" t="str">
        <v>=</v>
      </c>
      <c r="N574">
        <f>J574+L574</f>
        <v>3.5420000000000003</v>
      </c>
      <c r="O574" t="str">
        <v>+</v>
      </c>
      <c r="P574">
        <f>D574-D573</f>
        <v>0</v>
      </c>
      <c r="Q574" t="str">
        <v>x</v>
      </c>
      <c r="R574">
        <f>IF(P574&gt;0,$F$18*F574/1000,0)</f>
        <v>0</v>
      </c>
      <c r="S574" t="str">
        <v>)</v>
      </c>
      <c r="T574" t="str">
        <v>x</v>
      </c>
      <c r="U574">
        <f>0.006165*F574^2</f>
        <v>1.57824</v>
      </c>
      <c r="X574" t="str">
        <v>x</v>
      </c>
      <c r="Y574">
        <f>D571</f>
        <v>1</v>
      </c>
      <c r="Z574" t="str">
        <v>=</v>
      </c>
      <c r="AA574">
        <f>IF(AA575=0,(D574*N574+P574*R574)*U574*Y574,0)</f>
        <v>0</v>
      </c>
    </row>
    <row r="575">
      <c r="A575" t="str">
        <f>A565</f>
        <v>Lantai 1</v>
      </c>
      <c r="B575">
        <f>B565</f>
        <v>18</v>
      </c>
      <c r="D575">
        <f>IF(AND(D572=D573,D573=D574,D572=D574),D572,0)</f>
        <v>3</v>
      </c>
      <c r="E575" t="str">
        <v>D</v>
      </c>
      <c r="F575">
        <f>IF(AND(F572=F573,F572=F574,F573=F574),F572,0)</f>
        <v>16</v>
      </c>
      <c r="L575" t="str">
        <v>Total panjang per balok</v>
      </c>
      <c r="M575" t="str">
        <v>=</v>
      </c>
      <c r="N575">
        <f>IF(AND(D572=D573,D572=D574,D573=D574,F572=F573,F572=F574,F573=F574),SUM(N572:N574),0)</f>
        <v>13.784</v>
      </c>
      <c r="O575" t="str">
        <v>+</v>
      </c>
      <c r="P575">
        <f>IF(N575&gt;12,ROUNDDOWN(N575/12,0),0)</f>
        <v>1</v>
      </c>
      <c r="Q575" t="str">
        <v>x</v>
      </c>
      <c r="R575">
        <f>IF(P575&gt;0,MAX(VLOOKUP(F575,$D$6:$G$15,3,FALSE),600),0)/1000</f>
        <v>0.8</v>
      </c>
      <c r="T575" t="str">
        <v>x</v>
      </c>
      <c r="U575">
        <f>U574</f>
        <v>1.57824</v>
      </c>
      <c r="V575" t="str">
        <v>x</v>
      </c>
      <c r="W575">
        <f>D575</f>
        <v>3</v>
      </c>
      <c r="X575" t="str">
        <v>x</v>
      </c>
      <c r="Y575">
        <f>Y574</f>
        <v>1</v>
      </c>
      <c r="Z575" t="str">
        <v>=</v>
      </c>
      <c r="AA575">
        <f>(N575+P575*R575/1000)*U575*W575*Y575</f>
        <v>65.267168256</v>
      </c>
    </row>
    <row r="577">
      <c r="A577" t="str">
        <f>A565</f>
        <v>Lantai 1</v>
      </c>
      <c r="B577">
        <f>B565</f>
        <v>18</v>
      </c>
      <c r="C577" t="str">
        <v>Tul Peminggang</v>
      </c>
      <c r="D577">
        <f>VLOOKUP(D565,'Detail Balok'!$C$10:$AU$140,13,FALSE)</f>
        <v>2</v>
      </c>
      <c r="E577" t="str">
        <v>D</v>
      </c>
      <c r="F577">
        <f>VLOOKUP(D565,'Detail Balok'!$C$10:$AU$140,15,FALSE)</f>
        <v>10</v>
      </c>
      <c r="J577">
        <f>+D567/1000</f>
        <v>13.4</v>
      </c>
      <c r="K577" t="str">
        <v>+</v>
      </c>
      <c r="L577">
        <f>2*$F$16*F577/1000</f>
        <v>0.24</v>
      </c>
      <c r="M577" t="str">
        <v>=</v>
      </c>
      <c r="N577">
        <f>J577+L577</f>
        <v>13.64</v>
      </c>
      <c r="O577" t="str">
        <v>+</v>
      </c>
      <c r="P577">
        <f>IF(N577&gt;12,ROUNDDOWN(N577/12,0),0)</f>
        <v>1</v>
      </c>
      <c r="Q577" t="str">
        <v>x</v>
      </c>
      <c r="R577">
        <f>IF(P577&gt;0,MAX(VLOOKUP(F577,$D$6:$G$15,3,FALSE),600),0)/1000</f>
        <v>0.6</v>
      </c>
      <c r="T577" t="str">
        <v>x</v>
      </c>
      <c r="U577">
        <f>0.006165*F577^2</f>
        <v>0.6165</v>
      </c>
      <c r="V577" t="str">
        <v>x</v>
      </c>
      <c r="W577">
        <f>+D577</f>
        <v>2</v>
      </c>
      <c r="X577" t="str">
        <v>x</v>
      </c>
      <c r="Y577">
        <f>D571</f>
        <v>1</v>
      </c>
      <c r="Z577" t="str">
        <v>=</v>
      </c>
      <c r="AA577">
        <f>(N577+P577*R577/1000)*U577*W577*Y577</f>
        <v>16.818859800000002</v>
      </c>
    </row>
    <row r="580">
      <c r="A580" t="str">
        <f>A565</f>
        <v>Lantai 1</v>
      </c>
      <c r="B580">
        <f>B565</f>
        <v>18</v>
      </c>
      <c r="C580" t="str">
        <v>Tul Bawah Tumpuan</v>
      </c>
      <c r="D580">
        <f>VLOOKUP(D565,'Detail Balok'!$C$10:$AU$140,22,FALSE)</f>
        <v>3</v>
      </c>
      <c r="E580" t="str">
        <v>D</v>
      </c>
      <c r="F580">
        <f>VLOOKUP(D565,'Detail Balok'!$C$10:$AU$140,24,FALSE)</f>
        <v>16</v>
      </c>
      <c r="I580" t="str">
        <v>(</v>
      </c>
      <c r="J580">
        <f>+J572</f>
        <v>3.35</v>
      </c>
      <c r="K580" t="str">
        <v>+</v>
      </c>
      <c r="L580">
        <f>MAX(VLOOKUP(F580,N$6:P$15,3,FALSE)/1000,2/3*D570/1000)+F$16*F580/1000</f>
        <v>0.192</v>
      </c>
      <c r="M580" t="str">
        <v>=</v>
      </c>
      <c r="N580">
        <f>J580+L580</f>
        <v>3.5420000000000003</v>
      </c>
      <c r="O580" t="str">
        <v>+</v>
      </c>
      <c r="P580">
        <f>D580-D581</f>
        <v>0</v>
      </c>
      <c r="Q580" t="str">
        <v>x</v>
      </c>
      <c r="R580">
        <f>IF(P580&gt;0,$F$18*F580/1000,0)</f>
        <v>0</v>
      </c>
      <c r="S580" t="str">
        <v>)</v>
      </c>
      <c r="T580" t="str">
        <v>x</v>
      </c>
      <c r="U580">
        <f>0.006165*F580^2</f>
        <v>1.57824</v>
      </c>
      <c r="X580" t="str">
        <v>x</v>
      </c>
      <c r="Y580">
        <f>D571</f>
        <v>1</v>
      </c>
      <c r="Z580" t="str">
        <v>=</v>
      </c>
      <c r="AA580">
        <f>IF(AA583=0,(D580*N580+P580*R580)*U580*Y580,0)</f>
        <v>0</v>
      </c>
    </row>
    <row r="581">
      <c r="A581" t="str">
        <f>A565</f>
        <v>Lantai 1</v>
      </c>
      <c r="B581">
        <f>B565</f>
        <v>18</v>
      </c>
      <c r="C581" t="str">
        <v>Tul Bawah Lapangan</v>
      </c>
      <c r="D581">
        <f>VLOOKUP(D565,'Detail Balok'!$C$10:$AU$140,25,FALSE)</f>
        <v>3</v>
      </c>
      <c r="E581" t="str">
        <v>D</v>
      </c>
      <c r="F581">
        <f>VLOOKUP(D565,'Detail Balok'!$C$10:$AU$140,27,FALSE)</f>
        <v>16</v>
      </c>
      <c r="I581" t="str">
        <v>(</v>
      </c>
      <c r="J581">
        <f>+J573</f>
        <v>6.7</v>
      </c>
      <c r="K581" t="str">
        <v>+</v>
      </c>
      <c r="M581" t="str">
        <v>=</v>
      </c>
      <c r="N581">
        <f>J581+L581</f>
        <v>6.7</v>
      </c>
      <c r="O581" t="str">
        <v>+</v>
      </c>
      <c r="P581">
        <f>MAX(D581-D580,D581-D582)</f>
        <v>0</v>
      </c>
      <c r="Q581" t="str">
        <v>x</v>
      </c>
      <c r="R581">
        <f>IF(P581&gt;0,2*(1-2*$F$19-1/2)*D568/1000,0)</f>
        <v>0</v>
      </c>
      <c r="S581" t="str">
        <v>)</v>
      </c>
      <c r="T581" t="str">
        <v>x</v>
      </c>
      <c r="U581">
        <f>0.006165*F581^2</f>
        <v>1.57824</v>
      </c>
      <c r="X581" t="str">
        <v>x</v>
      </c>
      <c r="Y581">
        <f>D571</f>
        <v>1</v>
      </c>
      <c r="Z581" t="str">
        <v>=</v>
      </c>
      <c r="AA581">
        <f>IF(AA583=0,(D581*N581+P581*R581)*U581*Y581,0)</f>
        <v>0</v>
      </c>
    </row>
    <row r="582">
      <c r="A582" t="str">
        <f>A565</f>
        <v>Lantai 1</v>
      </c>
      <c r="B582">
        <f>B565</f>
        <v>18</v>
      </c>
      <c r="C582" t="str">
        <v>Tul Bawah Tumpuan</v>
      </c>
      <c r="D582">
        <f>VLOOKUP(D565,'Detail Balok'!$C$10:$AU$140,28,FALSE)</f>
        <v>3</v>
      </c>
      <c r="E582" t="str">
        <v>D</v>
      </c>
      <c r="F582">
        <f>VLOOKUP(D565,'Detail Balok'!$C$10:$AU$140,30,FALSE)</f>
        <v>16</v>
      </c>
      <c r="I582" t="str">
        <v>(</v>
      </c>
      <c r="J582">
        <f>+J574</f>
        <v>3.35</v>
      </c>
      <c r="K582" t="str">
        <v>+</v>
      </c>
      <c r="L582">
        <f>MAX(VLOOKUP(F582,N$6:P$15,3,FALSE)/1000,2/3*D570/1000)+F$16*F582/1000</f>
        <v>0.192</v>
      </c>
      <c r="M582" t="str">
        <v>=</v>
      </c>
      <c r="N582">
        <f>J582+L582</f>
        <v>3.5420000000000003</v>
      </c>
      <c r="O582" t="str">
        <v>+</v>
      </c>
      <c r="P582">
        <f>D582-D581</f>
        <v>0</v>
      </c>
      <c r="Q582" t="str">
        <v>x</v>
      </c>
      <c r="R582">
        <f>IF(P582&gt;0,$F$18*F582/1000,0)</f>
        <v>0</v>
      </c>
      <c r="S582" t="str">
        <v>)</v>
      </c>
      <c r="T582" t="str">
        <v>x</v>
      </c>
      <c r="U582">
        <f>0.006165*F582^2</f>
        <v>1.57824</v>
      </c>
      <c r="X582" t="str">
        <v>x</v>
      </c>
      <c r="Y582">
        <f>D571</f>
        <v>1</v>
      </c>
      <c r="Z582" t="str">
        <v>=</v>
      </c>
      <c r="AA582">
        <f>IF(AA583=0,(D582*N582+P582*R582)*U582*Y582,0)</f>
        <v>0</v>
      </c>
    </row>
    <row r="583">
      <c r="A583" t="str">
        <f>A565</f>
        <v>Lantai 1</v>
      </c>
      <c r="B583">
        <f>B565</f>
        <v>18</v>
      </c>
      <c r="D583">
        <f>IF(AND(D580=D581,D581=D582,D580=D582),D580,0)</f>
        <v>3</v>
      </c>
      <c r="E583" t="str">
        <v>D</v>
      </c>
      <c r="F583">
        <f>IF(AND(F580=F581,F580=F582,F581=F582),F580,0)</f>
        <v>16</v>
      </c>
      <c r="L583" t="str">
        <v>Total panjang per balok</v>
      </c>
      <c r="M583" t="str">
        <v>=</v>
      </c>
      <c r="N583">
        <f>IF(AND(D580=D581,D580=D582,D581=D582,F580=F581,F580=F582,F581=F582),SUM(N580:N582),0)</f>
        <v>13.784</v>
      </c>
      <c r="O583" t="str">
        <v>+</v>
      </c>
      <c r="P583">
        <f>IF(N583&gt;12,ROUNDDOWN(N583/12,0),0)</f>
        <v>1</v>
      </c>
      <c r="Q583" t="str">
        <v>x</v>
      </c>
      <c r="R583">
        <f>IF(P583&gt;0,MAX(VLOOKUP(F583,$D$6:$G$15,3,FALSE),600),0)/1000</f>
        <v>0.8</v>
      </c>
      <c r="T583" t="str">
        <v>x</v>
      </c>
      <c r="U583">
        <f>U582</f>
        <v>1.57824</v>
      </c>
      <c r="V583" t="str">
        <v>x</v>
      </c>
      <c r="W583">
        <f>D583</f>
        <v>3</v>
      </c>
      <c r="X583" t="str">
        <v>x</v>
      </c>
      <c r="Y583">
        <f>Y582</f>
        <v>1</v>
      </c>
      <c r="Z583" t="str">
        <v>=</v>
      </c>
      <c r="AA583">
        <f>(N583+P583*R583/1000)*U583*W583*Y583</f>
        <v>65.267168256</v>
      </c>
    </row>
    <row r="585">
      <c r="A585" t="str">
        <f>A565</f>
        <v>Lantai 1</v>
      </c>
      <c r="B585">
        <f>B565</f>
        <v>18</v>
      </c>
      <c r="C585" t="str">
        <v>Sengkang Tumpuan</v>
      </c>
      <c r="D585">
        <f>VLOOKUP(D565,'Detail Balok'!$C$10:$AU$140,31,FALSE)</f>
        <v>0</v>
      </c>
      <c r="E585" t="str">
        <v>D</v>
      </c>
      <c r="F585">
        <f>VLOOKUP(D565,'Detail Balok'!$C$10:$AU$140,33,FALSE)</f>
        <v>8</v>
      </c>
      <c r="G585" t="str">
        <v>-</v>
      </c>
      <c r="H585">
        <f>VLOOKUP(D565,'Detail Balok'!$C$10:$AU$140,35,FALSE)</f>
        <v>150</v>
      </c>
      <c r="J585">
        <f>(IF(D585=0,(2*(D566+G566))-(F$5*8),IF(D585=3,(2*(D566+G566))-(F$5*8)+(G566-2*F$5),IF(D585=4,(2*(D566+G566))-(F$5*8)+2*(G566-2*F$5)))))/1000</f>
        <v>1.08</v>
      </c>
      <c r="K585" t="str">
        <v>+</v>
      </c>
      <c r="L585">
        <f>IF(D585=0,2*MAX(6*F585,75),(D585-1)*2*MAX(6*F585,75))/1000</f>
        <v>0.15</v>
      </c>
      <c r="M585" t="str">
        <v>=</v>
      </c>
      <c r="N585">
        <f>J585+L585</f>
        <v>1.23</v>
      </c>
      <c r="T585" t="str">
        <v>x</v>
      </c>
      <c r="U585">
        <f>0.006165*F585^2</f>
        <v>0.39456</v>
      </c>
      <c r="V585" t="str">
        <v>x</v>
      </c>
      <c r="W585">
        <f>IF(D568&gt;4*G566,ROUND(MAX(D568/4,2*G566)/H585,0)+1,ROUND(D568/H585,0)+1)</f>
        <v>23</v>
      </c>
      <c r="X585" t="str">
        <v>x</v>
      </c>
      <c r="Y585">
        <f>D571</f>
        <v>1</v>
      </c>
      <c r="Z585" t="str">
        <v>=</v>
      </c>
      <c r="AA585">
        <f>N585*U585*W585*Y585</f>
        <v>11.1621024</v>
      </c>
    </row>
    <row r="586">
      <c r="A586" t="str">
        <f>A565</f>
        <v>Lantai 1</v>
      </c>
      <c r="B586">
        <f>B565</f>
        <v>18</v>
      </c>
      <c r="C586" t="str">
        <v>Sengkang Lapangan</v>
      </c>
      <c r="D586">
        <f>VLOOKUP(D565,'Detail Balok'!$C$10:$AU$140,36,FALSE)</f>
        <v>0</v>
      </c>
      <c r="E586" t="str">
        <v>D</v>
      </c>
      <c r="F586">
        <f>VLOOKUP(D565,'Detail Balok'!$C$10:$AU$140,38,FALSE)</f>
        <v>8</v>
      </c>
      <c r="G586" t="str">
        <v>-</v>
      </c>
      <c r="H586">
        <f>VLOOKUP(D565,'Detail Balok'!$C$10:$AU$140,40,FALSE)</f>
        <v>200</v>
      </c>
      <c r="J586">
        <f>(IF(D586=0,(2*(D566+G566))-(F$5*8),IF(D586=3,(2*(D566+G566))-(F$5*8)+(G566-2*F$5),IF(D586=4,(2*(D566+G566))-(F$5*8)+2*(G566-2*F$5)))))/1000</f>
        <v>1.08</v>
      </c>
      <c r="K586" t="str">
        <v>+</v>
      </c>
      <c r="L586">
        <f>IF(D586=0,2*MAX(6*F586,75),(D586-1)*2*MAX(6*F586,75))/1000</f>
        <v>0.15</v>
      </c>
      <c r="M586" t="str">
        <v>=</v>
      </c>
      <c r="N586">
        <f>J586+L586</f>
        <v>1.23</v>
      </c>
      <c r="T586" t="str">
        <v>x</v>
      </c>
      <c r="U586">
        <f>0.006165*F586^2</f>
        <v>0.39456</v>
      </c>
      <c r="V586" t="str">
        <v>x</v>
      </c>
      <c r="W586">
        <f>IF(D568-MAX(D568/4,2*G566)*2&gt;0,ROUND((D568-MAX(D568/4,2*G566)*2)/H586,0),0)</f>
        <v>34</v>
      </c>
      <c r="X586" t="str">
        <v>x</v>
      </c>
      <c r="Y586">
        <f>D571</f>
        <v>1</v>
      </c>
      <c r="Z586" t="str">
        <v>=</v>
      </c>
      <c r="AA586">
        <f>N586*U586*W586*Y586</f>
        <v>16.5004992</v>
      </c>
    </row>
    <row r="587">
      <c r="A587" t="str">
        <f>A565</f>
        <v>Lantai 1</v>
      </c>
      <c r="B587">
        <f>B565</f>
        <v>18</v>
      </c>
      <c r="C587" t="str">
        <v>Sengkang Tumpuan</v>
      </c>
      <c r="D587">
        <f>VLOOKUP(D565,'Detail Balok'!$C$10:$AU$140,41,FALSE)</f>
        <v>0</v>
      </c>
      <c r="E587" t="str">
        <v>D</v>
      </c>
      <c r="F587">
        <f>VLOOKUP(D565,'Detail Balok'!$C$10:$AU$140,43,FALSE)</f>
        <v>8</v>
      </c>
      <c r="G587" t="str">
        <v>-</v>
      </c>
      <c r="H587">
        <f>VLOOKUP(D565,'Detail Balok'!$C$10:$AU$140,45,FALSE)</f>
        <v>150</v>
      </c>
      <c r="J587">
        <f>(IF(D587=0,(2*(D566+G566))-(F$5*8),IF(D587=3,(2*(D566+G566))-(F$5*8)+(G566-2*F$5),IF(D587=4,(2*(D566+G566))-(F$5*8)+2*(G566-2*F$5)))))/1000</f>
        <v>1.08</v>
      </c>
      <c r="K587" t="str">
        <v>+</v>
      </c>
      <c r="L587">
        <f>IF(D587=0,2*MAX(6*F587,75),(D587-1)*2*MAX(6*F587,75))/1000</f>
        <v>0.15</v>
      </c>
      <c r="M587" t="str">
        <v>=</v>
      </c>
      <c r="N587">
        <f>J587+L587</f>
        <v>1.23</v>
      </c>
      <c r="T587" t="str">
        <v>x</v>
      </c>
      <c r="U587">
        <f>0.006165*F587^2</f>
        <v>0.39456</v>
      </c>
      <c r="V587" t="str">
        <v>x</v>
      </c>
      <c r="W587">
        <f>IF(D568&gt;4*G566,ROUND(MAX(D568/4,2*G566)/H587,0)+1,0)</f>
        <v>23</v>
      </c>
      <c r="X587" t="str">
        <v>x</v>
      </c>
      <c r="Y587">
        <f>D571</f>
        <v>1</v>
      </c>
      <c r="Z587" t="str">
        <v>=</v>
      </c>
      <c r="AA587">
        <f>N587*U587*W587*Y587</f>
        <v>11.1621024</v>
      </c>
    </row>
    <row r="589">
      <c r="A589" t="str">
        <f>A565</f>
        <v>Lantai 1</v>
      </c>
      <c r="B589">
        <f>B565</f>
        <v>18</v>
      </c>
      <c r="C589" t="str">
        <v>Kait Horizontal Tump.</v>
      </c>
      <c r="D589">
        <f>VLOOKUP(D565,'Detail Balok'!$C$10:$BJ$140,46,FALSE)</f>
        <v>0</v>
      </c>
      <c r="E589" t="str">
        <v>D</v>
      </c>
      <c r="F589">
        <f>VLOOKUP(D565,'Detail Balok'!$C$10:$BJ$140,48,FALSE)</f>
        <v>0</v>
      </c>
      <c r="G589" t="str">
        <v>-</v>
      </c>
      <c r="H589">
        <f>VLOOKUP(D565,'Detail Balok'!$C$10:$BJ$140,50,FALSE)</f>
        <v>100</v>
      </c>
      <c r="J589">
        <f>(D566-2*F$5)/1000</f>
        <v>0.12</v>
      </c>
      <c r="K589" t="str">
        <v>+</v>
      </c>
      <c r="L589">
        <f>IF(D589=0,2*MAX(6*F589,75),(D589-1)*2*MAX(6*F589,75))/1000</f>
        <v>0.15</v>
      </c>
      <c r="M589" t="str">
        <v>=</v>
      </c>
      <c r="N589">
        <f>J589+L589</f>
        <v>0.27</v>
      </c>
      <c r="T589" t="str">
        <v>x</v>
      </c>
      <c r="U589">
        <f>0.006165*F589^2</f>
        <v>0</v>
      </c>
      <c r="V589" t="str">
        <v>x</v>
      </c>
      <c r="W589">
        <f>W585</f>
        <v>23</v>
      </c>
      <c r="X589" t="str">
        <v>x</v>
      </c>
      <c r="Y589">
        <f>D575</f>
        <v>3</v>
      </c>
      <c r="Z589" t="str">
        <v>=</v>
      </c>
      <c r="AA589">
        <f>N589*U589*W589*Y589</f>
        <v>0</v>
      </c>
    </row>
    <row r="590">
      <c r="A590" t="str">
        <f>A565</f>
        <v>Lantai 1</v>
      </c>
      <c r="B590">
        <f>B565</f>
        <v>18</v>
      </c>
      <c r="C590" t="str">
        <v>Kait Horizontal Lap.</v>
      </c>
      <c r="D590">
        <f>VLOOKUP(D565,'Detail Balok'!$C$10:$BJ$140,51,FALSE)</f>
        <v>0</v>
      </c>
      <c r="E590" t="str">
        <v>D</v>
      </c>
      <c r="F590">
        <f>VLOOKUP(D565,'Detail Balok'!$C$10:$BJ$140,53,FALSE)</f>
        <v>0</v>
      </c>
      <c r="G590" t="str">
        <v>-</v>
      </c>
      <c r="H590">
        <f>VLOOKUP(D565,'Detail Balok'!$C$10:$BJ$140,55,FALSE)</f>
        <v>100</v>
      </c>
      <c r="J590">
        <f>(D566-2*F$5)/1000</f>
        <v>0.12</v>
      </c>
      <c r="K590" t="str">
        <v>+</v>
      </c>
      <c r="L590">
        <f>IF(D590=0,2*MAX(6*F590,75),(D590-1)*2*MAX(6*F590,75))/1000</f>
        <v>0.15</v>
      </c>
      <c r="M590" t="str">
        <v>=</v>
      </c>
      <c r="N590">
        <f>J590+L590</f>
        <v>0.27</v>
      </c>
      <c r="T590" t="str">
        <v>x</v>
      </c>
      <c r="U590">
        <f>0.006165*F590^2</f>
        <v>0</v>
      </c>
      <c r="V590" t="str">
        <v>x</v>
      </c>
      <c r="W590">
        <f>W586</f>
        <v>34</v>
      </c>
      <c r="X590" t="str">
        <v>x</v>
      </c>
      <c r="Y590">
        <f>D575</f>
        <v>3</v>
      </c>
      <c r="Z590" t="str">
        <v>=</v>
      </c>
      <c r="AA590">
        <f>N590*U590*W590*Y590</f>
        <v>0</v>
      </c>
    </row>
    <row r="591">
      <c r="A591" t="str">
        <f>A565</f>
        <v>Lantai 1</v>
      </c>
      <c r="B591">
        <f>B565</f>
        <v>18</v>
      </c>
      <c r="C591" t="str">
        <v>Kait Horizontal Tump.</v>
      </c>
      <c r="D591">
        <f>VLOOKUP(D565,'Detail Balok'!$C$10:$BJ$140,56,FALSE)</f>
        <v>0</v>
      </c>
      <c r="E591" t="str">
        <v>D</v>
      </c>
      <c r="F591">
        <f>VLOOKUP(D565,'Detail Balok'!$C$10:$BJ$140,58,FALSE)</f>
        <v>0</v>
      </c>
      <c r="G591" t="str">
        <v>-</v>
      </c>
      <c r="H591">
        <f>VLOOKUP(D565,'Detail Balok'!$C$10:$BJ$140,60,FALSE)</f>
        <v>100</v>
      </c>
      <c r="J591">
        <f>(D566-2*F$5)/1000</f>
        <v>0.12</v>
      </c>
      <c r="K591" t="str">
        <v>+</v>
      </c>
      <c r="L591">
        <f>IF(D591=0,2*MAX(6*F591,75),(D591-1)*2*MAX(6*F591,75))/1000</f>
        <v>0.15</v>
      </c>
      <c r="M591" t="str">
        <v>=</v>
      </c>
      <c r="N591">
        <f>J591+L591</f>
        <v>0.27</v>
      </c>
      <c r="T591" t="str">
        <v>x</v>
      </c>
      <c r="U591">
        <f>0.006165*F591^2</f>
        <v>0</v>
      </c>
      <c r="V591" t="str">
        <v>x</v>
      </c>
      <c r="W591">
        <f>W587</f>
        <v>23</v>
      </c>
      <c r="X591" t="str">
        <v>x</v>
      </c>
      <c r="Y591">
        <f>D575</f>
        <v>3</v>
      </c>
      <c r="Z591" t="str">
        <v>=</v>
      </c>
      <c r="AA591">
        <f>N591*U591*W591*Y591</f>
        <v>0</v>
      </c>
    </row>
    <row r="595">
      <c r="A595" t="str">
        <f>A565</f>
        <v>Lantai 1</v>
      </c>
      <c r="B595">
        <f>B565+1</f>
        <v>19</v>
      </c>
      <c r="C595" t="str">
        <f>CONCATENATE(A595," no. ",B595)</f>
        <v>Lantai 1 no. 19</v>
      </c>
      <c r="D595" t="str">
        <f>VLOOKUP(C595,'Data Panjang Balok'!$C$9:$N$254,2,FALSE)</f>
        <v>S24-1</v>
      </c>
    </row>
    <row r="596">
      <c r="C596" t="str">
        <v>Dimensi</v>
      </c>
      <c r="D596">
        <f>VLOOKUP(D595,'Detail Balok'!$C$10:$AU$140,2,FALSE)</f>
        <v>200</v>
      </c>
      <c r="F596" t="str">
        <v>x</v>
      </c>
      <c r="G596">
        <f>VLOOKUP(D595,'Detail Balok'!$C$10:$AU$140,3,FALSE)</f>
        <v>400</v>
      </c>
    </row>
    <row r="597">
      <c r="C597" t="str">
        <v>Panjang as ke as</v>
      </c>
      <c r="D597">
        <f>VLOOKUP(C595,'Data Panjang Balok'!$C$9:$N$254,4,FALSE)</f>
        <v>4075</v>
      </c>
    </row>
    <row r="598">
      <c r="C598" t="str">
        <v>Panjang netto</v>
      </c>
      <c r="D598">
        <f>VLOOKUP(C595,'Data Panjang Balok'!$C$9:$N$254,7,FALSE)</f>
        <v>4075</v>
      </c>
    </row>
    <row r="599">
      <c r="C599" t="str">
        <v>Kolom / balok kiri</v>
      </c>
      <c r="D599">
        <f>VLOOKUP(C595,'Data Panjang Balok'!$C$9:$N$254,9,FALSE)</f>
        <v>0</v>
      </c>
    </row>
    <row r="600">
      <c r="C600" t="str">
        <v>Kolom / balok kanan</v>
      </c>
      <c r="D600">
        <f>VLOOKUP(C595,'Data Panjang Balok'!$C$9:$N$254,10,FALSE)</f>
        <v>0</v>
      </c>
    </row>
    <row r="601">
      <c r="C601" t="str">
        <v>Jumlah</v>
      </c>
      <c r="D601">
        <f>VLOOKUP(C595,'Data Panjang Balok'!$C$9:$N$254,3,FALSE)</f>
        <v>1</v>
      </c>
    </row>
    <row r="602">
      <c r="A602" t="str">
        <f>A595</f>
        <v>Lantai 1</v>
      </c>
      <c r="B602">
        <f>B595</f>
        <v>19</v>
      </c>
      <c r="C602" t="str">
        <v>Tul Atas Tumpuan</v>
      </c>
      <c r="D602">
        <f>VLOOKUP(D595,'Detail Balok'!$C$10:$AU$140,4,FALSE)</f>
        <v>3</v>
      </c>
      <c r="E602" t="str">
        <v>D</v>
      </c>
      <c r="F602">
        <f>VLOOKUP(D595,'Detail Balok'!$C$10:$AU$140,6,FALSE)</f>
        <v>13</v>
      </c>
      <c r="I602" t="str">
        <v>(</v>
      </c>
      <c r="J602">
        <f>+D597/4/1000</f>
        <v>1.01875</v>
      </c>
      <c r="K602" t="str">
        <v>+</v>
      </c>
      <c r="L602">
        <f>MAX(VLOOKUP(F602,N$6:P$15,3,FALSE)/1000,2/3*D599/1000)+F$16*F602/1000</f>
        <v>0.156</v>
      </c>
      <c r="M602" t="str">
        <v>=</v>
      </c>
      <c r="N602">
        <f>J602+L602</f>
        <v>1.17475</v>
      </c>
      <c r="O602" t="str">
        <v>+</v>
      </c>
      <c r="P602">
        <f>D602-D603</f>
        <v>0</v>
      </c>
      <c r="Q602" t="str">
        <v>x</v>
      </c>
      <c r="R602">
        <f>IF(P602&gt;0,$F$18*F602/1000,0)</f>
        <v>0</v>
      </c>
      <c r="S602" t="str">
        <v>)</v>
      </c>
      <c r="T602" t="str">
        <v>x</v>
      </c>
      <c r="U602">
        <f>0.006165*F602^2</f>
        <v>1.041885</v>
      </c>
      <c r="X602" t="str">
        <v>x</v>
      </c>
      <c r="Y602">
        <f>D601</f>
        <v>1</v>
      </c>
      <c r="Z602" t="str">
        <v>=</v>
      </c>
      <c r="AA602">
        <f>IF(AA605=0,(D602*N602+P602*R602)*U602*Y602,0)</f>
        <v>0</v>
      </c>
    </row>
    <row r="603">
      <c r="A603" t="str">
        <f>A595</f>
        <v>Lantai 1</v>
      </c>
      <c r="B603">
        <f>B595</f>
        <v>19</v>
      </c>
      <c r="C603" t="str">
        <v>Tul Atas Lapangan</v>
      </c>
      <c r="D603">
        <f>VLOOKUP(D595,'Detail Balok'!$C$10:$AU$140,7,FALSE)</f>
        <v>3</v>
      </c>
      <c r="E603" t="str">
        <v>D</v>
      </c>
      <c r="F603">
        <f>VLOOKUP(D595,'Detail Balok'!$C$10:$AU$140,9,FALSE)</f>
        <v>13</v>
      </c>
      <c r="I603" t="str">
        <v>(</v>
      </c>
      <c r="J603">
        <f>+D597/2/1000</f>
        <v>2.0375</v>
      </c>
      <c r="K603" t="str">
        <v>+</v>
      </c>
      <c r="M603" t="str">
        <v>=</v>
      </c>
      <c r="N603">
        <f>J603+L603</f>
        <v>2.0375</v>
      </c>
      <c r="O603" t="str">
        <v>+</v>
      </c>
      <c r="P603">
        <f>MAX(D603-D602,D603-D604)</f>
        <v>0</v>
      </c>
      <c r="Q603" t="str">
        <v>x</v>
      </c>
      <c r="R603">
        <f>IF(P603&gt;0,2*(1-2*$F$19-1/2)*D598/1000,0)</f>
        <v>0</v>
      </c>
      <c r="S603" t="str">
        <v>)</v>
      </c>
      <c r="T603" t="str">
        <v>x</v>
      </c>
      <c r="U603">
        <f>0.006165*F603^2</f>
        <v>1.041885</v>
      </c>
      <c r="X603" t="str">
        <v>x</v>
      </c>
      <c r="Y603">
        <f>D601</f>
        <v>1</v>
      </c>
      <c r="Z603" t="str">
        <v>=</v>
      </c>
      <c r="AA603">
        <f>IF(AA605=0,(D603*N603+P603*R603)*U603*Y603,0)</f>
        <v>0</v>
      </c>
    </row>
    <row r="604">
      <c r="A604" t="str">
        <f>A595</f>
        <v>Lantai 1</v>
      </c>
      <c r="B604">
        <f>B595</f>
        <v>19</v>
      </c>
      <c r="C604" t="str">
        <v>Tul Atas Tumpuan</v>
      </c>
      <c r="D604">
        <f>VLOOKUP(D595,'Detail Balok'!$C$10:$AU$140,10,FALSE)</f>
        <v>3</v>
      </c>
      <c r="E604" t="str">
        <v>D</v>
      </c>
      <c r="F604">
        <f>VLOOKUP(D595,'Detail Balok'!$C$10:$AU$140,12,FALSE)</f>
        <v>13</v>
      </c>
      <c r="I604" t="str">
        <v>(</v>
      </c>
      <c r="J604">
        <f>+D597/4/1000</f>
        <v>1.01875</v>
      </c>
      <c r="K604" t="str">
        <v>+</v>
      </c>
      <c r="L604">
        <f>MAX(VLOOKUP(F604,N$6:P$15,3,FALSE)/1000,2/3*D599/1000)+F$16*F604/1000</f>
        <v>0.156</v>
      </c>
      <c r="M604" t="str">
        <v>=</v>
      </c>
      <c r="N604">
        <f>J604+L604</f>
        <v>1.17475</v>
      </c>
      <c r="O604" t="str">
        <v>+</v>
      </c>
      <c r="P604">
        <f>D604-D603</f>
        <v>0</v>
      </c>
      <c r="Q604" t="str">
        <v>x</v>
      </c>
      <c r="R604">
        <f>IF(P604&gt;0,$F$18*F604/1000,0)</f>
        <v>0</v>
      </c>
      <c r="S604" t="str">
        <v>)</v>
      </c>
      <c r="T604" t="str">
        <v>x</v>
      </c>
      <c r="U604">
        <f>0.006165*F604^2</f>
        <v>1.041885</v>
      </c>
      <c r="X604" t="str">
        <v>x</v>
      </c>
      <c r="Y604">
        <f>D601</f>
        <v>1</v>
      </c>
      <c r="Z604" t="str">
        <v>=</v>
      </c>
      <c r="AA604">
        <f>IF(AA605=0,(D604*N604+P604*R604)*U604*Y604,0)</f>
        <v>0</v>
      </c>
    </row>
    <row r="605">
      <c r="A605" t="str">
        <f>A595</f>
        <v>Lantai 1</v>
      </c>
      <c r="B605">
        <f>B595</f>
        <v>19</v>
      </c>
      <c r="D605">
        <f>IF(AND(D602=D603,D603=D604,D602=D604),D602,0)</f>
        <v>3</v>
      </c>
      <c r="E605" t="str">
        <v>D</v>
      </c>
      <c r="F605">
        <f>IF(AND(F602=F603,F602=F604,F603=F604),F602,0)</f>
        <v>13</v>
      </c>
      <c r="L605" t="str">
        <v>Total panjang per balok</v>
      </c>
      <c r="M605" t="str">
        <v>=</v>
      </c>
      <c r="N605">
        <f>IF(AND(D602=D603,D602=D604,D603=D604,F602=F603,F602=F604,F603=F604),SUM(N602:N604),0)</f>
        <v>4.3870000000000005</v>
      </c>
      <c r="O605" t="str">
        <v>+</v>
      </c>
      <c r="P605">
        <f>IF(N605&gt;12,ROUNDDOWN(N605/12,0),0)</f>
        <v>0</v>
      </c>
      <c r="Q605" t="str">
        <v>x</v>
      </c>
      <c r="R605">
        <f>IF(P605&gt;0,MAX(VLOOKUP(F605,$D$6:$G$15,3,FALSE),600),0)/1000</f>
        <v>0</v>
      </c>
      <c r="T605" t="str">
        <v>x</v>
      </c>
      <c r="U605">
        <f>U604</f>
        <v>1.041885</v>
      </c>
      <c r="V605" t="str">
        <v>x</v>
      </c>
      <c r="W605">
        <f>D605</f>
        <v>3</v>
      </c>
      <c r="X605" t="str">
        <v>x</v>
      </c>
      <c r="Y605">
        <f>Y604</f>
        <v>1</v>
      </c>
      <c r="Z605" t="str">
        <v>=</v>
      </c>
      <c r="AA605">
        <f>(N605+P605*R605/1000)*U605*W605*Y605</f>
        <v>13.712248485</v>
      </c>
    </row>
    <row r="607">
      <c r="A607" t="str">
        <f>A595</f>
        <v>Lantai 1</v>
      </c>
      <c r="B607">
        <f>B595</f>
        <v>19</v>
      </c>
      <c r="C607" t="str">
        <v>Tul Peminggang</v>
      </c>
      <c r="D607">
        <f>VLOOKUP(D595,'Detail Balok'!$C$10:$AU$140,13,FALSE)</f>
        <v>0</v>
      </c>
      <c r="E607" t="str">
        <v>D</v>
      </c>
      <c r="F607">
        <f>VLOOKUP(D595,'Detail Balok'!$C$10:$AU$140,15,FALSE)</f>
        <v>8</v>
      </c>
      <c r="J607">
        <f>+D597/1000</f>
        <v>4.075</v>
      </c>
      <c r="K607" t="str">
        <v>+</v>
      </c>
      <c r="L607">
        <f>2*$F$16*F607/1000</f>
        <v>0.192</v>
      </c>
      <c r="M607" t="str">
        <v>=</v>
      </c>
      <c r="N607">
        <f>J607+L607</f>
        <v>4.267</v>
      </c>
      <c r="O607" t="str">
        <v>+</v>
      </c>
      <c r="P607">
        <f>IF(N607&gt;12,ROUNDDOWN(N607/12,0),0)</f>
        <v>0</v>
      </c>
      <c r="Q607" t="str">
        <v>x</v>
      </c>
      <c r="R607">
        <f>IF(P607&gt;0,MAX(VLOOKUP(F607,$D$6:$G$15,3,FALSE),600),0)/1000</f>
        <v>0</v>
      </c>
      <c r="T607" t="str">
        <v>x</v>
      </c>
      <c r="U607">
        <f>0.006165*F607^2</f>
        <v>0.39456</v>
      </c>
      <c r="V607" t="str">
        <v>x</v>
      </c>
      <c r="W607">
        <f>+D607</f>
        <v>0</v>
      </c>
      <c r="X607" t="str">
        <v>x</v>
      </c>
      <c r="Y607">
        <f>D601</f>
        <v>1</v>
      </c>
      <c r="Z607" t="str">
        <v>=</v>
      </c>
      <c r="AA607">
        <f>(N607+P607*R607/1000)*U607*W607*Y607</f>
        <v>0</v>
      </c>
    </row>
    <row r="610">
      <c r="A610" t="str">
        <f>A595</f>
        <v>Lantai 1</v>
      </c>
      <c r="B610">
        <f>B595</f>
        <v>19</v>
      </c>
      <c r="C610" t="str">
        <v>Tul Bawah Tumpuan</v>
      </c>
      <c r="D610">
        <f>VLOOKUP(D595,'Detail Balok'!$C$10:$AU$140,22,FALSE)</f>
        <v>3</v>
      </c>
      <c r="E610" t="str">
        <v>D</v>
      </c>
      <c r="F610">
        <f>VLOOKUP(D595,'Detail Balok'!$C$10:$AU$140,24,FALSE)</f>
        <v>13</v>
      </c>
      <c r="I610" t="str">
        <v>(</v>
      </c>
      <c r="J610">
        <f>+J602</f>
        <v>1.01875</v>
      </c>
      <c r="K610" t="str">
        <v>+</v>
      </c>
      <c r="L610">
        <f>MAX(VLOOKUP(F610,N$6:P$15,3,FALSE)/1000,2/3*D600/1000)+F$16*F610/1000</f>
        <v>0.156</v>
      </c>
      <c r="M610" t="str">
        <v>=</v>
      </c>
      <c r="N610">
        <f>J610+L610</f>
        <v>1.17475</v>
      </c>
      <c r="O610" t="str">
        <v>+</v>
      </c>
      <c r="P610">
        <f>D610-D611</f>
        <v>0</v>
      </c>
      <c r="Q610" t="str">
        <v>x</v>
      </c>
      <c r="R610">
        <f>IF(P610&gt;0,$F$18*F610/1000,0)</f>
        <v>0</v>
      </c>
      <c r="S610" t="str">
        <v>)</v>
      </c>
      <c r="T610" t="str">
        <v>x</v>
      </c>
      <c r="U610">
        <f>0.006165*F610^2</f>
        <v>1.041885</v>
      </c>
      <c r="X610" t="str">
        <v>x</v>
      </c>
      <c r="Y610">
        <f>D601</f>
        <v>1</v>
      </c>
      <c r="Z610" t="str">
        <v>=</v>
      </c>
      <c r="AA610">
        <f>IF(AA613=0,(D610*N610+P610*R610)*U610*Y610,0)</f>
        <v>0</v>
      </c>
    </row>
    <row r="611">
      <c r="A611" t="str">
        <f>A595</f>
        <v>Lantai 1</v>
      </c>
      <c r="B611">
        <f>B595</f>
        <v>19</v>
      </c>
      <c r="C611" t="str">
        <v>Tul Bawah Lapangan</v>
      </c>
      <c r="D611">
        <f>VLOOKUP(D595,'Detail Balok'!$C$10:$AU$140,25,FALSE)</f>
        <v>3</v>
      </c>
      <c r="E611" t="str">
        <v>D</v>
      </c>
      <c r="F611">
        <f>VLOOKUP(D595,'Detail Balok'!$C$10:$AU$140,27,FALSE)</f>
        <v>13</v>
      </c>
      <c r="I611" t="str">
        <v>(</v>
      </c>
      <c r="J611">
        <f>+J603</f>
        <v>2.0375</v>
      </c>
      <c r="K611" t="str">
        <v>+</v>
      </c>
      <c r="M611" t="str">
        <v>=</v>
      </c>
      <c r="N611">
        <f>J611+L611</f>
        <v>2.0375</v>
      </c>
      <c r="O611" t="str">
        <v>+</v>
      </c>
      <c r="P611">
        <f>MAX(D611-D610,D611-D612)</f>
        <v>0</v>
      </c>
      <c r="Q611" t="str">
        <v>x</v>
      </c>
      <c r="R611">
        <f>IF(P611&gt;0,2*(1-2*$F$19-1/2)*D598/1000,0)</f>
        <v>0</v>
      </c>
      <c r="S611" t="str">
        <v>)</v>
      </c>
      <c r="T611" t="str">
        <v>x</v>
      </c>
      <c r="U611">
        <f>0.006165*F611^2</f>
        <v>1.041885</v>
      </c>
      <c r="X611" t="str">
        <v>x</v>
      </c>
      <c r="Y611">
        <f>D601</f>
        <v>1</v>
      </c>
      <c r="Z611" t="str">
        <v>=</v>
      </c>
      <c r="AA611">
        <f>IF(AA613=0,(D611*N611+P611*R611)*U611*Y611,0)</f>
        <v>0</v>
      </c>
    </row>
    <row r="612">
      <c r="A612" t="str">
        <f>A595</f>
        <v>Lantai 1</v>
      </c>
      <c r="B612">
        <f>B595</f>
        <v>19</v>
      </c>
      <c r="C612" t="str">
        <v>Tul Bawah Tumpuan</v>
      </c>
      <c r="D612">
        <f>VLOOKUP(D595,'Detail Balok'!$C$10:$AU$140,28,FALSE)</f>
        <v>3</v>
      </c>
      <c r="E612" t="str">
        <v>D</v>
      </c>
      <c r="F612">
        <f>VLOOKUP(D595,'Detail Balok'!$C$10:$AU$140,30,FALSE)</f>
        <v>13</v>
      </c>
      <c r="I612" t="str">
        <v>(</v>
      </c>
      <c r="J612">
        <f>+J604</f>
        <v>1.01875</v>
      </c>
      <c r="K612" t="str">
        <v>+</v>
      </c>
      <c r="L612">
        <f>MAX(VLOOKUP(F612,N$6:P$15,3,FALSE)/1000,2/3*D600/1000)+F$16*F612/1000</f>
        <v>0.156</v>
      </c>
      <c r="M612" t="str">
        <v>=</v>
      </c>
      <c r="N612">
        <f>J612+L612</f>
        <v>1.17475</v>
      </c>
      <c r="O612" t="str">
        <v>+</v>
      </c>
      <c r="P612">
        <f>D612-D611</f>
        <v>0</v>
      </c>
      <c r="Q612" t="str">
        <v>x</v>
      </c>
      <c r="R612">
        <f>IF(P612&gt;0,$F$18*F612/1000,0)</f>
        <v>0</v>
      </c>
      <c r="S612" t="str">
        <v>)</v>
      </c>
      <c r="T612" t="str">
        <v>x</v>
      </c>
      <c r="U612">
        <f>0.006165*F612^2</f>
        <v>1.041885</v>
      </c>
      <c r="X612" t="str">
        <v>x</v>
      </c>
      <c r="Y612">
        <f>D601</f>
        <v>1</v>
      </c>
      <c r="Z612" t="str">
        <v>=</v>
      </c>
      <c r="AA612">
        <f>IF(AA613=0,(D612*N612+P612*R612)*U612*Y612,0)</f>
        <v>0</v>
      </c>
    </row>
    <row r="613">
      <c r="A613" t="str">
        <f>A595</f>
        <v>Lantai 1</v>
      </c>
      <c r="B613">
        <f>B595</f>
        <v>19</v>
      </c>
      <c r="D613">
        <f>IF(AND(D610=D611,D611=D612,D610=D612),D610,0)</f>
        <v>3</v>
      </c>
      <c r="E613" t="str">
        <v>D</v>
      </c>
      <c r="F613">
        <f>IF(AND(F610=F611,F610=F612,F611=F612),F610,0)</f>
        <v>13</v>
      </c>
      <c r="L613" t="str">
        <v>Total panjang per balok</v>
      </c>
      <c r="M613" t="str">
        <v>=</v>
      </c>
      <c r="N613">
        <f>IF(AND(D610=D611,D610=D612,D611=D612,F610=F611,F610=F612,F611=F612),SUM(N610:N612),0)</f>
        <v>4.3870000000000005</v>
      </c>
      <c r="O613" t="str">
        <v>+</v>
      </c>
      <c r="P613">
        <f>IF(N613&gt;12,ROUNDDOWN(N613/12,0),0)</f>
        <v>0</v>
      </c>
      <c r="Q613" t="str">
        <v>x</v>
      </c>
      <c r="R613">
        <f>IF(P613&gt;0,MAX(VLOOKUP(F613,$D$6:$G$15,3,FALSE),600),0)/1000</f>
        <v>0</v>
      </c>
      <c r="T613" t="str">
        <v>x</v>
      </c>
      <c r="U613">
        <f>U612</f>
        <v>1.041885</v>
      </c>
      <c r="V613" t="str">
        <v>x</v>
      </c>
      <c r="W613">
        <f>D613</f>
        <v>3</v>
      </c>
      <c r="X613" t="str">
        <v>x</v>
      </c>
      <c r="Y613">
        <f>Y612</f>
        <v>1</v>
      </c>
      <c r="Z613" t="str">
        <v>=</v>
      </c>
      <c r="AA613">
        <f>(N613+P613*R613/1000)*U613*W613*Y613</f>
        <v>13.712248485</v>
      </c>
    </row>
    <row r="615">
      <c r="A615" t="str">
        <f>A595</f>
        <v>Lantai 1</v>
      </c>
      <c r="B615">
        <f>B595</f>
        <v>19</v>
      </c>
      <c r="C615" t="str">
        <v>Sengkang Tumpuan</v>
      </c>
      <c r="D615">
        <f>VLOOKUP(D595,'Detail Balok'!$C$10:$AU$140,31,FALSE)</f>
        <v>0</v>
      </c>
      <c r="E615" t="str">
        <v>D</v>
      </c>
      <c r="F615">
        <f>VLOOKUP(D595,'Detail Balok'!$C$10:$AU$140,33,FALSE)</f>
        <v>8</v>
      </c>
      <c r="G615" t="str">
        <v>-</v>
      </c>
      <c r="H615">
        <f>VLOOKUP(D595,'Detail Balok'!$C$10:$AU$140,35,FALSE)</f>
        <v>150</v>
      </c>
      <c r="J615">
        <f>(IF(D615=0,(2*(D596+G596))-(F$5*8),IF(D615=3,(2*(D596+G596))-(F$5*8)+(G596-2*F$5),IF(D615=4,(2*(D596+G596))-(F$5*8)+2*(G596-2*F$5)))))/1000</f>
        <v>0.88</v>
      </c>
      <c r="K615" t="str">
        <v>+</v>
      </c>
      <c r="L615">
        <f>IF(D615=0,2*MAX(6*F615,75),(D615-1)*2*MAX(6*F615,75))/1000</f>
        <v>0.15</v>
      </c>
      <c r="M615" t="str">
        <v>=</v>
      </c>
      <c r="N615">
        <f>J615+L615</f>
        <v>1.03</v>
      </c>
      <c r="T615" t="str">
        <v>x</v>
      </c>
      <c r="U615">
        <f>0.006165*F615^2</f>
        <v>0.39456</v>
      </c>
      <c r="V615" t="str">
        <v>x</v>
      </c>
      <c r="W615">
        <f>IF(D598&gt;4*G596,ROUND(MAX(D598/4,2*G596)/H615,0)+1,ROUND(D598/H615,0)+1)</f>
        <v>8</v>
      </c>
      <c r="X615" t="str">
        <v>x</v>
      </c>
      <c r="Y615">
        <f>D601</f>
        <v>1</v>
      </c>
      <c r="Z615" t="str">
        <v>=</v>
      </c>
      <c r="AA615">
        <f>N615*U615*W615*Y615</f>
        <v>3.2511744000000005</v>
      </c>
    </row>
    <row r="616">
      <c r="A616" t="str">
        <f>A595</f>
        <v>Lantai 1</v>
      </c>
      <c r="B616">
        <f>B595</f>
        <v>19</v>
      </c>
      <c r="C616" t="str">
        <v>Sengkang Lapangan</v>
      </c>
      <c r="D616">
        <f>VLOOKUP(D595,'Detail Balok'!$C$10:$AU$140,36,FALSE)</f>
        <v>0</v>
      </c>
      <c r="E616" t="str">
        <v>D</v>
      </c>
      <c r="F616">
        <f>VLOOKUP(D595,'Detail Balok'!$C$10:$AU$140,38,FALSE)</f>
        <v>8</v>
      </c>
      <c r="G616" t="str">
        <v>-</v>
      </c>
      <c r="H616">
        <f>VLOOKUP(D595,'Detail Balok'!$C$10:$AU$140,40,FALSE)</f>
        <v>200</v>
      </c>
      <c r="J616">
        <f>(IF(D616=0,(2*(D596+G596))-(F$5*8),IF(D616=3,(2*(D596+G596))-(F$5*8)+(G596-2*F$5),IF(D616=4,(2*(D596+G596))-(F$5*8)+2*(G596-2*F$5)))))/1000</f>
        <v>0.88</v>
      </c>
      <c r="K616" t="str">
        <v>+</v>
      </c>
      <c r="L616">
        <f>IF(D616=0,2*MAX(6*F616,75),(D616-1)*2*MAX(6*F616,75))/1000</f>
        <v>0.15</v>
      </c>
      <c r="M616" t="str">
        <v>=</v>
      </c>
      <c r="N616">
        <f>J616+L616</f>
        <v>1.03</v>
      </c>
      <c r="T616" t="str">
        <v>x</v>
      </c>
      <c r="U616">
        <f>0.006165*F616^2</f>
        <v>0.39456</v>
      </c>
      <c r="V616" t="str">
        <v>x</v>
      </c>
      <c r="W616">
        <f>IF(D598-MAX(D598/4,2*G596)*2&gt;0,ROUND((D598-MAX(D598/4,2*G596)*2)/H616,0),0)</f>
        <v>10</v>
      </c>
      <c r="X616" t="str">
        <v>x</v>
      </c>
      <c r="Y616">
        <f>D601</f>
        <v>1</v>
      </c>
      <c r="Z616" t="str">
        <v>=</v>
      </c>
      <c r="AA616">
        <f>N616*U616*W616*Y616</f>
        <v>4.063968000000001</v>
      </c>
    </row>
    <row r="617">
      <c r="A617" t="str">
        <f>A595</f>
        <v>Lantai 1</v>
      </c>
      <c r="B617">
        <f>B595</f>
        <v>19</v>
      </c>
      <c r="C617" t="str">
        <v>Sengkang Tumpuan</v>
      </c>
      <c r="D617">
        <f>VLOOKUP(D595,'Detail Balok'!$C$10:$AU$140,41,FALSE)</f>
        <v>0</v>
      </c>
      <c r="E617" t="str">
        <v>D</v>
      </c>
      <c r="F617">
        <f>VLOOKUP(D595,'Detail Balok'!$C$10:$AU$140,43,FALSE)</f>
        <v>8</v>
      </c>
      <c r="G617" t="str">
        <v>-</v>
      </c>
      <c r="H617">
        <f>VLOOKUP(D595,'Detail Balok'!$C$10:$AU$140,45,FALSE)</f>
        <v>150</v>
      </c>
      <c r="J617">
        <f>(IF(D617=0,(2*(D596+G596))-(F$5*8),IF(D617=3,(2*(D596+G596))-(F$5*8)+(G596-2*F$5),IF(D617=4,(2*(D596+G596))-(F$5*8)+2*(G596-2*F$5)))))/1000</f>
        <v>0.88</v>
      </c>
      <c r="K617" t="str">
        <v>+</v>
      </c>
      <c r="L617">
        <f>IF(D617=0,2*MAX(6*F617,75),(D617-1)*2*MAX(6*F617,75))/1000</f>
        <v>0.15</v>
      </c>
      <c r="M617" t="str">
        <v>=</v>
      </c>
      <c r="N617">
        <f>J617+L617</f>
        <v>1.03</v>
      </c>
      <c r="T617" t="str">
        <v>x</v>
      </c>
      <c r="U617">
        <f>0.006165*F617^2</f>
        <v>0.39456</v>
      </c>
      <c r="V617" t="str">
        <v>x</v>
      </c>
      <c r="W617">
        <f>IF(D598&gt;4*G596,ROUND(MAX(D598/4,2*G596)/H617,0)+1,0)</f>
        <v>8</v>
      </c>
      <c r="X617" t="str">
        <v>x</v>
      </c>
      <c r="Y617">
        <f>D601</f>
        <v>1</v>
      </c>
      <c r="Z617" t="str">
        <v>=</v>
      </c>
      <c r="AA617">
        <f>N617*U617*W617*Y617</f>
        <v>3.2511744000000005</v>
      </c>
    </row>
    <row r="619">
      <c r="A619" t="str">
        <f>A595</f>
        <v>Lantai 1</v>
      </c>
      <c r="B619">
        <f>B595</f>
        <v>19</v>
      </c>
      <c r="C619" t="str">
        <v>Kait Horizontal Tump.</v>
      </c>
      <c r="D619">
        <f>VLOOKUP(D595,'Detail Balok'!$C$10:$BJ$140,46,FALSE)</f>
        <v>0</v>
      </c>
      <c r="E619" t="str">
        <v>D</v>
      </c>
      <c r="F619">
        <f>VLOOKUP(D595,'Detail Balok'!$C$10:$BJ$140,48,FALSE)</f>
        <v>0</v>
      </c>
      <c r="G619" t="str">
        <v>-</v>
      </c>
      <c r="H619">
        <f>VLOOKUP(D595,'Detail Balok'!$C$10:$BJ$140,50,FALSE)</f>
        <v>100</v>
      </c>
      <c r="J619">
        <f>(D596-2*F$5)/1000</f>
        <v>0.12</v>
      </c>
      <c r="K619" t="str">
        <v>+</v>
      </c>
      <c r="L619">
        <f>IF(D619=0,2*MAX(6*F619,75),(D619-1)*2*MAX(6*F619,75))/1000</f>
        <v>0.15</v>
      </c>
      <c r="M619" t="str">
        <v>=</v>
      </c>
      <c r="N619">
        <f>J619+L619</f>
        <v>0.27</v>
      </c>
      <c r="T619" t="str">
        <v>x</v>
      </c>
      <c r="U619">
        <f>0.006165*F619^2</f>
        <v>0</v>
      </c>
      <c r="V619" t="str">
        <v>x</v>
      </c>
      <c r="W619">
        <f>W615</f>
        <v>8</v>
      </c>
      <c r="X619" t="str">
        <v>x</v>
      </c>
      <c r="Y619">
        <f>D605</f>
        <v>3</v>
      </c>
      <c r="Z619" t="str">
        <v>=</v>
      </c>
      <c r="AA619">
        <f>N619*U619*W619*Y619</f>
        <v>0</v>
      </c>
    </row>
    <row r="620">
      <c r="A620" t="str">
        <f>A595</f>
        <v>Lantai 1</v>
      </c>
      <c r="B620">
        <f>B595</f>
        <v>19</v>
      </c>
      <c r="C620" t="str">
        <v>Kait Horizontal Lap.</v>
      </c>
      <c r="D620">
        <f>VLOOKUP(D595,'Detail Balok'!$C$10:$BJ$140,51,FALSE)</f>
        <v>0</v>
      </c>
      <c r="E620" t="str">
        <v>D</v>
      </c>
      <c r="F620">
        <f>VLOOKUP(D595,'Detail Balok'!$C$10:$BJ$140,53,FALSE)</f>
        <v>0</v>
      </c>
      <c r="G620" t="str">
        <v>-</v>
      </c>
      <c r="H620">
        <f>VLOOKUP(D595,'Detail Balok'!$C$10:$BJ$140,55,FALSE)</f>
        <v>100</v>
      </c>
      <c r="J620">
        <f>(D596-2*F$5)/1000</f>
        <v>0.12</v>
      </c>
      <c r="K620" t="str">
        <v>+</v>
      </c>
      <c r="L620">
        <f>IF(D620=0,2*MAX(6*F620,75),(D620-1)*2*MAX(6*F620,75))/1000</f>
        <v>0.15</v>
      </c>
      <c r="M620" t="str">
        <v>=</v>
      </c>
      <c r="N620">
        <f>J620+L620</f>
        <v>0.27</v>
      </c>
      <c r="T620" t="str">
        <v>x</v>
      </c>
      <c r="U620">
        <f>0.006165*F620^2</f>
        <v>0</v>
      </c>
      <c r="V620" t="str">
        <v>x</v>
      </c>
      <c r="W620">
        <f>W616</f>
        <v>10</v>
      </c>
      <c r="X620" t="str">
        <v>x</v>
      </c>
      <c r="Y620">
        <f>D605</f>
        <v>3</v>
      </c>
      <c r="Z620" t="str">
        <v>=</v>
      </c>
      <c r="AA620">
        <f>N620*U620*W620*Y620</f>
        <v>0</v>
      </c>
    </row>
    <row r="621">
      <c r="A621" t="str">
        <f>A595</f>
        <v>Lantai 1</v>
      </c>
      <c r="B621">
        <f>B595</f>
        <v>19</v>
      </c>
      <c r="C621" t="str">
        <v>Kait Horizontal Tump.</v>
      </c>
      <c r="D621">
        <f>VLOOKUP(D595,'Detail Balok'!$C$10:$BJ$140,56,FALSE)</f>
        <v>0</v>
      </c>
      <c r="E621" t="str">
        <v>D</v>
      </c>
      <c r="F621">
        <f>VLOOKUP(D595,'Detail Balok'!$C$10:$BJ$140,58,FALSE)</f>
        <v>0</v>
      </c>
      <c r="G621" t="str">
        <v>-</v>
      </c>
      <c r="H621">
        <f>VLOOKUP(D595,'Detail Balok'!$C$10:$BJ$140,60,FALSE)</f>
        <v>100</v>
      </c>
      <c r="J621">
        <f>(D596-2*F$5)/1000</f>
        <v>0.12</v>
      </c>
      <c r="K621" t="str">
        <v>+</v>
      </c>
      <c r="L621">
        <f>IF(D621=0,2*MAX(6*F621,75),(D621-1)*2*MAX(6*F621,75))/1000</f>
        <v>0.15</v>
      </c>
      <c r="M621" t="str">
        <v>=</v>
      </c>
      <c r="N621">
        <f>J621+L621</f>
        <v>0.27</v>
      </c>
      <c r="T621" t="str">
        <v>x</v>
      </c>
      <c r="U621">
        <f>0.006165*F621^2</f>
        <v>0</v>
      </c>
      <c r="V621" t="str">
        <v>x</v>
      </c>
      <c r="W621">
        <f>W617</f>
        <v>8</v>
      </c>
      <c r="X621" t="str">
        <v>x</v>
      </c>
      <c r="Y621">
        <f>D605</f>
        <v>3</v>
      </c>
      <c r="Z621" t="str">
        <v>=</v>
      </c>
      <c r="AA621">
        <f>N621*U621*W621*Y621</f>
        <v>0</v>
      </c>
    </row>
    <row r="625">
      <c r="A625" t="str">
        <f>A595</f>
        <v>Lantai 1</v>
      </c>
      <c r="B625">
        <f>B595+1</f>
        <v>20</v>
      </c>
      <c r="C625" t="str">
        <f>CONCATENATE(A625," no. ",B625)</f>
        <v>Lantai 1 no. 20</v>
      </c>
      <c r="D625" t="str">
        <f>VLOOKUP(C625,'Data Panjang Balok'!$C$9:$N$254,2,FALSE)</f>
        <v>S24-2</v>
      </c>
    </row>
    <row r="626">
      <c r="C626" t="str">
        <v>Dimensi</v>
      </c>
      <c r="D626">
        <f>VLOOKUP(D625,'Detail Balok'!$C$10:$AU$140,2,FALSE)</f>
        <v>200</v>
      </c>
      <c r="F626" t="str">
        <v>x</v>
      </c>
      <c r="G626">
        <f>VLOOKUP(D625,'Detail Balok'!$C$10:$AU$140,3,FALSE)</f>
        <v>400</v>
      </c>
    </row>
    <row r="627">
      <c r="C627" t="str">
        <v>Panjang as ke as</v>
      </c>
      <c r="D627">
        <f>VLOOKUP(C625,'Data Panjang Balok'!$C$9:$N$254,4,FALSE)</f>
        <v>4000</v>
      </c>
    </row>
    <row r="628">
      <c r="C628" t="str">
        <v>Panjang netto</v>
      </c>
      <c r="D628">
        <f>VLOOKUP(C625,'Data Panjang Balok'!$C$9:$N$254,7,FALSE)</f>
        <v>4000</v>
      </c>
    </row>
    <row r="629">
      <c r="C629" t="str">
        <v>Kolom / balok kiri</v>
      </c>
      <c r="D629">
        <f>VLOOKUP(C625,'Data Panjang Balok'!$C$9:$N$254,9,FALSE)</f>
        <v>0</v>
      </c>
    </row>
    <row r="630">
      <c r="C630" t="str">
        <v>Kolom / balok kanan</v>
      </c>
      <c r="D630">
        <f>VLOOKUP(C625,'Data Panjang Balok'!$C$9:$N$254,10,FALSE)</f>
        <v>0</v>
      </c>
    </row>
    <row r="631">
      <c r="C631" t="str">
        <v>Jumlah</v>
      </c>
      <c r="D631">
        <f>VLOOKUP(C625,'Data Panjang Balok'!$C$9:$N$254,3,FALSE)</f>
        <v>1</v>
      </c>
    </row>
    <row r="632">
      <c r="A632" t="str">
        <f>A625</f>
        <v>Lantai 1</v>
      </c>
      <c r="B632">
        <f>B625</f>
        <v>20</v>
      </c>
      <c r="C632" t="str">
        <v>Tul Atas Tumpuan</v>
      </c>
      <c r="D632">
        <f>VLOOKUP(D625,'Detail Balok'!$C$10:$AU$140,4,FALSE)</f>
        <v>3</v>
      </c>
      <c r="E632" t="str">
        <v>D</v>
      </c>
      <c r="F632">
        <f>VLOOKUP(D625,'Detail Balok'!$C$10:$AU$140,6,FALSE)</f>
        <v>16</v>
      </c>
      <c r="I632" t="str">
        <v>(</v>
      </c>
      <c r="J632">
        <f>+D627/4/1000</f>
        <v>1</v>
      </c>
      <c r="K632" t="str">
        <v>+</v>
      </c>
      <c r="L632">
        <f>MAX(VLOOKUP(F632,N$6:P$15,3,FALSE)/1000,2/3*D629/1000)+F$16*F632/1000</f>
        <v>0.192</v>
      </c>
      <c r="M632" t="str">
        <v>=</v>
      </c>
      <c r="N632">
        <f>J632+L632</f>
        <v>1.192</v>
      </c>
      <c r="O632" t="str">
        <v>+</v>
      </c>
      <c r="P632">
        <f>D632-D633</f>
        <v>0</v>
      </c>
      <c r="Q632" t="str">
        <v>x</v>
      </c>
      <c r="R632">
        <f>IF(P632&gt;0,$F$18*F632/1000,0)</f>
        <v>0</v>
      </c>
      <c r="S632" t="str">
        <v>)</v>
      </c>
      <c r="T632" t="str">
        <v>x</v>
      </c>
      <c r="U632">
        <f>0.006165*F632^2</f>
        <v>1.57824</v>
      </c>
      <c r="X632" t="str">
        <v>x</v>
      </c>
      <c r="Y632">
        <f>D631</f>
        <v>1</v>
      </c>
      <c r="Z632" t="str">
        <v>=</v>
      </c>
      <c r="AA632">
        <f>IF(AA635=0,(D632*N632+P632*R632)*U632*Y632,0)</f>
        <v>0</v>
      </c>
    </row>
    <row r="633">
      <c r="A633" t="str">
        <f>A625</f>
        <v>Lantai 1</v>
      </c>
      <c r="B633">
        <f>B625</f>
        <v>20</v>
      </c>
      <c r="C633" t="str">
        <v>Tul Atas Lapangan</v>
      </c>
      <c r="D633">
        <f>VLOOKUP(D625,'Detail Balok'!$C$10:$AU$140,7,FALSE)</f>
        <v>3</v>
      </c>
      <c r="E633" t="str">
        <v>D</v>
      </c>
      <c r="F633">
        <f>VLOOKUP(D625,'Detail Balok'!$C$10:$AU$140,9,FALSE)</f>
        <v>16</v>
      </c>
      <c r="I633" t="str">
        <v>(</v>
      </c>
      <c r="J633">
        <f>+D627/2/1000</f>
        <v>2</v>
      </c>
      <c r="K633" t="str">
        <v>+</v>
      </c>
      <c r="M633" t="str">
        <v>=</v>
      </c>
      <c r="N633">
        <f>J633+L633</f>
        <v>2</v>
      </c>
      <c r="O633" t="str">
        <v>+</v>
      </c>
      <c r="P633">
        <f>MAX(D633-D632,D633-D634)</f>
        <v>0</v>
      </c>
      <c r="Q633" t="str">
        <v>x</v>
      </c>
      <c r="R633">
        <f>IF(P633&gt;0,2*(1-2*$F$19-1/2)*D628/1000,0)</f>
        <v>0</v>
      </c>
      <c r="S633" t="str">
        <v>)</v>
      </c>
      <c r="T633" t="str">
        <v>x</v>
      </c>
      <c r="U633">
        <f>0.006165*F633^2</f>
        <v>1.57824</v>
      </c>
      <c r="X633" t="str">
        <v>x</v>
      </c>
      <c r="Y633">
        <f>D631</f>
        <v>1</v>
      </c>
      <c r="Z633" t="str">
        <v>=</v>
      </c>
      <c r="AA633">
        <f>IF(AA635=0,(D633*N633+P633*R633)*U633*Y633,0)</f>
        <v>0</v>
      </c>
    </row>
    <row r="634">
      <c r="A634" t="str">
        <f>A625</f>
        <v>Lantai 1</v>
      </c>
      <c r="B634">
        <f>B625</f>
        <v>20</v>
      </c>
      <c r="C634" t="str">
        <v>Tul Atas Tumpuan</v>
      </c>
      <c r="D634">
        <f>VLOOKUP(D625,'Detail Balok'!$C$10:$AU$140,10,FALSE)</f>
        <v>3</v>
      </c>
      <c r="E634" t="str">
        <v>D</v>
      </c>
      <c r="F634">
        <f>VLOOKUP(D625,'Detail Balok'!$C$10:$AU$140,12,FALSE)</f>
        <v>16</v>
      </c>
      <c r="I634" t="str">
        <v>(</v>
      </c>
      <c r="J634">
        <f>+D627/4/1000</f>
        <v>1</v>
      </c>
      <c r="K634" t="str">
        <v>+</v>
      </c>
      <c r="L634">
        <f>MAX(VLOOKUP(F634,N$6:P$15,3,FALSE)/1000,2/3*D629/1000)+F$16*F634/1000</f>
        <v>0.192</v>
      </c>
      <c r="M634" t="str">
        <v>=</v>
      </c>
      <c r="N634">
        <f>J634+L634</f>
        <v>1.192</v>
      </c>
      <c r="O634" t="str">
        <v>+</v>
      </c>
      <c r="P634">
        <f>D634-D633</f>
        <v>0</v>
      </c>
      <c r="Q634" t="str">
        <v>x</v>
      </c>
      <c r="R634">
        <f>IF(P634&gt;0,$F$18*F634/1000,0)</f>
        <v>0</v>
      </c>
      <c r="S634" t="str">
        <v>)</v>
      </c>
      <c r="T634" t="str">
        <v>x</v>
      </c>
      <c r="U634">
        <f>0.006165*F634^2</f>
        <v>1.57824</v>
      </c>
      <c r="X634" t="str">
        <v>x</v>
      </c>
      <c r="Y634">
        <f>D631</f>
        <v>1</v>
      </c>
      <c r="Z634" t="str">
        <v>=</v>
      </c>
      <c r="AA634">
        <f>IF(AA635=0,(D634*N634+P634*R634)*U634*Y634,0)</f>
        <v>0</v>
      </c>
    </row>
    <row r="635">
      <c r="A635" t="str">
        <f>A625</f>
        <v>Lantai 1</v>
      </c>
      <c r="B635">
        <f>B625</f>
        <v>20</v>
      </c>
      <c r="D635">
        <f>IF(AND(D632=D633,D633=D634,D632=D634),D632,0)</f>
        <v>3</v>
      </c>
      <c r="E635" t="str">
        <v>D</v>
      </c>
      <c r="F635">
        <f>IF(AND(F632=F633,F632=F634,F633=F634),F632,0)</f>
        <v>16</v>
      </c>
      <c r="L635" t="str">
        <v>Total panjang per balok</v>
      </c>
      <c r="M635" t="str">
        <v>=</v>
      </c>
      <c r="N635">
        <f>IF(AND(D632=D633,D632=D634,D633=D634,F632=F633,F632=F634,F633=F634),SUM(N632:N634),0)</f>
        <v>4.384</v>
      </c>
      <c r="O635" t="str">
        <v>+</v>
      </c>
      <c r="P635">
        <f>IF(N635&gt;12,ROUNDDOWN(N635/12,0),0)</f>
        <v>0</v>
      </c>
      <c r="Q635" t="str">
        <v>x</v>
      </c>
      <c r="R635">
        <f>IF(P635&gt;0,MAX(VLOOKUP(F635,$D$6:$G$15,3,FALSE),600),0)/1000</f>
        <v>0</v>
      </c>
      <c r="T635" t="str">
        <v>x</v>
      </c>
      <c r="U635">
        <f>U634</f>
        <v>1.57824</v>
      </c>
      <c r="V635" t="str">
        <v>x</v>
      </c>
      <c r="W635">
        <f>D635</f>
        <v>3</v>
      </c>
      <c r="X635" t="str">
        <v>x</v>
      </c>
      <c r="Y635">
        <f>Y634</f>
        <v>1</v>
      </c>
      <c r="Z635" t="str">
        <v>=</v>
      </c>
      <c r="AA635">
        <f>(N635+P635*R635/1000)*U635*W635*Y635</f>
        <v>20.757012480000004</v>
      </c>
    </row>
    <row r="637">
      <c r="A637" t="str">
        <f>A625</f>
        <v>Lantai 1</v>
      </c>
      <c r="B637">
        <f>B625</f>
        <v>20</v>
      </c>
      <c r="C637" t="str">
        <v>Tul Peminggang</v>
      </c>
      <c r="D637">
        <f>VLOOKUP(D625,'Detail Balok'!$C$10:$AU$140,13,FALSE)</f>
        <v>0</v>
      </c>
      <c r="E637" t="str">
        <v>D</v>
      </c>
      <c r="F637">
        <f>VLOOKUP(D625,'Detail Balok'!$C$10:$AU$140,15,FALSE)</f>
        <v>8</v>
      </c>
      <c r="J637">
        <f>+D627/1000</f>
        <v>4</v>
      </c>
      <c r="K637" t="str">
        <v>+</v>
      </c>
      <c r="L637">
        <f>2*$F$16*F637/1000</f>
        <v>0.192</v>
      </c>
      <c r="M637" t="str">
        <v>=</v>
      </c>
      <c r="N637">
        <f>J637+L637</f>
        <v>4.192</v>
      </c>
      <c r="O637" t="str">
        <v>+</v>
      </c>
      <c r="P637">
        <f>IF(N637&gt;12,ROUNDDOWN(N637/12,0),0)</f>
        <v>0</v>
      </c>
      <c r="Q637" t="str">
        <v>x</v>
      </c>
      <c r="R637">
        <f>IF(P637&gt;0,MAX(VLOOKUP(F637,$D$6:$G$15,3,FALSE),600),0)/1000</f>
        <v>0</v>
      </c>
      <c r="T637" t="str">
        <v>x</v>
      </c>
      <c r="U637">
        <f>0.006165*F637^2</f>
        <v>0.39456</v>
      </c>
      <c r="V637" t="str">
        <v>x</v>
      </c>
      <c r="W637">
        <f>+D637</f>
        <v>0</v>
      </c>
      <c r="X637" t="str">
        <v>x</v>
      </c>
      <c r="Y637">
        <f>D631</f>
        <v>1</v>
      </c>
      <c r="Z637" t="str">
        <v>=</v>
      </c>
      <c r="AA637">
        <f>(N637+P637*R637/1000)*U637*W637*Y637</f>
        <v>0</v>
      </c>
    </row>
    <row r="640">
      <c r="A640" t="str">
        <f>A625</f>
        <v>Lantai 1</v>
      </c>
      <c r="B640">
        <f>B625</f>
        <v>20</v>
      </c>
      <c r="C640" t="str">
        <v>Tul Bawah Tumpuan</v>
      </c>
      <c r="D640">
        <f>VLOOKUP(D625,'Detail Balok'!$C$10:$AU$140,22,FALSE)</f>
        <v>3</v>
      </c>
      <c r="E640" t="str">
        <v>D</v>
      </c>
      <c r="F640">
        <f>VLOOKUP(D625,'Detail Balok'!$C$10:$AU$140,24,FALSE)</f>
        <v>16</v>
      </c>
      <c r="I640" t="str">
        <v>(</v>
      </c>
      <c r="J640">
        <f>+J632</f>
        <v>1</v>
      </c>
      <c r="K640" t="str">
        <v>+</v>
      </c>
      <c r="L640">
        <f>MAX(VLOOKUP(F640,N$6:P$15,3,FALSE)/1000,2/3*D630/1000)+F$16*F640/1000</f>
        <v>0.192</v>
      </c>
      <c r="M640" t="str">
        <v>=</v>
      </c>
      <c r="N640">
        <f>J640+L640</f>
        <v>1.192</v>
      </c>
      <c r="O640" t="str">
        <v>+</v>
      </c>
      <c r="P640">
        <f>D640-D641</f>
        <v>0</v>
      </c>
      <c r="Q640" t="str">
        <v>x</v>
      </c>
      <c r="R640">
        <f>IF(P640&gt;0,$F$18*F640/1000,0)</f>
        <v>0</v>
      </c>
      <c r="S640" t="str">
        <v>)</v>
      </c>
      <c r="T640" t="str">
        <v>x</v>
      </c>
      <c r="U640">
        <f>0.006165*F640^2</f>
        <v>1.57824</v>
      </c>
      <c r="X640" t="str">
        <v>x</v>
      </c>
      <c r="Y640">
        <f>D631</f>
        <v>1</v>
      </c>
      <c r="Z640" t="str">
        <v>=</v>
      </c>
      <c r="AA640">
        <f>IF(AA643=0,(D640*N640+P640*R640)*U640*Y640,0)</f>
        <v>0</v>
      </c>
    </row>
    <row r="641">
      <c r="A641" t="str">
        <f>A625</f>
        <v>Lantai 1</v>
      </c>
      <c r="B641">
        <f>B625</f>
        <v>20</v>
      </c>
      <c r="C641" t="str">
        <v>Tul Bawah Lapangan</v>
      </c>
      <c r="D641">
        <f>VLOOKUP(D625,'Detail Balok'!$C$10:$AU$140,25,FALSE)</f>
        <v>3</v>
      </c>
      <c r="E641" t="str">
        <v>D</v>
      </c>
      <c r="F641">
        <f>VLOOKUP(D625,'Detail Balok'!$C$10:$AU$140,27,FALSE)</f>
        <v>16</v>
      </c>
      <c r="I641" t="str">
        <v>(</v>
      </c>
      <c r="J641">
        <f>+J633</f>
        <v>2</v>
      </c>
      <c r="K641" t="str">
        <v>+</v>
      </c>
      <c r="M641" t="str">
        <v>=</v>
      </c>
      <c r="N641">
        <f>J641+L641</f>
        <v>2</v>
      </c>
      <c r="O641" t="str">
        <v>+</v>
      </c>
      <c r="P641">
        <f>MAX(D641-D640,D641-D642)</f>
        <v>0</v>
      </c>
      <c r="Q641" t="str">
        <v>x</v>
      </c>
      <c r="R641">
        <f>IF(P641&gt;0,2*(1-2*$F$19-1/2)*D628/1000,0)</f>
        <v>0</v>
      </c>
      <c r="S641" t="str">
        <v>)</v>
      </c>
      <c r="T641" t="str">
        <v>x</v>
      </c>
      <c r="U641">
        <f>0.006165*F641^2</f>
        <v>1.57824</v>
      </c>
      <c r="X641" t="str">
        <v>x</v>
      </c>
      <c r="Y641">
        <f>D631</f>
        <v>1</v>
      </c>
      <c r="Z641" t="str">
        <v>=</v>
      </c>
      <c r="AA641">
        <f>IF(AA643=0,(D641*N641+P641*R641)*U641*Y641,0)</f>
        <v>0</v>
      </c>
    </row>
    <row r="642">
      <c r="A642" t="str">
        <f>A625</f>
        <v>Lantai 1</v>
      </c>
      <c r="B642">
        <f>B625</f>
        <v>20</v>
      </c>
      <c r="C642" t="str">
        <v>Tul Bawah Tumpuan</v>
      </c>
      <c r="D642">
        <f>VLOOKUP(D625,'Detail Balok'!$C$10:$AU$140,28,FALSE)</f>
        <v>3</v>
      </c>
      <c r="E642" t="str">
        <v>D</v>
      </c>
      <c r="F642">
        <f>VLOOKUP(D625,'Detail Balok'!$C$10:$AU$140,30,FALSE)</f>
        <v>16</v>
      </c>
      <c r="I642" t="str">
        <v>(</v>
      </c>
      <c r="J642">
        <f>+J634</f>
        <v>1</v>
      </c>
      <c r="K642" t="str">
        <v>+</v>
      </c>
      <c r="L642">
        <f>MAX(VLOOKUP(F642,N$6:P$15,3,FALSE)/1000,2/3*D630/1000)+F$16*F642/1000</f>
        <v>0.192</v>
      </c>
      <c r="M642" t="str">
        <v>=</v>
      </c>
      <c r="N642">
        <f>J642+L642</f>
        <v>1.192</v>
      </c>
      <c r="O642" t="str">
        <v>+</v>
      </c>
      <c r="P642">
        <f>D642-D641</f>
        <v>0</v>
      </c>
      <c r="Q642" t="str">
        <v>x</v>
      </c>
      <c r="R642">
        <f>IF(P642&gt;0,$F$18*F642/1000,0)</f>
        <v>0</v>
      </c>
      <c r="S642" t="str">
        <v>)</v>
      </c>
      <c r="T642" t="str">
        <v>x</v>
      </c>
      <c r="U642">
        <f>0.006165*F642^2</f>
        <v>1.57824</v>
      </c>
      <c r="X642" t="str">
        <v>x</v>
      </c>
      <c r="Y642">
        <f>D631</f>
        <v>1</v>
      </c>
      <c r="Z642" t="str">
        <v>=</v>
      </c>
      <c r="AA642">
        <f>IF(AA643=0,(D642*N642+P642*R642)*U642*Y642,0)</f>
        <v>0</v>
      </c>
    </row>
    <row r="643">
      <c r="A643" t="str">
        <f>A625</f>
        <v>Lantai 1</v>
      </c>
      <c r="B643">
        <f>B625</f>
        <v>20</v>
      </c>
      <c r="D643">
        <f>IF(AND(D640=D641,D641=D642,D640=D642),D640,0)</f>
        <v>3</v>
      </c>
      <c r="E643" t="str">
        <v>D</v>
      </c>
      <c r="F643">
        <f>IF(AND(F640=F641,F640=F642,F641=F642),F640,0)</f>
        <v>16</v>
      </c>
      <c r="L643" t="str">
        <v>Total panjang per balok</v>
      </c>
      <c r="M643" t="str">
        <v>=</v>
      </c>
      <c r="N643">
        <f>IF(AND(D640=D641,D640=D642,D641=D642,F640=F641,F640=F642,F641=F642),SUM(N640:N642),0)</f>
        <v>4.384</v>
      </c>
      <c r="O643" t="str">
        <v>+</v>
      </c>
      <c r="P643">
        <f>IF(N643&gt;12,ROUNDDOWN(N643/12,0),0)</f>
        <v>0</v>
      </c>
      <c r="Q643" t="str">
        <v>x</v>
      </c>
      <c r="R643">
        <f>IF(P643&gt;0,MAX(VLOOKUP(F643,$D$6:$G$15,3,FALSE),600),0)/1000</f>
        <v>0</v>
      </c>
      <c r="T643" t="str">
        <v>x</v>
      </c>
      <c r="U643">
        <f>U642</f>
        <v>1.57824</v>
      </c>
      <c r="V643" t="str">
        <v>x</v>
      </c>
      <c r="W643">
        <f>D643</f>
        <v>3</v>
      </c>
      <c r="X643" t="str">
        <v>x</v>
      </c>
      <c r="Y643">
        <f>Y642</f>
        <v>1</v>
      </c>
      <c r="Z643" t="str">
        <v>=</v>
      </c>
      <c r="AA643">
        <f>(N643+P643*R643/1000)*U643*W643*Y643</f>
        <v>20.757012480000004</v>
      </c>
    </row>
    <row r="645">
      <c r="A645" t="str">
        <f>A625</f>
        <v>Lantai 1</v>
      </c>
      <c r="B645">
        <f>B625</f>
        <v>20</v>
      </c>
      <c r="C645" t="str">
        <v>Sengkang Tumpuan</v>
      </c>
      <c r="D645">
        <f>VLOOKUP(D625,'Detail Balok'!$C$10:$AU$140,31,FALSE)</f>
        <v>0</v>
      </c>
      <c r="E645" t="str">
        <v>D</v>
      </c>
      <c r="F645">
        <f>VLOOKUP(D625,'Detail Balok'!$C$10:$AU$140,33,FALSE)</f>
        <v>8</v>
      </c>
      <c r="G645" t="str">
        <v>-</v>
      </c>
      <c r="H645">
        <f>VLOOKUP(D625,'Detail Balok'!$C$10:$AU$140,35,FALSE)</f>
        <v>150</v>
      </c>
      <c r="J645">
        <f>(IF(D645=0,(2*(D626+G626))-(F$5*8),IF(D645=3,(2*(D626+G626))-(F$5*8)+(G626-2*F$5),IF(D645=4,(2*(D626+G626))-(F$5*8)+2*(G626-2*F$5)))))/1000</f>
        <v>0.88</v>
      </c>
      <c r="K645" t="str">
        <v>+</v>
      </c>
      <c r="L645">
        <f>IF(D645=0,2*MAX(6*F645,75),(D645-1)*2*MAX(6*F645,75))/1000</f>
        <v>0.15</v>
      </c>
      <c r="M645" t="str">
        <v>=</v>
      </c>
      <c r="N645">
        <f>J645+L645</f>
        <v>1.03</v>
      </c>
      <c r="T645" t="str">
        <v>x</v>
      </c>
      <c r="U645">
        <f>0.006165*F645^2</f>
        <v>0.39456</v>
      </c>
      <c r="V645" t="str">
        <v>x</v>
      </c>
      <c r="W645">
        <f>IF(D628&gt;4*G626,ROUND(MAX(D628/4,2*G626)/H645,0)+1,ROUND(D628/H645,0)+1)</f>
        <v>8</v>
      </c>
      <c r="X645" t="str">
        <v>x</v>
      </c>
      <c r="Y645">
        <f>D631</f>
        <v>1</v>
      </c>
      <c r="Z645" t="str">
        <v>=</v>
      </c>
      <c r="AA645">
        <f>N645*U645*W645*Y645</f>
        <v>3.2511744000000005</v>
      </c>
    </row>
    <row r="646">
      <c r="A646" t="str">
        <f>A625</f>
        <v>Lantai 1</v>
      </c>
      <c r="B646">
        <f>B625</f>
        <v>20</v>
      </c>
      <c r="C646" t="str">
        <v>Sengkang Lapangan</v>
      </c>
      <c r="D646">
        <f>VLOOKUP(D625,'Detail Balok'!$C$10:$AU$140,36,FALSE)</f>
        <v>0</v>
      </c>
      <c r="E646" t="str">
        <v>D</v>
      </c>
      <c r="F646">
        <f>VLOOKUP(D625,'Detail Balok'!$C$10:$AU$140,38,FALSE)</f>
        <v>8</v>
      </c>
      <c r="G646" t="str">
        <v>-</v>
      </c>
      <c r="H646">
        <f>VLOOKUP(D625,'Detail Balok'!$C$10:$AU$140,40,FALSE)</f>
        <v>200</v>
      </c>
      <c r="J646">
        <f>(IF(D646=0,(2*(D626+G626))-(F$5*8),IF(D646=3,(2*(D626+G626))-(F$5*8)+(G626-2*F$5),IF(D646=4,(2*(D626+G626))-(F$5*8)+2*(G626-2*F$5)))))/1000</f>
        <v>0.88</v>
      </c>
      <c r="K646" t="str">
        <v>+</v>
      </c>
      <c r="L646">
        <f>IF(D646=0,2*MAX(6*F646,75),(D646-1)*2*MAX(6*F646,75))/1000</f>
        <v>0.15</v>
      </c>
      <c r="M646" t="str">
        <v>=</v>
      </c>
      <c r="N646">
        <f>J646+L646</f>
        <v>1.03</v>
      </c>
      <c r="T646" t="str">
        <v>x</v>
      </c>
      <c r="U646">
        <f>0.006165*F646^2</f>
        <v>0.39456</v>
      </c>
      <c r="V646" t="str">
        <v>x</v>
      </c>
      <c r="W646">
        <f>IF(D628-MAX(D628/4,2*G626)*2&gt;0,ROUND((D628-MAX(D628/4,2*G626)*2)/H646,0),0)</f>
        <v>10</v>
      </c>
      <c r="X646" t="str">
        <v>x</v>
      </c>
      <c r="Y646">
        <f>D631</f>
        <v>1</v>
      </c>
      <c r="Z646" t="str">
        <v>=</v>
      </c>
      <c r="AA646">
        <f>N646*U646*W646*Y646</f>
        <v>4.063968000000001</v>
      </c>
    </row>
    <row r="647">
      <c r="A647" t="str">
        <f>A625</f>
        <v>Lantai 1</v>
      </c>
      <c r="B647">
        <f>B625</f>
        <v>20</v>
      </c>
      <c r="C647" t="str">
        <v>Sengkang Tumpuan</v>
      </c>
      <c r="D647">
        <f>VLOOKUP(D625,'Detail Balok'!$C$10:$AU$140,41,FALSE)</f>
        <v>0</v>
      </c>
      <c r="E647" t="str">
        <v>D</v>
      </c>
      <c r="F647">
        <f>VLOOKUP(D625,'Detail Balok'!$C$10:$AU$140,43,FALSE)</f>
        <v>8</v>
      </c>
      <c r="G647" t="str">
        <v>-</v>
      </c>
      <c r="H647">
        <f>VLOOKUP(D625,'Detail Balok'!$C$10:$AU$140,45,FALSE)</f>
        <v>150</v>
      </c>
      <c r="J647">
        <f>(IF(D647=0,(2*(D626+G626))-(F$5*8),IF(D647=3,(2*(D626+G626))-(F$5*8)+(G626-2*F$5),IF(D647=4,(2*(D626+G626))-(F$5*8)+2*(G626-2*F$5)))))/1000</f>
        <v>0.88</v>
      </c>
      <c r="K647" t="str">
        <v>+</v>
      </c>
      <c r="L647">
        <f>IF(D647=0,2*MAX(6*F647,75),(D647-1)*2*MAX(6*F647,75))/1000</f>
        <v>0.15</v>
      </c>
      <c r="M647" t="str">
        <v>=</v>
      </c>
      <c r="N647">
        <f>J647+L647</f>
        <v>1.03</v>
      </c>
      <c r="T647" t="str">
        <v>x</v>
      </c>
      <c r="U647">
        <f>0.006165*F647^2</f>
        <v>0.39456</v>
      </c>
      <c r="V647" t="str">
        <v>x</v>
      </c>
      <c r="W647">
        <f>IF(D628&gt;4*G626,ROUND(MAX(D628/4,2*G626)/H647,0)+1,0)</f>
        <v>8</v>
      </c>
      <c r="X647" t="str">
        <v>x</v>
      </c>
      <c r="Y647">
        <f>D631</f>
        <v>1</v>
      </c>
      <c r="Z647" t="str">
        <v>=</v>
      </c>
      <c r="AA647">
        <f>N647*U647*W647*Y647</f>
        <v>3.2511744000000005</v>
      </c>
    </row>
    <row r="649">
      <c r="A649" t="str">
        <f>A625</f>
        <v>Lantai 1</v>
      </c>
      <c r="B649">
        <f>B625</f>
        <v>20</v>
      </c>
      <c r="C649" t="str">
        <v>Kait Horizontal Tump.</v>
      </c>
      <c r="D649">
        <f>VLOOKUP(D625,'Detail Balok'!$C$10:$BJ$140,46,FALSE)</f>
        <v>0</v>
      </c>
      <c r="E649" t="str">
        <v>D</v>
      </c>
      <c r="F649">
        <f>VLOOKUP(D625,'Detail Balok'!$C$10:$BJ$140,48,FALSE)</f>
        <v>0</v>
      </c>
      <c r="G649" t="str">
        <v>-</v>
      </c>
      <c r="H649">
        <f>VLOOKUP(D625,'Detail Balok'!$C$10:$BJ$140,50,FALSE)</f>
        <v>100</v>
      </c>
      <c r="J649">
        <f>(D626-2*F$5)/1000</f>
        <v>0.12</v>
      </c>
      <c r="K649" t="str">
        <v>+</v>
      </c>
      <c r="L649">
        <f>IF(D649=0,2*MAX(6*F649,75),(D649-1)*2*MAX(6*F649,75))/1000</f>
        <v>0.15</v>
      </c>
      <c r="M649" t="str">
        <v>=</v>
      </c>
      <c r="N649">
        <f>J649+L649</f>
        <v>0.27</v>
      </c>
      <c r="T649" t="str">
        <v>x</v>
      </c>
      <c r="U649">
        <f>0.006165*F649^2</f>
        <v>0</v>
      </c>
      <c r="V649" t="str">
        <v>x</v>
      </c>
      <c r="W649">
        <f>W645</f>
        <v>8</v>
      </c>
      <c r="X649" t="str">
        <v>x</v>
      </c>
      <c r="Y649">
        <f>D635</f>
        <v>3</v>
      </c>
      <c r="Z649" t="str">
        <v>=</v>
      </c>
      <c r="AA649">
        <f>N649*U649*W649*Y649</f>
        <v>0</v>
      </c>
    </row>
    <row r="650">
      <c r="A650" t="str">
        <f>A625</f>
        <v>Lantai 1</v>
      </c>
      <c r="B650">
        <f>B625</f>
        <v>20</v>
      </c>
      <c r="C650" t="str">
        <v>Kait Horizontal Lap.</v>
      </c>
      <c r="D650">
        <f>VLOOKUP(D625,'Detail Balok'!$C$10:$BJ$140,51,FALSE)</f>
        <v>0</v>
      </c>
      <c r="E650" t="str">
        <v>D</v>
      </c>
      <c r="F650">
        <f>VLOOKUP(D625,'Detail Balok'!$C$10:$BJ$140,53,FALSE)</f>
        <v>0</v>
      </c>
      <c r="G650" t="str">
        <v>-</v>
      </c>
      <c r="H650">
        <f>VLOOKUP(D625,'Detail Balok'!$C$10:$BJ$140,55,FALSE)</f>
        <v>100</v>
      </c>
      <c r="J650">
        <f>(D626-2*F$5)/1000</f>
        <v>0.12</v>
      </c>
      <c r="K650" t="str">
        <v>+</v>
      </c>
      <c r="L650">
        <f>IF(D650=0,2*MAX(6*F650,75),(D650-1)*2*MAX(6*F650,75))/1000</f>
        <v>0.15</v>
      </c>
      <c r="M650" t="str">
        <v>=</v>
      </c>
      <c r="N650">
        <f>J650+L650</f>
        <v>0.27</v>
      </c>
      <c r="T650" t="str">
        <v>x</v>
      </c>
      <c r="U650">
        <f>0.006165*F650^2</f>
        <v>0</v>
      </c>
      <c r="V650" t="str">
        <v>x</v>
      </c>
      <c r="W650">
        <f>W646</f>
        <v>10</v>
      </c>
      <c r="X650" t="str">
        <v>x</v>
      </c>
      <c r="Y650">
        <f>D635</f>
        <v>3</v>
      </c>
      <c r="Z650" t="str">
        <v>=</v>
      </c>
      <c r="AA650">
        <f>N650*U650*W650*Y650</f>
        <v>0</v>
      </c>
    </row>
    <row r="651">
      <c r="A651" t="str">
        <f>A625</f>
        <v>Lantai 1</v>
      </c>
      <c r="B651">
        <f>B625</f>
        <v>20</v>
      </c>
      <c r="C651" t="str">
        <v>Kait Horizontal Tump.</v>
      </c>
      <c r="D651">
        <f>VLOOKUP(D625,'Detail Balok'!$C$10:$BJ$140,56,FALSE)</f>
        <v>0</v>
      </c>
      <c r="E651" t="str">
        <v>D</v>
      </c>
      <c r="F651">
        <f>VLOOKUP(D625,'Detail Balok'!$C$10:$BJ$140,58,FALSE)</f>
        <v>0</v>
      </c>
      <c r="G651" t="str">
        <v>-</v>
      </c>
      <c r="H651">
        <f>VLOOKUP(D625,'Detail Balok'!$C$10:$BJ$140,60,FALSE)</f>
        <v>100</v>
      </c>
      <c r="J651">
        <f>(D626-2*F$5)/1000</f>
        <v>0.12</v>
      </c>
      <c r="K651" t="str">
        <v>+</v>
      </c>
      <c r="L651">
        <f>IF(D651=0,2*MAX(6*F651,75),(D651-1)*2*MAX(6*F651,75))/1000</f>
        <v>0.15</v>
      </c>
      <c r="M651" t="str">
        <v>=</v>
      </c>
      <c r="N651">
        <f>J651+L651</f>
        <v>0.27</v>
      </c>
      <c r="T651" t="str">
        <v>x</v>
      </c>
      <c r="U651">
        <f>0.006165*F651^2</f>
        <v>0</v>
      </c>
      <c r="V651" t="str">
        <v>x</v>
      </c>
      <c r="W651">
        <f>W647</f>
        <v>8</v>
      </c>
      <c r="X651" t="str">
        <v>x</v>
      </c>
      <c r="Y651">
        <f>D635</f>
        <v>3</v>
      </c>
      <c r="Z651" t="str">
        <v>=</v>
      </c>
      <c r="AA651">
        <f>N651*U651*W651*Y651</f>
        <v>0</v>
      </c>
    </row>
    <row r="655">
      <c r="A655" t="str">
        <f>A625</f>
        <v>Lantai 1</v>
      </c>
      <c r="B655">
        <f>B625+1</f>
        <v>21</v>
      </c>
      <c r="C655" t="str">
        <f>CONCATENATE(A655," no. ",B655)</f>
        <v>Lantai 1 no. 21</v>
      </c>
      <c r="D655" t="str">
        <f>VLOOKUP(C655,'Data Panjang Balok'!$C$9:$N$254,2,FALSE)</f>
        <v>S24-2</v>
      </c>
    </row>
    <row r="656">
      <c r="C656" t="str">
        <v>Dimensi</v>
      </c>
      <c r="D656">
        <f>VLOOKUP(D655,'Detail Balok'!$C$10:$AU$140,2,FALSE)</f>
        <v>200</v>
      </c>
      <c r="F656" t="str">
        <v>x</v>
      </c>
      <c r="G656">
        <f>VLOOKUP(D655,'Detail Balok'!$C$10:$AU$140,3,FALSE)</f>
        <v>400</v>
      </c>
    </row>
    <row r="657">
      <c r="C657" t="str">
        <v>Panjang as ke as</v>
      </c>
      <c r="D657">
        <f>VLOOKUP(C655,'Data Panjang Balok'!$C$9:$N$254,4,FALSE)</f>
        <v>4000</v>
      </c>
    </row>
    <row r="658">
      <c r="C658" t="str">
        <v>Panjang netto</v>
      </c>
      <c r="D658">
        <f>VLOOKUP(C655,'Data Panjang Balok'!$C$9:$N$254,7,FALSE)</f>
        <v>4000</v>
      </c>
    </row>
    <row r="659">
      <c r="C659" t="str">
        <v>Kolom / balok kiri</v>
      </c>
      <c r="D659">
        <f>VLOOKUP(C655,'Data Panjang Balok'!$C$9:$N$254,9,FALSE)</f>
        <v>0</v>
      </c>
    </row>
    <row r="660">
      <c r="C660" t="str">
        <v>Kolom / balok kanan</v>
      </c>
      <c r="D660">
        <f>VLOOKUP(C655,'Data Panjang Balok'!$C$9:$N$254,10,FALSE)</f>
        <v>0</v>
      </c>
    </row>
    <row r="661">
      <c r="C661" t="str">
        <v>Jumlah</v>
      </c>
      <c r="D661">
        <f>VLOOKUP(C655,'Data Panjang Balok'!$C$9:$N$254,3,FALSE)</f>
        <v>1</v>
      </c>
    </row>
    <row r="662">
      <c r="A662" t="str">
        <f>A655</f>
        <v>Lantai 1</v>
      </c>
      <c r="B662">
        <f>B655</f>
        <v>21</v>
      </c>
      <c r="C662" t="str">
        <v>Tul Atas Tumpuan</v>
      </c>
      <c r="D662">
        <f>VLOOKUP(D655,'Detail Balok'!$C$10:$AU$140,4,FALSE)</f>
        <v>3</v>
      </c>
      <c r="E662" t="str">
        <v>D</v>
      </c>
      <c r="F662">
        <f>VLOOKUP(D655,'Detail Balok'!$C$10:$AU$140,6,FALSE)</f>
        <v>16</v>
      </c>
      <c r="I662" t="str">
        <v>(</v>
      </c>
      <c r="J662">
        <f>+D657/4/1000</f>
        <v>1</v>
      </c>
      <c r="K662" t="str">
        <v>+</v>
      </c>
      <c r="L662">
        <f>MAX(VLOOKUP(F662,N$6:P$15,3,FALSE)/1000,2/3*D659/1000)+F$16*F662/1000</f>
        <v>0.192</v>
      </c>
      <c r="M662" t="str">
        <v>=</v>
      </c>
      <c r="N662">
        <f>J662+L662</f>
        <v>1.192</v>
      </c>
      <c r="O662" t="str">
        <v>+</v>
      </c>
      <c r="P662">
        <f>D662-D663</f>
        <v>0</v>
      </c>
      <c r="Q662" t="str">
        <v>x</v>
      </c>
      <c r="R662">
        <f>IF(P662&gt;0,$F$18*F662/1000,0)</f>
        <v>0</v>
      </c>
      <c r="S662" t="str">
        <v>)</v>
      </c>
      <c r="T662" t="str">
        <v>x</v>
      </c>
      <c r="U662">
        <f>0.006165*F662^2</f>
        <v>1.57824</v>
      </c>
      <c r="X662" t="str">
        <v>x</v>
      </c>
      <c r="Y662">
        <f>D661</f>
        <v>1</v>
      </c>
      <c r="Z662" t="str">
        <v>=</v>
      </c>
      <c r="AA662">
        <f>IF(AA665=0,(D662*N662+P662*R662)*U662*Y662,0)</f>
        <v>0</v>
      </c>
    </row>
    <row r="663">
      <c r="A663" t="str">
        <f>A655</f>
        <v>Lantai 1</v>
      </c>
      <c r="B663">
        <f>B655</f>
        <v>21</v>
      </c>
      <c r="C663" t="str">
        <v>Tul Atas Lapangan</v>
      </c>
      <c r="D663">
        <f>VLOOKUP(D655,'Detail Balok'!$C$10:$AU$140,7,FALSE)</f>
        <v>3</v>
      </c>
      <c r="E663" t="str">
        <v>D</v>
      </c>
      <c r="F663">
        <f>VLOOKUP(D655,'Detail Balok'!$C$10:$AU$140,9,FALSE)</f>
        <v>16</v>
      </c>
      <c r="I663" t="str">
        <v>(</v>
      </c>
      <c r="J663">
        <f>+D657/2/1000</f>
        <v>2</v>
      </c>
      <c r="K663" t="str">
        <v>+</v>
      </c>
      <c r="M663" t="str">
        <v>=</v>
      </c>
      <c r="N663">
        <f>J663+L663</f>
        <v>2</v>
      </c>
      <c r="O663" t="str">
        <v>+</v>
      </c>
      <c r="P663">
        <f>MAX(D663-D662,D663-D664)</f>
        <v>0</v>
      </c>
      <c r="Q663" t="str">
        <v>x</v>
      </c>
      <c r="R663">
        <f>IF(P663&gt;0,2*(1-2*$F$19-1/2)*D658/1000,0)</f>
        <v>0</v>
      </c>
      <c r="S663" t="str">
        <v>)</v>
      </c>
      <c r="T663" t="str">
        <v>x</v>
      </c>
      <c r="U663">
        <f>0.006165*F663^2</f>
        <v>1.57824</v>
      </c>
      <c r="X663" t="str">
        <v>x</v>
      </c>
      <c r="Y663">
        <f>D661</f>
        <v>1</v>
      </c>
      <c r="Z663" t="str">
        <v>=</v>
      </c>
      <c r="AA663">
        <f>IF(AA665=0,(D663*N663+P663*R663)*U663*Y663,0)</f>
        <v>0</v>
      </c>
    </row>
    <row r="664">
      <c r="A664" t="str">
        <f>A655</f>
        <v>Lantai 1</v>
      </c>
      <c r="B664">
        <f>B655</f>
        <v>21</v>
      </c>
      <c r="C664" t="str">
        <v>Tul Atas Tumpuan</v>
      </c>
      <c r="D664">
        <f>VLOOKUP(D655,'Detail Balok'!$C$10:$AU$140,10,FALSE)</f>
        <v>3</v>
      </c>
      <c r="E664" t="str">
        <v>D</v>
      </c>
      <c r="F664">
        <f>VLOOKUP(D655,'Detail Balok'!$C$10:$AU$140,12,FALSE)</f>
        <v>16</v>
      </c>
      <c r="I664" t="str">
        <v>(</v>
      </c>
      <c r="J664">
        <f>+D657/4/1000</f>
        <v>1</v>
      </c>
      <c r="K664" t="str">
        <v>+</v>
      </c>
      <c r="L664">
        <f>MAX(VLOOKUP(F664,N$6:P$15,3,FALSE)/1000,2/3*D659/1000)+F$16*F664/1000</f>
        <v>0.192</v>
      </c>
      <c r="M664" t="str">
        <v>=</v>
      </c>
      <c r="N664">
        <f>J664+L664</f>
        <v>1.192</v>
      </c>
      <c r="O664" t="str">
        <v>+</v>
      </c>
      <c r="P664">
        <f>D664-D663</f>
        <v>0</v>
      </c>
      <c r="Q664" t="str">
        <v>x</v>
      </c>
      <c r="R664">
        <f>IF(P664&gt;0,$F$18*F664/1000,0)</f>
        <v>0</v>
      </c>
      <c r="S664" t="str">
        <v>)</v>
      </c>
      <c r="T664" t="str">
        <v>x</v>
      </c>
      <c r="U664">
        <f>0.006165*F664^2</f>
        <v>1.57824</v>
      </c>
      <c r="X664" t="str">
        <v>x</v>
      </c>
      <c r="Y664">
        <f>D661</f>
        <v>1</v>
      </c>
      <c r="Z664" t="str">
        <v>=</v>
      </c>
      <c r="AA664">
        <f>IF(AA665=0,(D664*N664+P664*R664)*U664*Y664,0)</f>
        <v>0</v>
      </c>
    </row>
    <row r="665">
      <c r="A665" t="str">
        <f>A655</f>
        <v>Lantai 1</v>
      </c>
      <c r="B665">
        <f>B655</f>
        <v>21</v>
      </c>
      <c r="D665">
        <f>IF(AND(D662=D663,D663=D664,D662=D664),D662,0)</f>
        <v>3</v>
      </c>
      <c r="E665" t="str">
        <v>D</v>
      </c>
      <c r="F665">
        <f>IF(AND(F662=F663,F662=F664,F663=F664),F662,0)</f>
        <v>16</v>
      </c>
      <c r="L665" t="str">
        <v>Total panjang per balok</v>
      </c>
      <c r="M665" t="str">
        <v>=</v>
      </c>
      <c r="N665">
        <f>IF(AND(D662=D663,D662=D664,D663=D664,F662=F663,F662=F664,F663=F664),SUM(N662:N664),0)</f>
        <v>4.384</v>
      </c>
      <c r="O665" t="str">
        <v>+</v>
      </c>
      <c r="P665">
        <f>IF(N665&gt;12,ROUNDDOWN(N665/12,0),0)</f>
        <v>0</v>
      </c>
      <c r="Q665" t="str">
        <v>x</v>
      </c>
      <c r="R665">
        <f>IF(P665&gt;0,MAX(VLOOKUP(F665,$D$6:$G$15,3,FALSE),600),0)/1000</f>
        <v>0</v>
      </c>
      <c r="T665" t="str">
        <v>x</v>
      </c>
      <c r="U665">
        <f>U664</f>
        <v>1.57824</v>
      </c>
      <c r="V665" t="str">
        <v>x</v>
      </c>
      <c r="W665">
        <f>D665</f>
        <v>3</v>
      </c>
      <c r="X665" t="str">
        <v>x</v>
      </c>
      <c r="Y665">
        <f>Y664</f>
        <v>1</v>
      </c>
      <c r="Z665" t="str">
        <v>=</v>
      </c>
      <c r="AA665">
        <f>(N665+P665*R665/1000)*U665*W665*Y665</f>
        <v>20.757012480000004</v>
      </c>
    </row>
    <row r="667">
      <c r="A667" t="str">
        <f>A655</f>
        <v>Lantai 1</v>
      </c>
      <c r="B667">
        <f>B655</f>
        <v>21</v>
      </c>
      <c r="C667" t="str">
        <v>Tul Peminggang</v>
      </c>
      <c r="D667">
        <f>VLOOKUP(D655,'Detail Balok'!$C$10:$AU$140,13,FALSE)</f>
        <v>0</v>
      </c>
      <c r="E667" t="str">
        <v>D</v>
      </c>
      <c r="F667">
        <f>VLOOKUP(D655,'Detail Balok'!$C$10:$AU$140,15,FALSE)</f>
        <v>8</v>
      </c>
      <c r="J667">
        <f>+D657/1000</f>
        <v>4</v>
      </c>
      <c r="K667" t="str">
        <v>+</v>
      </c>
      <c r="L667">
        <f>2*$F$16*F667/1000</f>
        <v>0.192</v>
      </c>
      <c r="M667" t="str">
        <v>=</v>
      </c>
      <c r="N667">
        <f>J667+L667</f>
        <v>4.192</v>
      </c>
      <c r="O667" t="str">
        <v>+</v>
      </c>
      <c r="P667">
        <f>IF(N667&gt;12,ROUNDDOWN(N667/12,0),0)</f>
        <v>0</v>
      </c>
      <c r="Q667" t="str">
        <v>x</v>
      </c>
      <c r="R667">
        <f>IF(P667&gt;0,MAX(VLOOKUP(F667,$D$6:$G$15,3,FALSE),600),0)/1000</f>
        <v>0</v>
      </c>
      <c r="T667" t="str">
        <v>x</v>
      </c>
      <c r="U667">
        <f>0.006165*F667^2</f>
        <v>0.39456</v>
      </c>
      <c r="V667" t="str">
        <v>x</v>
      </c>
      <c r="W667">
        <f>+D667</f>
        <v>0</v>
      </c>
      <c r="X667" t="str">
        <v>x</v>
      </c>
      <c r="Y667">
        <f>D661</f>
        <v>1</v>
      </c>
      <c r="Z667" t="str">
        <v>=</v>
      </c>
      <c r="AA667">
        <f>(N667+P667*R667/1000)*U667*W667*Y667</f>
        <v>0</v>
      </c>
    </row>
    <row r="670">
      <c r="A670" t="str">
        <f>A655</f>
        <v>Lantai 1</v>
      </c>
      <c r="B670">
        <f>B655</f>
        <v>21</v>
      </c>
      <c r="C670" t="str">
        <v>Tul Bawah Tumpuan</v>
      </c>
      <c r="D670">
        <f>VLOOKUP(D655,'Detail Balok'!$C$10:$AU$140,22,FALSE)</f>
        <v>3</v>
      </c>
      <c r="E670" t="str">
        <v>D</v>
      </c>
      <c r="F670">
        <f>VLOOKUP(D655,'Detail Balok'!$C$10:$AU$140,24,FALSE)</f>
        <v>16</v>
      </c>
      <c r="I670" t="str">
        <v>(</v>
      </c>
      <c r="J670">
        <f>+J662</f>
        <v>1</v>
      </c>
      <c r="K670" t="str">
        <v>+</v>
      </c>
      <c r="L670">
        <f>MAX(VLOOKUP(F670,N$6:P$15,3,FALSE)/1000,2/3*D660/1000)+F$16*F670/1000</f>
        <v>0.192</v>
      </c>
      <c r="M670" t="str">
        <v>=</v>
      </c>
      <c r="N670">
        <f>J670+L670</f>
        <v>1.192</v>
      </c>
      <c r="O670" t="str">
        <v>+</v>
      </c>
      <c r="P670">
        <f>D670-D671</f>
        <v>0</v>
      </c>
      <c r="Q670" t="str">
        <v>x</v>
      </c>
      <c r="R670">
        <f>IF(P670&gt;0,$F$18*F670/1000,0)</f>
        <v>0</v>
      </c>
      <c r="S670" t="str">
        <v>)</v>
      </c>
      <c r="T670" t="str">
        <v>x</v>
      </c>
      <c r="U670">
        <f>0.006165*F670^2</f>
        <v>1.57824</v>
      </c>
      <c r="X670" t="str">
        <v>x</v>
      </c>
      <c r="Y670">
        <f>D661</f>
        <v>1</v>
      </c>
      <c r="Z670" t="str">
        <v>=</v>
      </c>
      <c r="AA670">
        <f>IF(AA673=0,(D670*N670+P670*R670)*U670*Y670,0)</f>
        <v>0</v>
      </c>
    </row>
    <row r="671">
      <c r="A671" t="str">
        <f>A655</f>
        <v>Lantai 1</v>
      </c>
      <c r="B671">
        <f>B655</f>
        <v>21</v>
      </c>
      <c r="C671" t="str">
        <v>Tul Bawah Lapangan</v>
      </c>
      <c r="D671">
        <f>VLOOKUP(D655,'Detail Balok'!$C$10:$AU$140,25,FALSE)</f>
        <v>3</v>
      </c>
      <c r="E671" t="str">
        <v>D</v>
      </c>
      <c r="F671">
        <f>VLOOKUP(D655,'Detail Balok'!$C$10:$AU$140,27,FALSE)</f>
        <v>16</v>
      </c>
      <c r="I671" t="str">
        <v>(</v>
      </c>
      <c r="J671">
        <f>+J663</f>
        <v>2</v>
      </c>
      <c r="K671" t="str">
        <v>+</v>
      </c>
      <c r="M671" t="str">
        <v>=</v>
      </c>
      <c r="N671">
        <f>J671+L671</f>
        <v>2</v>
      </c>
      <c r="O671" t="str">
        <v>+</v>
      </c>
      <c r="P671">
        <f>MAX(D671-D670,D671-D672)</f>
        <v>0</v>
      </c>
      <c r="Q671" t="str">
        <v>x</v>
      </c>
      <c r="R671">
        <f>IF(P671&gt;0,2*(1-2*$F$19-1/2)*D658/1000,0)</f>
        <v>0</v>
      </c>
      <c r="S671" t="str">
        <v>)</v>
      </c>
      <c r="T671" t="str">
        <v>x</v>
      </c>
      <c r="U671">
        <f>0.006165*F671^2</f>
        <v>1.57824</v>
      </c>
      <c r="X671" t="str">
        <v>x</v>
      </c>
      <c r="Y671">
        <f>D661</f>
        <v>1</v>
      </c>
      <c r="Z671" t="str">
        <v>=</v>
      </c>
      <c r="AA671">
        <f>IF(AA673=0,(D671*N671+P671*R671)*U671*Y671,0)</f>
        <v>0</v>
      </c>
    </row>
    <row r="672">
      <c r="A672" t="str">
        <f>A655</f>
        <v>Lantai 1</v>
      </c>
      <c r="B672">
        <f>B655</f>
        <v>21</v>
      </c>
      <c r="C672" t="str">
        <v>Tul Bawah Tumpuan</v>
      </c>
      <c r="D672">
        <f>VLOOKUP(D655,'Detail Balok'!$C$10:$AU$140,28,FALSE)</f>
        <v>3</v>
      </c>
      <c r="E672" t="str">
        <v>D</v>
      </c>
      <c r="F672">
        <f>VLOOKUP(D655,'Detail Balok'!$C$10:$AU$140,30,FALSE)</f>
        <v>16</v>
      </c>
      <c r="I672" t="str">
        <v>(</v>
      </c>
      <c r="J672">
        <f>+J664</f>
        <v>1</v>
      </c>
      <c r="K672" t="str">
        <v>+</v>
      </c>
      <c r="L672">
        <f>MAX(VLOOKUP(F672,N$6:P$15,3,FALSE)/1000,2/3*D660/1000)+F$16*F672/1000</f>
        <v>0.192</v>
      </c>
      <c r="M672" t="str">
        <v>=</v>
      </c>
      <c r="N672">
        <f>J672+L672</f>
        <v>1.192</v>
      </c>
      <c r="O672" t="str">
        <v>+</v>
      </c>
      <c r="P672">
        <f>D672-D671</f>
        <v>0</v>
      </c>
      <c r="Q672" t="str">
        <v>x</v>
      </c>
      <c r="R672">
        <f>IF(P672&gt;0,$F$18*F672/1000,0)</f>
        <v>0</v>
      </c>
      <c r="S672" t="str">
        <v>)</v>
      </c>
      <c r="T672" t="str">
        <v>x</v>
      </c>
      <c r="U672">
        <f>0.006165*F672^2</f>
        <v>1.57824</v>
      </c>
      <c r="X672" t="str">
        <v>x</v>
      </c>
      <c r="Y672">
        <f>D661</f>
        <v>1</v>
      </c>
      <c r="Z672" t="str">
        <v>=</v>
      </c>
      <c r="AA672">
        <f>IF(AA673=0,(D672*N672+P672*R672)*U672*Y672,0)</f>
        <v>0</v>
      </c>
    </row>
    <row r="673">
      <c r="A673" t="str">
        <f>A655</f>
        <v>Lantai 1</v>
      </c>
      <c r="B673">
        <f>B655</f>
        <v>21</v>
      </c>
      <c r="D673">
        <f>IF(AND(D670=D671,D671=D672,D670=D672),D670,0)</f>
        <v>3</v>
      </c>
      <c r="E673" t="str">
        <v>D</v>
      </c>
      <c r="F673">
        <f>IF(AND(F670=F671,F670=F672,F671=F672),F670,0)</f>
        <v>16</v>
      </c>
      <c r="L673" t="str">
        <v>Total panjang per balok</v>
      </c>
      <c r="M673" t="str">
        <v>=</v>
      </c>
      <c r="N673">
        <f>IF(AND(D670=D671,D670=D672,D671=D672,F670=F671,F670=F672,F671=F672),SUM(N670:N672),0)</f>
        <v>4.384</v>
      </c>
      <c r="O673" t="str">
        <v>+</v>
      </c>
      <c r="P673">
        <f>IF(N673&gt;12,ROUNDDOWN(N673/12,0),0)</f>
        <v>0</v>
      </c>
      <c r="Q673" t="str">
        <v>x</v>
      </c>
      <c r="R673">
        <f>IF(P673&gt;0,MAX(VLOOKUP(F673,$D$6:$G$15,3,FALSE),600),0)/1000</f>
        <v>0</v>
      </c>
      <c r="T673" t="str">
        <v>x</v>
      </c>
      <c r="U673">
        <f>U672</f>
        <v>1.57824</v>
      </c>
      <c r="V673" t="str">
        <v>x</v>
      </c>
      <c r="W673">
        <f>D673</f>
        <v>3</v>
      </c>
      <c r="X673" t="str">
        <v>x</v>
      </c>
      <c r="Y673">
        <f>Y672</f>
        <v>1</v>
      </c>
      <c r="Z673" t="str">
        <v>=</v>
      </c>
      <c r="AA673">
        <f>(N673+P673*R673/1000)*U673*W673*Y673</f>
        <v>20.757012480000004</v>
      </c>
    </row>
    <row r="675">
      <c r="A675" t="str">
        <f>A655</f>
        <v>Lantai 1</v>
      </c>
      <c r="B675">
        <f>B655</f>
        <v>21</v>
      </c>
      <c r="C675" t="str">
        <v>Sengkang Tumpuan</v>
      </c>
      <c r="D675">
        <f>VLOOKUP(D655,'Detail Balok'!$C$10:$AU$140,31,FALSE)</f>
        <v>0</v>
      </c>
      <c r="E675" t="str">
        <v>D</v>
      </c>
      <c r="F675">
        <f>VLOOKUP(D655,'Detail Balok'!$C$10:$AU$140,33,FALSE)</f>
        <v>8</v>
      </c>
      <c r="G675" t="str">
        <v>-</v>
      </c>
      <c r="H675">
        <f>VLOOKUP(D655,'Detail Balok'!$C$10:$AU$140,35,FALSE)</f>
        <v>150</v>
      </c>
      <c r="J675">
        <f>(IF(D675=0,(2*(D656+G656))-(F$5*8),IF(D675=3,(2*(D656+G656))-(F$5*8)+(G656-2*F$5),IF(D675=4,(2*(D656+G656))-(F$5*8)+2*(G656-2*F$5)))))/1000</f>
        <v>0.88</v>
      </c>
      <c r="K675" t="str">
        <v>+</v>
      </c>
      <c r="L675">
        <f>IF(D675=0,2*MAX(6*F675,75),(D675-1)*2*MAX(6*F675,75))/1000</f>
        <v>0.15</v>
      </c>
      <c r="M675" t="str">
        <v>=</v>
      </c>
      <c r="N675">
        <f>J675+L675</f>
        <v>1.03</v>
      </c>
      <c r="T675" t="str">
        <v>x</v>
      </c>
      <c r="U675">
        <f>0.006165*F675^2</f>
        <v>0.39456</v>
      </c>
      <c r="V675" t="str">
        <v>x</v>
      </c>
      <c r="W675">
        <f>IF(D658&gt;4*G656,ROUND(MAX(D658/4,2*G656)/H675,0)+1,ROUND(D658/H675,0)+1)</f>
        <v>8</v>
      </c>
      <c r="X675" t="str">
        <v>x</v>
      </c>
      <c r="Y675">
        <f>D661</f>
        <v>1</v>
      </c>
      <c r="Z675" t="str">
        <v>=</v>
      </c>
      <c r="AA675">
        <f>N675*U675*W675*Y675</f>
        <v>3.2511744000000005</v>
      </c>
    </row>
    <row r="676">
      <c r="A676" t="str">
        <f>A655</f>
        <v>Lantai 1</v>
      </c>
      <c r="B676">
        <f>B655</f>
        <v>21</v>
      </c>
      <c r="C676" t="str">
        <v>Sengkang Lapangan</v>
      </c>
      <c r="D676">
        <f>VLOOKUP(D655,'Detail Balok'!$C$10:$AU$140,36,FALSE)</f>
        <v>0</v>
      </c>
      <c r="E676" t="str">
        <v>D</v>
      </c>
      <c r="F676">
        <f>VLOOKUP(D655,'Detail Balok'!$C$10:$AU$140,38,FALSE)</f>
        <v>8</v>
      </c>
      <c r="G676" t="str">
        <v>-</v>
      </c>
      <c r="H676">
        <f>VLOOKUP(D655,'Detail Balok'!$C$10:$AU$140,40,FALSE)</f>
        <v>200</v>
      </c>
      <c r="J676">
        <f>(IF(D676=0,(2*(D656+G656))-(F$5*8),IF(D676=3,(2*(D656+G656))-(F$5*8)+(G656-2*F$5),IF(D676=4,(2*(D656+G656))-(F$5*8)+2*(G656-2*F$5)))))/1000</f>
        <v>0.88</v>
      </c>
      <c r="K676" t="str">
        <v>+</v>
      </c>
      <c r="L676">
        <f>IF(D676=0,2*MAX(6*F676,75),(D676-1)*2*MAX(6*F676,75))/1000</f>
        <v>0.15</v>
      </c>
      <c r="M676" t="str">
        <v>=</v>
      </c>
      <c r="N676">
        <f>J676+L676</f>
        <v>1.03</v>
      </c>
      <c r="T676" t="str">
        <v>x</v>
      </c>
      <c r="U676">
        <f>0.006165*F676^2</f>
        <v>0.39456</v>
      </c>
      <c r="V676" t="str">
        <v>x</v>
      </c>
      <c r="W676">
        <f>IF(D658-MAX(D658/4,2*G656)*2&gt;0,ROUND((D658-MAX(D658/4,2*G656)*2)/H676,0),0)</f>
        <v>10</v>
      </c>
      <c r="X676" t="str">
        <v>x</v>
      </c>
      <c r="Y676">
        <f>D661</f>
        <v>1</v>
      </c>
      <c r="Z676" t="str">
        <v>=</v>
      </c>
      <c r="AA676">
        <f>N676*U676*W676*Y676</f>
        <v>4.063968000000001</v>
      </c>
    </row>
    <row r="677">
      <c r="A677" t="str">
        <f>A655</f>
        <v>Lantai 1</v>
      </c>
      <c r="B677">
        <f>B655</f>
        <v>21</v>
      </c>
      <c r="C677" t="str">
        <v>Sengkang Tumpuan</v>
      </c>
      <c r="D677">
        <f>VLOOKUP(D655,'Detail Balok'!$C$10:$AU$140,41,FALSE)</f>
        <v>0</v>
      </c>
      <c r="E677" t="str">
        <v>D</v>
      </c>
      <c r="F677">
        <f>VLOOKUP(D655,'Detail Balok'!$C$10:$AU$140,43,FALSE)</f>
        <v>8</v>
      </c>
      <c r="G677" t="str">
        <v>-</v>
      </c>
      <c r="H677">
        <f>VLOOKUP(D655,'Detail Balok'!$C$10:$AU$140,45,FALSE)</f>
        <v>150</v>
      </c>
      <c r="J677">
        <f>(IF(D677=0,(2*(D656+G656))-(F$5*8),IF(D677=3,(2*(D656+G656))-(F$5*8)+(G656-2*F$5),IF(D677=4,(2*(D656+G656))-(F$5*8)+2*(G656-2*F$5)))))/1000</f>
        <v>0.88</v>
      </c>
      <c r="K677" t="str">
        <v>+</v>
      </c>
      <c r="L677">
        <f>IF(D677=0,2*MAX(6*F677,75),(D677-1)*2*MAX(6*F677,75))/1000</f>
        <v>0.15</v>
      </c>
      <c r="M677" t="str">
        <v>=</v>
      </c>
      <c r="N677">
        <f>J677+L677</f>
        <v>1.03</v>
      </c>
      <c r="T677" t="str">
        <v>x</v>
      </c>
      <c r="U677">
        <f>0.006165*F677^2</f>
        <v>0.39456</v>
      </c>
      <c r="V677" t="str">
        <v>x</v>
      </c>
      <c r="W677">
        <f>IF(D658&gt;4*G656,ROUND(MAX(D658/4,2*G656)/H677,0)+1,0)</f>
        <v>8</v>
      </c>
      <c r="X677" t="str">
        <v>x</v>
      </c>
      <c r="Y677">
        <f>D661</f>
        <v>1</v>
      </c>
      <c r="Z677" t="str">
        <v>=</v>
      </c>
      <c r="AA677">
        <f>N677*U677*W677*Y677</f>
        <v>3.2511744000000005</v>
      </c>
    </row>
    <row r="679">
      <c r="A679" t="str">
        <f>A655</f>
        <v>Lantai 1</v>
      </c>
      <c r="B679">
        <f>B655</f>
        <v>21</v>
      </c>
      <c r="C679" t="str">
        <v>Kait Horizontal Tump.</v>
      </c>
      <c r="D679">
        <f>VLOOKUP(D655,'Detail Balok'!$C$10:$BJ$140,46,FALSE)</f>
        <v>0</v>
      </c>
      <c r="E679" t="str">
        <v>D</v>
      </c>
      <c r="F679">
        <f>VLOOKUP(D655,'Detail Balok'!$C$10:$BJ$140,48,FALSE)</f>
        <v>0</v>
      </c>
      <c r="G679" t="str">
        <v>-</v>
      </c>
      <c r="H679">
        <f>VLOOKUP(D655,'Detail Balok'!$C$10:$BJ$140,50,FALSE)</f>
        <v>100</v>
      </c>
      <c r="J679">
        <f>(D656-2*F$5)/1000</f>
        <v>0.12</v>
      </c>
      <c r="K679" t="str">
        <v>+</v>
      </c>
      <c r="L679">
        <f>IF(D679=0,2*MAX(6*F679,75),(D679-1)*2*MAX(6*F679,75))/1000</f>
        <v>0.15</v>
      </c>
      <c r="M679" t="str">
        <v>=</v>
      </c>
      <c r="N679">
        <f>J679+L679</f>
        <v>0.27</v>
      </c>
      <c r="T679" t="str">
        <v>x</v>
      </c>
      <c r="U679">
        <f>0.006165*F679^2</f>
        <v>0</v>
      </c>
      <c r="V679" t="str">
        <v>x</v>
      </c>
      <c r="W679">
        <f>W675</f>
        <v>8</v>
      </c>
      <c r="X679" t="str">
        <v>x</v>
      </c>
      <c r="Y679">
        <f>D665</f>
        <v>3</v>
      </c>
      <c r="Z679" t="str">
        <v>=</v>
      </c>
      <c r="AA679">
        <f>N679*U679*W679*Y679</f>
        <v>0</v>
      </c>
    </row>
    <row r="680">
      <c r="A680" t="str">
        <f>A655</f>
        <v>Lantai 1</v>
      </c>
      <c r="B680">
        <f>B655</f>
        <v>21</v>
      </c>
      <c r="C680" t="str">
        <v>Kait Horizontal Lap.</v>
      </c>
      <c r="D680">
        <f>VLOOKUP(D655,'Detail Balok'!$C$10:$BJ$140,51,FALSE)</f>
        <v>0</v>
      </c>
      <c r="E680" t="str">
        <v>D</v>
      </c>
      <c r="F680">
        <f>VLOOKUP(D655,'Detail Balok'!$C$10:$BJ$140,53,FALSE)</f>
        <v>0</v>
      </c>
      <c r="G680" t="str">
        <v>-</v>
      </c>
      <c r="H680">
        <f>VLOOKUP(D655,'Detail Balok'!$C$10:$BJ$140,55,FALSE)</f>
        <v>100</v>
      </c>
      <c r="J680">
        <f>(D656-2*F$5)/1000</f>
        <v>0.12</v>
      </c>
      <c r="K680" t="str">
        <v>+</v>
      </c>
      <c r="L680">
        <f>IF(D680=0,2*MAX(6*F680,75),(D680-1)*2*MAX(6*F680,75))/1000</f>
        <v>0.15</v>
      </c>
      <c r="M680" t="str">
        <v>=</v>
      </c>
      <c r="N680">
        <f>J680+L680</f>
        <v>0.27</v>
      </c>
      <c r="T680" t="str">
        <v>x</v>
      </c>
      <c r="U680">
        <f>0.006165*F680^2</f>
        <v>0</v>
      </c>
      <c r="V680" t="str">
        <v>x</v>
      </c>
      <c r="W680">
        <f>W676</f>
        <v>10</v>
      </c>
      <c r="X680" t="str">
        <v>x</v>
      </c>
      <c r="Y680">
        <f>D665</f>
        <v>3</v>
      </c>
      <c r="Z680" t="str">
        <v>=</v>
      </c>
      <c r="AA680">
        <f>N680*U680*W680*Y680</f>
        <v>0</v>
      </c>
    </row>
    <row r="681">
      <c r="A681" t="str">
        <f>A655</f>
        <v>Lantai 1</v>
      </c>
      <c r="B681">
        <f>B655</f>
        <v>21</v>
      </c>
      <c r="C681" t="str">
        <v>Kait Horizontal Tump.</v>
      </c>
      <c r="D681">
        <f>VLOOKUP(D655,'Detail Balok'!$C$10:$BJ$140,56,FALSE)</f>
        <v>0</v>
      </c>
      <c r="E681" t="str">
        <v>D</v>
      </c>
      <c r="F681">
        <f>VLOOKUP(D655,'Detail Balok'!$C$10:$BJ$140,58,FALSE)</f>
        <v>0</v>
      </c>
      <c r="G681" t="str">
        <v>-</v>
      </c>
      <c r="H681">
        <f>VLOOKUP(D655,'Detail Balok'!$C$10:$BJ$140,60,FALSE)</f>
        <v>100</v>
      </c>
      <c r="J681">
        <f>(D656-2*F$5)/1000</f>
        <v>0.12</v>
      </c>
      <c r="K681" t="str">
        <v>+</v>
      </c>
      <c r="L681">
        <f>IF(D681=0,2*MAX(6*F681,75),(D681-1)*2*MAX(6*F681,75))/1000</f>
        <v>0.15</v>
      </c>
      <c r="M681" t="str">
        <v>=</v>
      </c>
      <c r="N681">
        <f>J681+L681</f>
        <v>0.27</v>
      </c>
      <c r="T681" t="str">
        <v>x</v>
      </c>
      <c r="U681">
        <f>0.006165*F681^2</f>
        <v>0</v>
      </c>
      <c r="V681" t="str">
        <v>x</v>
      </c>
      <c r="W681">
        <f>W677</f>
        <v>8</v>
      </c>
      <c r="X681" t="str">
        <v>x</v>
      </c>
      <c r="Y681">
        <f>D665</f>
        <v>3</v>
      </c>
      <c r="Z681" t="str">
        <v>=</v>
      </c>
      <c r="AA681">
        <f>N681*U681*W681*Y681</f>
        <v>0</v>
      </c>
    </row>
    <row r="685">
      <c r="A685" t="str">
        <f>A655</f>
        <v>Lantai 1</v>
      </c>
      <c r="B685">
        <f>B655+1</f>
        <v>22</v>
      </c>
      <c r="C685" t="str">
        <f>CONCATENATE(A685," no. ",B685)</f>
        <v>Lantai 1 no. 22</v>
      </c>
      <c r="D685" t="str">
        <f>VLOOKUP(C685,'Data Panjang Balok'!$C$9:$N$254,2,FALSE)</f>
        <v>S24-1</v>
      </c>
    </row>
    <row r="686">
      <c r="C686" t="str">
        <v>Dimensi</v>
      </c>
      <c r="D686">
        <f>VLOOKUP(D685,'Detail Balok'!$C$10:$AU$140,2,FALSE)</f>
        <v>200</v>
      </c>
      <c r="F686" t="str">
        <v>x</v>
      </c>
      <c r="G686">
        <f>VLOOKUP(D685,'Detail Balok'!$C$10:$AU$140,3,FALSE)</f>
        <v>400</v>
      </c>
    </row>
    <row r="687">
      <c r="C687" t="str">
        <v>Panjang as ke as</v>
      </c>
      <c r="D687">
        <f>VLOOKUP(C685,'Data Panjang Balok'!$C$9:$N$254,4,FALSE)</f>
        <v>1600</v>
      </c>
    </row>
    <row r="688">
      <c r="C688" t="str">
        <v>Panjang netto</v>
      </c>
      <c r="D688">
        <f>VLOOKUP(C685,'Data Panjang Balok'!$C$9:$N$254,7,FALSE)</f>
        <v>1600</v>
      </c>
    </row>
    <row r="689">
      <c r="C689" t="str">
        <v>Kolom / balok kiri</v>
      </c>
      <c r="D689">
        <f>VLOOKUP(C685,'Data Panjang Balok'!$C$9:$N$254,9,FALSE)</f>
        <v>0</v>
      </c>
    </row>
    <row r="690">
      <c r="C690" t="str">
        <v>Kolom / balok kanan</v>
      </c>
      <c r="D690">
        <f>VLOOKUP(C685,'Data Panjang Balok'!$C$9:$N$254,10,FALSE)</f>
        <v>0</v>
      </c>
    </row>
    <row r="691">
      <c r="C691" t="str">
        <v>Jumlah</v>
      </c>
      <c r="D691">
        <f>VLOOKUP(C685,'Data Panjang Balok'!$C$9:$N$254,3,FALSE)</f>
        <v>1</v>
      </c>
    </row>
    <row r="692">
      <c r="A692" t="str">
        <f>A685</f>
        <v>Lantai 1</v>
      </c>
      <c r="B692">
        <f>B685</f>
        <v>22</v>
      </c>
      <c r="C692" t="str">
        <v>Tul Atas Tumpuan</v>
      </c>
      <c r="D692">
        <f>VLOOKUP(D685,'Detail Balok'!$C$10:$AU$140,4,FALSE)</f>
        <v>3</v>
      </c>
      <c r="E692" t="str">
        <v>D</v>
      </c>
      <c r="F692">
        <f>VLOOKUP(D685,'Detail Balok'!$C$10:$AU$140,6,FALSE)</f>
        <v>13</v>
      </c>
      <c r="I692" t="str">
        <v>(</v>
      </c>
      <c r="J692">
        <f>+D687/4/1000</f>
        <v>0.4</v>
      </c>
      <c r="K692" t="str">
        <v>+</v>
      </c>
      <c r="L692">
        <f>MAX(VLOOKUP(F692,N$6:P$15,3,FALSE)/1000,2/3*D689/1000)+F$16*F692/1000</f>
        <v>0.156</v>
      </c>
      <c r="M692" t="str">
        <v>=</v>
      </c>
      <c r="N692">
        <f>J692+L692</f>
        <v>0.556</v>
      </c>
      <c r="O692" t="str">
        <v>+</v>
      </c>
      <c r="P692">
        <f>D692-D693</f>
        <v>0</v>
      </c>
      <c r="Q692" t="str">
        <v>x</v>
      </c>
      <c r="R692">
        <f>IF(P692&gt;0,$F$18*F692/1000,0)</f>
        <v>0</v>
      </c>
      <c r="S692" t="str">
        <v>)</v>
      </c>
      <c r="T692" t="str">
        <v>x</v>
      </c>
      <c r="U692">
        <f>0.006165*F692^2</f>
        <v>1.041885</v>
      </c>
      <c r="X692" t="str">
        <v>x</v>
      </c>
      <c r="Y692">
        <f>D691</f>
        <v>1</v>
      </c>
      <c r="Z692" t="str">
        <v>=</v>
      </c>
      <c r="AA692">
        <f>IF(AA695=0,(D692*N692+P692*R692)*U692*Y692,0)</f>
        <v>0</v>
      </c>
    </row>
    <row r="693">
      <c r="A693" t="str">
        <f>A685</f>
        <v>Lantai 1</v>
      </c>
      <c r="B693">
        <f>B685</f>
        <v>22</v>
      </c>
      <c r="C693" t="str">
        <v>Tul Atas Lapangan</v>
      </c>
      <c r="D693">
        <f>VLOOKUP(D685,'Detail Balok'!$C$10:$AU$140,7,FALSE)</f>
        <v>3</v>
      </c>
      <c r="E693" t="str">
        <v>D</v>
      </c>
      <c r="F693">
        <f>VLOOKUP(D685,'Detail Balok'!$C$10:$AU$140,9,FALSE)</f>
        <v>13</v>
      </c>
      <c r="I693" t="str">
        <v>(</v>
      </c>
      <c r="J693">
        <f>+D687/2/1000</f>
        <v>0.8</v>
      </c>
      <c r="K693" t="str">
        <v>+</v>
      </c>
      <c r="M693" t="str">
        <v>=</v>
      </c>
      <c r="N693">
        <f>J693+L693</f>
        <v>0.8</v>
      </c>
      <c r="O693" t="str">
        <v>+</v>
      </c>
      <c r="P693">
        <f>MAX(D693-D692,D693-D694)</f>
        <v>0</v>
      </c>
      <c r="Q693" t="str">
        <v>x</v>
      </c>
      <c r="R693">
        <f>IF(P693&gt;0,2*(1-2*$F$19-1/2)*D688/1000,0)</f>
        <v>0</v>
      </c>
      <c r="S693" t="str">
        <v>)</v>
      </c>
      <c r="T693" t="str">
        <v>x</v>
      </c>
      <c r="U693">
        <f>0.006165*F693^2</f>
        <v>1.041885</v>
      </c>
      <c r="X693" t="str">
        <v>x</v>
      </c>
      <c r="Y693">
        <f>D691</f>
        <v>1</v>
      </c>
      <c r="Z693" t="str">
        <v>=</v>
      </c>
      <c r="AA693">
        <f>IF(AA695=0,(D693*N693+P693*R693)*U693*Y693,0)</f>
        <v>0</v>
      </c>
    </row>
    <row r="694">
      <c r="A694" t="str">
        <f>A685</f>
        <v>Lantai 1</v>
      </c>
      <c r="B694">
        <f>B685</f>
        <v>22</v>
      </c>
      <c r="C694" t="str">
        <v>Tul Atas Tumpuan</v>
      </c>
      <c r="D694">
        <f>VLOOKUP(D685,'Detail Balok'!$C$10:$AU$140,10,FALSE)</f>
        <v>3</v>
      </c>
      <c r="E694" t="str">
        <v>D</v>
      </c>
      <c r="F694">
        <f>VLOOKUP(D685,'Detail Balok'!$C$10:$AU$140,12,FALSE)</f>
        <v>13</v>
      </c>
      <c r="I694" t="str">
        <v>(</v>
      </c>
      <c r="J694">
        <f>+D687/4/1000</f>
        <v>0.4</v>
      </c>
      <c r="K694" t="str">
        <v>+</v>
      </c>
      <c r="L694">
        <f>MAX(VLOOKUP(F694,N$6:P$15,3,FALSE)/1000,2/3*D689/1000)+F$16*F694/1000</f>
        <v>0.156</v>
      </c>
      <c r="M694" t="str">
        <v>=</v>
      </c>
      <c r="N694">
        <f>J694+L694</f>
        <v>0.556</v>
      </c>
      <c r="O694" t="str">
        <v>+</v>
      </c>
      <c r="P694">
        <f>D694-D693</f>
        <v>0</v>
      </c>
      <c r="Q694" t="str">
        <v>x</v>
      </c>
      <c r="R694">
        <f>IF(P694&gt;0,$F$18*F694/1000,0)</f>
        <v>0</v>
      </c>
      <c r="S694" t="str">
        <v>)</v>
      </c>
      <c r="T694" t="str">
        <v>x</v>
      </c>
      <c r="U694">
        <f>0.006165*F694^2</f>
        <v>1.041885</v>
      </c>
      <c r="X694" t="str">
        <v>x</v>
      </c>
      <c r="Y694">
        <f>D691</f>
        <v>1</v>
      </c>
      <c r="Z694" t="str">
        <v>=</v>
      </c>
      <c r="AA694">
        <f>IF(AA695=0,(D694*N694+P694*R694)*U694*Y694,0)</f>
        <v>0</v>
      </c>
    </row>
    <row r="695">
      <c r="A695" t="str">
        <f>A685</f>
        <v>Lantai 1</v>
      </c>
      <c r="B695">
        <f>B685</f>
        <v>22</v>
      </c>
      <c r="D695">
        <f>IF(AND(D692=D693,D693=D694,D692=D694),D692,0)</f>
        <v>3</v>
      </c>
      <c r="E695" t="str">
        <v>D</v>
      </c>
      <c r="F695">
        <f>IF(AND(F692=F693,F692=F694,F693=F694),F692,0)</f>
        <v>13</v>
      </c>
      <c r="L695" t="str">
        <v>Total panjang per balok</v>
      </c>
      <c r="M695" t="str">
        <v>=</v>
      </c>
      <c r="N695">
        <f>IF(AND(D692=D693,D692=D694,D693=D694,F692=F693,F692=F694,F693=F694),SUM(N692:N694),0)</f>
        <v>1.9120000000000001</v>
      </c>
      <c r="O695" t="str">
        <v>+</v>
      </c>
      <c r="P695">
        <f>IF(N695&gt;12,ROUNDDOWN(N695/12,0),0)</f>
        <v>0</v>
      </c>
      <c r="Q695" t="str">
        <v>x</v>
      </c>
      <c r="R695">
        <f>IF(P695&gt;0,MAX(VLOOKUP(F695,$D$6:$G$15,3,FALSE),600),0)/1000</f>
        <v>0</v>
      </c>
      <c r="T695" t="str">
        <v>x</v>
      </c>
      <c r="U695">
        <f>U694</f>
        <v>1.041885</v>
      </c>
      <c r="V695" t="str">
        <v>x</v>
      </c>
      <c r="W695">
        <f>D695</f>
        <v>3</v>
      </c>
      <c r="X695" t="str">
        <v>x</v>
      </c>
      <c r="Y695">
        <f>Y694</f>
        <v>1</v>
      </c>
      <c r="Z695" t="str">
        <v>=</v>
      </c>
      <c r="AA695">
        <f>(N695+P695*R695/1000)*U695*W695*Y695</f>
        <v>5.97625236</v>
      </c>
    </row>
    <row r="697">
      <c r="A697" t="str">
        <f>A685</f>
        <v>Lantai 1</v>
      </c>
      <c r="B697">
        <f>B685</f>
        <v>22</v>
      </c>
      <c r="C697" t="str">
        <v>Tul Peminggang</v>
      </c>
      <c r="D697">
        <f>VLOOKUP(D685,'Detail Balok'!$C$10:$AU$140,13,FALSE)</f>
        <v>0</v>
      </c>
      <c r="E697" t="str">
        <v>D</v>
      </c>
      <c r="F697">
        <f>VLOOKUP(D685,'Detail Balok'!$C$10:$AU$140,15,FALSE)</f>
        <v>8</v>
      </c>
      <c r="J697">
        <f>+D687/1000</f>
        <v>1.6</v>
      </c>
      <c r="K697" t="str">
        <v>+</v>
      </c>
      <c r="L697">
        <f>2*$F$16*F697/1000</f>
        <v>0.192</v>
      </c>
      <c r="M697" t="str">
        <v>=</v>
      </c>
      <c r="N697">
        <f>J697+L697</f>
        <v>1.792</v>
      </c>
      <c r="O697" t="str">
        <v>+</v>
      </c>
      <c r="P697">
        <f>IF(N697&gt;12,ROUNDDOWN(N697/12,0),0)</f>
        <v>0</v>
      </c>
      <c r="Q697" t="str">
        <v>x</v>
      </c>
      <c r="R697">
        <f>IF(P697&gt;0,MAX(VLOOKUP(F697,$D$6:$G$15,3,FALSE),600),0)/1000</f>
        <v>0</v>
      </c>
      <c r="T697" t="str">
        <v>x</v>
      </c>
      <c r="U697">
        <f>0.006165*F697^2</f>
        <v>0.39456</v>
      </c>
      <c r="V697" t="str">
        <v>x</v>
      </c>
      <c r="W697">
        <f>+D697</f>
        <v>0</v>
      </c>
      <c r="X697" t="str">
        <v>x</v>
      </c>
      <c r="Y697">
        <f>D691</f>
        <v>1</v>
      </c>
      <c r="Z697" t="str">
        <v>=</v>
      </c>
      <c r="AA697">
        <f>(N697+P697*R697/1000)*U697*W697*Y697</f>
        <v>0</v>
      </c>
    </row>
    <row r="700">
      <c r="A700" t="str">
        <f>A685</f>
        <v>Lantai 1</v>
      </c>
      <c r="B700">
        <f>B685</f>
        <v>22</v>
      </c>
      <c r="C700" t="str">
        <v>Tul Bawah Tumpuan</v>
      </c>
      <c r="D700">
        <f>VLOOKUP(D685,'Detail Balok'!$C$10:$AU$140,22,FALSE)</f>
        <v>3</v>
      </c>
      <c r="E700" t="str">
        <v>D</v>
      </c>
      <c r="F700">
        <f>VLOOKUP(D685,'Detail Balok'!$C$10:$AU$140,24,FALSE)</f>
        <v>13</v>
      </c>
      <c r="I700" t="str">
        <v>(</v>
      </c>
      <c r="J700">
        <f>+J692</f>
        <v>0.4</v>
      </c>
      <c r="K700" t="str">
        <v>+</v>
      </c>
      <c r="L700">
        <f>MAX(VLOOKUP(F700,N$6:P$15,3,FALSE)/1000,2/3*D690/1000)+F$16*F700/1000</f>
        <v>0.156</v>
      </c>
      <c r="M700" t="str">
        <v>=</v>
      </c>
      <c r="N700">
        <f>J700+L700</f>
        <v>0.556</v>
      </c>
      <c r="O700" t="str">
        <v>+</v>
      </c>
      <c r="P700">
        <f>D700-D701</f>
        <v>0</v>
      </c>
      <c r="Q700" t="str">
        <v>x</v>
      </c>
      <c r="R700">
        <f>IF(P700&gt;0,$F$18*F700/1000,0)</f>
        <v>0</v>
      </c>
      <c r="S700" t="str">
        <v>)</v>
      </c>
      <c r="T700" t="str">
        <v>x</v>
      </c>
      <c r="U700">
        <f>0.006165*F700^2</f>
        <v>1.041885</v>
      </c>
      <c r="X700" t="str">
        <v>x</v>
      </c>
      <c r="Y700">
        <f>D691</f>
        <v>1</v>
      </c>
      <c r="Z700" t="str">
        <v>=</v>
      </c>
      <c r="AA700">
        <f>IF(AA703=0,(D700*N700+P700*R700)*U700*Y700,0)</f>
        <v>0</v>
      </c>
    </row>
    <row r="701">
      <c r="A701" t="str">
        <f>A685</f>
        <v>Lantai 1</v>
      </c>
      <c r="B701">
        <f>B685</f>
        <v>22</v>
      </c>
      <c r="C701" t="str">
        <v>Tul Bawah Lapangan</v>
      </c>
      <c r="D701">
        <f>VLOOKUP(D685,'Detail Balok'!$C$10:$AU$140,25,FALSE)</f>
        <v>3</v>
      </c>
      <c r="E701" t="str">
        <v>D</v>
      </c>
      <c r="F701">
        <f>VLOOKUP(D685,'Detail Balok'!$C$10:$AU$140,27,FALSE)</f>
        <v>13</v>
      </c>
      <c r="I701" t="str">
        <v>(</v>
      </c>
      <c r="J701">
        <f>+J693</f>
        <v>0.8</v>
      </c>
      <c r="K701" t="str">
        <v>+</v>
      </c>
      <c r="M701" t="str">
        <v>=</v>
      </c>
      <c r="N701">
        <f>J701+L701</f>
        <v>0.8</v>
      </c>
      <c r="O701" t="str">
        <v>+</v>
      </c>
      <c r="P701">
        <f>MAX(D701-D700,D701-D702)</f>
        <v>0</v>
      </c>
      <c r="Q701" t="str">
        <v>x</v>
      </c>
      <c r="R701">
        <f>IF(P701&gt;0,2*(1-2*$F$19-1/2)*D688/1000,0)</f>
        <v>0</v>
      </c>
      <c r="S701" t="str">
        <v>)</v>
      </c>
      <c r="T701" t="str">
        <v>x</v>
      </c>
      <c r="U701">
        <f>0.006165*F701^2</f>
        <v>1.041885</v>
      </c>
      <c r="X701" t="str">
        <v>x</v>
      </c>
      <c r="Y701">
        <f>D691</f>
        <v>1</v>
      </c>
      <c r="Z701" t="str">
        <v>=</v>
      </c>
      <c r="AA701">
        <f>IF(AA703=0,(D701*N701+P701*R701)*U701*Y701,0)</f>
        <v>0</v>
      </c>
    </row>
    <row r="702">
      <c r="A702" t="str">
        <f>A685</f>
        <v>Lantai 1</v>
      </c>
      <c r="B702">
        <f>B685</f>
        <v>22</v>
      </c>
      <c r="C702" t="str">
        <v>Tul Bawah Tumpuan</v>
      </c>
      <c r="D702">
        <f>VLOOKUP(D685,'Detail Balok'!$C$10:$AU$140,28,FALSE)</f>
        <v>3</v>
      </c>
      <c r="E702" t="str">
        <v>D</v>
      </c>
      <c r="F702">
        <f>VLOOKUP(D685,'Detail Balok'!$C$10:$AU$140,30,FALSE)</f>
        <v>13</v>
      </c>
      <c r="I702" t="str">
        <v>(</v>
      </c>
      <c r="J702">
        <f>+J694</f>
        <v>0.4</v>
      </c>
      <c r="K702" t="str">
        <v>+</v>
      </c>
      <c r="L702">
        <f>MAX(VLOOKUP(F702,N$6:P$15,3,FALSE)/1000,2/3*D690/1000)+F$16*F702/1000</f>
        <v>0.156</v>
      </c>
      <c r="M702" t="str">
        <v>=</v>
      </c>
      <c r="N702">
        <f>J702+L702</f>
        <v>0.556</v>
      </c>
      <c r="O702" t="str">
        <v>+</v>
      </c>
      <c r="P702">
        <f>D702-D701</f>
        <v>0</v>
      </c>
      <c r="Q702" t="str">
        <v>x</v>
      </c>
      <c r="R702">
        <f>IF(P702&gt;0,$F$18*F702/1000,0)</f>
        <v>0</v>
      </c>
      <c r="S702" t="str">
        <v>)</v>
      </c>
      <c r="T702" t="str">
        <v>x</v>
      </c>
      <c r="U702">
        <f>0.006165*F702^2</f>
        <v>1.041885</v>
      </c>
      <c r="X702" t="str">
        <v>x</v>
      </c>
      <c r="Y702">
        <f>D691</f>
        <v>1</v>
      </c>
      <c r="Z702" t="str">
        <v>=</v>
      </c>
      <c r="AA702">
        <f>IF(AA703=0,(D702*N702+P702*R702)*U702*Y702,0)</f>
        <v>0</v>
      </c>
    </row>
    <row r="703">
      <c r="A703" t="str">
        <f>A685</f>
        <v>Lantai 1</v>
      </c>
      <c r="B703">
        <f>B685</f>
        <v>22</v>
      </c>
      <c r="D703">
        <f>IF(AND(D700=D701,D701=D702,D700=D702),D700,0)</f>
        <v>3</v>
      </c>
      <c r="E703" t="str">
        <v>D</v>
      </c>
      <c r="F703">
        <f>IF(AND(F700=F701,F700=F702,F701=F702),F700,0)</f>
        <v>13</v>
      </c>
      <c r="L703" t="str">
        <v>Total panjang per balok</v>
      </c>
      <c r="M703" t="str">
        <v>=</v>
      </c>
      <c r="N703">
        <f>IF(AND(D700=D701,D700=D702,D701=D702,F700=F701,F700=F702,F701=F702),SUM(N700:N702),0)</f>
        <v>1.9120000000000001</v>
      </c>
      <c r="O703" t="str">
        <v>+</v>
      </c>
      <c r="P703">
        <f>IF(N703&gt;12,ROUNDDOWN(N703/12,0),0)</f>
        <v>0</v>
      </c>
      <c r="Q703" t="str">
        <v>x</v>
      </c>
      <c r="R703">
        <f>IF(P703&gt;0,MAX(VLOOKUP(F703,$D$6:$G$15,3,FALSE),600),0)/1000</f>
        <v>0</v>
      </c>
      <c r="T703" t="str">
        <v>x</v>
      </c>
      <c r="U703">
        <f>U702</f>
        <v>1.041885</v>
      </c>
      <c r="V703" t="str">
        <v>x</v>
      </c>
      <c r="W703">
        <f>D703</f>
        <v>3</v>
      </c>
      <c r="X703" t="str">
        <v>x</v>
      </c>
      <c r="Y703">
        <f>Y702</f>
        <v>1</v>
      </c>
      <c r="Z703" t="str">
        <v>=</v>
      </c>
      <c r="AA703">
        <f>(N703+P703*R703/1000)*U703*W703*Y703</f>
        <v>5.97625236</v>
      </c>
    </row>
    <row r="705">
      <c r="A705" t="str">
        <f>A685</f>
        <v>Lantai 1</v>
      </c>
      <c r="B705">
        <f>B685</f>
        <v>22</v>
      </c>
      <c r="C705" t="str">
        <v>Sengkang Tumpuan</v>
      </c>
      <c r="D705">
        <f>VLOOKUP(D685,'Detail Balok'!$C$10:$AU$140,31,FALSE)</f>
        <v>0</v>
      </c>
      <c r="E705" t="str">
        <v>D</v>
      </c>
      <c r="F705">
        <f>VLOOKUP(D685,'Detail Balok'!$C$10:$AU$140,33,FALSE)</f>
        <v>8</v>
      </c>
      <c r="G705" t="str">
        <v>-</v>
      </c>
      <c r="H705">
        <f>VLOOKUP(D685,'Detail Balok'!$C$10:$AU$140,35,FALSE)</f>
        <v>150</v>
      </c>
      <c r="J705">
        <f>(IF(D705=0,(2*(D686+G686))-(F$5*8),IF(D705=3,(2*(D686+G686))-(F$5*8)+(G686-2*F$5),IF(D705=4,(2*(D686+G686))-(F$5*8)+2*(G686-2*F$5)))))/1000</f>
        <v>0.88</v>
      </c>
      <c r="K705" t="str">
        <v>+</v>
      </c>
      <c r="L705">
        <f>IF(D705=0,2*MAX(6*F705,75),(D705-1)*2*MAX(6*F705,75))/1000</f>
        <v>0.15</v>
      </c>
      <c r="M705" t="str">
        <v>=</v>
      </c>
      <c r="N705">
        <f>J705+L705</f>
        <v>1.03</v>
      </c>
      <c r="T705" t="str">
        <v>x</v>
      </c>
      <c r="U705">
        <f>0.006165*F705^2</f>
        <v>0.39456</v>
      </c>
      <c r="V705" t="str">
        <v>x</v>
      </c>
      <c r="W705">
        <f>IF(D688&gt;4*G686,ROUND(MAX(D688/4,2*G686)/H705,0)+1,ROUND(D688/H705,0)+1)</f>
        <v>12</v>
      </c>
      <c r="X705" t="str">
        <v>x</v>
      </c>
      <c r="Y705">
        <f>D691</f>
        <v>1</v>
      </c>
      <c r="Z705" t="str">
        <v>=</v>
      </c>
      <c r="AA705">
        <f>N705*U705*W705*Y705</f>
        <v>4.876761600000001</v>
      </c>
    </row>
    <row r="706">
      <c r="A706" t="str">
        <f>A685</f>
        <v>Lantai 1</v>
      </c>
      <c r="B706">
        <f>B685</f>
        <v>22</v>
      </c>
      <c r="C706" t="str">
        <v>Sengkang Lapangan</v>
      </c>
      <c r="D706">
        <f>VLOOKUP(D685,'Detail Balok'!$C$10:$AU$140,36,FALSE)</f>
        <v>0</v>
      </c>
      <c r="E706" t="str">
        <v>D</v>
      </c>
      <c r="F706">
        <f>VLOOKUP(D685,'Detail Balok'!$C$10:$AU$140,38,FALSE)</f>
        <v>8</v>
      </c>
      <c r="G706" t="str">
        <v>-</v>
      </c>
      <c r="H706">
        <f>VLOOKUP(D685,'Detail Balok'!$C$10:$AU$140,40,FALSE)</f>
        <v>200</v>
      </c>
      <c r="J706">
        <f>(IF(D706=0,(2*(D686+G686))-(F$5*8),IF(D706=3,(2*(D686+G686))-(F$5*8)+(G686-2*F$5),IF(D706=4,(2*(D686+G686))-(F$5*8)+2*(G686-2*F$5)))))/1000</f>
        <v>0.88</v>
      </c>
      <c r="K706" t="str">
        <v>+</v>
      </c>
      <c r="L706">
        <f>IF(D706=0,2*MAX(6*F706,75),(D706-1)*2*MAX(6*F706,75))/1000</f>
        <v>0.15</v>
      </c>
      <c r="M706" t="str">
        <v>=</v>
      </c>
      <c r="N706">
        <f>J706+L706</f>
        <v>1.03</v>
      </c>
      <c r="T706" t="str">
        <v>x</v>
      </c>
      <c r="U706">
        <f>0.006165*F706^2</f>
        <v>0.39456</v>
      </c>
      <c r="V706" t="str">
        <v>x</v>
      </c>
      <c r="W706">
        <f>IF(D688-MAX(D688/4,2*G686)*2&gt;0,ROUND((D688-MAX(D688/4,2*G686)*2)/H706,0),0)</f>
        <v>0</v>
      </c>
      <c r="X706" t="str">
        <v>x</v>
      </c>
      <c r="Y706">
        <f>D691</f>
        <v>1</v>
      </c>
      <c r="Z706" t="str">
        <v>=</v>
      </c>
      <c r="AA706">
        <f>N706*U706*W706*Y706</f>
        <v>0</v>
      </c>
    </row>
    <row r="707">
      <c r="A707" t="str">
        <f>A685</f>
        <v>Lantai 1</v>
      </c>
      <c r="B707">
        <f>B685</f>
        <v>22</v>
      </c>
      <c r="C707" t="str">
        <v>Sengkang Tumpuan</v>
      </c>
      <c r="D707">
        <f>VLOOKUP(D685,'Detail Balok'!$C$10:$AU$140,41,FALSE)</f>
        <v>0</v>
      </c>
      <c r="E707" t="str">
        <v>D</v>
      </c>
      <c r="F707">
        <f>VLOOKUP(D685,'Detail Balok'!$C$10:$AU$140,43,FALSE)</f>
        <v>8</v>
      </c>
      <c r="G707" t="str">
        <v>-</v>
      </c>
      <c r="H707">
        <f>VLOOKUP(D685,'Detail Balok'!$C$10:$AU$140,45,FALSE)</f>
        <v>150</v>
      </c>
      <c r="J707">
        <f>(IF(D707=0,(2*(D686+G686))-(F$5*8),IF(D707=3,(2*(D686+G686))-(F$5*8)+(G686-2*F$5),IF(D707=4,(2*(D686+G686))-(F$5*8)+2*(G686-2*F$5)))))/1000</f>
        <v>0.88</v>
      </c>
      <c r="K707" t="str">
        <v>+</v>
      </c>
      <c r="L707">
        <f>IF(D707=0,2*MAX(6*F707,75),(D707-1)*2*MAX(6*F707,75))/1000</f>
        <v>0.15</v>
      </c>
      <c r="M707" t="str">
        <v>=</v>
      </c>
      <c r="N707">
        <f>J707+L707</f>
        <v>1.03</v>
      </c>
      <c r="T707" t="str">
        <v>x</v>
      </c>
      <c r="U707">
        <f>0.006165*F707^2</f>
        <v>0.39456</v>
      </c>
      <c r="V707" t="str">
        <v>x</v>
      </c>
      <c r="W707">
        <f>IF(D688&gt;4*G686,ROUND(MAX(D688/4,2*G686)/H707,0)+1,0)</f>
        <v>0</v>
      </c>
      <c r="X707" t="str">
        <v>x</v>
      </c>
      <c r="Y707">
        <f>D691</f>
        <v>1</v>
      </c>
      <c r="Z707" t="str">
        <v>=</v>
      </c>
      <c r="AA707">
        <f>N707*U707*W707*Y707</f>
        <v>0</v>
      </c>
    </row>
    <row r="709">
      <c r="A709" t="str">
        <f>A685</f>
        <v>Lantai 1</v>
      </c>
      <c r="B709">
        <f>B685</f>
        <v>22</v>
      </c>
      <c r="C709" t="str">
        <v>Kait Horizontal Tump.</v>
      </c>
      <c r="D709">
        <f>VLOOKUP(D685,'Detail Balok'!$C$10:$BJ$140,46,FALSE)</f>
        <v>0</v>
      </c>
      <c r="E709" t="str">
        <v>D</v>
      </c>
      <c r="F709">
        <f>VLOOKUP(D685,'Detail Balok'!$C$10:$BJ$140,48,FALSE)</f>
        <v>0</v>
      </c>
      <c r="G709" t="str">
        <v>-</v>
      </c>
      <c r="H709">
        <f>VLOOKUP(D685,'Detail Balok'!$C$10:$BJ$140,50,FALSE)</f>
        <v>100</v>
      </c>
      <c r="J709">
        <f>(D686-2*F$5)/1000</f>
        <v>0.12</v>
      </c>
      <c r="K709" t="str">
        <v>+</v>
      </c>
      <c r="L709">
        <f>IF(D709=0,2*MAX(6*F709,75),(D709-1)*2*MAX(6*F709,75))/1000</f>
        <v>0.15</v>
      </c>
      <c r="M709" t="str">
        <v>=</v>
      </c>
      <c r="N709">
        <f>J709+L709</f>
        <v>0.27</v>
      </c>
      <c r="T709" t="str">
        <v>x</v>
      </c>
      <c r="U709">
        <f>0.006165*F709^2</f>
        <v>0</v>
      </c>
      <c r="V709" t="str">
        <v>x</v>
      </c>
      <c r="W709">
        <f>W705</f>
        <v>12</v>
      </c>
      <c r="X709" t="str">
        <v>x</v>
      </c>
      <c r="Y709">
        <f>D695</f>
        <v>3</v>
      </c>
      <c r="Z709" t="str">
        <v>=</v>
      </c>
      <c r="AA709">
        <f>N709*U709*W709*Y709</f>
        <v>0</v>
      </c>
    </row>
    <row r="710">
      <c r="A710" t="str">
        <f>A685</f>
        <v>Lantai 1</v>
      </c>
      <c r="B710">
        <f>B685</f>
        <v>22</v>
      </c>
      <c r="C710" t="str">
        <v>Kait Horizontal Lap.</v>
      </c>
      <c r="D710">
        <f>VLOOKUP(D685,'Detail Balok'!$C$10:$BJ$140,51,FALSE)</f>
        <v>0</v>
      </c>
      <c r="E710" t="str">
        <v>D</v>
      </c>
      <c r="F710">
        <f>VLOOKUP(D685,'Detail Balok'!$C$10:$BJ$140,53,FALSE)</f>
        <v>0</v>
      </c>
      <c r="G710" t="str">
        <v>-</v>
      </c>
      <c r="H710">
        <f>VLOOKUP(D685,'Detail Balok'!$C$10:$BJ$140,55,FALSE)</f>
        <v>100</v>
      </c>
      <c r="J710">
        <f>(D686-2*F$5)/1000</f>
        <v>0.12</v>
      </c>
      <c r="K710" t="str">
        <v>+</v>
      </c>
      <c r="L710">
        <f>IF(D710=0,2*MAX(6*F710,75),(D710-1)*2*MAX(6*F710,75))/1000</f>
        <v>0.15</v>
      </c>
      <c r="M710" t="str">
        <v>=</v>
      </c>
      <c r="N710">
        <f>J710+L710</f>
        <v>0.27</v>
      </c>
      <c r="T710" t="str">
        <v>x</v>
      </c>
      <c r="U710">
        <f>0.006165*F710^2</f>
        <v>0</v>
      </c>
      <c r="V710" t="str">
        <v>x</v>
      </c>
      <c r="W710">
        <f>W706</f>
        <v>0</v>
      </c>
      <c r="X710" t="str">
        <v>x</v>
      </c>
      <c r="Y710">
        <f>D695</f>
        <v>3</v>
      </c>
      <c r="Z710" t="str">
        <v>=</v>
      </c>
      <c r="AA710">
        <f>N710*U710*W710*Y710</f>
        <v>0</v>
      </c>
    </row>
    <row r="711">
      <c r="A711" t="str">
        <f>A685</f>
        <v>Lantai 1</v>
      </c>
      <c r="B711">
        <f>B685</f>
        <v>22</v>
      </c>
      <c r="C711" t="str">
        <v>Kait Horizontal Tump.</v>
      </c>
      <c r="D711">
        <f>VLOOKUP(D685,'Detail Balok'!$C$10:$BJ$140,56,FALSE)</f>
        <v>0</v>
      </c>
      <c r="E711" t="str">
        <v>D</v>
      </c>
      <c r="F711">
        <f>VLOOKUP(D685,'Detail Balok'!$C$10:$BJ$140,58,FALSE)</f>
        <v>0</v>
      </c>
      <c r="G711" t="str">
        <v>-</v>
      </c>
      <c r="H711">
        <f>VLOOKUP(D685,'Detail Balok'!$C$10:$BJ$140,60,FALSE)</f>
        <v>100</v>
      </c>
      <c r="J711">
        <f>(D686-2*F$5)/1000</f>
        <v>0.12</v>
      </c>
      <c r="K711" t="str">
        <v>+</v>
      </c>
      <c r="L711">
        <f>IF(D711=0,2*MAX(6*F711,75),(D711-1)*2*MAX(6*F711,75))/1000</f>
        <v>0.15</v>
      </c>
      <c r="M711" t="str">
        <v>=</v>
      </c>
      <c r="N711">
        <f>J711+L711</f>
        <v>0.27</v>
      </c>
      <c r="T711" t="str">
        <v>x</v>
      </c>
      <c r="U711">
        <f>0.006165*F711^2</f>
        <v>0</v>
      </c>
      <c r="V711" t="str">
        <v>x</v>
      </c>
      <c r="W711">
        <f>W707</f>
        <v>0</v>
      </c>
      <c r="X711" t="str">
        <v>x</v>
      </c>
      <c r="Y711">
        <f>D695</f>
        <v>3</v>
      </c>
      <c r="Z711" t="str">
        <v>=</v>
      </c>
      <c r="AA711">
        <f>N711*U711*W711*Y711</f>
        <v>0</v>
      </c>
    </row>
    <row r="715">
      <c r="A715" t="str">
        <f>A685</f>
        <v>Lantai 1</v>
      </c>
      <c r="B715">
        <f>B685+1</f>
        <v>23</v>
      </c>
      <c r="C715" t="str">
        <f>CONCATENATE(A715," no. ",B715)</f>
        <v>Lantai 1 no. 23</v>
      </c>
      <c r="D715" t="str">
        <f>VLOOKUP(C715,'Data Panjang Balok'!$C$9:$N$254,2,FALSE)</f>
        <v>S24-1</v>
      </c>
    </row>
    <row r="716">
      <c r="C716" t="str">
        <v>Dimensi</v>
      </c>
      <c r="D716">
        <f>VLOOKUP(D715,'Detail Balok'!$C$10:$AU$140,2,FALSE)</f>
        <v>200</v>
      </c>
      <c r="F716" t="str">
        <v>x</v>
      </c>
      <c r="G716">
        <f>VLOOKUP(D715,'Detail Balok'!$C$10:$AU$140,3,FALSE)</f>
        <v>400</v>
      </c>
    </row>
    <row r="717">
      <c r="C717" t="str">
        <v>Panjang as ke as</v>
      </c>
      <c r="D717">
        <f>VLOOKUP(C715,'Data Panjang Balok'!$C$9:$N$254,4,FALSE)</f>
        <v>2200</v>
      </c>
    </row>
    <row r="718">
      <c r="C718" t="str">
        <v>Panjang netto</v>
      </c>
      <c r="D718">
        <f>VLOOKUP(C715,'Data Panjang Balok'!$C$9:$N$254,7,FALSE)</f>
        <v>2200</v>
      </c>
    </row>
    <row r="719">
      <c r="C719" t="str">
        <v>Kolom / balok kiri</v>
      </c>
      <c r="D719">
        <f>VLOOKUP(C715,'Data Panjang Balok'!$C$9:$N$254,9,FALSE)</f>
        <v>0</v>
      </c>
    </row>
    <row r="720">
      <c r="C720" t="str">
        <v>Kolom / balok kanan</v>
      </c>
      <c r="D720">
        <f>VLOOKUP(C715,'Data Panjang Balok'!$C$9:$N$254,10,FALSE)</f>
        <v>0</v>
      </c>
    </row>
    <row r="721">
      <c r="C721" t="str">
        <v>Jumlah</v>
      </c>
      <c r="D721">
        <f>VLOOKUP(C715,'Data Panjang Balok'!$C$9:$N$254,3,FALSE)</f>
        <v>1</v>
      </c>
    </row>
    <row r="722">
      <c r="A722" t="str">
        <f>A715</f>
        <v>Lantai 1</v>
      </c>
      <c r="B722">
        <f>B715</f>
        <v>23</v>
      </c>
      <c r="C722" t="str">
        <v>Tul Atas Tumpuan</v>
      </c>
      <c r="D722">
        <f>VLOOKUP(D715,'Detail Balok'!$C$10:$AU$140,4,FALSE)</f>
        <v>3</v>
      </c>
      <c r="E722" t="str">
        <v>D</v>
      </c>
      <c r="F722">
        <f>VLOOKUP(D715,'Detail Balok'!$C$10:$AU$140,6,FALSE)</f>
        <v>13</v>
      </c>
      <c r="I722" t="str">
        <v>(</v>
      </c>
      <c r="J722">
        <f>+D717/4/1000</f>
        <v>0.55</v>
      </c>
      <c r="K722" t="str">
        <v>+</v>
      </c>
      <c r="L722">
        <f>MAX(VLOOKUP(F722,N$6:P$15,3,FALSE)/1000,2/3*D719/1000)+F$16*F722/1000</f>
        <v>0.156</v>
      </c>
      <c r="M722" t="str">
        <v>=</v>
      </c>
      <c r="N722">
        <f>J722+L722</f>
        <v>0.7060000000000001</v>
      </c>
      <c r="O722" t="str">
        <v>+</v>
      </c>
      <c r="P722">
        <f>D722-D723</f>
        <v>0</v>
      </c>
      <c r="Q722" t="str">
        <v>x</v>
      </c>
      <c r="R722">
        <f>IF(P722&gt;0,$F$18*F722/1000,0)</f>
        <v>0</v>
      </c>
      <c r="S722" t="str">
        <v>)</v>
      </c>
      <c r="T722" t="str">
        <v>x</v>
      </c>
      <c r="U722">
        <f>0.006165*F722^2</f>
        <v>1.041885</v>
      </c>
      <c r="X722" t="str">
        <v>x</v>
      </c>
      <c r="Y722">
        <f>D721</f>
        <v>1</v>
      </c>
      <c r="Z722" t="str">
        <v>=</v>
      </c>
      <c r="AA722">
        <f>IF(AA725=0,(D722*N722+P722*R722)*U722*Y722,0)</f>
        <v>0</v>
      </c>
    </row>
    <row r="723">
      <c r="A723" t="str">
        <f>A715</f>
        <v>Lantai 1</v>
      </c>
      <c r="B723">
        <f>B715</f>
        <v>23</v>
      </c>
      <c r="C723" t="str">
        <v>Tul Atas Lapangan</v>
      </c>
      <c r="D723">
        <f>VLOOKUP(D715,'Detail Balok'!$C$10:$AU$140,7,FALSE)</f>
        <v>3</v>
      </c>
      <c r="E723" t="str">
        <v>D</v>
      </c>
      <c r="F723">
        <f>VLOOKUP(D715,'Detail Balok'!$C$10:$AU$140,9,FALSE)</f>
        <v>13</v>
      </c>
      <c r="I723" t="str">
        <v>(</v>
      </c>
      <c r="J723">
        <f>+D717/2/1000</f>
        <v>1.1</v>
      </c>
      <c r="K723" t="str">
        <v>+</v>
      </c>
      <c r="M723" t="str">
        <v>=</v>
      </c>
      <c r="N723">
        <f>J723+L723</f>
        <v>1.1</v>
      </c>
      <c r="O723" t="str">
        <v>+</v>
      </c>
      <c r="P723">
        <f>MAX(D723-D722,D723-D724)</f>
        <v>0</v>
      </c>
      <c r="Q723" t="str">
        <v>x</v>
      </c>
      <c r="R723">
        <f>IF(P723&gt;0,2*(1-2*$F$19-1/2)*D718/1000,0)</f>
        <v>0</v>
      </c>
      <c r="S723" t="str">
        <v>)</v>
      </c>
      <c r="T723" t="str">
        <v>x</v>
      </c>
      <c r="U723">
        <f>0.006165*F723^2</f>
        <v>1.041885</v>
      </c>
      <c r="X723" t="str">
        <v>x</v>
      </c>
      <c r="Y723">
        <f>D721</f>
        <v>1</v>
      </c>
      <c r="Z723" t="str">
        <v>=</v>
      </c>
      <c r="AA723">
        <f>IF(AA725=0,(D723*N723+P723*R723)*U723*Y723,0)</f>
        <v>0</v>
      </c>
    </row>
    <row r="724">
      <c r="A724" t="str">
        <f>A715</f>
        <v>Lantai 1</v>
      </c>
      <c r="B724">
        <f>B715</f>
        <v>23</v>
      </c>
      <c r="C724" t="str">
        <v>Tul Atas Tumpuan</v>
      </c>
      <c r="D724">
        <f>VLOOKUP(D715,'Detail Balok'!$C$10:$AU$140,10,FALSE)</f>
        <v>3</v>
      </c>
      <c r="E724" t="str">
        <v>D</v>
      </c>
      <c r="F724">
        <f>VLOOKUP(D715,'Detail Balok'!$C$10:$AU$140,12,FALSE)</f>
        <v>13</v>
      </c>
      <c r="I724" t="str">
        <v>(</v>
      </c>
      <c r="J724">
        <f>+D717/4/1000</f>
        <v>0.55</v>
      </c>
      <c r="K724" t="str">
        <v>+</v>
      </c>
      <c r="L724">
        <f>MAX(VLOOKUP(F724,N$6:P$15,3,FALSE)/1000,2/3*D719/1000)+F$16*F724/1000</f>
        <v>0.156</v>
      </c>
      <c r="M724" t="str">
        <v>=</v>
      </c>
      <c r="N724">
        <f>J724+L724</f>
        <v>0.7060000000000001</v>
      </c>
      <c r="O724" t="str">
        <v>+</v>
      </c>
      <c r="P724">
        <f>D724-D723</f>
        <v>0</v>
      </c>
      <c r="Q724" t="str">
        <v>x</v>
      </c>
      <c r="R724">
        <f>IF(P724&gt;0,$F$18*F724/1000,0)</f>
        <v>0</v>
      </c>
      <c r="S724" t="str">
        <v>)</v>
      </c>
      <c r="T724" t="str">
        <v>x</v>
      </c>
      <c r="U724">
        <f>0.006165*F724^2</f>
        <v>1.041885</v>
      </c>
      <c r="X724" t="str">
        <v>x</v>
      </c>
      <c r="Y724">
        <f>D721</f>
        <v>1</v>
      </c>
      <c r="Z724" t="str">
        <v>=</v>
      </c>
      <c r="AA724">
        <f>IF(AA725=0,(D724*N724+P724*R724)*U724*Y724,0)</f>
        <v>0</v>
      </c>
    </row>
    <row r="725">
      <c r="A725" t="str">
        <f>A715</f>
        <v>Lantai 1</v>
      </c>
      <c r="B725">
        <f>B715</f>
        <v>23</v>
      </c>
      <c r="D725">
        <f>IF(AND(D722=D723,D723=D724,D722=D724),D722,0)</f>
        <v>3</v>
      </c>
      <c r="E725" t="str">
        <v>D</v>
      </c>
      <c r="F725">
        <f>IF(AND(F722=F723,F722=F724,F723=F724),F722,0)</f>
        <v>13</v>
      </c>
      <c r="L725" t="str">
        <v>Total panjang per balok</v>
      </c>
      <c r="M725" t="str">
        <v>=</v>
      </c>
      <c r="N725">
        <f>IF(AND(D722=D723,D722=D724,D723=D724,F722=F723,F722=F724,F723=F724),SUM(N722:N724),0)</f>
        <v>2.512</v>
      </c>
      <c r="O725" t="str">
        <v>+</v>
      </c>
      <c r="P725">
        <f>IF(N725&gt;12,ROUNDDOWN(N725/12,0),0)</f>
        <v>0</v>
      </c>
      <c r="Q725" t="str">
        <v>x</v>
      </c>
      <c r="R725">
        <f>IF(P725&gt;0,MAX(VLOOKUP(F725,$D$6:$G$15,3,FALSE),600),0)/1000</f>
        <v>0</v>
      </c>
      <c r="T725" t="str">
        <v>x</v>
      </c>
      <c r="U725">
        <f>U724</f>
        <v>1.041885</v>
      </c>
      <c r="V725" t="str">
        <v>x</v>
      </c>
      <c r="W725">
        <f>D725</f>
        <v>3</v>
      </c>
      <c r="X725" t="str">
        <v>x</v>
      </c>
      <c r="Y725">
        <f>Y724</f>
        <v>1</v>
      </c>
      <c r="Z725" t="str">
        <v>=</v>
      </c>
      <c r="AA725">
        <f>(N725+P725*R725/1000)*U725*W725*Y725</f>
        <v>7.85164536</v>
      </c>
    </row>
    <row r="727">
      <c r="A727" t="str">
        <f>A715</f>
        <v>Lantai 1</v>
      </c>
      <c r="B727">
        <f>B715</f>
        <v>23</v>
      </c>
      <c r="C727" t="str">
        <v>Tul Peminggang</v>
      </c>
      <c r="D727">
        <f>VLOOKUP(D715,'Detail Balok'!$C$10:$AU$140,13,FALSE)</f>
        <v>0</v>
      </c>
      <c r="E727" t="str">
        <v>D</v>
      </c>
      <c r="F727">
        <f>VLOOKUP(D715,'Detail Balok'!$C$10:$AU$140,15,FALSE)</f>
        <v>8</v>
      </c>
      <c r="J727">
        <f>+D717/1000</f>
        <v>2.2</v>
      </c>
      <c r="K727" t="str">
        <v>+</v>
      </c>
      <c r="L727">
        <f>2*$F$16*F727/1000</f>
        <v>0.192</v>
      </c>
      <c r="M727" t="str">
        <v>=</v>
      </c>
      <c r="N727">
        <f>J727+L727</f>
        <v>2.3920000000000003</v>
      </c>
      <c r="O727" t="str">
        <v>+</v>
      </c>
      <c r="P727">
        <f>IF(N727&gt;12,ROUNDDOWN(N727/12,0),0)</f>
        <v>0</v>
      </c>
      <c r="Q727" t="str">
        <v>x</v>
      </c>
      <c r="R727">
        <f>IF(P727&gt;0,MAX(VLOOKUP(F727,$D$6:$G$15,3,FALSE),600),0)/1000</f>
        <v>0</v>
      </c>
      <c r="T727" t="str">
        <v>x</v>
      </c>
      <c r="U727">
        <f>0.006165*F727^2</f>
        <v>0.39456</v>
      </c>
      <c r="V727" t="str">
        <v>x</v>
      </c>
      <c r="W727">
        <f>+D727</f>
        <v>0</v>
      </c>
      <c r="X727" t="str">
        <v>x</v>
      </c>
      <c r="Y727">
        <f>D721</f>
        <v>1</v>
      </c>
      <c r="Z727" t="str">
        <v>=</v>
      </c>
      <c r="AA727">
        <f>(N727+P727*R727/1000)*U727*W727*Y727</f>
        <v>0</v>
      </c>
    </row>
    <row r="730">
      <c r="A730" t="str">
        <f>A715</f>
        <v>Lantai 1</v>
      </c>
      <c r="B730">
        <f>B715</f>
        <v>23</v>
      </c>
      <c r="C730" t="str">
        <v>Tul Bawah Tumpuan</v>
      </c>
      <c r="D730">
        <f>VLOOKUP(D715,'Detail Balok'!$C$10:$AU$140,22,FALSE)</f>
        <v>3</v>
      </c>
      <c r="E730" t="str">
        <v>D</v>
      </c>
      <c r="F730">
        <f>VLOOKUP(D715,'Detail Balok'!$C$10:$AU$140,24,FALSE)</f>
        <v>13</v>
      </c>
      <c r="I730" t="str">
        <v>(</v>
      </c>
      <c r="J730">
        <f>+J722</f>
        <v>0.55</v>
      </c>
      <c r="K730" t="str">
        <v>+</v>
      </c>
      <c r="L730">
        <f>MAX(VLOOKUP(F730,N$6:P$15,3,FALSE)/1000,2/3*D720/1000)+F$16*F730/1000</f>
        <v>0.156</v>
      </c>
      <c r="M730" t="str">
        <v>=</v>
      </c>
      <c r="N730">
        <f>J730+L730</f>
        <v>0.7060000000000001</v>
      </c>
      <c r="O730" t="str">
        <v>+</v>
      </c>
      <c r="P730">
        <f>D730-D731</f>
        <v>0</v>
      </c>
      <c r="Q730" t="str">
        <v>x</v>
      </c>
      <c r="R730">
        <f>IF(P730&gt;0,$F$18*F730/1000,0)</f>
        <v>0</v>
      </c>
      <c r="S730" t="str">
        <v>)</v>
      </c>
      <c r="T730" t="str">
        <v>x</v>
      </c>
      <c r="U730">
        <f>0.006165*F730^2</f>
        <v>1.041885</v>
      </c>
      <c r="X730" t="str">
        <v>x</v>
      </c>
      <c r="Y730">
        <f>D721</f>
        <v>1</v>
      </c>
      <c r="Z730" t="str">
        <v>=</v>
      </c>
      <c r="AA730">
        <f>IF(AA733=0,(D730*N730+P730*R730)*U730*Y730,0)</f>
        <v>0</v>
      </c>
    </row>
    <row r="731">
      <c r="A731" t="str">
        <f>A715</f>
        <v>Lantai 1</v>
      </c>
      <c r="B731">
        <f>B715</f>
        <v>23</v>
      </c>
      <c r="C731" t="str">
        <v>Tul Bawah Lapangan</v>
      </c>
      <c r="D731">
        <f>VLOOKUP(D715,'Detail Balok'!$C$10:$AU$140,25,FALSE)</f>
        <v>3</v>
      </c>
      <c r="E731" t="str">
        <v>D</v>
      </c>
      <c r="F731">
        <f>VLOOKUP(D715,'Detail Balok'!$C$10:$AU$140,27,FALSE)</f>
        <v>13</v>
      </c>
      <c r="I731" t="str">
        <v>(</v>
      </c>
      <c r="J731">
        <f>+J723</f>
        <v>1.1</v>
      </c>
      <c r="K731" t="str">
        <v>+</v>
      </c>
      <c r="M731" t="str">
        <v>=</v>
      </c>
      <c r="N731">
        <f>J731+L731</f>
        <v>1.1</v>
      </c>
      <c r="O731" t="str">
        <v>+</v>
      </c>
      <c r="P731">
        <f>MAX(D731-D730,D731-D732)</f>
        <v>0</v>
      </c>
      <c r="Q731" t="str">
        <v>x</v>
      </c>
      <c r="R731">
        <f>IF(P731&gt;0,2*(1-2*$F$19-1/2)*D718/1000,0)</f>
        <v>0</v>
      </c>
      <c r="S731" t="str">
        <v>)</v>
      </c>
      <c r="T731" t="str">
        <v>x</v>
      </c>
      <c r="U731">
        <f>0.006165*F731^2</f>
        <v>1.041885</v>
      </c>
      <c r="X731" t="str">
        <v>x</v>
      </c>
      <c r="Y731">
        <f>D721</f>
        <v>1</v>
      </c>
      <c r="Z731" t="str">
        <v>=</v>
      </c>
      <c r="AA731">
        <f>IF(AA733=0,(D731*N731+P731*R731)*U731*Y731,0)</f>
        <v>0</v>
      </c>
    </row>
    <row r="732">
      <c r="A732" t="str">
        <f>A715</f>
        <v>Lantai 1</v>
      </c>
      <c r="B732">
        <f>B715</f>
        <v>23</v>
      </c>
      <c r="C732" t="str">
        <v>Tul Bawah Tumpuan</v>
      </c>
      <c r="D732">
        <f>VLOOKUP(D715,'Detail Balok'!$C$10:$AU$140,28,FALSE)</f>
        <v>3</v>
      </c>
      <c r="E732" t="str">
        <v>D</v>
      </c>
      <c r="F732">
        <f>VLOOKUP(D715,'Detail Balok'!$C$10:$AU$140,30,FALSE)</f>
        <v>13</v>
      </c>
      <c r="I732" t="str">
        <v>(</v>
      </c>
      <c r="J732">
        <f>+J724</f>
        <v>0.55</v>
      </c>
      <c r="K732" t="str">
        <v>+</v>
      </c>
      <c r="L732">
        <f>MAX(VLOOKUP(F732,N$6:P$15,3,FALSE)/1000,2/3*D720/1000)+F$16*F732/1000</f>
        <v>0.156</v>
      </c>
      <c r="M732" t="str">
        <v>=</v>
      </c>
      <c r="N732">
        <f>J732+L732</f>
        <v>0.7060000000000001</v>
      </c>
      <c r="O732" t="str">
        <v>+</v>
      </c>
      <c r="P732">
        <f>D732-D731</f>
        <v>0</v>
      </c>
      <c r="Q732" t="str">
        <v>x</v>
      </c>
      <c r="R732">
        <f>IF(P732&gt;0,$F$18*F732/1000,0)</f>
        <v>0</v>
      </c>
      <c r="S732" t="str">
        <v>)</v>
      </c>
      <c r="T732" t="str">
        <v>x</v>
      </c>
      <c r="U732">
        <f>0.006165*F732^2</f>
        <v>1.041885</v>
      </c>
      <c r="X732" t="str">
        <v>x</v>
      </c>
      <c r="Y732">
        <f>D721</f>
        <v>1</v>
      </c>
      <c r="Z732" t="str">
        <v>=</v>
      </c>
      <c r="AA732">
        <f>IF(AA733=0,(D732*N732+P732*R732)*U732*Y732,0)</f>
        <v>0</v>
      </c>
    </row>
    <row r="733">
      <c r="A733" t="str">
        <f>A715</f>
        <v>Lantai 1</v>
      </c>
      <c r="B733">
        <f>B715</f>
        <v>23</v>
      </c>
      <c r="D733">
        <f>IF(AND(D730=D731,D731=D732,D730=D732),D730,0)</f>
        <v>3</v>
      </c>
      <c r="E733" t="str">
        <v>D</v>
      </c>
      <c r="F733">
        <f>IF(AND(F730=F731,F730=F732,F731=F732),F730,0)</f>
        <v>13</v>
      </c>
      <c r="L733" t="str">
        <v>Total panjang per balok</v>
      </c>
      <c r="M733" t="str">
        <v>=</v>
      </c>
      <c r="N733">
        <f>IF(AND(D730=D731,D730=D732,D731=D732,F730=F731,F730=F732,F731=F732),SUM(N730:N732),0)</f>
        <v>2.512</v>
      </c>
      <c r="O733" t="str">
        <v>+</v>
      </c>
      <c r="P733">
        <f>IF(N733&gt;12,ROUNDDOWN(N733/12,0),0)</f>
        <v>0</v>
      </c>
      <c r="Q733" t="str">
        <v>x</v>
      </c>
      <c r="R733">
        <f>IF(P733&gt;0,MAX(VLOOKUP(F733,$D$6:$G$15,3,FALSE),600),0)/1000</f>
        <v>0</v>
      </c>
      <c r="T733" t="str">
        <v>x</v>
      </c>
      <c r="U733">
        <f>U732</f>
        <v>1.041885</v>
      </c>
      <c r="V733" t="str">
        <v>x</v>
      </c>
      <c r="W733">
        <f>D733</f>
        <v>3</v>
      </c>
      <c r="X733" t="str">
        <v>x</v>
      </c>
      <c r="Y733">
        <f>Y732</f>
        <v>1</v>
      </c>
      <c r="Z733" t="str">
        <v>=</v>
      </c>
      <c r="AA733">
        <f>(N733+P733*R733/1000)*U733*W733*Y733</f>
        <v>7.85164536</v>
      </c>
    </row>
    <row r="735">
      <c r="A735" t="str">
        <f>A715</f>
        <v>Lantai 1</v>
      </c>
      <c r="B735">
        <f>B715</f>
        <v>23</v>
      </c>
      <c r="C735" t="str">
        <v>Sengkang Tumpuan</v>
      </c>
      <c r="D735">
        <f>VLOOKUP(D715,'Detail Balok'!$C$10:$AU$140,31,FALSE)</f>
        <v>0</v>
      </c>
      <c r="E735" t="str">
        <v>D</v>
      </c>
      <c r="F735">
        <f>VLOOKUP(D715,'Detail Balok'!$C$10:$AU$140,33,FALSE)</f>
        <v>8</v>
      </c>
      <c r="G735" t="str">
        <v>-</v>
      </c>
      <c r="H735">
        <f>VLOOKUP(D715,'Detail Balok'!$C$10:$AU$140,35,FALSE)</f>
        <v>150</v>
      </c>
      <c r="J735">
        <f>(IF(D735=0,(2*(D716+G716))-(F$5*8),IF(D735=3,(2*(D716+G716))-(F$5*8)+(G716-2*F$5),IF(D735=4,(2*(D716+G716))-(F$5*8)+2*(G716-2*F$5)))))/1000</f>
        <v>0.88</v>
      </c>
      <c r="K735" t="str">
        <v>+</v>
      </c>
      <c r="L735">
        <f>IF(D735=0,2*MAX(6*F735,75),(D735-1)*2*MAX(6*F735,75))/1000</f>
        <v>0.15</v>
      </c>
      <c r="M735" t="str">
        <v>=</v>
      </c>
      <c r="N735">
        <f>J735+L735</f>
        <v>1.03</v>
      </c>
      <c r="T735" t="str">
        <v>x</v>
      </c>
      <c r="U735">
        <f>0.006165*F735^2</f>
        <v>0.39456</v>
      </c>
      <c r="V735" t="str">
        <v>x</v>
      </c>
      <c r="W735">
        <f>IF(D718&gt;4*G716,ROUND(MAX(D718/4,2*G716)/H735,0)+1,ROUND(D718/H735,0)+1)</f>
        <v>6</v>
      </c>
      <c r="X735" t="str">
        <v>x</v>
      </c>
      <c r="Y735">
        <f>D721</f>
        <v>1</v>
      </c>
      <c r="Z735" t="str">
        <v>=</v>
      </c>
      <c r="AA735">
        <f>N735*U735*W735*Y735</f>
        <v>2.4383808000000005</v>
      </c>
    </row>
    <row r="736">
      <c r="A736" t="str">
        <f>A715</f>
        <v>Lantai 1</v>
      </c>
      <c r="B736">
        <f>B715</f>
        <v>23</v>
      </c>
      <c r="C736" t="str">
        <v>Sengkang Lapangan</v>
      </c>
      <c r="D736">
        <f>VLOOKUP(D715,'Detail Balok'!$C$10:$AU$140,36,FALSE)</f>
        <v>0</v>
      </c>
      <c r="E736" t="str">
        <v>D</v>
      </c>
      <c r="F736">
        <f>VLOOKUP(D715,'Detail Balok'!$C$10:$AU$140,38,FALSE)</f>
        <v>8</v>
      </c>
      <c r="G736" t="str">
        <v>-</v>
      </c>
      <c r="H736">
        <f>VLOOKUP(D715,'Detail Balok'!$C$10:$AU$140,40,FALSE)</f>
        <v>200</v>
      </c>
      <c r="J736">
        <f>(IF(D736=0,(2*(D716+G716))-(F$5*8),IF(D736=3,(2*(D716+G716))-(F$5*8)+(G716-2*F$5),IF(D736=4,(2*(D716+G716))-(F$5*8)+2*(G716-2*F$5)))))/1000</f>
        <v>0.88</v>
      </c>
      <c r="K736" t="str">
        <v>+</v>
      </c>
      <c r="L736">
        <f>IF(D736=0,2*MAX(6*F736,75),(D736-1)*2*MAX(6*F736,75))/1000</f>
        <v>0.15</v>
      </c>
      <c r="M736" t="str">
        <v>=</v>
      </c>
      <c r="N736">
        <f>J736+L736</f>
        <v>1.03</v>
      </c>
      <c r="T736" t="str">
        <v>x</v>
      </c>
      <c r="U736">
        <f>0.006165*F736^2</f>
        <v>0.39456</v>
      </c>
      <c r="V736" t="str">
        <v>x</v>
      </c>
      <c r="W736">
        <f>IF(D718-MAX(D718/4,2*G716)*2&gt;0,ROUND((D718-MAX(D718/4,2*G716)*2)/H736,0),0)</f>
        <v>3</v>
      </c>
      <c r="X736" t="str">
        <v>x</v>
      </c>
      <c r="Y736">
        <f>D721</f>
        <v>1</v>
      </c>
      <c r="Z736" t="str">
        <v>=</v>
      </c>
      <c r="AA736">
        <f>N736*U736*W736*Y736</f>
        <v>1.2191904000000002</v>
      </c>
    </row>
    <row r="737">
      <c r="A737" t="str">
        <f>A715</f>
        <v>Lantai 1</v>
      </c>
      <c r="B737">
        <f>B715</f>
        <v>23</v>
      </c>
      <c r="C737" t="str">
        <v>Sengkang Tumpuan</v>
      </c>
      <c r="D737">
        <f>VLOOKUP(D715,'Detail Balok'!$C$10:$AU$140,41,FALSE)</f>
        <v>0</v>
      </c>
      <c r="E737" t="str">
        <v>D</v>
      </c>
      <c r="F737">
        <f>VLOOKUP(D715,'Detail Balok'!$C$10:$AU$140,43,FALSE)</f>
        <v>8</v>
      </c>
      <c r="G737" t="str">
        <v>-</v>
      </c>
      <c r="H737">
        <f>VLOOKUP(D715,'Detail Balok'!$C$10:$AU$140,45,FALSE)</f>
        <v>150</v>
      </c>
      <c r="J737">
        <f>(IF(D737=0,(2*(D716+G716))-(F$5*8),IF(D737=3,(2*(D716+G716))-(F$5*8)+(G716-2*F$5),IF(D737=4,(2*(D716+G716))-(F$5*8)+2*(G716-2*F$5)))))/1000</f>
        <v>0.88</v>
      </c>
      <c r="K737" t="str">
        <v>+</v>
      </c>
      <c r="L737">
        <f>IF(D737=0,2*MAX(6*F737,75),(D737-1)*2*MAX(6*F737,75))/1000</f>
        <v>0.15</v>
      </c>
      <c r="M737" t="str">
        <v>=</v>
      </c>
      <c r="N737">
        <f>J737+L737</f>
        <v>1.03</v>
      </c>
      <c r="T737" t="str">
        <v>x</v>
      </c>
      <c r="U737">
        <f>0.006165*F737^2</f>
        <v>0.39456</v>
      </c>
      <c r="V737" t="str">
        <v>x</v>
      </c>
      <c r="W737">
        <f>IF(D718&gt;4*G716,ROUND(MAX(D718/4,2*G716)/H737,0)+1,0)</f>
        <v>6</v>
      </c>
      <c r="X737" t="str">
        <v>x</v>
      </c>
      <c r="Y737">
        <f>D721</f>
        <v>1</v>
      </c>
      <c r="Z737" t="str">
        <v>=</v>
      </c>
      <c r="AA737">
        <f>N737*U737*W737*Y737</f>
        <v>2.4383808000000005</v>
      </c>
    </row>
    <row r="739">
      <c r="A739" t="str">
        <f>A715</f>
        <v>Lantai 1</v>
      </c>
      <c r="B739">
        <f>B715</f>
        <v>23</v>
      </c>
      <c r="C739" t="str">
        <v>Kait Horizontal Tump.</v>
      </c>
      <c r="D739">
        <f>VLOOKUP(D715,'Detail Balok'!$C$10:$BJ$140,46,FALSE)</f>
        <v>0</v>
      </c>
      <c r="E739" t="str">
        <v>D</v>
      </c>
      <c r="F739">
        <f>VLOOKUP(D715,'Detail Balok'!$C$10:$BJ$140,48,FALSE)</f>
        <v>0</v>
      </c>
      <c r="G739" t="str">
        <v>-</v>
      </c>
      <c r="H739">
        <f>VLOOKUP(D715,'Detail Balok'!$C$10:$BJ$140,50,FALSE)</f>
        <v>100</v>
      </c>
      <c r="J739">
        <f>(D716-2*F$5)/1000</f>
        <v>0.12</v>
      </c>
      <c r="K739" t="str">
        <v>+</v>
      </c>
      <c r="L739">
        <f>IF(D739=0,2*MAX(6*F739,75),(D739-1)*2*MAX(6*F739,75))/1000</f>
        <v>0.15</v>
      </c>
      <c r="M739" t="str">
        <v>=</v>
      </c>
      <c r="N739">
        <f>J739+L739</f>
        <v>0.27</v>
      </c>
      <c r="T739" t="str">
        <v>x</v>
      </c>
      <c r="U739">
        <f>0.006165*F739^2</f>
        <v>0</v>
      </c>
      <c r="V739" t="str">
        <v>x</v>
      </c>
      <c r="W739">
        <f>W735</f>
        <v>6</v>
      </c>
      <c r="X739" t="str">
        <v>x</v>
      </c>
      <c r="Y739">
        <f>D725</f>
        <v>3</v>
      </c>
      <c r="Z739" t="str">
        <v>=</v>
      </c>
      <c r="AA739">
        <f>N739*U739*W739*Y739</f>
        <v>0</v>
      </c>
    </row>
    <row r="740">
      <c r="A740" t="str">
        <f>A715</f>
        <v>Lantai 1</v>
      </c>
      <c r="B740">
        <f>B715</f>
        <v>23</v>
      </c>
      <c r="C740" t="str">
        <v>Kait Horizontal Lap.</v>
      </c>
      <c r="D740">
        <f>VLOOKUP(D715,'Detail Balok'!$C$10:$BJ$140,51,FALSE)</f>
        <v>0</v>
      </c>
      <c r="E740" t="str">
        <v>D</v>
      </c>
      <c r="F740">
        <f>VLOOKUP(D715,'Detail Balok'!$C$10:$BJ$140,53,FALSE)</f>
        <v>0</v>
      </c>
      <c r="G740" t="str">
        <v>-</v>
      </c>
      <c r="H740">
        <f>VLOOKUP(D715,'Detail Balok'!$C$10:$BJ$140,55,FALSE)</f>
        <v>100</v>
      </c>
      <c r="J740">
        <f>(D716-2*F$5)/1000</f>
        <v>0.12</v>
      </c>
      <c r="K740" t="str">
        <v>+</v>
      </c>
      <c r="L740">
        <f>IF(D740=0,2*MAX(6*F740,75),(D740-1)*2*MAX(6*F740,75))/1000</f>
        <v>0.15</v>
      </c>
      <c r="M740" t="str">
        <v>=</v>
      </c>
      <c r="N740">
        <f>J740+L740</f>
        <v>0.27</v>
      </c>
      <c r="T740" t="str">
        <v>x</v>
      </c>
      <c r="U740">
        <f>0.006165*F740^2</f>
        <v>0</v>
      </c>
      <c r="V740" t="str">
        <v>x</v>
      </c>
      <c r="W740">
        <f>W736</f>
        <v>3</v>
      </c>
      <c r="X740" t="str">
        <v>x</v>
      </c>
      <c r="Y740">
        <f>D725</f>
        <v>3</v>
      </c>
      <c r="Z740" t="str">
        <v>=</v>
      </c>
      <c r="AA740">
        <f>N740*U740*W740*Y740</f>
        <v>0</v>
      </c>
    </row>
    <row r="741">
      <c r="A741" t="str">
        <f>A715</f>
        <v>Lantai 1</v>
      </c>
      <c r="B741">
        <f>B715</f>
        <v>23</v>
      </c>
      <c r="C741" t="str">
        <v>Kait Horizontal Tump.</v>
      </c>
      <c r="D741">
        <f>VLOOKUP(D715,'Detail Balok'!$C$10:$BJ$140,56,FALSE)</f>
        <v>0</v>
      </c>
      <c r="E741" t="str">
        <v>D</v>
      </c>
      <c r="F741">
        <f>VLOOKUP(D715,'Detail Balok'!$C$10:$BJ$140,58,FALSE)</f>
        <v>0</v>
      </c>
      <c r="G741" t="str">
        <v>-</v>
      </c>
      <c r="H741">
        <f>VLOOKUP(D715,'Detail Balok'!$C$10:$BJ$140,60,FALSE)</f>
        <v>100</v>
      </c>
      <c r="J741">
        <f>(D716-2*F$5)/1000</f>
        <v>0.12</v>
      </c>
      <c r="K741" t="str">
        <v>+</v>
      </c>
      <c r="L741">
        <f>IF(D741=0,2*MAX(6*F741,75),(D741-1)*2*MAX(6*F741,75))/1000</f>
        <v>0.15</v>
      </c>
      <c r="M741" t="str">
        <v>=</v>
      </c>
      <c r="N741">
        <f>J741+L741</f>
        <v>0.27</v>
      </c>
      <c r="T741" t="str">
        <v>x</v>
      </c>
      <c r="U741">
        <f>0.006165*F741^2</f>
        <v>0</v>
      </c>
      <c r="V741" t="str">
        <v>x</v>
      </c>
      <c r="W741">
        <f>W737</f>
        <v>6</v>
      </c>
      <c r="X741" t="str">
        <v>x</v>
      </c>
      <c r="Y741">
        <f>D725</f>
        <v>3</v>
      </c>
      <c r="Z741" t="str">
        <v>=</v>
      </c>
      <c r="AA741">
        <f>N741*U741*W741*Y741</f>
        <v>0</v>
      </c>
    </row>
    <row r="745">
      <c r="A745" t="str">
        <f>A715</f>
        <v>Lantai 1</v>
      </c>
      <c r="B745">
        <f>B715+1</f>
        <v>24</v>
      </c>
      <c r="C745" t="str">
        <f>CONCATENATE(A745," no. ",B745)</f>
        <v>Lantai 1 no. 24</v>
      </c>
      <c r="D745" t="str">
        <f>VLOOKUP(C745,'Data Panjang Balok'!$C$9:$N$254,2,FALSE)</f>
        <v>S24-1</v>
      </c>
    </row>
    <row r="746">
      <c r="C746" t="str">
        <v>Dimensi</v>
      </c>
      <c r="D746">
        <f>VLOOKUP(D745,'Detail Balok'!$C$10:$AU$140,2,FALSE)</f>
        <v>200</v>
      </c>
      <c r="F746" t="str">
        <v>x</v>
      </c>
      <c r="G746">
        <f>VLOOKUP(D745,'Detail Balok'!$C$10:$AU$140,3,FALSE)</f>
        <v>400</v>
      </c>
    </row>
    <row r="747">
      <c r="C747" t="str">
        <v>Panjang as ke as</v>
      </c>
      <c r="D747">
        <f>VLOOKUP(C745,'Data Panjang Balok'!$C$9:$N$254,4,FALSE)</f>
        <v>1675</v>
      </c>
    </row>
    <row r="748">
      <c r="C748" t="str">
        <v>Panjang netto</v>
      </c>
      <c r="D748">
        <f>VLOOKUP(C745,'Data Panjang Balok'!$C$9:$N$254,7,FALSE)</f>
        <v>1675</v>
      </c>
    </row>
    <row r="749">
      <c r="C749" t="str">
        <v>Kolom / balok kiri</v>
      </c>
      <c r="D749">
        <f>VLOOKUP(C745,'Data Panjang Balok'!$C$9:$N$254,9,FALSE)</f>
        <v>0</v>
      </c>
    </row>
    <row r="750">
      <c r="C750" t="str">
        <v>Kolom / balok kanan</v>
      </c>
      <c r="D750">
        <f>VLOOKUP(C745,'Data Panjang Balok'!$C$9:$N$254,10,FALSE)</f>
        <v>0</v>
      </c>
    </row>
    <row r="751">
      <c r="C751" t="str">
        <v>Jumlah</v>
      </c>
      <c r="D751">
        <f>VLOOKUP(C745,'Data Panjang Balok'!$C$9:$N$254,3,FALSE)</f>
        <v>1</v>
      </c>
    </row>
    <row r="752">
      <c r="A752" t="str">
        <f>A745</f>
        <v>Lantai 1</v>
      </c>
      <c r="B752">
        <f>B745</f>
        <v>24</v>
      </c>
      <c r="C752" t="str">
        <v>Tul Atas Tumpuan</v>
      </c>
      <c r="D752">
        <f>VLOOKUP(D745,'Detail Balok'!$C$10:$AU$140,4,FALSE)</f>
        <v>3</v>
      </c>
      <c r="E752" t="str">
        <v>D</v>
      </c>
      <c r="F752">
        <f>VLOOKUP(D745,'Detail Balok'!$C$10:$AU$140,6,FALSE)</f>
        <v>13</v>
      </c>
      <c r="I752" t="str">
        <v>(</v>
      </c>
      <c r="J752">
        <f>+D747/4/1000</f>
        <v>0.41875</v>
      </c>
      <c r="K752" t="str">
        <v>+</v>
      </c>
      <c r="L752">
        <f>MAX(VLOOKUP(F752,N$6:P$15,3,FALSE)/1000,2/3*D749/1000)+F$16*F752/1000</f>
        <v>0.156</v>
      </c>
      <c r="M752" t="str">
        <v>=</v>
      </c>
      <c r="N752">
        <f>J752+L752</f>
        <v>0.57475</v>
      </c>
      <c r="O752" t="str">
        <v>+</v>
      </c>
      <c r="P752">
        <f>D752-D753</f>
        <v>0</v>
      </c>
      <c r="Q752" t="str">
        <v>x</v>
      </c>
      <c r="R752">
        <f>IF(P752&gt;0,$F$18*F752/1000,0)</f>
        <v>0</v>
      </c>
      <c r="S752" t="str">
        <v>)</v>
      </c>
      <c r="T752" t="str">
        <v>x</v>
      </c>
      <c r="U752">
        <f>0.006165*F752^2</f>
        <v>1.041885</v>
      </c>
      <c r="X752" t="str">
        <v>x</v>
      </c>
      <c r="Y752">
        <f>D751</f>
        <v>1</v>
      </c>
      <c r="Z752" t="str">
        <v>=</v>
      </c>
      <c r="AA752">
        <f>IF(AA755=0,(D752*N752+P752*R752)*U752*Y752,0)</f>
        <v>0</v>
      </c>
    </row>
    <row r="753">
      <c r="A753" t="str">
        <f>A745</f>
        <v>Lantai 1</v>
      </c>
      <c r="B753">
        <f>B745</f>
        <v>24</v>
      </c>
      <c r="C753" t="str">
        <v>Tul Atas Lapangan</v>
      </c>
      <c r="D753">
        <f>VLOOKUP(D745,'Detail Balok'!$C$10:$AU$140,7,FALSE)</f>
        <v>3</v>
      </c>
      <c r="E753" t="str">
        <v>D</v>
      </c>
      <c r="F753">
        <f>VLOOKUP(D745,'Detail Balok'!$C$10:$AU$140,9,FALSE)</f>
        <v>13</v>
      </c>
      <c r="I753" t="str">
        <v>(</v>
      </c>
      <c r="J753">
        <f>+D747/2/1000</f>
        <v>0.8375</v>
      </c>
      <c r="K753" t="str">
        <v>+</v>
      </c>
      <c r="M753" t="str">
        <v>=</v>
      </c>
      <c r="N753">
        <f>J753+L753</f>
        <v>0.8375</v>
      </c>
      <c r="O753" t="str">
        <v>+</v>
      </c>
      <c r="P753">
        <f>MAX(D753-D752,D753-D754)</f>
        <v>0</v>
      </c>
      <c r="Q753" t="str">
        <v>x</v>
      </c>
      <c r="R753">
        <f>IF(P753&gt;0,2*(1-2*$F$19-1/2)*D748/1000,0)</f>
        <v>0</v>
      </c>
      <c r="S753" t="str">
        <v>)</v>
      </c>
      <c r="T753" t="str">
        <v>x</v>
      </c>
      <c r="U753">
        <f>0.006165*F753^2</f>
        <v>1.041885</v>
      </c>
      <c r="X753" t="str">
        <v>x</v>
      </c>
      <c r="Y753">
        <f>D751</f>
        <v>1</v>
      </c>
      <c r="Z753" t="str">
        <v>=</v>
      </c>
      <c r="AA753">
        <f>IF(AA755=0,(D753*N753+P753*R753)*U753*Y753,0)</f>
        <v>0</v>
      </c>
    </row>
    <row r="754">
      <c r="A754" t="str">
        <f>A745</f>
        <v>Lantai 1</v>
      </c>
      <c r="B754">
        <f>B745</f>
        <v>24</v>
      </c>
      <c r="C754" t="str">
        <v>Tul Atas Tumpuan</v>
      </c>
      <c r="D754">
        <f>VLOOKUP(D745,'Detail Balok'!$C$10:$AU$140,10,FALSE)</f>
        <v>3</v>
      </c>
      <c r="E754" t="str">
        <v>D</v>
      </c>
      <c r="F754">
        <f>VLOOKUP(D745,'Detail Balok'!$C$10:$AU$140,12,FALSE)</f>
        <v>13</v>
      </c>
      <c r="I754" t="str">
        <v>(</v>
      </c>
      <c r="J754">
        <f>+D747/4/1000</f>
        <v>0.41875</v>
      </c>
      <c r="K754" t="str">
        <v>+</v>
      </c>
      <c r="L754">
        <f>MAX(VLOOKUP(F754,N$6:P$15,3,FALSE)/1000,2/3*D749/1000)+F$16*F754/1000</f>
        <v>0.156</v>
      </c>
      <c r="M754" t="str">
        <v>=</v>
      </c>
      <c r="N754">
        <f>J754+L754</f>
        <v>0.57475</v>
      </c>
      <c r="O754" t="str">
        <v>+</v>
      </c>
      <c r="P754">
        <f>D754-D753</f>
        <v>0</v>
      </c>
      <c r="Q754" t="str">
        <v>x</v>
      </c>
      <c r="R754">
        <f>IF(P754&gt;0,$F$18*F754/1000,0)</f>
        <v>0</v>
      </c>
      <c r="S754" t="str">
        <v>)</v>
      </c>
      <c r="T754" t="str">
        <v>x</v>
      </c>
      <c r="U754">
        <f>0.006165*F754^2</f>
        <v>1.041885</v>
      </c>
      <c r="X754" t="str">
        <v>x</v>
      </c>
      <c r="Y754">
        <f>D751</f>
        <v>1</v>
      </c>
      <c r="Z754" t="str">
        <v>=</v>
      </c>
      <c r="AA754">
        <f>IF(AA755=0,(D754*N754+P754*R754)*U754*Y754,0)</f>
        <v>0</v>
      </c>
    </row>
    <row r="755">
      <c r="A755" t="str">
        <f>A745</f>
        <v>Lantai 1</v>
      </c>
      <c r="B755">
        <f>B745</f>
        <v>24</v>
      </c>
      <c r="D755">
        <f>IF(AND(D752=D753,D753=D754,D752=D754),D752,0)</f>
        <v>3</v>
      </c>
      <c r="E755" t="str">
        <v>D</v>
      </c>
      <c r="F755">
        <f>IF(AND(F752=F753,F752=F754,F753=F754),F752,0)</f>
        <v>13</v>
      </c>
      <c r="L755" t="str">
        <v>Total panjang per balok</v>
      </c>
      <c r="M755" t="str">
        <v>=</v>
      </c>
      <c r="N755">
        <f>IF(AND(D752=D753,D752=D754,D753=D754,F752=F753,F752=F754,F753=F754),SUM(N752:N754),0)</f>
        <v>1.987</v>
      </c>
      <c r="O755" t="str">
        <v>+</v>
      </c>
      <c r="P755">
        <f>IF(N755&gt;12,ROUNDDOWN(N755/12,0),0)</f>
        <v>0</v>
      </c>
      <c r="Q755" t="str">
        <v>x</v>
      </c>
      <c r="R755">
        <f>IF(P755&gt;0,MAX(VLOOKUP(F755,$D$6:$G$15,3,FALSE),600),0)/1000</f>
        <v>0</v>
      </c>
      <c r="T755" t="str">
        <v>x</v>
      </c>
      <c r="U755">
        <f>U754</f>
        <v>1.041885</v>
      </c>
      <c r="V755" t="str">
        <v>x</v>
      </c>
      <c r="W755">
        <f>D755</f>
        <v>3</v>
      </c>
      <c r="X755" t="str">
        <v>x</v>
      </c>
      <c r="Y755">
        <f>Y754</f>
        <v>1</v>
      </c>
      <c r="Z755" t="str">
        <v>=</v>
      </c>
      <c r="AA755">
        <f>(N755+P755*R755/1000)*U755*W755*Y755</f>
        <v>6.210676485</v>
      </c>
    </row>
    <row r="757">
      <c r="A757" t="str">
        <f>A745</f>
        <v>Lantai 1</v>
      </c>
      <c r="B757">
        <f>B745</f>
        <v>24</v>
      </c>
      <c r="C757" t="str">
        <v>Tul Peminggang</v>
      </c>
      <c r="D757">
        <f>VLOOKUP(D745,'Detail Balok'!$C$10:$AU$140,13,FALSE)</f>
        <v>0</v>
      </c>
      <c r="E757" t="str">
        <v>D</v>
      </c>
      <c r="F757">
        <f>VLOOKUP(D745,'Detail Balok'!$C$10:$AU$140,15,FALSE)</f>
        <v>8</v>
      </c>
      <c r="J757">
        <f>+D747/1000</f>
        <v>1.675</v>
      </c>
      <c r="K757" t="str">
        <v>+</v>
      </c>
      <c r="L757">
        <f>2*$F$16*F757/1000</f>
        <v>0.192</v>
      </c>
      <c r="M757" t="str">
        <v>=</v>
      </c>
      <c r="N757">
        <f>J757+L757</f>
        <v>1.867</v>
      </c>
      <c r="O757" t="str">
        <v>+</v>
      </c>
      <c r="P757">
        <f>IF(N757&gt;12,ROUNDDOWN(N757/12,0),0)</f>
        <v>0</v>
      </c>
      <c r="Q757" t="str">
        <v>x</v>
      </c>
      <c r="R757">
        <f>IF(P757&gt;0,MAX(VLOOKUP(F757,$D$6:$G$15,3,FALSE),600),0)/1000</f>
        <v>0</v>
      </c>
      <c r="T757" t="str">
        <v>x</v>
      </c>
      <c r="U757">
        <f>0.006165*F757^2</f>
        <v>0.39456</v>
      </c>
      <c r="V757" t="str">
        <v>x</v>
      </c>
      <c r="W757">
        <f>+D757</f>
        <v>0</v>
      </c>
      <c r="X757" t="str">
        <v>x</v>
      </c>
      <c r="Y757">
        <f>D751</f>
        <v>1</v>
      </c>
      <c r="Z757" t="str">
        <v>=</v>
      </c>
      <c r="AA757">
        <f>(N757+P757*R757/1000)*U757*W757*Y757</f>
        <v>0</v>
      </c>
    </row>
    <row r="760">
      <c r="A760" t="str">
        <f>A745</f>
        <v>Lantai 1</v>
      </c>
      <c r="B760">
        <f>B745</f>
        <v>24</v>
      </c>
      <c r="C760" t="str">
        <v>Tul Bawah Tumpuan</v>
      </c>
      <c r="D760">
        <f>VLOOKUP(D745,'Detail Balok'!$C$10:$AU$140,22,FALSE)</f>
        <v>3</v>
      </c>
      <c r="E760" t="str">
        <v>D</v>
      </c>
      <c r="F760">
        <f>VLOOKUP(D745,'Detail Balok'!$C$10:$AU$140,24,FALSE)</f>
        <v>13</v>
      </c>
      <c r="I760" t="str">
        <v>(</v>
      </c>
      <c r="J760">
        <f>+J752</f>
        <v>0.41875</v>
      </c>
      <c r="K760" t="str">
        <v>+</v>
      </c>
      <c r="L760">
        <f>MAX(VLOOKUP(F760,N$6:P$15,3,FALSE)/1000,2/3*D750/1000)+F$16*F760/1000</f>
        <v>0.156</v>
      </c>
      <c r="M760" t="str">
        <v>=</v>
      </c>
      <c r="N760">
        <f>J760+L760</f>
        <v>0.57475</v>
      </c>
      <c r="O760" t="str">
        <v>+</v>
      </c>
      <c r="P760">
        <f>D760-D761</f>
        <v>0</v>
      </c>
      <c r="Q760" t="str">
        <v>x</v>
      </c>
      <c r="R760">
        <f>IF(P760&gt;0,$F$18*F760/1000,0)</f>
        <v>0</v>
      </c>
      <c r="S760" t="str">
        <v>)</v>
      </c>
      <c r="T760" t="str">
        <v>x</v>
      </c>
      <c r="U760">
        <f>0.006165*F760^2</f>
        <v>1.041885</v>
      </c>
      <c r="X760" t="str">
        <v>x</v>
      </c>
      <c r="Y760">
        <f>D751</f>
        <v>1</v>
      </c>
      <c r="Z760" t="str">
        <v>=</v>
      </c>
      <c r="AA760">
        <f>IF(AA763=0,(D760*N760+P760*R760)*U760*Y760,0)</f>
        <v>0</v>
      </c>
    </row>
    <row r="761">
      <c r="A761" t="str">
        <f>A745</f>
        <v>Lantai 1</v>
      </c>
      <c r="B761">
        <f>B745</f>
        <v>24</v>
      </c>
      <c r="C761" t="str">
        <v>Tul Bawah Lapangan</v>
      </c>
      <c r="D761">
        <f>VLOOKUP(D745,'Detail Balok'!$C$10:$AU$140,25,FALSE)</f>
        <v>3</v>
      </c>
      <c r="E761" t="str">
        <v>D</v>
      </c>
      <c r="F761">
        <f>VLOOKUP(D745,'Detail Balok'!$C$10:$AU$140,27,FALSE)</f>
        <v>13</v>
      </c>
      <c r="I761" t="str">
        <v>(</v>
      </c>
      <c r="J761">
        <f>+J753</f>
        <v>0.8375</v>
      </c>
      <c r="K761" t="str">
        <v>+</v>
      </c>
      <c r="M761" t="str">
        <v>=</v>
      </c>
      <c r="N761">
        <f>J761+L761</f>
        <v>0.8375</v>
      </c>
      <c r="O761" t="str">
        <v>+</v>
      </c>
      <c r="P761">
        <f>MAX(D761-D760,D761-D762)</f>
        <v>0</v>
      </c>
      <c r="Q761" t="str">
        <v>x</v>
      </c>
      <c r="R761">
        <f>IF(P761&gt;0,2*(1-2*$F$19-1/2)*D748/1000,0)</f>
        <v>0</v>
      </c>
      <c r="S761" t="str">
        <v>)</v>
      </c>
      <c r="T761" t="str">
        <v>x</v>
      </c>
      <c r="U761">
        <f>0.006165*F761^2</f>
        <v>1.041885</v>
      </c>
      <c r="X761" t="str">
        <v>x</v>
      </c>
      <c r="Y761">
        <f>D751</f>
        <v>1</v>
      </c>
      <c r="Z761" t="str">
        <v>=</v>
      </c>
      <c r="AA761">
        <f>IF(AA763=0,(D761*N761+P761*R761)*U761*Y761,0)</f>
        <v>0</v>
      </c>
    </row>
    <row r="762">
      <c r="A762" t="str">
        <f>A745</f>
        <v>Lantai 1</v>
      </c>
      <c r="B762">
        <f>B745</f>
        <v>24</v>
      </c>
      <c r="C762" t="str">
        <v>Tul Bawah Tumpuan</v>
      </c>
      <c r="D762">
        <f>VLOOKUP(D745,'Detail Balok'!$C$10:$AU$140,28,FALSE)</f>
        <v>3</v>
      </c>
      <c r="E762" t="str">
        <v>D</v>
      </c>
      <c r="F762">
        <f>VLOOKUP(D745,'Detail Balok'!$C$10:$AU$140,30,FALSE)</f>
        <v>13</v>
      </c>
      <c r="I762" t="str">
        <v>(</v>
      </c>
      <c r="J762">
        <f>+J754</f>
        <v>0.41875</v>
      </c>
      <c r="K762" t="str">
        <v>+</v>
      </c>
      <c r="L762">
        <f>MAX(VLOOKUP(F762,N$6:P$15,3,FALSE)/1000,2/3*D750/1000)+F$16*F762/1000</f>
        <v>0.156</v>
      </c>
      <c r="M762" t="str">
        <v>=</v>
      </c>
      <c r="N762">
        <f>J762+L762</f>
        <v>0.57475</v>
      </c>
      <c r="O762" t="str">
        <v>+</v>
      </c>
      <c r="P762">
        <f>D762-D761</f>
        <v>0</v>
      </c>
      <c r="Q762" t="str">
        <v>x</v>
      </c>
      <c r="R762">
        <f>IF(P762&gt;0,$F$18*F762/1000,0)</f>
        <v>0</v>
      </c>
      <c r="S762" t="str">
        <v>)</v>
      </c>
      <c r="T762" t="str">
        <v>x</v>
      </c>
      <c r="U762">
        <f>0.006165*F762^2</f>
        <v>1.041885</v>
      </c>
      <c r="X762" t="str">
        <v>x</v>
      </c>
      <c r="Y762">
        <f>D751</f>
        <v>1</v>
      </c>
      <c r="Z762" t="str">
        <v>=</v>
      </c>
      <c r="AA762">
        <f>IF(AA763=0,(D762*N762+P762*R762)*U762*Y762,0)</f>
        <v>0</v>
      </c>
    </row>
    <row r="763">
      <c r="A763" t="str">
        <f>A745</f>
        <v>Lantai 1</v>
      </c>
      <c r="B763">
        <f>B745</f>
        <v>24</v>
      </c>
      <c r="D763">
        <f>IF(AND(D760=D761,D761=D762,D760=D762),D760,0)</f>
        <v>3</v>
      </c>
      <c r="E763" t="str">
        <v>D</v>
      </c>
      <c r="F763">
        <f>IF(AND(F760=F761,F760=F762,F761=F762),F760,0)</f>
        <v>13</v>
      </c>
      <c r="L763" t="str">
        <v>Total panjang per balok</v>
      </c>
      <c r="M763" t="str">
        <v>=</v>
      </c>
      <c r="N763">
        <f>IF(AND(D760=D761,D760=D762,D761=D762,F760=F761,F760=F762,F761=F762),SUM(N760:N762),0)</f>
        <v>1.987</v>
      </c>
      <c r="O763" t="str">
        <v>+</v>
      </c>
      <c r="P763">
        <f>IF(N763&gt;12,ROUNDDOWN(N763/12,0),0)</f>
        <v>0</v>
      </c>
      <c r="Q763" t="str">
        <v>x</v>
      </c>
      <c r="R763">
        <f>IF(P763&gt;0,MAX(VLOOKUP(F763,$D$6:$G$15,3,FALSE),600),0)/1000</f>
        <v>0</v>
      </c>
      <c r="T763" t="str">
        <v>x</v>
      </c>
      <c r="U763">
        <f>U762</f>
        <v>1.041885</v>
      </c>
      <c r="V763" t="str">
        <v>x</v>
      </c>
      <c r="W763">
        <f>D763</f>
        <v>3</v>
      </c>
      <c r="X763" t="str">
        <v>x</v>
      </c>
      <c r="Y763">
        <f>Y762</f>
        <v>1</v>
      </c>
      <c r="Z763" t="str">
        <v>=</v>
      </c>
      <c r="AA763">
        <f>(N763+P763*R763/1000)*U763*W763*Y763</f>
        <v>6.210676485</v>
      </c>
    </row>
    <row r="765">
      <c r="A765" t="str">
        <f>A745</f>
        <v>Lantai 1</v>
      </c>
      <c r="B765">
        <f>B745</f>
        <v>24</v>
      </c>
      <c r="C765" t="str">
        <v>Sengkang Tumpuan</v>
      </c>
      <c r="D765">
        <f>VLOOKUP(D745,'Detail Balok'!$C$10:$AU$140,31,FALSE)</f>
        <v>0</v>
      </c>
      <c r="E765" t="str">
        <v>D</v>
      </c>
      <c r="F765">
        <f>VLOOKUP(D745,'Detail Balok'!$C$10:$AU$140,33,FALSE)</f>
        <v>8</v>
      </c>
      <c r="G765" t="str">
        <v>-</v>
      </c>
      <c r="H765">
        <f>VLOOKUP(D745,'Detail Balok'!$C$10:$AU$140,35,FALSE)</f>
        <v>150</v>
      </c>
      <c r="J765">
        <f>(IF(D765=0,(2*(D746+G746))-(F$5*8),IF(D765=3,(2*(D746+G746))-(F$5*8)+(G746-2*F$5),IF(D765=4,(2*(D746+G746))-(F$5*8)+2*(G746-2*F$5)))))/1000</f>
        <v>0.88</v>
      </c>
      <c r="K765" t="str">
        <v>+</v>
      </c>
      <c r="L765">
        <f>IF(D765=0,2*MAX(6*F765,75),(D765-1)*2*MAX(6*F765,75))/1000</f>
        <v>0.15</v>
      </c>
      <c r="M765" t="str">
        <v>=</v>
      </c>
      <c r="N765">
        <f>J765+L765</f>
        <v>1.03</v>
      </c>
      <c r="T765" t="str">
        <v>x</v>
      </c>
      <c r="U765">
        <f>0.006165*F765^2</f>
        <v>0.39456</v>
      </c>
      <c r="V765" t="str">
        <v>x</v>
      </c>
      <c r="W765">
        <f>IF(D748&gt;4*G746,ROUND(MAX(D748/4,2*G746)/H765,0)+1,ROUND(D748/H765,0)+1)</f>
        <v>6</v>
      </c>
      <c r="X765" t="str">
        <v>x</v>
      </c>
      <c r="Y765">
        <f>D751</f>
        <v>1</v>
      </c>
      <c r="Z765" t="str">
        <v>=</v>
      </c>
      <c r="AA765">
        <f>N765*U765*W765*Y765</f>
        <v>2.4383808000000005</v>
      </c>
    </row>
    <row r="766">
      <c r="A766" t="str">
        <f>A745</f>
        <v>Lantai 1</v>
      </c>
      <c r="B766">
        <f>B745</f>
        <v>24</v>
      </c>
      <c r="C766" t="str">
        <v>Sengkang Lapangan</v>
      </c>
      <c r="D766">
        <f>VLOOKUP(D745,'Detail Balok'!$C$10:$AU$140,36,FALSE)</f>
        <v>0</v>
      </c>
      <c r="E766" t="str">
        <v>D</v>
      </c>
      <c r="F766">
        <f>VLOOKUP(D745,'Detail Balok'!$C$10:$AU$140,38,FALSE)</f>
        <v>8</v>
      </c>
      <c r="G766" t="str">
        <v>-</v>
      </c>
      <c r="H766">
        <f>VLOOKUP(D745,'Detail Balok'!$C$10:$AU$140,40,FALSE)</f>
        <v>200</v>
      </c>
      <c r="J766">
        <f>(IF(D766=0,(2*(D746+G746))-(F$5*8),IF(D766=3,(2*(D746+G746))-(F$5*8)+(G746-2*F$5),IF(D766=4,(2*(D746+G746))-(F$5*8)+2*(G746-2*F$5)))))/1000</f>
        <v>0.88</v>
      </c>
      <c r="K766" t="str">
        <v>+</v>
      </c>
      <c r="L766">
        <f>IF(D766=0,2*MAX(6*F766,75),(D766-1)*2*MAX(6*F766,75))/1000</f>
        <v>0.15</v>
      </c>
      <c r="M766" t="str">
        <v>=</v>
      </c>
      <c r="N766">
        <f>J766+L766</f>
        <v>1.03</v>
      </c>
      <c r="T766" t="str">
        <v>x</v>
      </c>
      <c r="U766">
        <f>0.006165*F766^2</f>
        <v>0.39456</v>
      </c>
      <c r="V766" t="str">
        <v>x</v>
      </c>
      <c r="W766">
        <f>IF(D748-MAX(D748/4,2*G746)*2&gt;0,ROUND((D748-MAX(D748/4,2*G746)*2)/H766,0),0)</f>
        <v>0</v>
      </c>
      <c r="X766" t="str">
        <v>x</v>
      </c>
      <c r="Y766">
        <f>D751</f>
        <v>1</v>
      </c>
      <c r="Z766" t="str">
        <v>=</v>
      </c>
      <c r="AA766">
        <f>N766*U766*W766*Y766</f>
        <v>0</v>
      </c>
    </row>
    <row r="767">
      <c r="A767" t="str">
        <f>A745</f>
        <v>Lantai 1</v>
      </c>
      <c r="B767">
        <f>B745</f>
        <v>24</v>
      </c>
      <c r="C767" t="str">
        <v>Sengkang Tumpuan</v>
      </c>
      <c r="D767">
        <f>VLOOKUP(D745,'Detail Balok'!$C$10:$AU$140,41,FALSE)</f>
        <v>0</v>
      </c>
      <c r="E767" t="str">
        <v>D</v>
      </c>
      <c r="F767">
        <f>VLOOKUP(D745,'Detail Balok'!$C$10:$AU$140,43,FALSE)</f>
        <v>8</v>
      </c>
      <c r="G767" t="str">
        <v>-</v>
      </c>
      <c r="H767">
        <f>VLOOKUP(D745,'Detail Balok'!$C$10:$AU$140,45,FALSE)</f>
        <v>150</v>
      </c>
      <c r="J767">
        <f>(IF(D767=0,(2*(D746+G746))-(F$5*8),IF(D767=3,(2*(D746+G746))-(F$5*8)+(G746-2*F$5),IF(D767=4,(2*(D746+G746))-(F$5*8)+2*(G746-2*F$5)))))/1000</f>
        <v>0.88</v>
      </c>
      <c r="K767" t="str">
        <v>+</v>
      </c>
      <c r="L767">
        <f>IF(D767=0,2*MAX(6*F767,75),(D767-1)*2*MAX(6*F767,75))/1000</f>
        <v>0.15</v>
      </c>
      <c r="M767" t="str">
        <v>=</v>
      </c>
      <c r="N767">
        <f>J767+L767</f>
        <v>1.03</v>
      </c>
      <c r="T767" t="str">
        <v>x</v>
      </c>
      <c r="U767">
        <f>0.006165*F767^2</f>
        <v>0.39456</v>
      </c>
      <c r="V767" t="str">
        <v>x</v>
      </c>
      <c r="W767">
        <f>IF(D748&gt;4*G746,ROUND(MAX(D748/4,2*G746)/H767,0)+1,0)</f>
        <v>6</v>
      </c>
      <c r="X767" t="str">
        <v>x</v>
      </c>
      <c r="Y767">
        <f>D751</f>
        <v>1</v>
      </c>
      <c r="Z767" t="str">
        <v>=</v>
      </c>
      <c r="AA767">
        <f>N767*U767*W767*Y767</f>
        <v>2.4383808000000005</v>
      </c>
    </row>
    <row r="769">
      <c r="A769" t="str">
        <f>A745</f>
        <v>Lantai 1</v>
      </c>
      <c r="B769">
        <f>B745</f>
        <v>24</v>
      </c>
      <c r="C769" t="str">
        <v>Kait Horizontal Tump.</v>
      </c>
      <c r="D769">
        <f>VLOOKUP(D745,'Detail Balok'!$C$10:$BJ$140,46,FALSE)</f>
        <v>0</v>
      </c>
      <c r="E769" t="str">
        <v>D</v>
      </c>
      <c r="F769">
        <f>VLOOKUP(D745,'Detail Balok'!$C$10:$BJ$140,48,FALSE)</f>
        <v>0</v>
      </c>
      <c r="G769" t="str">
        <v>-</v>
      </c>
      <c r="H769">
        <f>VLOOKUP(D745,'Detail Balok'!$C$10:$BJ$140,50,FALSE)</f>
        <v>100</v>
      </c>
      <c r="J769">
        <f>(D746-2*F$5)/1000</f>
        <v>0.12</v>
      </c>
      <c r="K769" t="str">
        <v>+</v>
      </c>
      <c r="L769">
        <f>IF(D769=0,2*MAX(6*F769,75),(D769-1)*2*MAX(6*F769,75))/1000</f>
        <v>0.15</v>
      </c>
      <c r="M769" t="str">
        <v>=</v>
      </c>
      <c r="N769">
        <f>J769+L769</f>
        <v>0.27</v>
      </c>
      <c r="T769" t="str">
        <v>x</v>
      </c>
      <c r="U769">
        <f>0.006165*F769^2</f>
        <v>0</v>
      </c>
      <c r="V769" t="str">
        <v>x</v>
      </c>
      <c r="W769">
        <f>W765</f>
        <v>6</v>
      </c>
      <c r="X769" t="str">
        <v>x</v>
      </c>
      <c r="Y769">
        <f>D755</f>
        <v>3</v>
      </c>
      <c r="Z769" t="str">
        <v>=</v>
      </c>
      <c r="AA769">
        <f>N769*U769*W769*Y769</f>
        <v>0</v>
      </c>
    </row>
    <row r="770">
      <c r="A770" t="str">
        <f>A745</f>
        <v>Lantai 1</v>
      </c>
      <c r="B770">
        <f>B745</f>
        <v>24</v>
      </c>
      <c r="C770" t="str">
        <v>Kait Horizontal Lap.</v>
      </c>
      <c r="D770">
        <f>VLOOKUP(D745,'Detail Balok'!$C$10:$BJ$140,51,FALSE)</f>
        <v>0</v>
      </c>
      <c r="E770" t="str">
        <v>D</v>
      </c>
      <c r="F770">
        <f>VLOOKUP(D745,'Detail Balok'!$C$10:$BJ$140,53,FALSE)</f>
        <v>0</v>
      </c>
      <c r="G770" t="str">
        <v>-</v>
      </c>
      <c r="H770">
        <f>VLOOKUP(D745,'Detail Balok'!$C$10:$BJ$140,55,FALSE)</f>
        <v>100</v>
      </c>
      <c r="J770">
        <f>(D746-2*F$5)/1000</f>
        <v>0.12</v>
      </c>
      <c r="K770" t="str">
        <v>+</v>
      </c>
      <c r="L770">
        <f>IF(D770=0,2*MAX(6*F770,75),(D770-1)*2*MAX(6*F770,75))/1000</f>
        <v>0.15</v>
      </c>
      <c r="M770" t="str">
        <v>=</v>
      </c>
      <c r="N770">
        <f>J770+L770</f>
        <v>0.27</v>
      </c>
      <c r="T770" t="str">
        <v>x</v>
      </c>
      <c r="U770">
        <f>0.006165*F770^2</f>
        <v>0</v>
      </c>
      <c r="V770" t="str">
        <v>x</v>
      </c>
      <c r="W770">
        <f>W766</f>
        <v>0</v>
      </c>
      <c r="X770" t="str">
        <v>x</v>
      </c>
      <c r="Y770">
        <f>D755</f>
        <v>3</v>
      </c>
      <c r="Z770" t="str">
        <v>=</v>
      </c>
      <c r="AA770">
        <f>N770*U770*W770*Y770</f>
        <v>0</v>
      </c>
    </row>
    <row r="771">
      <c r="A771" t="str">
        <f>A745</f>
        <v>Lantai 1</v>
      </c>
      <c r="B771">
        <f>B745</f>
        <v>24</v>
      </c>
      <c r="C771" t="str">
        <v>Kait Horizontal Tump.</v>
      </c>
      <c r="D771">
        <f>VLOOKUP(D745,'Detail Balok'!$C$10:$BJ$140,56,FALSE)</f>
        <v>0</v>
      </c>
      <c r="E771" t="str">
        <v>D</v>
      </c>
      <c r="F771">
        <f>VLOOKUP(D745,'Detail Balok'!$C$10:$BJ$140,58,FALSE)</f>
        <v>0</v>
      </c>
      <c r="G771" t="str">
        <v>-</v>
      </c>
      <c r="H771">
        <f>VLOOKUP(D745,'Detail Balok'!$C$10:$BJ$140,60,FALSE)</f>
        <v>100</v>
      </c>
      <c r="J771">
        <f>(D746-2*F$5)/1000</f>
        <v>0.12</v>
      </c>
      <c r="K771" t="str">
        <v>+</v>
      </c>
      <c r="L771">
        <f>IF(D771=0,2*MAX(6*F771,75),(D771-1)*2*MAX(6*F771,75))/1000</f>
        <v>0.15</v>
      </c>
      <c r="M771" t="str">
        <v>=</v>
      </c>
      <c r="N771">
        <f>J771+L771</f>
        <v>0.27</v>
      </c>
      <c r="T771" t="str">
        <v>x</v>
      </c>
      <c r="U771">
        <f>0.006165*F771^2</f>
        <v>0</v>
      </c>
      <c r="V771" t="str">
        <v>x</v>
      </c>
      <c r="W771">
        <f>W767</f>
        <v>6</v>
      </c>
      <c r="X771" t="str">
        <v>x</v>
      </c>
      <c r="Y771">
        <f>D755</f>
        <v>3</v>
      </c>
      <c r="Z771" t="str">
        <v>=</v>
      </c>
      <c r="AA771">
        <f>N771*U771*W771*Y771</f>
        <v>0</v>
      </c>
    </row>
    <row r="775">
      <c r="A775" t="str">
        <f>A745</f>
        <v>Lantai 1</v>
      </c>
      <c r="B775">
        <f>B745+1</f>
        <v>25</v>
      </c>
      <c r="C775" t="str">
        <f>CONCATENATE(A775," no. ",B775)</f>
        <v>Lantai 1 no. 25</v>
      </c>
      <c r="D775" t="str">
        <f>VLOOKUP(C775,'Data Panjang Balok'!$C$9:$N$254,2,FALSE)</f>
        <v>S25-1</v>
      </c>
    </row>
    <row r="776">
      <c r="C776" t="str">
        <v>Dimensi</v>
      </c>
      <c r="D776">
        <f>VLOOKUP(D775,'Detail Balok'!$C$10:$AU$140,2,FALSE)</f>
        <v>200</v>
      </c>
      <c r="F776" t="str">
        <v>x</v>
      </c>
      <c r="G776">
        <f>VLOOKUP(D775,'Detail Balok'!$C$10:$AU$140,3,FALSE)</f>
        <v>500</v>
      </c>
    </row>
    <row r="777">
      <c r="C777" t="str">
        <v>Panjang as ke as</v>
      </c>
      <c r="D777">
        <f>VLOOKUP(C775,'Data Panjang Balok'!$C$9:$N$254,4,FALSE)</f>
        <v>11000</v>
      </c>
    </row>
    <row r="778">
      <c r="C778" t="str">
        <v>Panjang netto</v>
      </c>
      <c r="D778">
        <f>VLOOKUP(C775,'Data Panjang Balok'!$C$9:$N$254,7,FALSE)</f>
        <v>11000</v>
      </c>
    </row>
    <row r="779">
      <c r="C779" t="str">
        <v>Kolom / balok kiri</v>
      </c>
      <c r="D779">
        <f>VLOOKUP(C775,'Data Panjang Balok'!$C$9:$N$254,9,FALSE)</f>
        <v>0</v>
      </c>
    </row>
    <row r="780">
      <c r="C780" t="str">
        <v>Kolom / balok kanan</v>
      </c>
      <c r="D780">
        <f>VLOOKUP(C775,'Data Panjang Balok'!$C$9:$N$254,10,FALSE)</f>
        <v>0</v>
      </c>
    </row>
    <row r="781">
      <c r="C781" t="str">
        <v>Jumlah</v>
      </c>
      <c r="D781">
        <f>VLOOKUP(C775,'Data Panjang Balok'!$C$9:$N$254,3,FALSE)</f>
        <v>1</v>
      </c>
    </row>
    <row r="782">
      <c r="A782" t="str">
        <f>A775</f>
        <v>Lantai 1</v>
      </c>
      <c r="B782">
        <f>B775</f>
        <v>25</v>
      </c>
      <c r="C782" t="str">
        <v>Tul Atas Tumpuan</v>
      </c>
      <c r="D782">
        <f>VLOOKUP(D775,'Detail Balok'!$C$10:$AU$140,4,FALSE)</f>
        <v>3</v>
      </c>
      <c r="E782" t="str">
        <v>D</v>
      </c>
      <c r="F782">
        <f>VLOOKUP(D775,'Detail Balok'!$C$10:$AU$140,6,FALSE)</f>
        <v>16</v>
      </c>
      <c r="I782" t="str">
        <v>(</v>
      </c>
      <c r="J782">
        <f>+D777/4/1000</f>
        <v>2.75</v>
      </c>
      <c r="K782" t="str">
        <v>+</v>
      </c>
      <c r="L782">
        <f>MAX(VLOOKUP(F782,N$6:P$15,3,FALSE)/1000,2/3*D779/1000)+F$16*F782/1000</f>
        <v>0.192</v>
      </c>
      <c r="M782" t="str">
        <v>=</v>
      </c>
      <c r="N782">
        <f>J782+L782</f>
        <v>2.942</v>
      </c>
      <c r="O782" t="str">
        <v>+</v>
      </c>
      <c r="P782">
        <f>D782-D783</f>
        <v>0</v>
      </c>
      <c r="Q782" t="str">
        <v>x</v>
      </c>
      <c r="R782">
        <f>IF(P782&gt;0,$F$18*F782/1000,0)</f>
        <v>0</v>
      </c>
      <c r="S782" t="str">
        <v>)</v>
      </c>
      <c r="T782" t="str">
        <v>x</v>
      </c>
      <c r="U782">
        <f>0.006165*F782^2</f>
        <v>1.57824</v>
      </c>
      <c r="X782" t="str">
        <v>x</v>
      </c>
      <c r="Y782">
        <f>D781</f>
        <v>1</v>
      </c>
      <c r="Z782" t="str">
        <v>=</v>
      </c>
      <c r="AA782">
        <f>IF(AA785=0,(D782*N782+P782*R782)*U782*Y782,0)</f>
        <v>0</v>
      </c>
    </row>
    <row r="783">
      <c r="A783" t="str">
        <f>A775</f>
        <v>Lantai 1</v>
      </c>
      <c r="B783">
        <f>B775</f>
        <v>25</v>
      </c>
      <c r="C783" t="str">
        <v>Tul Atas Lapangan</v>
      </c>
      <c r="D783">
        <f>VLOOKUP(D775,'Detail Balok'!$C$10:$AU$140,7,FALSE)</f>
        <v>3</v>
      </c>
      <c r="E783" t="str">
        <v>D</v>
      </c>
      <c r="F783">
        <f>VLOOKUP(D775,'Detail Balok'!$C$10:$AU$140,9,FALSE)</f>
        <v>16</v>
      </c>
      <c r="I783" t="str">
        <v>(</v>
      </c>
      <c r="J783">
        <f>+D777/2/1000</f>
        <v>5.5</v>
      </c>
      <c r="K783" t="str">
        <v>+</v>
      </c>
      <c r="M783" t="str">
        <v>=</v>
      </c>
      <c r="N783">
        <f>J783+L783</f>
        <v>5.5</v>
      </c>
      <c r="O783" t="str">
        <v>+</v>
      </c>
      <c r="P783">
        <f>MAX(D783-D782,D783-D784)</f>
        <v>0</v>
      </c>
      <c r="Q783" t="str">
        <v>x</v>
      </c>
      <c r="R783">
        <f>IF(P783&gt;0,2*(1-2*$F$19-1/2)*D778/1000,0)</f>
        <v>0</v>
      </c>
      <c r="S783" t="str">
        <v>)</v>
      </c>
      <c r="T783" t="str">
        <v>x</v>
      </c>
      <c r="U783">
        <f>0.006165*F783^2</f>
        <v>1.57824</v>
      </c>
      <c r="X783" t="str">
        <v>x</v>
      </c>
      <c r="Y783">
        <f>D781</f>
        <v>1</v>
      </c>
      <c r="Z783" t="str">
        <v>=</v>
      </c>
      <c r="AA783">
        <f>IF(AA785=0,(D783*N783+P783*R783)*U783*Y783,0)</f>
        <v>0</v>
      </c>
    </row>
    <row r="784">
      <c r="A784" t="str">
        <f>A775</f>
        <v>Lantai 1</v>
      </c>
      <c r="B784">
        <f>B775</f>
        <v>25</v>
      </c>
      <c r="C784" t="str">
        <v>Tul Atas Tumpuan</v>
      </c>
      <c r="D784">
        <f>VLOOKUP(D775,'Detail Balok'!$C$10:$AU$140,10,FALSE)</f>
        <v>3</v>
      </c>
      <c r="E784" t="str">
        <v>D</v>
      </c>
      <c r="F784">
        <f>VLOOKUP(D775,'Detail Balok'!$C$10:$AU$140,12,FALSE)</f>
        <v>16</v>
      </c>
      <c r="I784" t="str">
        <v>(</v>
      </c>
      <c r="J784">
        <f>+D777/4/1000</f>
        <v>2.75</v>
      </c>
      <c r="K784" t="str">
        <v>+</v>
      </c>
      <c r="L784">
        <f>MAX(VLOOKUP(F784,N$6:P$15,3,FALSE)/1000,2/3*D779/1000)+F$16*F784/1000</f>
        <v>0.192</v>
      </c>
      <c r="M784" t="str">
        <v>=</v>
      </c>
      <c r="N784">
        <f>J784+L784</f>
        <v>2.942</v>
      </c>
      <c r="O784" t="str">
        <v>+</v>
      </c>
      <c r="P784">
        <f>D784-D783</f>
        <v>0</v>
      </c>
      <c r="Q784" t="str">
        <v>x</v>
      </c>
      <c r="R784">
        <f>IF(P784&gt;0,$F$18*F784/1000,0)</f>
        <v>0</v>
      </c>
      <c r="S784" t="str">
        <v>)</v>
      </c>
      <c r="T784" t="str">
        <v>x</v>
      </c>
      <c r="U784">
        <f>0.006165*F784^2</f>
        <v>1.57824</v>
      </c>
      <c r="X784" t="str">
        <v>x</v>
      </c>
      <c r="Y784">
        <f>D781</f>
        <v>1</v>
      </c>
      <c r="Z784" t="str">
        <v>=</v>
      </c>
      <c r="AA784">
        <f>IF(AA785=0,(D784*N784+P784*R784)*U784*Y784,0)</f>
        <v>0</v>
      </c>
    </row>
    <row r="785">
      <c r="A785" t="str">
        <f>A775</f>
        <v>Lantai 1</v>
      </c>
      <c r="B785">
        <f>B775</f>
        <v>25</v>
      </c>
      <c r="D785">
        <f>IF(AND(D782=D783,D783=D784,D782=D784),D782,0)</f>
        <v>3</v>
      </c>
      <c r="E785" t="str">
        <v>D</v>
      </c>
      <c r="F785">
        <f>IF(AND(F782=F783,F782=F784,F783=F784),F782,0)</f>
        <v>16</v>
      </c>
      <c r="L785" t="str">
        <v>Total panjang per balok</v>
      </c>
      <c r="M785" t="str">
        <v>=</v>
      </c>
      <c r="N785">
        <f>IF(AND(D782=D783,D782=D784,D783=D784,F782=F783,F782=F784,F783=F784),SUM(N782:N784),0)</f>
        <v>11.384</v>
      </c>
      <c r="O785" t="str">
        <v>+</v>
      </c>
      <c r="P785">
        <f>IF(N785&gt;12,ROUNDDOWN(N785/12,0),0)</f>
        <v>0</v>
      </c>
      <c r="Q785" t="str">
        <v>x</v>
      </c>
      <c r="R785">
        <f>IF(P785&gt;0,MAX(VLOOKUP(F785,$D$6:$G$15,3,FALSE),600),0)/1000</f>
        <v>0</v>
      </c>
      <c r="T785" t="str">
        <v>x</v>
      </c>
      <c r="U785">
        <f>U784</f>
        <v>1.57824</v>
      </c>
      <c r="V785" t="str">
        <v>x</v>
      </c>
      <c r="W785">
        <f>D785</f>
        <v>3</v>
      </c>
      <c r="X785" t="str">
        <v>x</v>
      </c>
      <c r="Y785">
        <f>Y784</f>
        <v>1</v>
      </c>
      <c r="Z785" t="str">
        <v>=</v>
      </c>
      <c r="AA785">
        <f>(N785+P785*R785/1000)*U785*W785*Y785</f>
        <v>53.90005248</v>
      </c>
    </row>
    <row r="787">
      <c r="A787" t="str">
        <f>A775</f>
        <v>Lantai 1</v>
      </c>
      <c r="B787">
        <f>B775</f>
        <v>25</v>
      </c>
      <c r="C787" t="str">
        <v>Tul Peminggang</v>
      </c>
      <c r="D787">
        <f>VLOOKUP(D775,'Detail Balok'!$C$10:$AU$140,13,FALSE)</f>
        <v>2</v>
      </c>
      <c r="E787" t="str">
        <v>D</v>
      </c>
      <c r="F787">
        <f>VLOOKUP(D775,'Detail Balok'!$C$10:$AU$140,15,FALSE)</f>
        <v>10</v>
      </c>
      <c r="J787">
        <f>+D777/1000</f>
        <v>11</v>
      </c>
      <c r="K787" t="str">
        <v>+</v>
      </c>
      <c r="L787">
        <f>2*$F$16*F787/1000</f>
        <v>0.24</v>
      </c>
      <c r="M787" t="str">
        <v>=</v>
      </c>
      <c r="N787">
        <f>J787+L787</f>
        <v>11.24</v>
      </c>
      <c r="O787" t="str">
        <v>+</v>
      </c>
      <c r="P787">
        <f>IF(N787&gt;12,ROUNDDOWN(N787/12,0),0)</f>
        <v>0</v>
      </c>
      <c r="Q787" t="str">
        <v>x</v>
      </c>
      <c r="R787">
        <f>IF(P787&gt;0,MAX(VLOOKUP(F787,$D$6:$G$15,3,FALSE),600),0)/1000</f>
        <v>0</v>
      </c>
      <c r="T787" t="str">
        <v>x</v>
      </c>
      <c r="U787">
        <f>0.006165*F787^2</f>
        <v>0.6165</v>
      </c>
      <c r="V787" t="str">
        <v>x</v>
      </c>
      <c r="W787">
        <f>+D787</f>
        <v>2</v>
      </c>
      <c r="X787" t="str">
        <v>x</v>
      </c>
      <c r="Y787">
        <f>D781</f>
        <v>1</v>
      </c>
      <c r="Z787" t="str">
        <v>=</v>
      </c>
      <c r="AA787">
        <f>(N787+P787*R787/1000)*U787*W787*Y787</f>
        <v>13.858920000000001</v>
      </c>
    </row>
    <row r="790">
      <c r="A790" t="str">
        <f>A775</f>
        <v>Lantai 1</v>
      </c>
      <c r="B790">
        <f>B775</f>
        <v>25</v>
      </c>
      <c r="C790" t="str">
        <v>Tul Bawah Tumpuan</v>
      </c>
      <c r="D790">
        <f>VLOOKUP(D775,'Detail Balok'!$C$10:$AU$140,22,FALSE)</f>
        <v>3</v>
      </c>
      <c r="E790" t="str">
        <v>D</v>
      </c>
      <c r="F790">
        <f>VLOOKUP(D775,'Detail Balok'!$C$10:$AU$140,24,FALSE)</f>
        <v>16</v>
      </c>
      <c r="I790" t="str">
        <v>(</v>
      </c>
      <c r="J790">
        <f>+J782</f>
        <v>2.75</v>
      </c>
      <c r="K790" t="str">
        <v>+</v>
      </c>
      <c r="L790">
        <f>MAX(VLOOKUP(F790,N$6:P$15,3,FALSE)/1000,2/3*D780/1000)+F$16*F790/1000</f>
        <v>0.192</v>
      </c>
      <c r="M790" t="str">
        <v>=</v>
      </c>
      <c r="N790">
        <f>J790+L790</f>
        <v>2.942</v>
      </c>
      <c r="O790" t="str">
        <v>+</v>
      </c>
      <c r="P790">
        <f>D790-D791</f>
        <v>0</v>
      </c>
      <c r="Q790" t="str">
        <v>x</v>
      </c>
      <c r="R790">
        <f>IF(P790&gt;0,$F$18*F790/1000,0)</f>
        <v>0</v>
      </c>
      <c r="S790" t="str">
        <v>)</v>
      </c>
      <c r="T790" t="str">
        <v>x</v>
      </c>
      <c r="U790">
        <f>0.006165*F790^2</f>
        <v>1.57824</v>
      </c>
      <c r="X790" t="str">
        <v>x</v>
      </c>
      <c r="Y790">
        <f>D781</f>
        <v>1</v>
      </c>
      <c r="Z790" t="str">
        <v>=</v>
      </c>
      <c r="AA790">
        <f>IF(AA793=0,(D790*N790+P790*R790)*U790*Y790,0)</f>
        <v>0</v>
      </c>
    </row>
    <row r="791">
      <c r="A791" t="str">
        <f>A775</f>
        <v>Lantai 1</v>
      </c>
      <c r="B791">
        <f>B775</f>
        <v>25</v>
      </c>
      <c r="C791" t="str">
        <v>Tul Bawah Lapangan</v>
      </c>
      <c r="D791">
        <f>VLOOKUP(D775,'Detail Balok'!$C$10:$AU$140,25,FALSE)</f>
        <v>3</v>
      </c>
      <c r="E791" t="str">
        <v>D</v>
      </c>
      <c r="F791">
        <f>VLOOKUP(D775,'Detail Balok'!$C$10:$AU$140,27,FALSE)</f>
        <v>16</v>
      </c>
      <c r="I791" t="str">
        <v>(</v>
      </c>
      <c r="J791">
        <f>+J783</f>
        <v>5.5</v>
      </c>
      <c r="K791" t="str">
        <v>+</v>
      </c>
      <c r="M791" t="str">
        <v>=</v>
      </c>
      <c r="N791">
        <f>J791+L791</f>
        <v>5.5</v>
      </c>
      <c r="O791" t="str">
        <v>+</v>
      </c>
      <c r="P791">
        <f>MAX(D791-D790,D791-D792)</f>
        <v>0</v>
      </c>
      <c r="Q791" t="str">
        <v>x</v>
      </c>
      <c r="R791">
        <f>IF(P791&gt;0,2*(1-2*$F$19-1/2)*D778/1000,0)</f>
        <v>0</v>
      </c>
      <c r="S791" t="str">
        <v>)</v>
      </c>
      <c r="T791" t="str">
        <v>x</v>
      </c>
      <c r="U791">
        <f>0.006165*F791^2</f>
        <v>1.57824</v>
      </c>
      <c r="X791" t="str">
        <v>x</v>
      </c>
      <c r="Y791">
        <f>D781</f>
        <v>1</v>
      </c>
      <c r="Z791" t="str">
        <v>=</v>
      </c>
      <c r="AA791">
        <f>IF(AA793=0,(D791*N791+P791*R791)*U791*Y791,0)</f>
        <v>0</v>
      </c>
    </row>
    <row r="792">
      <c r="A792" t="str">
        <f>A775</f>
        <v>Lantai 1</v>
      </c>
      <c r="B792">
        <f>B775</f>
        <v>25</v>
      </c>
      <c r="C792" t="str">
        <v>Tul Bawah Tumpuan</v>
      </c>
      <c r="D792">
        <f>VLOOKUP(D775,'Detail Balok'!$C$10:$AU$140,28,FALSE)</f>
        <v>3</v>
      </c>
      <c r="E792" t="str">
        <v>D</v>
      </c>
      <c r="F792">
        <f>VLOOKUP(D775,'Detail Balok'!$C$10:$AU$140,30,FALSE)</f>
        <v>16</v>
      </c>
      <c r="I792" t="str">
        <v>(</v>
      </c>
      <c r="J792">
        <f>+J784</f>
        <v>2.75</v>
      </c>
      <c r="K792" t="str">
        <v>+</v>
      </c>
      <c r="L792">
        <f>MAX(VLOOKUP(F792,N$6:P$15,3,FALSE)/1000,2/3*D780/1000)+F$16*F792/1000</f>
        <v>0.192</v>
      </c>
      <c r="M792" t="str">
        <v>=</v>
      </c>
      <c r="N792">
        <f>J792+L792</f>
        <v>2.942</v>
      </c>
      <c r="O792" t="str">
        <v>+</v>
      </c>
      <c r="P792">
        <f>D792-D791</f>
        <v>0</v>
      </c>
      <c r="Q792" t="str">
        <v>x</v>
      </c>
      <c r="R792">
        <f>IF(P792&gt;0,$F$18*F792/1000,0)</f>
        <v>0</v>
      </c>
      <c r="S792" t="str">
        <v>)</v>
      </c>
      <c r="T792" t="str">
        <v>x</v>
      </c>
      <c r="U792">
        <f>0.006165*F792^2</f>
        <v>1.57824</v>
      </c>
      <c r="X792" t="str">
        <v>x</v>
      </c>
      <c r="Y792">
        <f>D781</f>
        <v>1</v>
      </c>
      <c r="Z792" t="str">
        <v>=</v>
      </c>
      <c r="AA792">
        <f>IF(AA793=0,(D792*N792+P792*R792)*U792*Y792,0)</f>
        <v>0</v>
      </c>
    </row>
    <row r="793">
      <c r="A793" t="str">
        <f>A775</f>
        <v>Lantai 1</v>
      </c>
      <c r="B793">
        <f>B775</f>
        <v>25</v>
      </c>
      <c r="D793">
        <f>IF(AND(D790=D791,D791=D792,D790=D792),D790,0)</f>
        <v>3</v>
      </c>
      <c r="E793" t="str">
        <v>D</v>
      </c>
      <c r="F793">
        <f>IF(AND(F790=F791,F790=F792,F791=F792),F790,0)</f>
        <v>16</v>
      </c>
      <c r="L793" t="str">
        <v>Total panjang per balok</v>
      </c>
      <c r="M793" t="str">
        <v>=</v>
      </c>
      <c r="N793">
        <f>IF(AND(D790=D791,D790=D792,D791=D792,F790=F791,F790=F792,F791=F792),SUM(N790:N792),0)</f>
        <v>11.384</v>
      </c>
      <c r="O793" t="str">
        <v>+</v>
      </c>
      <c r="P793">
        <f>IF(N793&gt;12,ROUNDDOWN(N793/12,0),0)</f>
        <v>0</v>
      </c>
      <c r="Q793" t="str">
        <v>x</v>
      </c>
      <c r="R793">
        <f>IF(P793&gt;0,MAX(VLOOKUP(F793,$D$6:$G$15,3,FALSE),600),0)/1000</f>
        <v>0</v>
      </c>
      <c r="T793" t="str">
        <v>x</v>
      </c>
      <c r="U793">
        <f>U792</f>
        <v>1.57824</v>
      </c>
      <c r="V793" t="str">
        <v>x</v>
      </c>
      <c r="W793">
        <f>D793</f>
        <v>3</v>
      </c>
      <c r="X793" t="str">
        <v>x</v>
      </c>
      <c r="Y793">
        <f>Y792</f>
        <v>1</v>
      </c>
      <c r="Z793" t="str">
        <v>=</v>
      </c>
      <c r="AA793">
        <f>(N793+P793*R793/1000)*U793*W793*Y793</f>
        <v>53.90005248</v>
      </c>
    </row>
    <row r="795">
      <c r="A795" t="str">
        <f>A775</f>
        <v>Lantai 1</v>
      </c>
      <c r="B795">
        <f>B775</f>
        <v>25</v>
      </c>
      <c r="C795" t="str">
        <v>Sengkang Tumpuan</v>
      </c>
      <c r="D795">
        <f>VLOOKUP(D775,'Detail Balok'!$C$10:$AU$140,31,FALSE)</f>
        <v>0</v>
      </c>
      <c r="E795" t="str">
        <v>D</v>
      </c>
      <c r="F795">
        <f>VLOOKUP(D775,'Detail Balok'!$C$10:$AU$140,33,FALSE)</f>
        <v>8</v>
      </c>
      <c r="G795" t="str">
        <v>-</v>
      </c>
      <c r="H795">
        <f>VLOOKUP(D775,'Detail Balok'!$C$10:$AU$140,35,FALSE)</f>
        <v>150</v>
      </c>
      <c r="J795">
        <f>(IF(D795=0,(2*(D776+G776))-(F$5*8),IF(D795=3,(2*(D776+G776))-(F$5*8)+(G776-2*F$5),IF(D795=4,(2*(D776+G776))-(F$5*8)+2*(G776-2*F$5)))))/1000</f>
        <v>1.08</v>
      </c>
      <c r="K795" t="str">
        <v>+</v>
      </c>
      <c r="L795">
        <f>IF(D795=0,2*MAX(6*F795,75),(D795-1)*2*MAX(6*F795,75))/1000</f>
        <v>0.15</v>
      </c>
      <c r="M795" t="str">
        <v>=</v>
      </c>
      <c r="N795">
        <f>J795+L795</f>
        <v>1.23</v>
      </c>
      <c r="T795" t="str">
        <v>x</v>
      </c>
      <c r="U795">
        <f>0.006165*F795^2</f>
        <v>0.39456</v>
      </c>
      <c r="V795" t="str">
        <v>x</v>
      </c>
      <c r="W795">
        <f>IF(D778&gt;4*G776,ROUND(MAX(D778/4,2*G776)/H795,0)+1,ROUND(D778/H795,0)+1)</f>
        <v>19</v>
      </c>
      <c r="X795" t="str">
        <v>x</v>
      </c>
      <c r="Y795">
        <f>D781</f>
        <v>1</v>
      </c>
      <c r="Z795" t="str">
        <v>=</v>
      </c>
      <c r="AA795">
        <f>N795*U795*W795*Y795</f>
        <v>9.2208672</v>
      </c>
    </row>
    <row r="796">
      <c r="A796" t="str">
        <f>A775</f>
        <v>Lantai 1</v>
      </c>
      <c r="B796">
        <f>B775</f>
        <v>25</v>
      </c>
      <c r="C796" t="str">
        <v>Sengkang Lapangan</v>
      </c>
      <c r="D796">
        <f>VLOOKUP(D775,'Detail Balok'!$C$10:$AU$140,36,FALSE)</f>
        <v>0</v>
      </c>
      <c r="E796" t="str">
        <v>D</v>
      </c>
      <c r="F796">
        <f>VLOOKUP(D775,'Detail Balok'!$C$10:$AU$140,38,FALSE)</f>
        <v>8</v>
      </c>
      <c r="G796" t="str">
        <v>-</v>
      </c>
      <c r="H796">
        <f>VLOOKUP(D775,'Detail Balok'!$C$10:$AU$140,40,FALSE)</f>
        <v>200</v>
      </c>
      <c r="J796">
        <f>(IF(D796=0,(2*(D776+G776))-(F$5*8),IF(D796=3,(2*(D776+G776))-(F$5*8)+(G776-2*F$5),IF(D796=4,(2*(D776+G776))-(F$5*8)+2*(G776-2*F$5)))))/1000</f>
        <v>1.08</v>
      </c>
      <c r="K796" t="str">
        <v>+</v>
      </c>
      <c r="L796">
        <f>IF(D796=0,2*MAX(6*F796,75),(D796-1)*2*MAX(6*F796,75))/1000</f>
        <v>0.15</v>
      </c>
      <c r="M796" t="str">
        <v>=</v>
      </c>
      <c r="N796">
        <f>J796+L796</f>
        <v>1.23</v>
      </c>
      <c r="T796" t="str">
        <v>x</v>
      </c>
      <c r="U796">
        <f>0.006165*F796^2</f>
        <v>0.39456</v>
      </c>
      <c r="V796" t="str">
        <v>x</v>
      </c>
      <c r="W796">
        <f>IF(D778-MAX(D778/4,2*G776)*2&gt;0,ROUND((D778-MAX(D778/4,2*G776)*2)/H796,0),0)</f>
        <v>28</v>
      </c>
      <c r="X796" t="str">
        <v>x</v>
      </c>
      <c r="Y796">
        <f>D781</f>
        <v>1</v>
      </c>
      <c r="Z796" t="str">
        <v>=</v>
      </c>
      <c r="AA796">
        <f>N796*U796*W796*Y796</f>
        <v>13.588646400000002</v>
      </c>
    </row>
    <row r="797">
      <c r="A797" t="str">
        <f>A775</f>
        <v>Lantai 1</v>
      </c>
      <c r="B797">
        <f>B775</f>
        <v>25</v>
      </c>
      <c r="C797" t="str">
        <v>Sengkang Tumpuan</v>
      </c>
      <c r="D797">
        <f>VLOOKUP(D775,'Detail Balok'!$C$10:$AU$140,41,FALSE)</f>
        <v>0</v>
      </c>
      <c r="E797" t="str">
        <v>D</v>
      </c>
      <c r="F797">
        <f>VLOOKUP(D775,'Detail Balok'!$C$10:$AU$140,43,FALSE)</f>
        <v>8</v>
      </c>
      <c r="G797" t="str">
        <v>-</v>
      </c>
      <c r="H797">
        <f>VLOOKUP(D775,'Detail Balok'!$C$10:$AU$140,45,FALSE)</f>
        <v>150</v>
      </c>
      <c r="J797">
        <f>(IF(D797=0,(2*(D776+G776))-(F$5*8),IF(D797=3,(2*(D776+G776))-(F$5*8)+(G776-2*F$5),IF(D797=4,(2*(D776+G776))-(F$5*8)+2*(G776-2*F$5)))))/1000</f>
        <v>1.08</v>
      </c>
      <c r="K797" t="str">
        <v>+</v>
      </c>
      <c r="L797">
        <f>IF(D797=0,2*MAX(6*F797,75),(D797-1)*2*MAX(6*F797,75))/1000</f>
        <v>0.15</v>
      </c>
      <c r="M797" t="str">
        <v>=</v>
      </c>
      <c r="N797">
        <f>J797+L797</f>
        <v>1.23</v>
      </c>
      <c r="T797" t="str">
        <v>x</v>
      </c>
      <c r="U797">
        <f>0.006165*F797^2</f>
        <v>0.39456</v>
      </c>
      <c r="V797" t="str">
        <v>x</v>
      </c>
      <c r="W797">
        <f>IF(D778&gt;4*G776,ROUND(MAX(D778/4,2*G776)/H797,0)+1,0)</f>
        <v>19</v>
      </c>
      <c r="X797" t="str">
        <v>x</v>
      </c>
      <c r="Y797">
        <f>D781</f>
        <v>1</v>
      </c>
      <c r="Z797" t="str">
        <v>=</v>
      </c>
      <c r="AA797">
        <f>N797*U797*W797*Y797</f>
        <v>9.2208672</v>
      </c>
    </row>
    <row r="799">
      <c r="A799" t="str">
        <f>A775</f>
        <v>Lantai 1</v>
      </c>
      <c r="B799">
        <f>B775</f>
        <v>25</v>
      </c>
      <c r="C799" t="str">
        <v>Kait Horizontal Tump.</v>
      </c>
      <c r="D799">
        <f>VLOOKUP(D775,'Detail Balok'!$C$10:$BJ$140,46,FALSE)</f>
        <v>0</v>
      </c>
      <c r="E799" t="str">
        <v>D</v>
      </c>
      <c r="F799">
        <f>VLOOKUP(D775,'Detail Balok'!$C$10:$BJ$140,48,FALSE)</f>
        <v>0</v>
      </c>
      <c r="G799" t="str">
        <v>-</v>
      </c>
      <c r="H799">
        <f>VLOOKUP(D775,'Detail Balok'!$C$10:$BJ$140,50,FALSE)</f>
        <v>100</v>
      </c>
      <c r="J799">
        <f>(D776-2*F$5)/1000</f>
        <v>0.12</v>
      </c>
      <c r="K799" t="str">
        <v>+</v>
      </c>
      <c r="L799">
        <f>IF(D799=0,2*MAX(6*F799,75),(D799-1)*2*MAX(6*F799,75))/1000</f>
        <v>0.15</v>
      </c>
      <c r="M799" t="str">
        <v>=</v>
      </c>
      <c r="N799">
        <f>J799+L799</f>
        <v>0.27</v>
      </c>
      <c r="T799" t="str">
        <v>x</v>
      </c>
      <c r="U799">
        <f>0.006165*F799^2</f>
        <v>0</v>
      </c>
      <c r="V799" t="str">
        <v>x</v>
      </c>
      <c r="W799">
        <f>W795</f>
        <v>19</v>
      </c>
      <c r="X799" t="str">
        <v>x</v>
      </c>
      <c r="Y799">
        <f>D785</f>
        <v>3</v>
      </c>
      <c r="Z799" t="str">
        <v>=</v>
      </c>
      <c r="AA799">
        <f>N799*U799*W799*Y799</f>
        <v>0</v>
      </c>
    </row>
    <row r="800">
      <c r="A800" t="str">
        <f>A775</f>
        <v>Lantai 1</v>
      </c>
      <c r="B800">
        <f>B775</f>
        <v>25</v>
      </c>
      <c r="C800" t="str">
        <v>Kait Horizontal Lap.</v>
      </c>
      <c r="D800">
        <f>VLOOKUP(D775,'Detail Balok'!$C$10:$BJ$140,51,FALSE)</f>
        <v>0</v>
      </c>
      <c r="E800" t="str">
        <v>D</v>
      </c>
      <c r="F800">
        <f>VLOOKUP(D775,'Detail Balok'!$C$10:$BJ$140,53,FALSE)</f>
        <v>0</v>
      </c>
      <c r="G800" t="str">
        <v>-</v>
      </c>
      <c r="H800">
        <f>VLOOKUP(D775,'Detail Balok'!$C$10:$BJ$140,55,FALSE)</f>
        <v>100</v>
      </c>
      <c r="J800">
        <f>(D776-2*F$5)/1000</f>
        <v>0.12</v>
      </c>
      <c r="K800" t="str">
        <v>+</v>
      </c>
      <c r="L800">
        <f>IF(D800=0,2*MAX(6*F800,75),(D800-1)*2*MAX(6*F800,75))/1000</f>
        <v>0.15</v>
      </c>
      <c r="M800" t="str">
        <v>=</v>
      </c>
      <c r="N800">
        <f>J800+L800</f>
        <v>0.27</v>
      </c>
      <c r="T800" t="str">
        <v>x</v>
      </c>
      <c r="U800">
        <f>0.006165*F800^2</f>
        <v>0</v>
      </c>
      <c r="V800" t="str">
        <v>x</v>
      </c>
      <c r="W800">
        <f>W796</f>
        <v>28</v>
      </c>
      <c r="X800" t="str">
        <v>x</v>
      </c>
      <c r="Y800">
        <f>D785</f>
        <v>3</v>
      </c>
      <c r="Z800" t="str">
        <v>=</v>
      </c>
      <c r="AA800">
        <f>N800*U800*W800*Y800</f>
        <v>0</v>
      </c>
    </row>
    <row r="801">
      <c r="A801" t="str">
        <f>A775</f>
        <v>Lantai 1</v>
      </c>
      <c r="B801">
        <f>B775</f>
        <v>25</v>
      </c>
      <c r="C801" t="str">
        <v>Kait Horizontal Tump.</v>
      </c>
      <c r="D801">
        <f>VLOOKUP(D775,'Detail Balok'!$C$10:$BJ$140,56,FALSE)</f>
        <v>0</v>
      </c>
      <c r="E801" t="str">
        <v>D</v>
      </c>
      <c r="F801">
        <f>VLOOKUP(D775,'Detail Balok'!$C$10:$BJ$140,58,FALSE)</f>
        <v>0</v>
      </c>
      <c r="G801" t="str">
        <v>-</v>
      </c>
      <c r="H801">
        <f>VLOOKUP(D775,'Detail Balok'!$C$10:$BJ$140,60,FALSE)</f>
        <v>100</v>
      </c>
      <c r="J801">
        <f>(D776-2*F$5)/1000</f>
        <v>0.12</v>
      </c>
      <c r="K801" t="str">
        <v>+</v>
      </c>
      <c r="L801">
        <f>IF(D801=0,2*MAX(6*F801,75),(D801-1)*2*MAX(6*F801,75))/1000</f>
        <v>0.15</v>
      </c>
      <c r="M801" t="str">
        <v>=</v>
      </c>
      <c r="N801">
        <f>J801+L801</f>
        <v>0.27</v>
      </c>
      <c r="T801" t="str">
        <v>x</v>
      </c>
      <c r="U801">
        <f>0.006165*F801^2</f>
        <v>0</v>
      </c>
      <c r="V801" t="str">
        <v>x</v>
      </c>
      <c r="W801">
        <f>W797</f>
        <v>19</v>
      </c>
      <c r="X801" t="str">
        <v>x</v>
      </c>
      <c r="Y801">
        <f>D785</f>
        <v>3</v>
      </c>
      <c r="Z801" t="str">
        <v>=</v>
      </c>
      <c r="AA801">
        <f>N801*U801*W801*Y801</f>
        <v>0</v>
      </c>
    </row>
    <row r="805">
      <c r="A805" t="str">
        <f>A775</f>
        <v>Lantai 1</v>
      </c>
      <c r="B805">
        <f>B775+1</f>
        <v>26</v>
      </c>
      <c r="C805" t="str">
        <f>CONCATENATE(A805," no. ",B805)</f>
        <v>Lantai 1 no. 26</v>
      </c>
      <c r="D805" t="str">
        <f>VLOOKUP(C805,'Data Panjang Balok'!$C$9:$N$254,2,FALSE)</f>
        <v>S36-1</v>
      </c>
    </row>
    <row r="806">
      <c r="C806" t="str">
        <v>Dimensi</v>
      </c>
      <c r="D806">
        <f>VLOOKUP(D805,'Detail Balok'!$C$10:$AU$140,2,FALSE)</f>
        <v>300</v>
      </c>
      <c r="F806" t="str">
        <v>x</v>
      </c>
      <c r="G806">
        <f>VLOOKUP(D805,'Detail Balok'!$C$10:$AU$140,3,FALSE)</f>
        <v>600</v>
      </c>
    </row>
    <row r="807">
      <c r="C807" t="str">
        <v>Panjang as ke as</v>
      </c>
      <c r="D807">
        <f>VLOOKUP(C805,'Data Panjang Balok'!$C$9:$N$254,4,FALSE)</f>
        <v>6150</v>
      </c>
    </row>
    <row r="808">
      <c r="C808" t="str">
        <v>Panjang netto</v>
      </c>
      <c r="D808">
        <f>VLOOKUP(C805,'Data Panjang Balok'!$C$9:$N$254,7,FALSE)</f>
        <v>6150</v>
      </c>
    </row>
    <row r="809">
      <c r="C809" t="str">
        <v>Kolom / balok kiri</v>
      </c>
      <c r="D809">
        <f>VLOOKUP(C805,'Data Panjang Balok'!$C$9:$N$254,9,FALSE)</f>
        <v>0</v>
      </c>
    </row>
    <row r="810">
      <c r="C810" t="str">
        <v>Kolom / balok kanan</v>
      </c>
      <c r="D810">
        <f>VLOOKUP(C805,'Data Panjang Balok'!$C$9:$N$254,10,FALSE)</f>
        <v>0</v>
      </c>
    </row>
    <row r="811">
      <c r="C811" t="str">
        <v>Jumlah</v>
      </c>
      <c r="D811">
        <f>VLOOKUP(C805,'Data Panjang Balok'!$C$9:$N$254,3,FALSE)</f>
        <v>1</v>
      </c>
    </row>
    <row r="812">
      <c r="A812" t="str">
        <f>A805</f>
        <v>Lantai 1</v>
      </c>
      <c r="B812">
        <f>B805</f>
        <v>26</v>
      </c>
      <c r="C812" t="str">
        <v>Tul Atas Tumpuan</v>
      </c>
      <c r="D812">
        <f>VLOOKUP(D805,'Detail Balok'!$C$10:$AU$140,4,FALSE)</f>
        <v>4</v>
      </c>
      <c r="E812" t="str">
        <v>D</v>
      </c>
      <c r="F812">
        <f>VLOOKUP(D805,'Detail Balok'!$C$10:$AU$140,6,FALSE)</f>
        <v>16</v>
      </c>
      <c r="I812" t="str">
        <v>(</v>
      </c>
      <c r="J812">
        <f>+D807/4/1000</f>
        <v>1.5375</v>
      </c>
      <c r="K812" t="str">
        <v>+</v>
      </c>
      <c r="L812">
        <f>MAX(VLOOKUP(F812,N$6:P$15,3,FALSE)/1000,2/3*D809/1000)+F$16*F812/1000</f>
        <v>0.192</v>
      </c>
      <c r="M812" t="str">
        <v>=</v>
      </c>
      <c r="N812">
        <f>J812+L812</f>
        <v>1.7295</v>
      </c>
      <c r="O812" t="str">
        <v>+</v>
      </c>
      <c r="P812">
        <f>D812-D813</f>
        <v>0</v>
      </c>
      <c r="Q812" t="str">
        <v>x</v>
      </c>
      <c r="R812">
        <f>IF(P812&gt;0,$F$18*F812/1000,0)</f>
        <v>0</v>
      </c>
      <c r="S812" t="str">
        <v>)</v>
      </c>
      <c r="T812" t="str">
        <v>x</v>
      </c>
      <c r="U812">
        <f>0.006165*F812^2</f>
        <v>1.57824</v>
      </c>
      <c r="X812" t="str">
        <v>x</v>
      </c>
      <c r="Y812">
        <f>D811</f>
        <v>1</v>
      </c>
      <c r="Z812" t="str">
        <v>=</v>
      </c>
      <c r="AA812">
        <f>IF(AA815=0,(D812*N812+P812*R812)*U812*Y812,0)</f>
        <v>0</v>
      </c>
    </row>
    <row r="813">
      <c r="A813" t="str">
        <f>A805</f>
        <v>Lantai 1</v>
      </c>
      <c r="B813">
        <f>B805</f>
        <v>26</v>
      </c>
      <c r="C813" t="str">
        <v>Tul Atas Lapangan</v>
      </c>
      <c r="D813">
        <f>VLOOKUP(D805,'Detail Balok'!$C$10:$AU$140,7,FALSE)</f>
        <v>4</v>
      </c>
      <c r="E813" t="str">
        <v>D</v>
      </c>
      <c r="F813">
        <f>VLOOKUP(D805,'Detail Balok'!$C$10:$AU$140,9,FALSE)</f>
        <v>16</v>
      </c>
      <c r="I813" t="str">
        <v>(</v>
      </c>
      <c r="J813">
        <f>+D807/2/1000</f>
        <v>3.075</v>
      </c>
      <c r="K813" t="str">
        <v>+</v>
      </c>
      <c r="M813" t="str">
        <v>=</v>
      </c>
      <c r="N813">
        <f>J813+L813</f>
        <v>3.075</v>
      </c>
      <c r="O813" t="str">
        <v>+</v>
      </c>
      <c r="P813">
        <f>MAX(D813-D812,D813-D814)</f>
        <v>0</v>
      </c>
      <c r="Q813" t="str">
        <v>x</v>
      </c>
      <c r="R813">
        <f>IF(P813&gt;0,2*(1-2*$F$19-1/2)*D808/1000,0)</f>
        <v>0</v>
      </c>
      <c r="S813" t="str">
        <v>)</v>
      </c>
      <c r="T813" t="str">
        <v>x</v>
      </c>
      <c r="U813">
        <f>0.006165*F813^2</f>
        <v>1.57824</v>
      </c>
      <c r="X813" t="str">
        <v>x</v>
      </c>
      <c r="Y813">
        <f>D811</f>
        <v>1</v>
      </c>
      <c r="Z813" t="str">
        <v>=</v>
      </c>
      <c r="AA813">
        <f>IF(AA815=0,(D813*N813+P813*R813)*U813*Y813,0)</f>
        <v>0</v>
      </c>
    </row>
    <row r="814">
      <c r="A814" t="str">
        <f>A805</f>
        <v>Lantai 1</v>
      </c>
      <c r="B814">
        <f>B805</f>
        <v>26</v>
      </c>
      <c r="C814" t="str">
        <v>Tul Atas Tumpuan</v>
      </c>
      <c r="D814">
        <f>VLOOKUP(D805,'Detail Balok'!$C$10:$AU$140,10,FALSE)</f>
        <v>4</v>
      </c>
      <c r="E814" t="str">
        <v>D</v>
      </c>
      <c r="F814">
        <f>VLOOKUP(D805,'Detail Balok'!$C$10:$AU$140,12,FALSE)</f>
        <v>16</v>
      </c>
      <c r="I814" t="str">
        <v>(</v>
      </c>
      <c r="J814">
        <f>+D807/4/1000</f>
        <v>1.5375</v>
      </c>
      <c r="K814" t="str">
        <v>+</v>
      </c>
      <c r="L814">
        <f>MAX(VLOOKUP(F814,N$6:P$15,3,FALSE)/1000,2/3*D809/1000)+F$16*F814/1000</f>
        <v>0.192</v>
      </c>
      <c r="M814" t="str">
        <v>=</v>
      </c>
      <c r="N814">
        <f>J814+L814</f>
        <v>1.7295</v>
      </c>
      <c r="O814" t="str">
        <v>+</v>
      </c>
      <c r="P814">
        <f>D814-D813</f>
        <v>0</v>
      </c>
      <c r="Q814" t="str">
        <v>x</v>
      </c>
      <c r="R814">
        <f>IF(P814&gt;0,$F$18*F814/1000,0)</f>
        <v>0</v>
      </c>
      <c r="S814" t="str">
        <v>)</v>
      </c>
      <c r="T814" t="str">
        <v>x</v>
      </c>
      <c r="U814">
        <f>0.006165*F814^2</f>
        <v>1.57824</v>
      </c>
      <c r="X814" t="str">
        <v>x</v>
      </c>
      <c r="Y814">
        <f>D811</f>
        <v>1</v>
      </c>
      <c r="Z814" t="str">
        <v>=</v>
      </c>
      <c r="AA814">
        <f>IF(AA815=0,(D814*N814+P814*R814)*U814*Y814,0)</f>
        <v>0</v>
      </c>
    </row>
    <row r="815">
      <c r="A815" t="str">
        <f>A805</f>
        <v>Lantai 1</v>
      </c>
      <c r="B815">
        <f>B805</f>
        <v>26</v>
      </c>
      <c r="D815">
        <f>IF(AND(D812=D813,D813=D814,D812=D814),D812,0)</f>
        <v>4</v>
      </c>
      <c r="E815" t="str">
        <v>D</v>
      </c>
      <c r="F815">
        <f>IF(AND(F812=F813,F812=F814,F813=F814),F812,0)</f>
        <v>16</v>
      </c>
      <c r="L815" t="str">
        <v>Total panjang per balok</v>
      </c>
      <c r="M815" t="str">
        <v>=</v>
      </c>
      <c r="N815">
        <f>IF(AND(D812=D813,D812=D814,D813=D814,F812=F813,F812=F814,F813=F814),SUM(N812:N814),0)</f>
        <v>6.534</v>
      </c>
      <c r="O815" t="str">
        <v>+</v>
      </c>
      <c r="P815">
        <f>IF(N815&gt;12,ROUNDDOWN(N815/12,0),0)</f>
        <v>0</v>
      </c>
      <c r="Q815" t="str">
        <v>x</v>
      </c>
      <c r="R815">
        <f>IF(P815&gt;0,MAX(VLOOKUP(F815,$D$6:$G$15,3,FALSE),600),0)/1000</f>
        <v>0</v>
      </c>
      <c r="T815" t="str">
        <v>x</v>
      </c>
      <c r="U815">
        <f>U814</f>
        <v>1.57824</v>
      </c>
      <c r="V815" t="str">
        <v>x</v>
      </c>
      <c r="W815">
        <f>D815</f>
        <v>4</v>
      </c>
      <c r="X815" t="str">
        <v>x</v>
      </c>
      <c r="Y815">
        <f>Y814</f>
        <v>1</v>
      </c>
      <c r="Z815" t="str">
        <v>=</v>
      </c>
      <c r="AA815">
        <f>(N815+P815*R815/1000)*U815*W815*Y815</f>
        <v>41.24888064</v>
      </c>
    </row>
    <row r="817">
      <c r="A817" t="str">
        <f>A805</f>
        <v>Lantai 1</v>
      </c>
      <c r="B817">
        <f>B805</f>
        <v>26</v>
      </c>
      <c r="C817" t="str">
        <v>Tul Peminggang</v>
      </c>
      <c r="D817">
        <f>VLOOKUP(D805,'Detail Balok'!$C$10:$AU$140,13,FALSE)</f>
        <v>2</v>
      </c>
      <c r="E817" t="str">
        <v>D</v>
      </c>
      <c r="F817">
        <f>VLOOKUP(D805,'Detail Balok'!$C$10:$AU$140,15,FALSE)</f>
        <v>10</v>
      </c>
      <c r="J817">
        <f>+D807/1000</f>
        <v>6.15</v>
      </c>
      <c r="K817" t="str">
        <v>+</v>
      </c>
      <c r="L817">
        <f>2*$F$16*F817/1000</f>
        <v>0.24</v>
      </c>
      <c r="M817" t="str">
        <v>=</v>
      </c>
      <c r="N817">
        <f>J817+L817</f>
        <v>6.390000000000001</v>
      </c>
      <c r="O817" t="str">
        <v>+</v>
      </c>
      <c r="P817">
        <f>IF(N817&gt;12,ROUNDDOWN(N817/12,0),0)</f>
        <v>0</v>
      </c>
      <c r="Q817" t="str">
        <v>x</v>
      </c>
      <c r="R817">
        <f>IF(P817&gt;0,MAX(VLOOKUP(F817,$D$6:$G$15,3,FALSE),600),0)/1000</f>
        <v>0</v>
      </c>
      <c r="T817" t="str">
        <v>x</v>
      </c>
      <c r="U817">
        <f>0.006165*F817^2</f>
        <v>0.6165</v>
      </c>
      <c r="V817" t="str">
        <v>x</v>
      </c>
      <c r="W817">
        <f>+D817</f>
        <v>2</v>
      </c>
      <c r="X817" t="str">
        <v>x</v>
      </c>
      <c r="Y817">
        <f>D811</f>
        <v>1</v>
      </c>
      <c r="Z817" t="str">
        <v>=</v>
      </c>
      <c r="AA817">
        <f>(N817+P817*R817/1000)*U817*W817*Y817</f>
        <v>7.878870000000001</v>
      </c>
    </row>
    <row r="820">
      <c r="A820" t="str">
        <f>A805</f>
        <v>Lantai 1</v>
      </c>
      <c r="B820">
        <f>B805</f>
        <v>26</v>
      </c>
      <c r="C820" t="str">
        <v>Tul Bawah Tumpuan</v>
      </c>
      <c r="D820">
        <f>VLOOKUP(D805,'Detail Balok'!$C$10:$AU$140,22,FALSE)</f>
        <v>4</v>
      </c>
      <c r="E820" t="str">
        <v>D</v>
      </c>
      <c r="F820">
        <f>VLOOKUP(D805,'Detail Balok'!$C$10:$AU$140,24,FALSE)</f>
        <v>16</v>
      </c>
      <c r="I820" t="str">
        <v>(</v>
      </c>
      <c r="J820">
        <f>+J812</f>
        <v>1.5375</v>
      </c>
      <c r="K820" t="str">
        <v>+</v>
      </c>
      <c r="L820">
        <f>MAX(VLOOKUP(F820,N$6:P$15,3,FALSE)/1000,2/3*D810/1000)+F$16*F820/1000</f>
        <v>0.192</v>
      </c>
      <c r="M820" t="str">
        <v>=</v>
      </c>
      <c r="N820">
        <f>J820+L820</f>
        <v>1.7295</v>
      </c>
      <c r="O820" t="str">
        <v>+</v>
      </c>
      <c r="P820">
        <f>D820-D821</f>
        <v>0</v>
      </c>
      <c r="Q820" t="str">
        <v>x</v>
      </c>
      <c r="R820">
        <f>IF(P820&gt;0,$F$18*F820/1000,0)</f>
        <v>0</v>
      </c>
      <c r="S820" t="str">
        <v>)</v>
      </c>
      <c r="T820" t="str">
        <v>x</v>
      </c>
      <c r="U820">
        <f>0.006165*F820^2</f>
        <v>1.57824</v>
      </c>
      <c r="X820" t="str">
        <v>x</v>
      </c>
      <c r="Y820">
        <f>D811</f>
        <v>1</v>
      </c>
      <c r="Z820" t="str">
        <v>=</v>
      </c>
      <c r="AA820">
        <f>IF(AA823=0,(D820*N820+P820*R820)*U820*Y820,0)</f>
        <v>0</v>
      </c>
    </row>
    <row r="821">
      <c r="A821" t="str">
        <f>A805</f>
        <v>Lantai 1</v>
      </c>
      <c r="B821">
        <f>B805</f>
        <v>26</v>
      </c>
      <c r="C821" t="str">
        <v>Tul Bawah Lapangan</v>
      </c>
      <c r="D821">
        <f>VLOOKUP(D805,'Detail Balok'!$C$10:$AU$140,25,FALSE)</f>
        <v>4</v>
      </c>
      <c r="E821" t="str">
        <v>D</v>
      </c>
      <c r="F821">
        <f>VLOOKUP(D805,'Detail Balok'!$C$10:$AU$140,27,FALSE)</f>
        <v>16</v>
      </c>
      <c r="I821" t="str">
        <v>(</v>
      </c>
      <c r="J821">
        <f>+J813</f>
        <v>3.075</v>
      </c>
      <c r="K821" t="str">
        <v>+</v>
      </c>
      <c r="M821" t="str">
        <v>=</v>
      </c>
      <c r="N821">
        <f>J821+L821</f>
        <v>3.075</v>
      </c>
      <c r="O821" t="str">
        <v>+</v>
      </c>
      <c r="P821">
        <f>MAX(D821-D820,D821-D822)</f>
        <v>0</v>
      </c>
      <c r="Q821" t="str">
        <v>x</v>
      </c>
      <c r="R821">
        <f>IF(P821&gt;0,2*(1-2*$F$19-1/2)*D808/1000,0)</f>
        <v>0</v>
      </c>
      <c r="S821" t="str">
        <v>)</v>
      </c>
      <c r="T821" t="str">
        <v>x</v>
      </c>
      <c r="U821">
        <f>0.006165*F821^2</f>
        <v>1.57824</v>
      </c>
      <c r="X821" t="str">
        <v>x</v>
      </c>
      <c r="Y821">
        <f>D811</f>
        <v>1</v>
      </c>
      <c r="Z821" t="str">
        <v>=</v>
      </c>
      <c r="AA821">
        <f>IF(AA823=0,(D821*N821+P821*R821)*U821*Y821,0)</f>
        <v>0</v>
      </c>
    </row>
    <row r="822">
      <c r="A822" t="str">
        <f>A805</f>
        <v>Lantai 1</v>
      </c>
      <c r="B822">
        <f>B805</f>
        <v>26</v>
      </c>
      <c r="C822" t="str">
        <v>Tul Bawah Tumpuan</v>
      </c>
      <c r="D822">
        <f>VLOOKUP(D805,'Detail Balok'!$C$10:$AU$140,28,FALSE)</f>
        <v>4</v>
      </c>
      <c r="E822" t="str">
        <v>D</v>
      </c>
      <c r="F822">
        <f>VLOOKUP(D805,'Detail Balok'!$C$10:$AU$140,30,FALSE)</f>
        <v>16</v>
      </c>
      <c r="I822" t="str">
        <v>(</v>
      </c>
      <c r="J822">
        <f>+J814</f>
        <v>1.5375</v>
      </c>
      <c r="K822" t="str">
        <v>+</v>
      </c>
      <c r="L822">
        <f>MAX(VLOOKUP(F822,N$6:P$15,3,FALSE)/1000,2/3*D810/1000)+F$16*F822/1000</f>
        <v>0.192</v>
      </c>
      <c r="M822" t="str">
        <v>=</v>
      </c>
      <c r="N822">
        <f>J822+L822</f>
        <v>1.7295</v>
      </c>
      <c r="O822" t="str">
        <v>+</v>
      </c>
      <c r="P822">
        <f>D822-D821</f>
        <v>0</v>
      </c>
      <c r="Q822" t="str">
        <v>x</v>
      </c>
      <c r="R822">
        <f>IF(P822&gt;0,$F$18*F822/1000,0)</f>
        <v>0</v>
      </c>
      <c r="S822" t="str">
        <v>)</v>
      </c>
      <c r="T822" t="str">
        <v>x</v>
      </c>
      <c r="U822">
        <f>0.006165*F822^2</f>
        <v>1.57824</v>
      </c>
      <c r="X822" t="str">
        <v>x</v>
      </c>
      <c r="Y822">
        <f>D811</f>
        <v>1</v>
      </c>
      <c r="Z822" t="str">
        <v>=</v>
      </c>
      <c r="AA822">
        <f>IF(AA823=0,(D822*N822+P822*R822)*U822*Y822,0)</f>
        <v>0</v>
      </c>
    </row>
    <row r="823">
      <c r="A823" t="str">
        <f>A805</f>
        <v>Lantai 1</v>
      </c>
      <c r="B823">
        <f>B805</f>
        <v>26</v>
      </c>
      <c r="D823">
        <f>IF(AND(D820=D821,D821=D822,D820=D822),D820,0)</f>
        <v>4</v>
      </c>
      <c r="E823" t="str">
        <v>D</v>
      </c>
      <c r="F823">
        <f>IF(AND(F820=F821,F820=F822,F821=F822),F820,0)</f>
        <v>16</v>
      </c>
      <c r="L823" t="str">
        <v>Total panjang per balok</v>
      </c>
      <c r="M823" t="str">
        <v>=</v>
      </c>
      <c r="N823">
        <f>IF(AND(D820=D821,D820=D822,D821=D822,F820=F821,F820=F822,F821=F822),SUM(N820:N822),0)</f>
        <v>6.534</v>
      </c>
      <c r="O823" t="str">
        <v>+</v>
      </c>
      <c r="P823">
        <f>IF(N823&gt;12,ROUNDDOWN(N823/12,0),0)</f>
        <v>0</v>
      </c>
      <c r="Q823" t="str">
        <v>x</v>
      </c>
      <c r="R823">
        <f>IF(P823&gt;0,MAX(VLOOKUP(F823,$D$6:$G$15,3,FALSE),600),0)/1000</f>
        <v>0</v>
      </c>
      <c r="T823" t="str">
        <v>x</v>
      </c>
      <c r="U823">
        <f>U822</f>
        <v>1.57824</v>
      </c>
      <c r="V823" t="str">
        <v>x</v>
      </c>
      <c r="W823">
        <f>D823</f>
        <v>4</v>
      </c>
      <c r="X823" t="str">
        <v>x</v>
      </c>
      <c r="Y823">
        <f>Y822</f>
        <v>1</v>
      </c>
      <c r="Z823" t="str">
        <v>=</v>
      </c>
      <c r="AA823">
        <f>(N823+P823*R823/1000)*U823*W823*Y823</f>
        <v>41.24888064</v>
      </c>
    </row>
    <row r="825">
      <c r="A825" t="str">
        <f>A805</f>
        <v>Lantai 1</v>
      </c>
      <c r="B825">
        <f>B805</f>
        <v>26</v>
      </c>
      <c r="C825" t="str">
        <v>Sengkang Tumpuan</v>
      </c>
      <c r="D825">
        <f>VLOOKUP(D805,'Detail Balok'!$C$10:$AU$140,31,FALSE)</f>
        <v>0</v>
      </c>
      <c r="E825" t="str">
        <v>D</v>
      </c>
      <c r="F825">
        <f>VLOOKUP(D805,'Detail Balok'!$C$10:$AU$140,33,FALSE)</f>
        <v>8</v>
      </c>
      <c r="G825" t="str">
        <v>-</v>
      </c>
      <c r="H825">
        <f>VLOOKUP(D805,'Detail Balok'!$C$10:$AU$140,35,FALSE)</f>
        <v>150</v>
      </c>
      <c r="J825">
        <f>(IF(D825=0,(2*(D806+G806))-(F$5*8),IF(D825=3,(2*(D806+G806))-(F$5*8)+(G806-2*F$5),IF(D825=4,(2*(D806+G806))-(F$5*8)+2*(G806-2*F$5)))))/1000</f>
        <v>1.48</v>
      </c>
      <c r="K825" t="str">
        <v>+</v>
      </c>
      <c r="L825">
        <f>IF(D825=0,2*MAX(6*F825,75),(D825-1)*2*MAX(6*F825,75))/1000</f>
        <v>0.15</v>
      </c>
      <c r="M825" t="str">
        <v>=</v>
      </c>
      <c r="N825">
        <f>J825+L825</f>
        <v>1.63</v>
      </c>
      <c r="T825" t="str">
        <v>x</v>
      </c>
      <c r="U825">
        <f>0.006165*F825^2</f>
        <v>0.39456</v>
      </c>
      <c r="V825" t="str">
        <v>x</v>
      </c>
      <c r="W825">
        <f>IF(D808&gt;4*G806,ROUND(MAX(D808/4,2*G806)/H825,0)+1,ROUND(D808/H825,0)+1)</f>
        <v>11</v>
      </c>
      <c r="X825" t="str">
        <v>x</v>
      </c>
      <c r="Y825">
        <f>D811</f>
        <v>1</v>
      </c>
      <c r="Z825" t="str">
        <v>=</v>
      </c>
      <c r="AA825">
        <f>N825*U825*W825*Y825</f>
        <v>7.0744608</v>
      </c>
    </row>
    <row r="826">
      <c r="A826" t="str">
        <f>A805</f>
        <v>Lantai 1</v>
      </c>
      <c r="B826">
        <f>B805</f>
        <v>26</v>
      </c>
      <c r="C826" t="str">
        <v>Sengkang Lapangan</v>
      </c>
      <c r="D826">
        <f>VLOOKUP(D805,'Detail Balok'!$C$10:$AU$140,36,FALSE)</f>
        <v>0</v>
      </c>
      <c r="E826" t="str">
        <v>D</v>
      </c>
      <c r="F826">
        <f>VLOOKUP(D805,'Detail Balok'!$C$10:$AU$140,38,FALSE)</f>
        <v>8</v>
      </c>
      <c r="G826" t="str">
        <v>-</v>
      </c>
      <c r="H826">
        <f>VLOOKUP(D805,'Detail Balok'!$C$10:$AU$140,40,FALSE)</f>
        <v>200</v>
      </c>
      <c r="J826">
        <f>(IF(D826=0,(2*(D806+G806))-(F$5*8),IF(D826=3,(2*(D806+G806))-(F$5*8)+(G806-2*F$5),IF(D826=4,(2*(D806+G806))-(F$5*8)+2*(G806-2*F$5)))))/1000</f>
        <v>1.48</v>
      </c>
      <c r="K826" t="str">
        <v>+</v>
      </c>
      <c r="L826">
        <f>IF(D826=0,2*MAX(6*F826,75),(D826-1)*2*MAX(6*F826,75))/1000</f>
        <v>0.15</v>
      </c>
      <c r="M826" t="str">
        <v>=</v>
      </c>
      <c r="N826">
        <f>J826+L826</f>
        <v>1.63</v>
      </c>
      <c r="T826" t="str">
        <v>x</v>
      </c>
      <c r="U826">
        <f>0.006165*F826^2</f>
        <v>0.39456</v>
      </c>
      <c r="V826" t="str">
        <v>x</v>
      </c>
      <c r="W826">
        <f>IF(D808-MAX(D808/4,2*G806)*2&gt;0,ROUND((D808-MAX(D808/4,2*G806)*2)/H826,0),0)</f>
        <v>15</v>
      </c>
      <c r="X826" t="str">
        <v>x</v>
      </c>
      <c r="Y826">
        <f>D811</f>
        <v>1</v>
      </c>
      <c r="Z826" t="str">
        <v>=</v>
      </c>
      <c r="AA826">
        <f>N826*U826*W826*Y826</f>
        <v>9.646992</v>
      </c>
    </row>
    <row r="827">
      <c r="A827" t="str">
        <f>A805</f>
        <v>Lantai 1</v>
      </c>
      <c r="B827">
        <f>B805</f>
        <v>26</v>
      </c>
      <c r="C827" t="str">
        <v>Sengkang Tumpuan</v>
      </c>
      <c r="D827">
        <f>VLOOKUP(D805,'Detail Balok'!$C$10:$AU$140,41,FALSE)</f>
        <v>0</v>
      </c>
      <c r="E827" t="str">
        <v>D</v>
      </c>
      <c r="F827">
        <f>VLOOKUP(D805,'Detail Balok'!$C$10:$AU$140,43,FALSE)</f>
        <v>8</v>
      </c>
      <c r="G827" t="str">
        <v>-</v>
      </c>
      <c r="H827">
        <f>VLOOKUP(D805,'Detail Balok'!$C$10:$AU$140,45,FALSE)</f>
        <v>150</v>
      </c>
      <c r="J827">
        <f>(IF(D827=0,(2*(D806+G806))-(F$5*8),IF(D827=3,(2*(D806+G806))-(F$5*8)+(G806-2*F$5),IF(D827=4,(2*(D806+G806))-(F$5*8)+2*(G806-2*F$5)))))/1000</f>
        <v>1.48</v>
      </c>
      <c r="K827" t="str">
        <v>+</v>
      </c>
      <c r="L827">
        <f>IF(D827=0,2*MAX(6*F827,75),(D827-1)*2*MAX(6*F827,75))/1000</f>
        <v>0.15</v>
      </c>
      <c r="M827" t="str">
        <v>=</v>
      </c>
      <c r="N827">
        <f>J827+L827</f>
        <v>1.63</v>
      </c>
      <c r="T827" t="str">
        <v>x</v>
      </c>
      <c r="U827">
        <f>0.006165*F827^2</f>
        <v>0.39456</v>
      </c>
      <c r="V827" t="str">
        <v>x</v>
      </c>
      <c r="W827">
        <f>IF(D808&gt;4*G806,ROUND(MAX(D808/4,2*G806)/H827,0)+1,0)</f>
        <v>11</v>
      </c>
      <c r="X827" t="str">
        <v>x</v>
      </c>
      <c r="Y827">
        <f>D811</f>
        <v>1</v>
      </c>
      <c r="Z827" t="str">
        <v>=</v>
      </c>
      <c r="AA827">
        <f>N827*U827*W827*Y827</f>
        <v>7.0744608</v>
      </c>
    </row>
    <row r="829">
      <c r="A829" t="str">
        <f>A805</f>
        <v>Lantai 1</v>
      </c>
      <c r="B829">
        <f>B805</f>
        <v>26</v>
      </c>
      <c r="C829" t="str">
        <v>Kait Horizontal Tump.</v>
      </c>
      <c r="D829">
        <f>VLOOKUP(D805,'Detail Balok'!$C$10:$BJ$140,46,FALSE)</f>
        <v>0</v>
      </c>
      <c r="E829" t="str">
        <v>D</v>
      </c>
      <c r="F829">
        <f>VLOOKUP(D805,'Detail Balok'!$C$10:$BJ$140,48,FALSE)</f>
        <v>0</v>
      </c>
      <c r="G829" t="str">
        <v>-</v>
      </c>
      <c r="H829">
        <f>VLOOKUP(D805,'Detail Balok'!$C$10:$BJ$140,50,FALSE)</f>
        <v>100</v>
      </c>
      <c r="J829">
        <f>(D806-2*F$5)/1000</f>
        <v>0.22</v>
      </c>
      <c r="K829" t="str">
        <v>+</v>
      </c>
      <c r="L829">
        <f>IF(D829=0,2*MAX(6*F829,75),(D829-1)*2*MAX(6*F829,75))/1000</f>
        <v>0.15</v>
      </c>
      <c r="M829" t="str">
        <v>=</v>
      </c>
      <c r="N829">
        <f>J829+L829</f>
        <v>0.37</v>
      </c>
      <c r="T829" t="str">
        <v>x</v>
      </c>
      <c r="U829">
        <f>0.006165*F829^2</f>
        <v>0</v>
      </c>
      <c r="V829" t="str">
        <v>x</v>
      </c>
      <c r="W829">
        <f>W825</f>
        <v>11</v>
      </c>
      <c r="X829" t="str">
        <v>x</v>
      </c>
      <c r="Y829">
        <f>D815</f>
        <v>4</v>
      </c>
      <c r="Z829" t="str">
        <v>=</v>
      </c>
      <c r="AA829">
        <f>N829*U829*W829*Y829</f>
        <v>0</v>
      </c>
    </row>
    <row r="830">
      <c r="A830" t="str">
        <f>A805</f>
        <v>Lantai 1</v>
      </c>
      <c r="B830">
        <f>B805</f>
        <v>26</v>
      </c>
      <c r="C830" t="str">
        <v>Kait Horizontal Lap.</v>
      </c>
      <c r="D830">
        <f>VLOOKUP(D805,'Detail Balok'!$C$10:$BJ$140,51,FALSE)</f>
        <v>0</v>
      </c>
      <c r="E830" t="str">
        <v>D</v>
      </c>
      <c r="F830">
        <f>VLOOKUP(D805,'Detail Balok'!$C$10:$BJ$140,53,FALSE)</f>
        <v>0</v>
      </c>
      <c r="G830" t="str">
        <v>-</v>
      </c>
      <c r="H830">
        <f>VLOOKUP(D805,'Detail Balok'!$C$10:$BJ$140,55,FALSE)</f>
        <v>100</v>
      </c>
      <c r="J830">
        <f>(D806-2*F$5)/1000</f>
        <v>0.22</v>
      </c>
      <c r="K830" t="str">
        <v>+</v>
      </c>
      <c r="L830">
        <f>IF(D830=0,2*MAX(6*F830,75),(D830-1)*2*MAX(6*F830,75))/1000</f>
        <v>0.15</v>
      </c>
      <c r="M830" t="str">
        <v>=</v>
      </c>
      <c r="N830">
        <f>J830+L830</f>
        <v>0.37</v>
      </c>
      <c r="T830" t="str">
        <v>x</v>
      </c>
      <c r="U830">
        <f>0.006165*F830^2</f>
        <v>0</v>
      </c>
      <c r="V830" t="str">
        <v>x</v>
      </c>
      <c r="W830">
        <f>W826</f>
        <v>15</v>
      </c>
      <c r="X830" t="str">
        <v>x</v>
      </c>
      <c r="Y830">
        <f>D815</f>
        <v>4</v>
      </c>
      <c r="Z830" t="str">
        <v>=</v>
      </c>
      <c r="AA830">
        <f>N830*U830*W830*Y830</f>
        <v>0</v>
      </c>
    </row>
    <row r="831">
      <c r="A831" t="str">
        <f>A805</f>
        <v>Lantai 1</v>
      </c>
      <c r="B831">
        <f>B805</f>
        <v>26</v>
      </c>
      <c r="C831" t="str">
        <v>Kait Horizontal Tump.</v>
      </c>
      <c r="D831">
        <f>VLOOKUP(D805,'Detail Balok'!$C$10:$BJ$140,56,FALSE)</f>
        <v>0</v>
      </c>
      <c r="E831" t="str">
        <v>D</v>
      </c>
      <c r="F831">
        <f>VLOOKUP(D805,'Detail Balok'!$C$10:$BJ$140,58,FALSE)</f>
        <v>0</v>
      </c>
      <c r="G831" t="str">
        <v>-</v>
      </c>
      <c r="H831">
        <f>VLOOKUP(D805,'Detail Balok'!$C$10:$BJ$140,60,FALSE)</f>
        <v>100</v>
      </c>
      <c r="J831">
        <f>(D806-2*F$5)/1000</f>
        <v>0.22</v>
      </c>
      <c r="K831" t="str">
        <v>+</v>
      </c>
      <c r="L831">
        <f>IF(D831=0,2*MAX(6*F831,75),(D831-1)*2*MAX(6*F831,75))/1000</f>
        <v>0.15</v>
      </c>
      <c r="M831" t="str">
        <v>=</v>
      </c>
      <c r="N831">
        <f>J831+L831</f>
        <v>0.37</v>
      </c>
      <c r="T831" t="str">
        <v>x</v>
      </c>
      <c r="U831">
        <f>0.006165*F831^2</f>
        <v>0</v>
      </c>
      <c r="V831" t="str">
        <v>x</v>
      </c>
      <c r="W831">
        <f>W827</f>
        <v>11</v>
      </c>
      <c r="X831" t="str">
        <v>x</v>
      </c>
      <c r="Y831">
        <f>D815</f>
        <v>4</v>
      </c>
      <c r="Z831" t="str">
        <v>=</v>
      </c>
      <c r="AA831">
        <f>N831*U831*W831*Y831</f>
        <v>0</v>
      </c>
    </row>
    <row r="835">
      <c r="A835" t="str">
        <f>A805</f>
        <v>Lantai 1</v>
      </c>
      <c r="B835">
        <f>B805+1</f>
        <v>27</v>
      </c>
      <c r="C835" t="str">
        <f>CONCATENATE(A835," no. ",B835)</f>
        <v>Lantai 1 no. 27</v>
      </c>
      <c r="D835" t="str">
        <f>VLOOKUP(C835,'Data Panjang Balok'!$C$9:$N$254,2,FALSE)</f>
        <v>S24-1</v>
      </c>
    </row>
    <row r="836">
      <c r="C836" t="str">
        <v>Dimensi</v>
      </c>
      <c r="D836">
        <f>VLOOKUP(D835,'Detail Balok'!$C$10:$AU$140,2,FALSE)</f>
        <v>200</v>
      </c>
      <c r="F836" t="str">
        <v>x</v>
      </c>
      <c r="G836">
        <f>VLOOKUP(D835,'Detail Balok'!$C$10:$AU$140,3,FALSE)</f>
        <v>400</v>
      </c>
    </row>
    <row r="837">
      <c r="C837" t="str">
        <v>Panjang as ke as</v>
      </c>
      <c r="D837">
        <f>VLOOKUP(C835,'Data Panjang Balok'!$C$9:$N$254,4,FALSE)</f>
        <v>2390</v>
      </c>
    </row>
    <row r="838">
      <c r="C838" t="str">
        <v>Panjang netto</v>
      </c>
      <c r="D838">
        <f>VLOOKUP(C835,'Data Panjang Balok'!$C$9:$N$254,7,FALSE)</f>
        <v>2390</v>
      </c>
    </row>
    <row r="839">
      <c r="C839" t="str">
        <v>Kolom / balok kiri</v>
      </c>
      <c r="D839">
        <f>VLOOKUP(C835,'Data Panjang Balok'!$C$9:$N$254,9,FALSE)</f>
        <v>0</v>
      </c>
    </row>
    <row r="840">
      <c r="C840" t="str">
        <v>Kolom / balok kanan</v>
      </c>
      <c r="D840">
        <f>VLOOKUP(C835,'Data Panjang Balok'!$C$9:$N$254,10,FALSE)</f>
        <v>0</v>
      </c>
    </row>
    <row r="841">
      <c r="C841" t="str">
        <v>Jumlah</v>
      </c>
      <c r="D841">
        <f>VLOOKUP(C835,'Data Panjang Balok'!$C$9:$N$254,3,FALSE)</f>
        <v>1</v>
      </c>
    </row>
    <row r="842">
      <c r="A842" t="str">
        <f>A835</f>
        <v>Lantai 1</v>
      </c>
      <c r="B842">
        <f>B835</f>
        <v>27</v>
      </c>
      <c r="C842" t="str">
        <v>Tul Atas Tumpuan</v>
      </c>
      <c r="D842">
        <f>VLOOKUP(D835,'Detail Balok'!$C$10:$AU$140,4,FALSE)</f>
        <v>3</v>
      </c>
      <c r="E842" t="str">
        <v>D</v>
      </c>
      <c r="F842">
        <f>VLOOKUP(D835,'Detail Balok'!$C$10:$AU$140,6,FALSE)</f>
        <v>13</v>
      </c>
      <c r="I842" t="str">
        <v>(</v>
      </c>
      <c r="J842">
        <f>+D837/4/1000</f>
        <v>0.5975</v>
      </c>
      <c r="K842" t="str">
        <v>+</v>
      </c>
      <c r="L842">
        <f>MAX(VLOOKUP(F842,N$6:P$15,3,FALSE)/1000,2/3*D839/1000)+F$16*F842/1000</f>
        <v>0.156</v>
      </c>
      <c r="M842" t="str">
        <v>=</v>
      </c>
      <c r="N842">
        <f>J842+L842</f>
        <v>0.7535000000000001</v>
      </c>
      <c r="O842" t="str">
        <v>+</v>
      </c>
      <c r="P842">
        <f>D842-D843</f>
        <v>0</v>
      </c>
      <c r="Q842" t="str">
        <v>x</v>
      </c>
      <c r="R842">
        <f>IF(P842&gt;0,$F$18*F842/1000,0)</f>
        <v>0</v>
      </c>
      <c r="S842" t="str">
        <v>)</v>
      </c>
      <c r="T842" t="str">
        <v>x</v>
      </c>
      <c r="U842">
        <f>0.006165*F842^2</f>
        <v>1.041885</v>
      </c>
      <c r="X842" t="str">
        <v>x</v>
      </c>
      <c r="Y842">
        <f>D841</f>
        <v>1</v>
      </c>
      <c r="Z842" t="str">
        <v>=</v>
      </c>
      <c r="AA842">
        <f>IF(AA845=0,(D842*N842+P842*R842)*U842*Y842,0)</f>
        <v>0</v>
      </c>
    </row>
    <row r="843">
      <c r="A843" t="str">
        <f>A835</f>
        <v>Lantai 1</v>
      </c>
      <c r="B843">
        <f>B835</f>
        <v>27</v>
      </c>
      <c r="C843" t="str">
        <v>Tul Atas Lapangan</v>
      </c>
      <c r="D843">
        <f>VLOOKUP(D835,'Detail Balok'!$C$10:$AU$140,7,FALSE)</f>
        <v>3</v>
      </c>
      <c r="E843" t="str">
        <v>D</v>
      </c>
      <c r="F843">
        <f>VLOOKUP(D835,'Detail Balok'!$C$10:$AU$140,9,FALSE)</f>
        <v>13</v>
      </c>
      <c r="I843" t="str">
        <v>(</v>
      </c>
      <c r="J843">
        <f>+D837/2/1000</f>
        <v>1.195</v>
      </c>
      <c r="K843" t="str">
        <v>+</v>
      </c>
      <c r="M843" t="str">
        <v>=</v>
      </c>
      <c r="N843">
        <f>J843+L843</f>
        <v>1.195</v>
      </c>
      <c r="O843" t="str">
        <v>+</v>
      </c>
      <c r="P843">
        <f>MAX(D843-D842,D843-D844)</f>
        <v>0</v>
      </c>
      <c r="Q843" t="str">
        <v>x</v>
      </c>
      <c r="R843">
        <f>IF(P843&gt;0,2*(1-2*$F$19-1/2)*D838/1000,0)</f>
        <v>0</v>
      </c>
      <c r="S843" t="str">
        <v>)</v>
      </c>
      <c r="T843" t="str">
        <v>x</v>
      </c>
      <c r="U843">
        <f>0.006165*F843^2</f>
        <v>1.041885</v>
      </c>
      <c r="X843" t="str">
        <v>x</v>
      </c>
      <c r="Y843">
        <f>D841</f>
        <v>1</v>
      </c>
      <c r="Z843" t="str">
        <v>=</v>
      </c>
      <c r="AA843">
        <f>IF(AA845=0,(D843*N843+P843*R843)*U843*Y843,0)</f>
        <v>0</v>
      </c>
    </row>
    <row r="844">
      <c r="A844" t="str">
        <f>A835</f>
        <v>Lantai 1</v>
      </c>
      <c r="B844">
        <f>B835</f>
        <v>27</v>
      </c>
      <c r="C844" t="str">
        <v>Tul Atas Tumpuan</v>
      </c>
      <c r="D844">
        <f>VLOOKUP(D835,'Detail Balok'!$C$10:$AU$140,10,FALSE)</f>
        <v>3</v>
      </c>
      <c r="E844" t="str">
        <v>D</v>
      </c>
      <c r="F844">
        <f>VLOOKUP(D835,'Detail Balok'!$C$10:$AU$140,12,FALSE)</f>
        <v>13</v>
      </c>
      <c r="I844" t="str">
        <v>(</v>
      </c>
      <c r="J844">
        <f>+D837/4/1000</f>
        <v>0.5975</v>
      </c>
      <c r="K844" t="str">
        <v>+</v>
      </c>
      <c r="L844">
        <f>MAX(VLOOKUP(F844,N$6:P$15,3,FALSE)/1000,2/3*D839/1000)+F$16*F844/1000</f>
        <v>0.156</v>
      </c>
      <c r="M844" t="str">
        <v>=</v>
      </c>
      <c r="N844">
        <f>J844+L844</f>
        <v>0.7535000000000001</v>
      </c>
      <c r="O844" t="str">
        <v>+</v>
      </c>
      <c r="P844">
        <f>D844-D843</f>
        <v>0</v>
      </c>
      <c r="Q844" t="str">
        <v>x</v>
      </c>
      <c r="R844">
        <f>IF(P844&gt;0,$F$18*F844/1000,0)</f>
        <v>0</v>
      </c>
      <c r="S844" t="str">
        <v>)</v>
      </c>
      <c r="T844" t="str">
        <v>x</v>
      </c>
      <c r="U844">
        <f>0.006165*F844^2</f>
        <v>1.041885</v>
      </c>
      <c r="X844" t="str">
        <v>x</v>
      </c>
      <c r="Y844">
        <f>D841</f>
        <v>1</v>
      </c>
      <c r="Z844" t="str">
        <v>=</v>
      </c>
      <c r="AA844">
        <f>IF(AA845=0,(D844*N844+P844*R844)*U844*Y844,0)</f>
        <v>0</v>
      </c>
    </row>
    <row r="845">
      <c r="A845" t="str">
        <f>A835</f>
        <v>Lantai 1</v>
      </c>
      <c r="B845">
        <f>B835</f>
        <v>27</v>
      </c>
      <c r="D845">
        <f>IF(AND(D842=D843,D843=D844,D842=D844),D842,0)</f>
        <v>3</v>
      </c>
      <c r="E845" t="str">
        <v>D</v>
      </c>
      <c r="F845">
        <f>IF(AND(F842=F843,F842=F844,F843=F844),F842,0)</f>
        <v>13</v>
      </c>
      <c r="L845" t="str">
        <v>Total panjang per balok</v>
      </c>
      <c r="M845" t="str">
        <v>=</v>
      </c>
      <c r="N845">
        <f>IF(AND(D842=D843,D842=D844,D843=D844,F842=F843,F842=F844,F843=F844),SUM(N842:N844),0)</f>
        <v>2.702</v>
      </c>
      <c r="O845" t="str">
        <v>+</v>
      </c>
      <c r="P845">
        <f>IF(N845&gt;12,ROUNDDOWN(N845/12,0),0)</f>
        <v>0</v>
      </c>
      <c r="Q845" t="str">
        <v>x</v>
      </c>
      <c r="R845">
        <f>IF(P845&gt;0,MAX(VLOOKUP(F845,$D$6:$G$15,3,FALSE),600),0)/1000</f>
        <v>0</v>
      </c>
      <c r="T845" t="str">
        <v>x</v>
      </c>
      <c r="U845">
        <f>U844</f>
        <v>1.041885</v>
      </c>
      <c r="V845" t="str">
        <v>x</v>
      </c>
      <c r="W845">
        <f>D845</f>
        <v>3</v>
      </c>
      <c r="X845" t="str">
        <v>x</v>
      </c>
      <c r="Y845">
        <f>Y844</f>
        <v>1</v>
      </c>
      <c r="Z845" t="str">
        <v>=</v>
      </c>
      <c r="AA845">
        <f>(N845+P845*R845/1000)*U845*W845*Y845</f>
        <v>8.44551981</v>
      </c>
    </row>
    <row r="847">
      <c r="A847" t="str">
        <f>A835</f>
        <v>Lantai 1</v>
      </c>
      <c r="B847">
        <f>B835</f>
        <v>27</v>
      </c>
      <c r="C847" t="str">
        <v>Tul Peminggang</v>
      </c>
      <c r="D847">
        <f>VLOOKUP(D835,'Detail Balok'!$C$10:$AU$140,13,FALSE)</f>
        <v>0</v>
      </c>
      <c r="E847" t="str">
        <v>D</v>
      </c>
      <c r="F847">
        <f>VLOOKUP(D835,'Detail Balok'!$C$10:$AU$140,15,FALSE)</f>
        <v>8</v>
      </c>
      <c r="J847">
        <f>+D837/1000</f>
        <v>2.39</v>
      </c>
      <c r="K847" t="str">
        <v>+</v>
      </c>
      <c r="L847">
        <f>2*$F$16*F847/1000</f>
        <v>0.192</v>
      </c>
      <c r="M847" t="str">
        <v>=</v>
      </c>
      <c r="N847">
        <f>J847+L847</f>
        <v>2.5820000000000003</v>
      </c>
      <c r="O847" t="str">
        <v>+</v>
      </c>
      <c r="P847">
        <f>IF(N847&gt;12,ROUNDDOWN(N847/12,0),0)</f>
        <v>0</v>
      </c>
      <c r="Q847" t="str">
        <v>x</v>
      </c>
      <c r="R847">
        <f>IF(P847&gt;0,MAX(VLOOKUP(F847,$D$6:$G$15,3,FALSE),600),0)/1000</f>
        <v>0</v>
      </c>
      <c r="T847" t="str">
        <v>x</v>
      </c>
      <c r="U847">
        <f>0.006165*F847^2</f>
        <v>0.39456</v>
      </c>
      <c r="V847" t="str">
        <v>x</v>
      </c>
      <c r="W847">
        <f>+D847</f>
        <v>0</v>
      </c>
      <c r="X847" t="str">
        <v>x</v>
      </c>
      <c r="Y847">
        <f>D841</f>
        <v>1</v>
      </c>
      <c r="Z847" t="str">
        <v>=</v>
      </c>
      <c r="AA847">
        <f>(N847+P847*R847/1000)*U847*W847*Y847</f>
        <v>0</v>
      </c>
    </row>
    <row r="850">
      <c r="A850" t="str">
        <f>A835</f>
        <v>Lantai 1</v>
      </c>
      <c r="B850">
        <f>B835</f>
        <v>27</v>
      </c>
      <c r="C850" t="str">
        <v>Tul Bawah Tumpuan</v>
      </c>
      <c r="D850">
        <f>VLOOKUP(D835,'Detail Balok'!$C$10:$AU$140,22,FALSE)</f>
        <v>3</v>
      </c>
      <c r="E850" t="str">
        <v>D</v>
      </c>
      <c r="F850">
        <f>VLOOKUP(D835,'Detail Balok'!$C$10:$AU$140,24,FALSE)</f>
        <v>13</v>
      </c>
      <c r="I850" t="str">
        <v>(</v>
      </c>
      <c r="J850">
        <f>+J842</f>
        <v>0.5975</v>
      </c>
      <c r="K850" t="str">
        <v>+</v>
      </c>
      <c r="L850">
        <f>MAX(VLOOKUP(F850,N$6:P$15,3,FALSE)/1000,2/3*D840/1000)+F$16*F850/1000</f>
        <v>0.156</v>
      </c>
      <c r="M850" t="str">
        <v>=</v>
      </c>
      <c r="N850">
        <f>J850+L850</f>
        <v>0.7535000000000001</v>
      </c>
      <c r="O850" t="str">
        <v>+</v>
      </c>
      <c r="P850">
        <f>D850-D851</f>
        <v>0</v>
      </c>
      <c r="Q850" t="str">
        <v>x</v>
      </c>
      <c r="R850">
        <f>IF(P850&gt;0,$F$18*F850/1000,0)</f>
        <v>0</v>
      </c>
      <c r="S850" t="str">
        <v>)</v>
      </c>
      <c r="T850" t="str">
        <v>x</v>
      </c>
      <c r="U850">
        <f>0.006165*F850^2</f>
        <v>1.041885</v>
      </c>
      <c r="X850" t="str">
        <v>x</v>
      </c>
      <c r="Y850">
        <f>D841</f>
        <v>1</v>
      </c>
      <c r="Z850" t="str">
        <v>=</v>
      </c>
      <c r="AA850">
        <f>IF(AA853=0,(D850*N850+P850*R850)*U850*Y850,0)</f>
        <v>0</v>
      </c>
    </row>
    <row r="851">
      <c r="A851" t="str">
        <f>A835</f>
        <v>Lantai 1</v>
      </c>
      <c r="B851">
        <f>B835</f>
        <v>27</v>
      </c>
      <c r="C851" t="str">
        <v>Tul Bawah Lapangan</v>
      </c>
      <c r="D851">
        <f>VLOOKUP(D835,'Detail Balok'!$C$10:$AU$140,25,FALSE)</f>
        <v>3</v>
      </c>
      <c r="E851" t="str">
        <v>D</v>
      </c>
      <c r="F851">
        <f>VLOOKUP(D835,'Detail Balok'!$C$10:$AU$140,27,FALSE)</f>
        <v>13</v>
      </c>
      <c r="I851" t="str">
        <v>(</v>
      </c>
      <c r="J851">
        <f>+J843</f>
        <v>1.195</v>
      </c>
      <c r="K851" t="str">
        <v>+</v>
      </c>
      <c r="M851" t="str">
        <v>=</v>
      </c>
      <c r="N851">
        <f>J851+L851</f>
        <v>1.195</v>
      </c>
      <c r="O851" t="str">
        <v>+</v>
      </c>
      <c r="P851">
        <f>MAX(D851-D850,D851-D852)</f>
        <v>0</v>
      </c>
      <c r="Q851" t="str">
        <v>x</v>
      </c>
      <c r="R851">
        <f>IF(P851&gt;0,2*(1-2*$F$19-1/2)*D838/1000,0)</f>
        <v>0</v>
      </c>
      <c r="S851" t="str">
        <v>)</v>
      </c>
      <c r="T851" t="str">
        <v>x</v>
      </c>
      <c r="U851">
        <f>0.006165*F851^2</f>
        <v>1.041885</v>
      </c>
      <c r="X851" t="str">
        <v>x</v>
      </c>
      <c r="Y851">
        <f>D841</f>
        <v>1</v>
      </c>
      <c r="Z851" t="str">
        <v>=</v>
      </c>
      <c r="AA851">
        <f>IF(AA853=0,(D851*N851+P851*R851)*U851*Y851,0)</f>
        <v>0</v>
      </c>
    </row>
    <row r="852">
      <c r="A852" t="str">
        <f>A835</f>
        <v>Lantai 1</v>
      </c>
      <c r="B852">
        <f>B835</f>
        <v>27</v>
      </c>
      <c r="C852" t="str">
        <v>Tul Bawah Tumpuan</v>
      </c>
      <c r="D852">
        <f>VLOOKUP(D835,'Detail Balok'!$C$10:$AU$140,28,FALSE)</f>
        <v>3</v>
      </c>
      <c r="E852" t="str">
        <v>D</v>
      </c>
      <c r="F852">
        <f>VLOOKUP(D835,'Detail Balok'!$C$10:$AU$140,30,FALSE)</f>
        <v>13</v>
      </c>
      <c r="I852" t="str">
        <v>(</v>
      </c>
      <c r="J852">
        <f>+J844</f>
        <v>0.5975</v>
      </c>
      <c r="K852" t="str">
        <v>+</v>
      </c>
      <c r="L852">
        <f>MAX(VLOOKUP(F852,N$6:P$15,3,FALSE)/1000,2/3*D840/1000)+F$16*F852/1000</f>
        <v>0.156</v>
      </c>
      <c r="M852" t="str">
        <v>=</v>
      </c>
      <c r="N852">
        <f>J852+L852</f>
        <v>0.7535000000000001</v>
      </c>
      <c r="O852" t="str">
        <v>+</v>
      </c>
      <c r="P852">
        <f>D852-D851</f>
        <v>0</v>
      </c>
      <c r="Q852" t="str">
        <v>x</v>
      </c>
      <c r="R852">
        <f>IF(P852&gt;0,$F$18*F852/1000,0)</f>
        <v>0</v>
      </c>
      <c r="S852" t="str">
        <v>)</v>
      </c>
      <c r="T852" t="str">
        <v>x</v>
      </c>
      <c r="U852">
        <f>0.006165*F852^2</f>
        <v>1.041885</v>
      </c>
      <c r="X852" t="str">
        <v>x</v>
      </c>
      <c r="Y852">
        <f>D841</f>
        <v>1</v>
      </c>
      <c r="Z852" t="str">
        <v>=</v>
      </c>
      <c r="AA852">
        <f>IF(AA853=0,(D852*N852+P852*R852)*U852*Y852,0)</f>
        <v>0</v>
      </c>
    </row>
    <row r="853">
      <c r="A853" t="str">
        <f>A835</f>
        <v>Lantai 1</v>
      </c>
      <c r="B853">
        <f>B835</f>
        <v>27</v>
      </c>
      <c r="D853">
        <f>IF(AND(D850=D851,D851=D852,D850=D852),D850,0)</f>
        <v>3</v>
      </c>
      <c r="E853" t="str">
        <v>D</v>
      </c>
      <c r="F853">
        <f>IF(AND(F850=F851,F850=F852,F851=F852),F850,0)</f>
        <v>13</v>
      </c>
      <c r="L853" t="str">
        <v>Total panjang per balok</v>
      </c>
      <c r="M853" t="str">
        <v>=</v>
      </c>
      <c r="N853">
        <f>IF(AND(D850=D851,D850=D852,D851=D852,F850=F851,F850=F852,F851=F852),SUM(N850:N852),0)</f>
        <v>2.702</v>
      </c>
      <c r="O853" t="str">
        <v>+</v>
      </c>
      <c r="P853">
        <f>IF(N853&gt;12,ROUNDDOWN(N853/12,0),0)</f>
        <v>0</v>
      </c>
      <c r="Q853" t="str">
        <v>x</v>
      </c>
      <c r="R853">
        <f>IF(P853&gt;0,MAX(VLOOKUP(F853,$D$6:$G$15,3,FALSE),600),0)/1000</f>
        <v>0</v>
      </c>
      <c r="T853" t="str">
        <v>x</v>
      </c>
      <c r="U853">
        <f>U852</f>
        <v>1.041885</v>
      </c>
      <c r="V853" t="str">
        <v>x</v>
      </c>
      <c r="W853">
        <f>D853</f>
        <v>3</v>
      </c>
      <c r="X853" t="str">
        <v>x</v>
      </c>
      <c r="Y853">
        <f>Y852</f>
        <v>1</v>
      </c>
      <c r="Z853" t="str">
        <v>=</v>
      </c>
      <c r="AA853">
        <f>(N853+P853*R853/1000)*U853*W853*Y853</f>
        <v>8.44551981</v>
      </c>
    </row>
    <row r="855">
      <c r="A855" t="str">
        <f>A835</f>
        <v>Lantai 1</v>
      </c>
      <c r="B855">
        <f>B835</f>
        <v>27</v>
      </c>
      <c r="C855" t="str">
        <v>Sengkang Tumpuan</v>
      </c>
      <c r="D855">
        <f>VLOOKUP(D835,'Detail Balok'!$C$10:$AU$140,31,FALSE)</f>
        <v>0</v>
      </c>
      <c r="E855" t="str">
        <v>D</v>
      </c>
      <c r="F855">
        <f>VLOOKUP(D835,'Detail Balok'!$C$10:$AU$140,33,FALSE)</f>
        <v>8</v>
      </c>
      <c r="G855" t="str">
        <v>-</v>
      </c>
      <c r="H855">
        <f>VLOOKUP(D835,'Detail Balok'!$C$10:$AU$140,35,FALSE)</f>
        <v>150</v>
      </c>
      <c r="J855">
        <f>(IF(D855=0,(2*(D836+G836))-(F$5*8),IF(D855=3,(2*(D836+G836))-(F$5*8)+(G836-2*F$5),IF(D855=4,(2*(D836+G836))-(F$5*8)+2*(G836-2*F$5)))))/1000</f>
        <v>0.88</v>
      </c>
      <c r="K855" t="str">
        <v>+</v>
      </c>
      <c r="L855">
        <f>IF(D855=0,2*MAX(6*F855,75),(D855-1)*2*MAX(6*F855,75))/1000</f>
        <v>0.15</v>
      </c>
      <c r="M855" t="str">
        <v>=</v>
      </c>
      <c r="N855">
        <f>J855+L855</f>
        <v>1.03</v>
      </c>
      <c r="T855" t="str">
        <v>x</v>
      </c>
      <c r="U855">
        <f>0.006165*F855^2</f>
        <v>0.39456</v>
      </c>
      <c r="V855" t="str">
        <v>x</v>
      </c>
      <c r="W855">
        <f>IF(D838&gt;4*G836,ROUND(MAX(D838/4,2*G836)/H855,0)+1,ROUND(D838/H855,0)+1)</f>
        <v>6</v>
      </c>
      <c r="X855" t="str">
        <v>x</v>
      </c>
      <c r="Y855">
        <f>D841</f>
        <v>1</v>
      </c>
      <c r="Z855" t="str">
        <v>=</v>
      </c>
      <c r="AA855">
        <f>N855*U855*W855*Y855</f>
        <v>2.4383808000000005</v>
      </c>
    </row>
    <row r="856">
      <c r="A856" t="str">
        <f>A835</f>
        <v>Lantai 1</v>
      </c>
      <c r="B856">
        <f>B835</f>
        <v>27</v>
      </c>
      <c r="C856" t="str">
        <v>Sengkang Lapangan</v>
      </c>
      <c r="D856">
        <f>VLOOKUP(D835,'Detail Balok'!$C$10:$AU$140,36,FALSE)</f>
        <v>0</v>
      </c>
      <c r="E856" t="str">
        <v>D</v>
      </c>
      <c r="F856">
        <f>VLOOKUP(D835,'Detail Balok'!$C$10:$AU$140,38,FALSE)</f>
        <v>8</v>
      </c>
      <c r="G856" t="str">
        <v>-</v>
      </c>
      <c r="H856">
        <f>VLOOKUP(D835,'Detail Balok'!$C$10:$AU$140,40,FALSE)</f>
        <v>200</v>
      </c>
      <c r="J856">
        <f>(IF(D856=0,(2*(D836+G836))-(F$5*8),IF(D856=3,(2*(D836+G836))-(F$5*8)+(G836-2*F$5),IF(D856=4,(2*(D836+G836))-(F$5*8)+2*(G836-2*F$5)))))/1000</f>
        <v>0.88</v>
      </c>
      <c r="K856" t="str">
        <v>+</v>
      </c>
      <c r="L856">
        <f>IF(D856=0,2*MAX(6*F856,75),(D856-1)*2*MAX(6*F856,75))/1000</f>
        <v>0.15</v>
      </c>
      <c r="M856" t="str">
        <v>=</v>
      </c>
      <c r="N856">
        <f>J856+L856</f>
        <v>1.03</v>
      </c>
      <c r="T856" t="str">
        <v>x</v>
      </c>
      <c r="U856">
        <f>0.006165*F856^2</f>
        <v>0.39456</v>
      </c>
      <c r="V856" t="str">
        <v>x</v>
      </c>
      <c r="W856">
        <f>IF(D838-MAX(D838/4,2*G836)*2&gt;0,ROUND((D838-MAX(D838/4,2*G836)*2)/H856,0),0)</f>
        <v>4</v>
      </c>
      <c r="X856" t="str">
        <v>x</v>
      </c>
      <c r="Y856">
        <f>D841</f>
        <v>1</v>
      </c>
      <c r="Z856" t="str">
        <v>=</v>
      </c>
      <c r="AA856">
        <f>N856*U856*W856*Y856</f>
        <v>1.6255872000000002</v>
      </c>
    </row>
    <row r="857">
      <c r="A857" t="str">
        <f>A835</f>
        <v>Lantai 1</v>
      </c>
      <c r="B857">
        <f>B835</f>
        <v>27</v>
      </c>
      <c r="C857" t="str">
        <v>Sengkang Tumpuan</v>
      </c>
      <c r="D857">
        <f>VLOOKUP(D835,'Detail Balok'!$C$10:$AU$140,41,FALSE)</f>
        <v>0</v>
      </c>
      <c r="E857" t="str">
        <v>D</v>
      </c>
      <c r="F857">
        <f>VLOOKUP(D835,'Detail Balok'!$C$10:$AU$140,43,FALSE)</f>
        <v>8</v>
      </c>
      <c r="G857" t="str">
        <v>-</v>
      </c>
      <c r="H857">
        <f>VLOOKUP(D835,'Detail Balok'!$C$10:$AU$140,45,FALSE)</f>
        <v>150</v>
      </c>
      <c r="J857">
        <f>(IF(D857=0,(2*(D836+G836))-(F$5*8),IF(D857=3,(2*(D836+G836))-(F$5*8)+(G836-2*F$5),IF(D857=4,(2*(D836+G836))-(F$5*8)+2*(G836-2*F$5)))))/1000</f>
        <v>0.88</v>
      </c>
      <c r="K857" t="str">
        <v>+</v>
      </c>
      <c r="L857">
        <f>IF(D857=0,2*MAX(6*F857,75),(D857-1)*2*MAX(6*F857,75))/1000</f>
        <v>0.15</v>
      </c>
      <c r="M857" t="str">
        <v>=</v>
      </c>
      <c r="N857">
        <f>J857+L857</f>
        <v>1.03</v>
      </c>
      <c r="T857" t="str">
        <v>x</v>
      </c>
      <c r="U857">
        <f>0.006165*F857^2</f>
        <v>0.39456</v>
      </c>
      <c r="V857" t="str">
        <v>x</v>
      </c>
      <c r="W857">
        <f>IF(D838&gt;4*G836,ROUND(MAX(D838/4,2*G836)/H857,0)+1,0)</f>
        <v>6</v>
      </c>
      <c r="X857" t="str">
        <v>x</v>
      </c>
      <c r="Y857">
        <f>D841</f>
        <v>1</v>
      </c>
      <c r="Z857" t="str">
        <v>=</v>
      </c>
      <c r="AA857">
        <f>N857*U857*W857*Y857</f>
        <v>2.4383808000000005</v>
      </c>
    </row>
    <row r="859">
      <c r="A859" t="str">
        <f>A835</f>
        <v>Lantai 1</v>
      </c>
      <c r="B859">
        <f>B835</f>
        <v>27</v>
      </c>
      <c r="C859" t="str">
        <v>Kait Horizontal Tump.</v>
      </c>
      <c r="D859">
        <f>VLOOKUP(D835,'Detail Balok'!$C$10:$BJ$140,46,FALSE)</f>
        <v>0</v>
      </c>
      <c r="E859" t="str">
        <v>D</v>
      </c>
      <c r="F859">
        <f>VLOOKUP(D835,'Detail Balok'!$C$10:$BJ$140,48,FALSE)</f>
        <v>0</v>
      </c>
      <c r="G859" t="str">
        <v>-</v>
      </c>
      <c r="H859">
        <f>VLOOKUP(D835,'Detail Balok'!$C$10:$BJ$140,50,FALSE)</f>
        <v>100</v>
      </c>
      <c r="J859">
        <f>(D836-2*F$5)/1000</f>
        <v>0.12</v>
      </c>
      <c r="K859" t="str">
        <v>+</v>
      </c>
      <c r="L859">
        <f>IF(D859=0,2*MAX(6*F859,75),(D859-1)*2*MAX(6*F859,75))/1000</f>
        <v>0.15</v>
      </c>
      <c r="M859" t="str">
        <v>=</v>
      </c>
      <c r="N859">
        <f>J859+L859</f>
        <v>0.27</v>
      </c>
      <c r="T859" t="str">
        <v>x</v>
      </c>
      <c r="U859">
        <f>0.006165*F859^2</f>
        <v>0</v>
      </c>
      <c r="V859" t="str">
        <v>x</v>
      </c>
      <c r="W859">
        <f>W855</f>
        <v>6</v>
      </c>
      <c r="X859" t="str">
        <v>x</v>
      </c>
      <c r="Y859">
        <f>D845</f>
        <v>3</v>
      </c>
      <c r="Z859" t="str">
        <v>=</v>
      </c>
      <c r="AA859">
        <f>N859*U859*W859*Y859</f>
        <v>0</v>
      </c>
    </row>
    <row r="860">
      <c r="A860" t="str">
        <f>A835</f>
        <v>Lantai 1</v>
      </c>
      <c r="B860">
        <f>B835</f>
        <v>27</v>
      </c>
      <c r="C860" t="str">
        <v>Kait Horizontal Lap.</v>
      </c>
      <c r="D860">
        <f>VLOOKUP(D835,'Detail Balok'!$C$10:$BJ$140,51,FALSE)</f>
        <v>0</v>
      </c>
      <c r="E860" t="str">
        <v>D</v>
      </c>
      <c r="F860">
        <f>VLOOKUP(D835,'Detail Balok'!$C$10:$BJ$140,53,FALSE)</f>
        <v>0</v>
      </c>
      <c r="G860" t="str">
        <v>-</v>
      </c>
      <c r="H860">
        <f>VLOOKUP(D835,'Detail Balok'!$C$10:$BJ$140,55,FALSE)</f>
        <v>100</v>
      </c>
      <c r="J860">
        <f>(D836-2*F$5)/1000</f>
        <v>0.12</v>
      </c>
      <c r="K860" t="str">
        <v>+</v>
      </c>
      <c r="L860">
        <f>IF(D860=0,2*MAX(6*F860,75),(D860-1)*2*MAX(6*F860,75))/1000</f>
        <v>0.15</v>
      </c>
      <c r="M860" t="str">
        <v>=</v>
      </c>
      <c r="N860">
        <f>J860+L860</f>
        <v>0.27</v>
      </c>
      <c r="T860" t="str">
        <v>x</v>
      </c>
      <c r="U860">
        <f>0.006165*F860^2</f>
        <v>0</v>
      </c>
      <c r="V860" t="str">
        <v>x</v>
      </c>
      <c r="W860">
        <f>W856</f>
        <v>4</v>
      </c>
      <c r="X860" t="str">
        <v>x</v>
      </c>
      <c r="Y860">
        <f>D845</f>
        <v>3</v>
      </c>
      <c r="Z860" t="str">
        <v>=</v>
      </c>
      <c r="AA860">
        <f>N860*U860*W860*Y860</f>
        <v>0</v>
      </c>
    </row>
    <row r="861">
      <c r="A861" t="str">
        <f>A835</f>
        <v>Lantai 1</v>
      </c>
      <c r="B861">
        <f>B835</f>
        <v>27</v>
      </c>
      <c r="C861" t="str">
        <v>Kait Horizontal Tump.</v>
      </c>
      <c r="D861">
        <f>VLOOKUP(D835,'Detail Balok'!$C$10:$BJ$140,56,FALSE)</f>
        <v>0</v>
      </c>
      <c r="E861" t="str">
        <v>D</v>
      </c>
      <c r="F861">
        <f>VLOOKUP(D835,'Detail Balok'!$C$10:$BJ$140,58,FALSE)</f>
        <v>0</v>
      </c>
      <c r="G861" t="str">
        <v>-</v>
      </c>
      <c r="H861">
        <f>VLOOKUP(D835,'Detail Balok'!$C$10:$BJ$140,60,FALSE)</f>
        <v>100</v>
      </c>
      <c r="J861">
        <f>(D836-2*F$5)/1000</f>
        <v>0.12</v>
      </c>
      <c r="K861" t="str">
        <v>+</v>
      </c>
      <c r="L861">
        <f>IF(D861=0,2*MAX(6*F861,75),(D861-1)*2*MAX(6*F861,75))/1000</f>
        <v>0.15</v>
      </c>
      <c r="M861" t="str">
        <v>=</v>
      </c>
      <c r="N861">
        <f>J861+L861</f>
        <v>0.27</v>
      </c>
      <c r="T861" t="str">
        <v>x</v>
      </c>
      <c r="U861">
        <f>0.006165*F861^2</f>
        <v>0</v>
      </c>
      <c r="V861" t="str">
        <v>x</v>
      </c>
      <c r="W861">
        <f>W857</f>
        <v>6</v>
      </c>
      <c r="X861" t="str">
        <v>x</v>
      </c>
      <c r="Y861">
        <f>D845</f>
        <v>3</v>
      </c>
      <c r="Z861" t="str">
        <v>=</v>
      </c>
      <c r="AA861">
        <f>N861*U861*W861*Y861</f>
        <v>0</v>
      </c>
    </row>
    <row r="865">
      <c r="A865" t="str">
        <f>A835</f>
        <v>Lantai 1</v>
      </c>
      <c r="B865">
        <f>B835+1</f>
        <v>28</v>
      </c>
      <c r="C865" t="str">
        <f>CONCATENATE(A865," no. ",B865)</f>
        <v>Lantai 1 no. 28</v>
      </c>
      <c r="D865" t="str">
        <f>VLOOKUP(C865,'Data Panjang Balok'!$C$9:$N$254,2,FALSE)</f>
        <v>S24-1</v>
      </c>
    </row>
    <row r="866">
      <c r="C866" t="str">
        <v>Dimensi</v>
      </c>
      <c r="D866">
        <f>VLOOKUP(D865,'Detail Balok'!$C$10:$AU$140,2,FALSE)</f>
        <v>200</v>
      </c>
      <c r="F866" t="str">
        <v>x</v>
      </c>
      <c r="G866">
        <f>VLOOKUP(D865,'Detail Balok'!$C$10:$AU$140,3,FALSE)</f>
        <v>400</v>
      </c>
    </row>
    <row r="867">
      <c r="C867" t="str">
        <v>Panjang as ke as</v>
      </c>
      <c r="D867">
        <f>VLOOKUP(C865,'Data Panjang Balok'!$C$9:$N$254,4,FALSE)</f>
        <v>2650</v>
      </c>
    </row>
    <row r="868">
      <c r="C868" t="str">
        <v>Panjang netto</v>
      </c>
      <c r="D868">
        <f>VLOOKUP(C865,'Data Panjang Balok'!$C$9:$N$254,7,FALSE)</f>
        <v>2650</v>
      </c>
    </row>
    <row r="869">
      <c r="C869" t="str">
        <v>Kolom / balok kiri</v>
      </c>
      <c r="D869">
        <f>VLOOKUP(C865,'Data Panjang Balok'!$C$9:$N$254,9,FALSE)</f>
        <v>0</v>
      </c>
    </row>
    <row r="870">
      <c r="C870" t="str">
        <v>Kolom / balok kanan</v>
      </c>
      <c r="D870">
        <f>VLOOKUP(C865,'Data Panjang Balok'!$C$9:$N$254,10,FALSE)</f>
        <v>0</v>
      </c>
    </row>
    <row r="871">
      <c r="C871" t="str">
        <v>Jumlah</v>
      </c>
      <c r="D871">
        <f>VLOOKUP(C865,'Data Panjang Balok'!$C$9:$N$254,3,FALSE)</f>
        <v>1</v>
      </c>
    </row>
    <row r="872">
      <c r="A872" t="str">
        <f>A865</f>
        <v>Lantai 1</v>
      </c>
      <c r="B872">
        <f>B865</f>
        <v>28</v>
      </c>
      <c r="C872" t="str">
        <v>Tul Atas Tumpuan</v>
      </c>
      <c r="D872">
        <f>VLOOKUP(D865,'Detail Balok'!$C$10:$AU$140,4,FALSE)</f>
        <v>3</v>
      </c>
      <c r="E872" t="str">
        <v>D</v>
      </c>
      <c r="F872">
        <f>VLOOKUP(D865,'Detail Balok'!$C$10:$AU$140,6,FALSE)</f>
        <v>13</v>
      </c>
      <c r="I872" t="str">
        <v>(</v>
      </c>
      <c r="J872">
        <f>+D867/4/1000</f>
        <v>0.6625</v>
      </c>
      <c r="K872" t="str">
        <v>+</v>
      </c>
      <c r="L872">
        <f>MAX(VLOOKUP(F872,N$6:P$15,3,FALSE)/1000,2/3*D869/1000)+F$16*F872/1000</f>
        <v>0.156</v>
      </c>
      <c r="M872" t="str">
        <v>=</v>
      </c>
      <c r="N872">
        <f>J872+L872</f>
        <v>0.8185</v>
      </c>
      <c r="O872" t="str">
        <v>+</v>
      </c>
      <c r="P872">
        <f>D872-D873</f>
        <v>0</v>
      </c>
      <c r="Q872" t="str">
        <v>x</v>
      </c>
      <c r="R872">
        <f>IF(P872&gt;0,$F$18*F872/1000,0)</f>
        <v>0</v>
      </c>
      <c r="S872" t="str">
        <v>)</v>
      </c>
      <c r="T872" t="str">
        <v>x</v>
      </c>
      <c r="U872">
        <f>0.006165*F872^2</f>
        <v>1.041885</v>
      </c>
      <c r="X872" t="str">
        <v>x</v>
      </c>
      <c r="Y872">
        <f>D871</f>
        <v>1</v>
      </c>
      <c r="Z872" t="str">
        <v>=</v>
      </c>
      <c r="AA872">
        <f>IF(AA875=0,(D872*N872+P872*R872)*U872*Y872,0)</f>
        <v>0</v>
      </c>
    </row>
    <row r="873">
      <c r="A873" t="str">
        <f>A865</f>
        <v>Lantai 1</v>
      </c>
      <c r="B873">
        <f>B865</f>
        <v>28</v>
      </c>
      <c r="C873" t="str">
        <v>Tul Atas Lapangan</v>
      </c>
      <c r="D873">
        <f>VLOOKUP(D865,'Detail Balok'!$C$10:$AU$140,7,FALSE)</f>
        <v>3</v>
      </c>
      <c r="E873" t="str">
        <v>D</v>
      </c>
      <c r="F873">
        <f>VLOOKUP(D865,'Detail Balok'!$C$10:$AU$140,9,FALSE)</f>
        <v>13</v>
      </c>
      <c r="I873" t="str">
        <v>(</v>
      </c>
      <c r="J873">
        <f>+D867/2/1000</f>
        <v>1.325</v>
      </c>
      <c r="K873" t="str">
        <v>+</v>
      </c>
      <c r="M873" t="str">
        <v>=</v>
      </c>
      <c r="N873">
        <f>J873+L873</f>
        <v>1.325</v>
      </c>
      <c r="O873" t="str">
        <v>+</v>
      </c>
      <c r="P873">
        <f>MAX(D873-D872,D873-D874)</f>
        <v>0</v>
      </c>
      <c r="Q873" t="str">
        <v>x</v>
      </c>
      <c r="R873">
        <f>IF(P873&gt;0,2*(1-2*$F$19-1/2)*D868/1000,0)</f>
        <v>0</v>
      </c>
      <c r="S873" t="str">
        <v>)</v>
      </c>
      <c r="T873" t="str">
        <v>x</v>
      </c>
      <c r="U873">
        <f>0.006165*F873^2</f>
        <v>1.041885</v>
      </c>
      <c r="X873" t="str">
        <v>x</v>
      </c>
      <c r="Y873">
        <f>D871</f>
        <v>1</v>
      </c>
      <c r="Z873" t="str">
        <v>=</v>
      </c>
      <c r="AA873">
        <f>IF(AA875=0,(D873*N873+P873*R873)*U873*Y873,0)</f>
        <v>0</v>
      </c>
    </row>
    <row r="874">
      <c r="A874" t="str">
        <f>A865</f>
        <v>Lantai 1</v>
      </c>
      <c r="B874">
        <f>B865</f>
        <v>28</v>
      </c>
      <c r="C874" t="str">
        <v>Tul Atas Tumpuan</v>
      </c>
      <c r="D874">
        <f>VLOOKUP(D865,'Detail Balok'!$C$10:$AU$140,10,FALSE)</f>
        <v>3</v>
      </c>
      <c r="E874" t="str">
        <v>D</v>
      </c>
      <c r="F874">
        <f>VLOOKUP(D865,'Detail Balok'!$C$10:$AU$140,12,FALSE)</f>
        <v>13</v>
      </c>
      <c r="I874" t="str">
        <v>(</v>
      </c>
      <c r="J874">
        <f>+D867/4/1000</f>
        <v>0.6625</v>
      </c>
      <c r="K874" t="str">
        <v>+</v>
      </c>
      <c r="L874">
        <f>MAX(VLOOKUP(F874,N$6:P$15,3,FALSE)/1000,2/3*D869/1000)+F$16*F874/1000</f>
        <v>0.156</v>
      </c>
      <c r="M874" t="str">
        <v>=</v>
      </c>
      <c r="N874">
        <f>J874+L874</f>
        <v>0.8185</v>
      </c>
      <c r="O874" t="str">
        <v>+</v>
      </c>
      <c r="P874">
        <f>D874-D873</f>
        <v>0</v>
      </c>
      <c r="Q874" t="str">
        <v>x</v>
      </c>
      <c r="R874">
        <f>IF(P874&gt;0,$F$18*F874/1000,0)</f>
        <v>0</v>
      </c>
      <c r="S874" t="str">
        <v>)</v>
      </c>
      <c r="T874" t="str">
        <v>x</v>
      </c>
      <c r="U874">
        <f>0.006165*F874^2</f>
        <v>1.041885</v>
      </c>
      <c r="X874" t="str">
        <v>x</v>
      </c>
      <c r="Y874">
        <f>D871</f>
        <v>1</v>
      </c>
      <c r="Z874" t="str">
        <v>=</v>
      </c>
      <c r="AA874">
        <f>IF(AA875=0,(D874*N874+P874*R874)*U874*Y874,0)</f>
        <v>0</v>
      </c>
    </row>
    <row r="875">
      <c r="A875" t="str">
        <f>A865</f>
        <v>Lantai 1</v>
      </c>
      <c r="B875">
        <f>B865</f>
        <v>28</v>
      </c>
      <c r="D875">
        <f>IF(AND(D872=D873,D873=D874,D872=D874),D872,0)</f>
        <v>3</v>
      </c>
      <c r="E875" t="str">
        <v>D</v>
      </c>
      <c r="F875">
        <f>IF(AND(F872=F873,F872=F874,F873=F874),F872,0)</f>
        <v>13</v>
      </c>
      <c r="L875" t="str">
        <v>Total panjang per balok</v>
      </c>
      <c r="M875" t="str">
        <v>=</v>
      </c>
      <c r="N875">
        <f>IF(AND(D872=D873,D872=D874,D873=D874,F872=F873,F872=F874,F873=F874),SUM(N872:N874),0)</f>
        <v>2.9619999999999997</v>
      </c>
      <c r="O875" t="str">
        <v>+</v>
      </c>
      <c r="P875">
        <f>IF(N875&gt;12,ROUNDDOWN(N875/12,0),0)</f>
        <v>0</v>
      </c>
      <c r="Q875" t="str">
        <v>x</v>
      </c>
      <c r="R875">
        <f>IF(P875&gt;0,MAX(VLOOKUP(F875,$D$6:$G$15,3,FALSE),600),0)/1000</f>
        <v>0</v>
      </c>
      <c r="T875" t="str">
        <v>x</v>
      </c>
      <c r="U875">
        <f>U874</f>
        <v>1.041885</v>
      </c>
      <c r="V875" t="str">
        <v>x</v>
      </c>
      <c r="W875">
        <f>D875</f>
        <v>3</v>
      </c>
      <c r="X875" t="str">
        <v>x</v>
      </c>
      <c r="Y875">
        <f>Y874</f>
        <v>1</v>
      </c>
      <c r="Z875" t="str">
        <v>=</v>
      </c>
      <c r="AA875">
        <f>(N875+P875*R875/1000)*U875*W875*Y875</f>
        <v>9.25819011</v>
      </c>
    </row>
    <row r="877">
      <c r="A877" t="str">
        <f>A865</f>
        <v>Lantai 1</v>
      </c>
      <c r="B877">
        <f>B865</f>
        <v>28</v>
      </c>
      <c r="C877" t="str">
        <v>Tul Peminggang</v>
      </c>
      <c r="D877">
        <f>VLOOKUP(D865,'Detail Balok'!$C$10:$AU$140,13,FALSE)</f>
        <v>0</v>
      </c>
      <c r="E877" t="str">
        <v>D</v>
      </c>
      <c r="F877">
        <f>VLOOKUP(D865,'Detail Balok'!$C$10:$AU$140,15,FALSE)</f>
        <v>8</v>
      </c>
      <c r="J877">
        <f>+D867/1000</f>
        <v>2.65</v>
      </c>
      <c r="K877" t="str">
        <v>+</v>
      </c>
      <c r="L877">
        <f>2*$F$16*F877/1000</f>
        <v>0.192</v>
      </c>
      <c r="M877" t="str">
        <v>=</v>
      </c>
      <c r="N877">
        <f>J877+L877</f>
        <v>2.842</v>
      </c>
      <c r="O877" t="str">
        <v>+</v>
      </c>
      <c r="P877">
        <f>IF(N877&gt;12,ROUNDDOWN(N877/12,0),0)</f>
        <v>0</v>
      </c>
      <c r="Q877" t="str">
        <v>x</v>
      </c>
      <c r="R877">
        <f>IF(P877&gt;0,MAX(VLOOKUP(F877,$D$6:$G$15,3,FALSE),600),0)/1000</f>
        <v>0</v>
      </c>
      <c r="T877" t="str">
        <v>x</v>
      </c>
      <c r="U877">
        <f>0.006165*F877^2</f>
        <v>0.39456</v>
      </c>
      <c r="V877" t="str">
        <v>x</v>
      </c>
      <c r="W877">
        <f>+D877</f>
        <v>0</v>
      </c>
      <c r="X877" t="str">
        <v>x</v>
      </c>
      <c r="Y877">
        <f>D871</f>
        <v>1</v>
      </c>
      <c r="Z877" t="str">
        <v>=</v>
      </c>
      <c r="AA877">
        <f>(N877+P877*R877/1000)*U877*W877*Y877</f>
        <v>0</v>
      </c>
    </row>
    <row r="880">
      <c r="A880" t="str">
        <f>A865</f>
        <v>Lantai 1</v>
      </c>
      <c r="B880">
        <f>B865</f>
        <v>28</v>
      </c>
      <c r="C880" t="str">
        <v>Tul Bawah Tumpuan</v>
      </c>
      <c r="D880">
        <f>VLOOKUP(D865,'Detail Balok'!$C$10:$AU$140,22,FALSE)</f>
        <v>3</v>
      </c>
      <c r="E880" t="str">
        <v>D</v>
      </c>
      <c r="F880">
        <f>VLOOKUP(D865,'Detail Balok'!$C$10:$AU$140,24,FALSE)</f>
        <v>13</v>
      </c>
      <c r="I880" t="str">
        <v>(</v>
      </c>
      <c r="J880">
        <f>+J872</f>
        <v>0.6625</v>
      </c>
      <c r="K880" t="str">
        <v>+</v>
      </c>
      <c r="L880">
        <f>MAX(VLOOKUP(F880,N$6:P$15,3,FALSE)/1000,2/3*D870/1000)+F$16*F880/1000</f>
        <v>0.156</v>
      </c>
      <c r="M880" t="str">
        <v>=</v>
      </c>
      <c r="N880">
        <f>J880+L880</f>
        <v>0.8185</v>
      </c>
      <c r="O880" t="str">
        <v>+</v>
      </c>
      <c r="P880">
        <f>D880-D881</f>
        <v>0</v>
      </c>
      <c r="Q880" t="str">
        <v>x</v>
      </c>
      <c r="R880">
        <f>IF(P880&gt;0,$F$18*F880/1000,0)</f>
        <v>0</v>
      </c>
      <c r="S880" t="str">
        <v>)</v>
      </c>
      <c r="T880" t="str">
        <v>x</v>
      </c>
      <c r="U880">
        <f>0.006165*F880^2</f>
        <v>1.041885</v>
      </c>
      <c r="X880" t="str">
        <v>x</v>
      </c>
      <c r="Y880">
        <f>D871</f>
        <v>1</v>
      </c>
      <c r="Z880" t="str">
        <v>=</v>
      </c>
      <c r="AA880">
        <f>IF(AA883=0,(D880*N880+P880*R880)*U880*Y880,0)</f>
        <v>0</v>
      </c>
    </row>
    <row r="881">
      <c r="A881" t="str">
        <f>A865</f>
        <v>Lantai 1</v>
      </c>
      <c r="B881">
        <f>B865</f>
        <v>28</v>
      </c>
      <c r="C881" t="str">
        <v>Tul Bawah Lapangan</v>
      </c>
      <c r="D881">
        <f>VLOOKUP(D865,'Detail Balok'!$C$10:$AU$140,25,FALSE)</f>
        <v>3</v>
      </c>
      <c r="E881" t="str">
        <v>D</v>
      </c>
      <c r="F881">
        <f>VLOOKUP(D865,'Detail Balok'!$C$10:$AU$140,27,FALSE)</f>
        <v>13</v>
      </c>
      <c r="I881" t="str">
        <v>(</v>
      </c>
      <c r="J881">
        <f>+J873</f>
        <v>1.325</v>
      </c>
      <c r="K881" t="str">
        <v>+</v>
      </c>
      <c r="M881" t="str">
        <v>=</v>
      </c>
      <c r="N881">
        <f>J881+L881</f>
        <v>1.325</v>
      </c>
      <c r="O881" t="str">
        <v>+</v>
      </c>
      <c r="P881">
        <f>MAX(D881-D880,D881-D882)</f>
        <v>0</v>
      </c>
      <c r="Q881" t="str">
        <v>x</v>
      </c>
      <c r="R881">
        <f>IF(P881&gt;0,2*(1-2*$F$19-1/2)*D868/1000,0)</f>
        <v>0</v>
      </c>
      <c r="S881" t="str">
        <v>)</v>
      </c>
      <c r="T881" t="str">
        <v>x</v>
      </c>
      <c r="U881">
        <f>0.006165*F881^2</f>
        <v>1.041885</v>
      </c>
      <c r="X881" t="str">
        <v>x</v>
      </c>
      <c r="Y881">
        <f>D871</f>
        <v>1</v>
      </c>
      <c r="Z881" t="str">
        <v>=</v>
      </c>
      <c r="AA881">
        <f>IF(AA883=0,(D881*N881+P881*R881)*U881*Y881,0)</f>
        <v>0</v>
      </c>
    </row>
    <row r="882">
      <c r="A882" t="str">
        <f>A865</f>
        <v>Lantai 1</v>
      </c>
      <c r="B882">
        <f>B865</f>
        <v>28</v>
      </c>
      <c r="C882" t="str">
        <v>Tul Bawah Tumpuan</v>
      </c>
      <c r="D882">
        <f>VLOOKUP(D865,'Detail Balok'!$C$10:$AU$140,28,FALSE)</f>
        <v>3</v>
      </c>
      <c r="E882" t="str">
        <v>D</v>
      </c>
      <c r="F882">
        <f>VLOOKUP(D865,'Detail Balok'!$C$10:$AU$140,30,FALSE)</f>
        <v>13</v>
      </c>
      <c r="I882" t="str">
        <v>(</v>
      </c>
      <c r="J882">
        <f>+J874</f>
        <v>0.6625</v>
      </c>
      <c r="K882" t="str">
        <v>+</v>
      </c>
      <c r="L882">
        <f>MAX(VLOOKUP(F882,N$6:P$15,3,FALSE)/1000,2/3*D870/1000)+F$16*F882/1000</f>
        <v>0.156</v>
      </c>
      <c r="M882" t="str">
        <v>=</v>
      </c>
      <c r="N882">
        <f>J882+L882</f>
        <v>0.8185</v>
      </c>
      <c r="O882" t="str">
        <v>+</v>
      </c>
      <c r="P882">
        <f>D882-D881</f>
        <v>0</v>
      </c>
      <c r="Q882" t="str">
        <v>x</v>
      </c>
      <c r="R882">
        <f>IF(P882&gt;0,$F$18*F882/1000,0)</f>
        <v>0</v>
      </c>
      <c r="S882" t="str">
        <v>)</v>
      </c>
      <c r="T882" t="str">
        <v>x</v>
      </c>
      <c r="U882">
        <f>0.006165*F882^2</f>
        <v>1.041885</v>
      </c>
      <c r="X882" t="str">
        <v>x</v>
      </c>
      <c r="Y882">
        <f>D871</f>
        <v>1</v>
      </c>
      <c r="Z882" t="str">
        <v>=</v>
      </c>
      <c r="AA882">
        <f>IF(AA883=0,(D882*N882+P882*R882)*U882*Y882,0)</f>
        <v>0</v>
      </c>
    </row>
    <row r="883">
      <c r="A883" t="str">
        <f>A865</f>
        <v>Lantai 1</v>
      </c>
      <c r="B883">
        <f>B865</f>
        <v>28</v>
      </c>
      <c r="D883">
        <f>IF(AND(D880=D881,D881=D882,D880=D882),D880,0)</f>
        <v>3</v>
      </c>
      <c r="E883" t="str">
        <v>D</v>
      </c>
      <c r="F883">
        <f>IF(AND(F880=F881,F880=F882,F881=F882),F880,0)</f>
        <v>13</v>
      </c>
      <c r="L883" t="str">
        <v>Total panjang per balok</v>
      </c>
      <c r="M883" t="str">
        <v>=</v>
      </c>
      <c r="N883">
        <f>IF(AND(D880=D881,D880=D882,D881=D882,F880=F881,F880=F882,F881=F882),SUM(N880:N882),0)</f>
        <v>2.9619999999999997</v>
      </c>
      <c r="O883" t="str">
        <v>+</v>
      </c>
      <c r="P883">
        <f>IF(N883&gt;12,ROUNDDOWN(N883/12,0),0)</f>
        <v>0</v>
      </c>
      <c r="Q883" t="str">
        <v>x</v>
      </c>
      <c r="R883">
        <f>IF(P883&gt;0,MAX(VLOOKUP(F883,$D$6:$G$15,3,FALSE),600),0)/1000</f>
        <v>0</v>
      </c>
      <c r="T883" t="str">
        <v>x</v>
      </c>
      <c r="U883">
        <f>U882</f>
        <v>1.041885</v>
      </c>
      <c r="V883" t="str">
        <v>x</v>
      </c>
      <c r="W883">
        <f>D883</f>
        <v>3</v>
      </c>
      <c r="X883" t="str">
        <v>x</v>
      </c>
      <c r="Y883">
        <f>Y882</f>
        <v>1</v>
      </c>
      <c r="Z883" t="str">
        <v>=</v>
      </c>
      <c r="AA883">
        <f>(N883+P883*R883/1000)*U883*W883*Y883</f>
        <v>9.25819011</v>
      </c>
    </row>
    <row r="885">
      <c r="A885" t="str">
        <f>A865</f>
        <v>Lantai 1</v>
      </c>
      <c r="B885">
        <f>B865</f>
        <v>28</v>
      </c>
      <c r="C885" t="str">
        <v>Sengkang Tumpuan</v>
      </c>
      <c r="D885">
        <f>VLOOKUP(D865,'Detail Balok'!$C$10:$AU$140,31,FALSE)</f>
        <v>0</v>
      </c>
      <c r="E885" t="str">
        <v>D</v>
      </c>
      <c r="F885">
        <f>VLOOKUP(D865,'Detail Balok'!$C$10:$AU$140,33,FALSE)</f>
        <v>8</v>
      </c>
      <c r="G885" t="str">
        <v>-</v>
      </c>
      <c r="H885">
        <f>VLOOKUP(D865,'Detail Balok'!$C$10:$AU$140,35,FALSE)</f>
        <v>150</v>
      </c>
      <c r="J885">
        <f>(IF(D885=0,(2*(D866+G866))-(F$5*8),IF(D885=3,(2*(D866+G866))-(F$5*8)+(G866-2*F$5),IF(D885=4,(2*(D866+G866))-(F$5*8)+2*(G866-2*F$5)))))/1000</f>
        <v>0.88</v>
      </c>
      <c r="K885" t="str">
        <v>+</v>
      </c>
      <c r="L885">
        <f>IF(D885=0,2*MAX(6*F885,75),(D885-1)*2*MAX(6*F885,75))/1000</f>
        <v>0.15</v>
      </c>
      <c r="M885" t="str">
        <v>=</v>
      </c>
      <c r="N885">
        <f>J885+L885</f>
        <v>1.03</v>
      </c>
      <c r="T885" t="str">
        <v>x</v>
      </c>
      <c r="U885">
        <f>0.006165*F885^2</f>
        <v>0.39456</v>
      </c>
      <c r="V885" t="str">
        <v>x</v>
      </c>
      <c r="W885">
        <f>IF(D868&gt;4*G866,ROUND(MAX(D868/4,2*G866)/H885,0)+1,ROUND(D868/H885,0)+1)</f>
        <v>6</v>
      </c>
      <c r="X885" t="str">
        <v>x</v>
      </c>
      <c r="Y885">
        <f>D871</f>
        <v>1</v>
      </c>
      <c r="Z885" t="str">
        <v>=</v>
      </c>
      <c r="AA885">
        <f>N885*U885*W885*Y885</f>
        <v>2.4383808000000005</v>
      </c>
    </row>
    <row r="886">
      <c r="A886" t="str">
        <f>A865</f>
        <v>Lantai 1</v>
      </c>
      <c r="B886">
        <f>B865</f>
        <v>28</v>
      </c>
      <c r="C886" t="str">
        <v>Sengkang Lapangan</v>
      </c>
      <c r="D886">
        <f>VLOOKUP(D865,'Detail Balok'!$C$10:$AU$140,36,FALSE)</f>
        <v>0</v>
      </c>
      <c r="E886" t="str">
        <v>D</v>
      </c>
      <c r="F886">
        <f>VLOOKUP(D865,'Detail Balok'!$C$10:$AU$140,38,FALSE)</f>
        <v>8</v>
      </c>
      <c r="G886" t="str">
        <v>-</v>
      </c>
      <c r="H886">
        <f>VLOOKUP(D865,'Detail Balok'!$C$10:$AU$140,40,FALSE)</f>
        <v>200</v>
      </c>
      <c r="J886">
        <f>(IF(D886=0,(2*(D866+G866))-(F$5*8),IF(D886=3,(2*(D866+G866))-(F$5*8)+(G866-2*F$5),IF(D886=4,(2*(D866+G866))-(F$5*8)+2*(G866-2*F$5)))))/1000</f>
        <v>0.88</v>
      </c>
      <c r="K886" t="str">
        <v>+</v>
      </c>
      <c r="L886">
        <f>IF(D886=0,2*MAX(6*F886,75),(D886-1)*2*MAX(6*F886,75))/1000</f>
        <v>0.15</v>
      </c>
      <c r="M886" t="str">
        <v>=</v>
      </c>
      <c r="N886">
        <f>J886+L886</f>
        <v>1.03</v>
      </c>
      <c r="T886" t="str">
        <v>x</v>
      </c>
      <c r="U886">
        <f>0.006165*F886^2</f>
        <v>0.39456</v>
      </c>
      <c r="V886" t="str">
        <v>x</v>
      </c>
      <c r="W886">
        <f>IF(D868-MAX(D868/4,2*G866)*2&gt;0,ROUND((D868-MAX(D868/4,2*G866)*2)/H886,0),0)</f>
        <v>5</v>
      </c>
      <c r="X886" t="str">
        <v>x</v>
      </c>
      <c r="Y886">
        <f>D871</f>
        <v>1</v>
      </c>
      <c r="Z886" t="str">
        <v>=</v>
      </c>
      <c r="AA886">
        <f>N886*U886*W886*Y886</f>
        <v>2.0319840000000005</v>
      </c>
    </row>
    <row r="887">
      <c r="A887" t="str">
        <f>A865</f>
        <v>Lantai 1</v>
      </c>
      <c r="B887">
        <f>B865</f>
        <v>28</v>
      </c>
      <c r="C887" t="str">
        <v>Sengkang Tumpuan</v>
      </c>
      <c r="D887">
        <f>VLOOKUP(D865,'Detail Balok'!$C$10:$AU$140,41,FALSE)</f>
        <v>0</v>
      </c>
      <c r="E887" t="str">
        <v>D</v>
      </c>
      <c r="F887">
        <f>VLOOKUP(D865,'Detail Balok'!$C$10:$AU$140,43,FALSE)</f>
        <v>8</v>
      </c>
      <c r="G887" t="str">
        <v>-</v>
      </c>
      <c r="H887">
        <f>VLOOKUP(D865,'Detail Balok'!$C$10:$AU$140,45,FALSE)</f>
        <v>150</v>
      </c>
      <c r="J887">
        <f>(IF(D887=0,(2*(D866+G866))-(F$5*8),IF(D887=3,(2*(D866+G866))-(F$5*8)+(G866-2*F$5),IF(D887=4,(2*(D866+G866))-(F$5*8)+2*(G866-2*F$5)))))/1000</f>
        <v>0.88</v>
      </c>
      <c r="K887" t="str">
        <v>+</v>
      </c>
      <c r="L887">
        <f>IF(D887=0,2*MAX(6*F887,75),(D887-1)*2*MAX(6*F887,75))/1000</f>
        <v>0.15</v>
      </c>
      <c r="M887" t="str">
        <v>=</v>
      </c>
      <c r="N887">
        <f>J887+L887</f>
        <v>1.03</v>
      </c>
      <c r="T887" t="str">
        <v>x</v>
      </c>
      <c r="U887">
        <f>0.006165*F887^2</f>
        <v>0.39456</v>
      </c>
      <c r="V887" t="str">
        <v>x</v>
      </c>
      <c r="W887">
        <f>IF(D868&gt;4*G866,ROUND(MAX(D868/4,2*G866)/H887,0)+1,0)</f>
        <v>6</v>
      </c>
      <c r="X887" t="str">
        <v>x</v>
      </c>
      <c r="Y887">
        <f>D871</f>
        <v>1</v>
      </c>
      <c r="Z887" t="str">
        <v>=</v>
      </c>
      <c r="AA887">
        <f>N887*U887*W887*Y887</f>
        <v>2.4383808000000005</v>
      </c>
    </row>
    <row r="889">
      <c r="A889" t="str">
        <f>A865</f>
        <v>Lantai 1</v>
      </c>
      <c r="B889">
        <f>B865</f>
        <v>28</v>
      </c>
      <c r="C889" t="str">
        <v>Kait Horizontal Tump.</v>
      </c>
      <c r="D889">
        <f>VLOOKUP(D865,'Detail Balok'!$C$10:$BJ$140,46,FALSE)</f>
        <v>0</v>
      </c>
      <c r="E889" t="str">
        <v>D</v>
      </c>
      <c r="F889">
        <f>VLOOKUP(D865,'Detail Balok'!$C$10:$BJ$140,48,FALSE)</f>
        <v>0</v>
      </c>
      <c r="G889" t="str">
        <v>-</v>
      </c>
      <c r="H889">
        <f>VLOOKUP(D865,'Detail Balok'!$C$10:$BJ$140,50,FALSE)</f>
        <v>100</v>
      </c>
      <c r="J889">
        <f>(D866-2*F$5)/1000</f>
        <v>0.12</v>
      </c>
      <c r="K889" t="str">
        <v>+</v>
      </c>
      <c r="L889">
        <f>IF(D889=0,2*MAX(6*F889,75),(D889-1)*2*MAX(6*F889,75))/1000</f>
        <v>0.15</v>
      </c>
      <c r="M889" t="str">
        <v>=</v>
      </c>
      <c r="N889">
        <f>J889+L889</f>
        <v>0.27</v>
      </c>
      <c r="T889" t="str">
        <v>x</v>
      </c>
      <c r="U889">
        <f>0.006165*F889^2</f>
        <v>0</v>
      </c>
      <c r="V889" t="str">
        <v>x</v>
      </c>
      <c r="W889">
        <f>W885</f>
        <v>6</v>
      </c>
      <c r="X889" t="str">
        <v>x</v>
      </c>
      <c r="Y889">
        <f>D875</f>
        <v>3</v>
      </c>
      <c r="Z889" t="str">
        <v>=</v>
      </c>
      <c r="AA889">
        <f>N889*U889*W889*Y889</f>
        <v>0</v>
      </c>
    </row>
    <row r="890">
      <c r="A890" t="str">
        <f>A865</f>
        <v>Lantai 1</v>
      </c>
      <c r="B890">
        <f>B865</f>
        <v>28</v>
      </c>
      <c r="C890" t="str">
        <v>Kait Horizontal Lap.</v>
      </c>
      <c r="D890">
        <f>VLOOKUP(D865,'Detail Balok'!$C$10:$BJ$140,51,FALSE)</f>
        <v>0</v>
      </c>
      <c r="E890" t="str">
        <v>D</v>
      </c>
      <c r="F890">
        <f>VLOOKUP(D865,'Detail Balok'!$C$10:$BJ$140,53,FALSE)</f>
        <v>0</v>
      </c>
      <c r="G890" t="str">
        <v>-</v>
      </c>
      <c r="H890">
        <f>VLOOKUP(D865,'Detail Balok'!$C$10:$BJ$140,55,FALSE)</f>
        <v>100</v>
      </c>
      <c r="J890">
        <f>(D866-2*F$5)/1000</f>
        <v>0.12</v>
      </c>
      <c r="K890" t="str">
        <v>+</v>
      </c>
      <c r="L890">
        <f>IF(D890=0,2*MAX(6*F890,75),(D890-1)*2*MAX(6*F890,75))/1000</f>
        <v>0.15</v>
      </c>
      <c r="M890" t="str">
        <v>=</v>
      </c>
      <c r="N890">
        <f>J890+L890</f>
        <v>0.27</v>
      </c>
      <c r="T890" t="str">
        <v>x</v>
      </c>
      <c r="U890">
        <f>0.006165*F890^2</f>
        <v>0</v>
      </c>
      <c r="V890" t="str">
        <v>x</v>
      </c>
      <c r="W890">
        <f>W886</f>
        <v>5</v>
      </c>
      <c r="X890" t="str">
        <v>x</v>
      </c>
      <c r="Y890">
        <f>D875</f>
        <v>3</v>
      </c>
      <c r="Z890" t="str">
        <v>=</v>
      </c>
      <c r="AA890">
        <f>N890*U890*W890*Y890</f>
        <v>0</v>
      </c>
    </row>
    <row r="891">
      <c r="A891" t="str">
        <f>A865</f>
        <v>Lantai 1</v>
      </c>
      <c r="B891">
        <f>B865</f>
        <v>28</v>
      </c>
      <c r="C891" t="str">
        <v>Kait Horizontal Tump.</v>
      </c>
      <c r="D891">
        <f>VLOOKUP(D865,'Detail Balok'!$C$10:$BJ$140,56,FALSE)</f>
        <v>0</v>
      </c>
      <c r="E891" t="str">
        <v>D</v>
      </c>
      <c r="F891">
        <f>VLOOKUP(D865,'Detail Balok'!$C$10:$BJ$140,58,FALSE)</f>
        <v>0</v>
      </c>
      <c r="G891" t="str">
        <v>-</v>
      </c>
      <c r="H891">
        <f>VLOOKUP(D865,'Detail Balok'!$C$10:$BJ$140,60,FALSE)</f>
        <v>100</v>
      </c>
      <c r="J891">
        <f>(D866-2*F$5)/1000</f>
        <v>0.12</v>
      </c>
      <c r="K891" t="str">
        <v>+</v>
      </c>
      <c r="L891">
        <f>IF(D891=0,2*MAX(6*F891,75),(D891-1)*2*MAX(6*F891,75))/1000</f>
        <v>0.15</v>
      </c>
      <c r="M891" t="str">
        <v>=</v>
      </c>
      <c r="N891">
        <f>J891+L891</f>
        <v>0.27</v>
      </c>
      <c r="T891" t="str">
        <v>x</v>
      </c>
      <c r="U891">
        <f>0.006165*F891^2</f>
        <v>0</v>
      </c>
      <c r="V891" t="str">
        <v>x</v>
      </c>
      <c r="W891">
        <f>W887</f>
        <v>6</v>
      </c>
      <c r="X891" t="str">
        <v>x</v>
      </c>
      <c r="Y891">
        <f>D875</f>
        <v>3</v>
      </c>
      <c r="Z891" t="str">
        <v>=</v>
      </c>
      <c r="AA891">
        <f>N891*U891*W891*Y891</f>
        <v>0</v>
      </c>
    </row>
    <row r="895">
      <c r="A895" t="str">
        <f>A865</f>
        <v>Lantai 1</v>
      </c>
      <c r="B895">
        <f>B865+1</f>
        <v>29</v>
      </c>
      <c r="C895" t="str">
        <f>CONCATENATE(A895," no. ",B895)</f>
        <v>Lantai 1 no. 29</v>
      </c>
      <c r="D895" t="str">
        <f>VLOOKUP(C895,'Data Panjang Balok'!$C$9:$N$254,2,FALSE)</f>
        <v>S24-1</v>
      </c>
    </row>
    <row r="896">
      <c r="C896" t="str">
        <v>Dimensi</v>
      </c>
      <c r="D896">
        <f>VLOOKUP(D895,'Detail Balok'!$C$10:$AU$140,2,FALSE)</f>
        <v>200</v>
      </c>
      <c r="F896" t="str">
        <v>x</v>
      </c>
      <c r="G896">
        <f>VLOOKUP(D895,'Detail Balok'!$C$10:$AU$140,3,FALSE)</f>
        <v>400</v>
      </c>
    </row>
    <row r="897">
      <c r="C897" t="str">
        <v>Panjang as ke as</v>
      </c>
      <c r="D897">
        <f>VLOOKUP(C895,'Data Panjang Balok'!$C$9:$N$254,4,FALSE)</f>
        <v>2890</v>
      </c>
    </row>
    <row r="898">
      <c r="C898" t="str">
        <v>Panjang netto</v>
      </c>
      <c r="D898">
        <f>VLOOKUP(C895,'Data Panjang Balok'!$C$9:$N$254,7,FALSE)</f>
        <v>2890</v>
      </c>
    </row>
    <row r="899">
      <c r="C899" t="str">
        <v>Kolom / balok kiri</v>
      </c>
      <c r="D899">
        <f>VLOOKUP(C895,'Data Panjang Balok'!$C$9:$N$254,9,FALSE)</f>
        <v>0</v>
      </c>
    </row>
    <row r="900">
      <c r="C900" t="str">
        <v>Kolom / balok kanan</v>
      </c>
      <c r="D900">
        <f>VLOOKUP(C895,'Data Panjang Balok'!$C$9:$N$254,10,FALSE)</f>
        <v>0</v>
      </c>
    </row>
    <row r="901">
      <c r="C901" t="str">
        <v>Jumlah</v>
      </c>
      <c r="D901">
        <f>VLOOKUP(C895,'Data Panjang Balok'!$C$9:$N$254,3,FALSE)</f>
        <v>1</v>
      </c>
    </row>
    <row r="902">
      <c r="A902" t="str">
        <f>A895</f>
        <v>Lantai 1</v>
      </c>
      <c r="B902">
        <f>B895</f>
        <v>29</v>
      </c>
      <c r="C902" t="str">
        <v>Tul Atas Tumpuan</v>
      </c>
      <c r="D902">
        <f>VLOOKUP(D895,'Detail Balok'!$C$10:$AU$140,4,FALSE)</f>
        <v>3</v>
      </c>
      <c r="E902" t="str">
        <v>D</v>
      </c>
      <c r="F902">
        <f>VLOOKUP(D895,'Detail Balok'!$C$10:$AU$140,6,FALSE)</f>
        <v>13</v>
      </c>
      <c r="I902" t="str">
        <v>(</v>
      </c>
      <c r="J902">
        <f>+D897/4/1000</f>
        <v>0.7225</v>
      </c>
      <c r="K902" t="str">
        <v>+</v>
      </c>
      <c r="L902">
        <f>MAX(VLOOKUP(F902,N$6:P$15,3,FALSE)/1000,2/3*D899/1000)+F$16*F902/1000</f>
        <v>0.156</v>
      </c>
      <c r="M902" t="str">
        <v>=</v>
      </c>
      <c r="N902">
        <f>J902+L902</f>
        <v>0.8785000000000001</v>
      </c>
      <c r="O902" t="str">
        <v>+</v>
      </c>
      <c r="P902">
        <f>D902-D903</f>
        <v>0</v>
      </c>
      <c r="Q902" t="str">
        <v>x</v>
      </c>
      <c r="R902">
        <f>IF(P902&gt;0,$F$18*F902/1000,0)</f>
        <v>0</v>
      </c>
      <c r="S902" t="str">
        <v>)</v>
      </c>
      <c r="T902" t="str">
        <v>x</v>
      </c>
      <c r="U902">
        <f>0.006165*F902^2</f>
        <v>1.041885</v>
      </c>
      <c r="X902" t="str">
        <v>x</v>
      </c>
      <c r="Y902">
        <f>D901</f>
        <v>1</v>
      </c>
      <c r="Z902" t="str">
        <v>=</v>
      </c>
      <c r="AA902">
        <f>IF(AA905=0,(D902*N902+P902*R902)*U902*Y902,0)</f>
        <v>0</v>
      </c>
    </row>
    <row r="903">
      <c r="A903" t="str">
        <f>A895</f>
        <v>Lantai 1</v>
      </c>
      <c r="B903">
        <f>B895</f>
        <v>29</v>
      </c>
      <c r="C903" t="str">
        <v>Tul Atas Lapangan</v>
      </c>
      <c r="D903">
        <f>VLOOKUP(D895,'Detail Balok'!$C$10:$AU$140,7,FALSE)</f>
        <v>3</v>
      </c>
      <c r="E903" t="str">
        <v>D</v>
      </c>
      <c r="F903">
        <f>VLOOKUP(D895,'Detail Balok'!$C$10:$AU$140,9,FALSE)</f>
        <v>13</v>
      </c>
      <c r="I903" t="str">
        <v>(</v>
      </c>
      <c r="J903">
        <f>+D897/2/1000</f>
        <v>1.445</v>
      </c>
      <c r="K903" t="str">
        <v>+</v>
      </c>
      <c r="M903" t="str">
        <v>=</v>
      </c>
      <c r="N903">
        <f>J903+L903</f>
        <v>1.445</v>
      </c>
      <c r="O903" t="str">
        <v>+</v>
      </c>
      <c r="P903">
        <f>MAX(D903-D902,D903-D904)</f>
        <v>0</v>
      </c>
      <c r="Q903" t="str">
        <v>x</v>
      </c>
      <c r="R903">
        <f>IF(P903&gt;0,2*(1-2*$F$19-1/2)*D898/1000,0)</f>
        <v>0</v>
      </c>
      <c r="S903" t="str">
        <v>)</v>
      </c>
      <c r="T903" t="str">
        <v>x</v>
      </c>
      <c r="U903">
        <f>0.006165*F903^2</f>
        <v>1.041885</v>
      </c>
      <c r="X903" t="str">
        <v>x</v>
      </c>
      <c r="Y903">
        <f>D901</f>
        <v>1</v>
      </c>
      <c r="Z903" t="str">
        <v>=</v>
      </c>
      <c r="AA903">
        <f>IF(AA905=0,(D903*N903+P903*R903)*U903*Y903,0)</f>
        <v>0</v>
      </c>
    </row>
    <row r="904">
      <c r="A904" t="str">
        <f>A895</f>
        <v>Lantai 1</v>
      </c>
      <c r="B904">
        <f>B895</f>
        <v>29</v>
      </c>
      <c r="C904" t="str">
        <v>Tul Atas Tumpuan</v>
      </c>
      <c r="D904">
        <f>VLOOKUP(D895,'Detail Balok'!$C$10:$AU$140,10,FALSE)</f>
        <v>3</v>
      </c>
      <c r="E904" t="str">
        <v>D</v>
      </c>
      <c r="F904">
        <f>VLOOKUP(D895,'Detail Balok'!$C$10:$AU$140,12,FALSE)</f>
        <v>13</v>
      </c>
      <c r="I904" t="str">
        <v>(</v>
      </c>
      <c r="J904">
        <f>+D897/4/1000</f>
        <v>0.7225</v>
      </c>
      <c r="K904" t="str">
        <v>+</v>
      </c>
      <c r="L904">
        <f>MAX(VLOOKUP(F904,N$6:P$15,3,FALSE)/1000,2/3*D899/1000)+F$16*F904/1000</f>
        <v>0.156</v>
      </c>
      <c r="M904" t="str">
        <v>=</v>
      </c>
      <c r="N904">
        <f>J904+L904</f>
        <v>0.8785000000000001</v>
      </c>
      <c r="O904" t="str">
        <v>+</v>
      </c>
      <c r="P904">
        <f>D904-D903</f>
        <v>0</v>
      </c>
      <c r="Q904" t="str">
        <v>x</v>
      </c>
      <c r="R904">
        <f>IF(P904&gt;0,$F$18*F904/1000,0)</f>
        <v>0</v>
      </c>
      <c r="S904" t="str">
        <v>)</v>
      </c>
      <c r="T904" t="str">
        <v>x</v>
      </c>
      <c r="U904">
        <f>0.006165*F904^2</f>
        <v>1.041885</v>
      </c>
      <c r="X904" t="str">
        <v>x</v>
      </c>
      <c r="Y904">
        <f>D901</f>
        <v>1</v>
      </c>
      <c r="Z904" t="str">
        <v>=</v>
      </c>
      <c r="AA904">
        <f>IF(AA905=0,(D904*N904+P904*R904)*U904*Y904,0)</f>
        <v>0</v>
      </c>
    </row>
    <row r="905">
      <c r="A905" t="str">
        <f>A895</f>
        <v>Lantai 1</v>
      </c>
      <c r="B905">
        <f>B895</f>
        <v>29</v>
      </c>
      <c r="D905">
        <f>IF(AND(D902=D903,D903=D904,D902=D904),D902,0)</f>
        <v>3</v>
      </c>
      <c r="E905" t="str">
        <v>D</v>
      </c>
      <c r="F905">
        <f>IF(AND(F902=F903,F902=F904,F903=F904),F902,0)</f>
        <v>13</v>
      </c>
      <c r="L905" t="str">
        <v>Total panjang per balok</v>
      </c>
      <c r="M905" t="str">
        <v>=</v>
      </c>
      <c r="N905">
        <f>IF(AND(D902=D903,D902=D904,D903=D904,F902=F903,F902=F904,F903=F904),SUM(N902:N904),0)</f>
        <v>3.202</v>
      </c>
      <c r="O905" t="str">
        <v>+</v>
      </c>
      <c r="P905">
        <f>IF(N905&gt;12,ROUNDDOWN(N905/12,0),0)</f>
        <v>0</v>
      </c>
      <c r="Q905" t="str">
        <v>x</v>
      </c>
      <c r="R905">
        <f>IF(P905&gt;0,MAX(VLOOKUP(F905,$D$6:$G$15,3,FALSE),600),0)/1000</f>
        <v>0</v>
      </c>
      <c r="T905" t="str">
        <v>x</v>
      </c>
      <c r="U905">
        <f>U904</f>
        <v>1.041885</v>
      </c>
      <c r="V905" t="str">
        <v>x</v>
      </c>
      <c r="W905">
        <f>D905</f>
        <v>3</v>
      </c>
      <c r="X905" t="str">
        <v>x</v>
      </c>
      <c r="Y905">
        <f>Y904</f>
        <v>1</v>
      </c>
      <c r="Z905" t="str">
        <v>=</v>
      </c>
      <c r="AA905">
        <f>(N905+P905*R905/1000)*U905*W905*Y905</f>
        <v>10.00834731</v>
      </c>
    </row>
    <row r="907">
      <c r="A907" t="str">
        <f>A895</f>
        <v>Lantai 1</v>
      </c>
      <c r="B907">
        <f>B895</f>
        <v>29</v>
      </c>
      <c r="C907" t="str">
        <v>Tul Peminggang</v>
      </c>
      <c r="D907">
        <f>VLOOKUP(D895,'Detail Balok'!$C$10:$AU$140,13,FALSE)</f>
        <v>0</v>
      </c>
      <c r="E907" t="str">
        <v>D</v>
      </c>
      <c r="F907">
        <f>VLOOKUP(D895,'Detail Balok'!$C$10:$AU$140,15,FALSE)</f>
        <v>8</v>
      </c>
      <c r="J907">
        <f>+D897/1000</f>
        <v>2.89</v>
      </c>
      <c r="K907" t="str">
        <v>+</v>
      </c>
      <c r="L907">
        <f>2*$F$16*F907/1000</f>
        <v>0.192</v>
      </c>
      <c r="M907" t="str">
        <v>=</v>
      </c>
      <c r="N907">
        <f>J907+L907</f>
        <v>3.0820000000000003</v>
      </c>
      <c r="O907" t="str">
        <v>+</v>
      </c>
      <c r="P907">
        <f>IF(N907&gt;12,ROUNDDOWN(N907/12,0),0)</f>
        <v>0</v>
      </c>
      <c r="Q907" t="str">
        <v>x</v>
      </c>
      <c r="R907">
        <f>IF(P907&gt;0,MAX(VLOOKUP(F907,$D$6:$G$15,3,FALSE),600),0)/1000</f>
        <v>0</v>
      </c>
      <c r="T907" t="str">
        <v>x</v>
      </c>
      <c r="U907">
        <f>0.006165*F907^2</f>
        <v>0.39456</v>
      </c>
      <c r="V907" t="str">
        <v>x</v>
      </c>
      <c r="W907">
        <f>+D907</f>
        <v>0</v>
      </c>
      <c r="X907" t="str">
        <v>x</v>
      </c>
      <c r="Y907">
        <f>D901</f>
        <v>1</v>
      </c>
      <c r="Z907" t="str">
        <v>=</v>
      </c>
      <c r="AA907">
        <f>(N907+P907*R907/1000)*U907*W907*Y907</f>
        <v>0</v>
      </c>
    </row>
    <row r="910">
      <c r="A910" t="str">
        <f>A895</f>
        <v>Lantai 1</v>
      </c>
      <c r="B910">
        <f>B895</f>
        <v>29</v>
      </c>
      <c r="C910" t="str">
        <v>Tul Bawah Tumpuan</v>
      </c>
      <c r="D910">
        <f>VLOOKUP(D895,'Detail Balok'!$C$10:$AU$140,22,FALSE)</f>
        <v>3</v>
      </c>
      <c r="E910" t="str">
        <v>D</v>
      </c>
      <c r="F910">
        <f>VLOOKUP(D895,'Detail Balok'!$C$10:$AU$140,24,FALSE)</f>
        <v>13</v>
      </c>
      <c r="I910" t="str">
        <v>(</v>
      </c>
      <c r="J910">
        <f>+J902</f>
        <v>0.7225</v>
      </c>
      <c r="K910" t="str">
        <v>+</v>
      </c>
      <c r="L910">
        <f>MAX(VLOOKUP(F910,N$6:P$15,3,FALSE)/1000,2/3*D900/1000)+F$16*F910/1000</f>
        <v>0.156</v>
      </c>
      <c r="M910" t="str">
        <v>=</v>
      </c>
      <c r="N910">
        <f>J910+L910</f>
        <v>0.8785000000000001</v>
      </c>
      <c r="O910" t="str">
        <v>+</v>
      </c>
      <c r="P910">
        <f>D910-D911</f>
        <v>0</v>
      </c>
      <c r="Q910" t="str">
        <v>x</v>
      </c>
      <c r="R910">
        <f>IF(P910&gt;0,$F$18*F910/1000,0)</f>
        <v>0</v>
      </c>
      <c r="S910" t="str">
        <v>)</v>
      </c>
      <c r="T910" t="str">
        <v>x</v>
      </c>
      <c r="U910">
        <f>0.006165*F910^2</f>
        <v>1.041885</v>
      </c>
      <c r="X910" t="str">
        <v>x</v>
      </c>
      <c r="Y910">
        <f>D901</f>
        <v>1</v>
      </c>
      <c r="Z910" t="str">
        <v>=</v>
      </c>
      <c r="AA910">
        <f>IF(AA913=0,(D910*N910+P910*R910)*U910*Y910,0)</f>
        <v>0</v>
      </c>
    </row>
    <row r="911">
      <c r="A911" t="str">
        <f>A895</f>
        <v>Lantai 1</v>
      </c>
      <c r="B911">
        <f>B895</f>
        <v>29</v>
      </c>
      <c r="C911" t="str">
        <v>Tul Bawah Lapangan</v>
      </c>
      <c r="D911">
        <f>VLOOKUP(D895,'Detail Balok'!$C$10:$AU$140,25,FALSE)</f>
        <v>3</v>
      </c>
      <c r="E911" t="str">
        <v>D</v>
      </c>
      <c r="F911">
        <f>VLOOKUP(D895,'Detail Balok'!$C$10:$AU$140,27,FALSE)</f>
        <v>13</v>
      </c>
      <c r="I911" t="str">
        <v>(</v>
      </c>
      <c r="J911">
        <f>+J903</f>
        <v>1.445</v>
      </c>
      <c r="K911" t="str">
        <v>+</v>
      </c>
      <c r="M911" t="str">
        <v>=</v>
      </c>
      <c r="N911">
        <f>J911+L911</f>
        <v>1.445</v>
      </c>
      <c r="O911" t="str">
        <v>+</v>
      </c>
      <c r="P911">
        <f>MAX(D911-D910,D911-D912)</f>
        <v>0</v>
      </c>
      <c r="Q911" t="str">
        <v>x</v>
      </c>
      <c r="R911">
        <f>IF(P911&gt;0,2*(1-2*$F$19-1/2)*D898/1000,0)</f>
        <v>0</v>
      </c>
      <c r="S911" t="str">
        <v>)</v>
      </c>
      <c r="T911" t="str">
        <v>x</v>
      </c>
      <c r="U911">
        <f>0.006165*F911^2</f>
        <v>1.041885</v>
      </c>
      <c r="X911" t="str">
        <v>x</v>
      </c>
      <c r="Y911">
        <f>D901</f>
        <v>1</v>
      </c>
      <c r="Z911" t="str">
        <v>=</v>
      </c>
      <c r="AA911">
        <f>IF(AA913=0,(D911*N911+P911*R911)*U911*Y911,0)</f>
        <v>0</v>
      </c>
    </row>
    <row r="912">
      <c r="A912" t="str">
        <f>A895</f>
        <v>Lantai 1</v>
      </c>
      <c r="B912">
        <f>B895</f>
        <v>29</v>
      </c>
      <c r="C912" t="str">
        <v>Tul Bawah Tumpuan</v>
      </c>
      <c r="D912">
        <f>VLOOKUP(D895,'Detail Balok'!$C$10:$AU$140,28,FALSE)</f>
        <v>3</v>
      </c>
      <c r="E912" t="str">
        <v>D</v>
      </c>
      <c r="F912">
        <f>VLOOKUP(D895,'Detail Balok'!$C$10:$AU$140,30,FALSE)</f>
        <v>13</v>
      </c>
      <c r="I912" t="str">
        <v>(</v>
      </c>
      <c r="J912">
        <f>+J904</f>
        <v>0.7225</v>
      </c>
      <c r="K912" t="str">
        <v>+</v>
      </c>
      <c r="L912">
        <f>MAX(VLOOKUP(F912,N$6:P$15,3,FALSE)/1000,2/3*D900/1000)+F$16*F912/1000</f>
        <v>0.156</v>
      </c>
      <c r="M912" t="str">
        <v>=</v>
      </c>
      <c r="N912">
        <f>J912+L912</f>
        <v>0.8785000000000001</v>
      </c>
      <c r="O912" t="str">
        <v>+</v>
      </c>
      <c r="P912">
        <f>D912-D911</f>
        <v>0</v>
      </c>
      <c r="Q912" t="str">
        <v>x</v>
      </c>
      <c r="R912">
        <f>IF(P912&gt;0,$F$18*F912/1000,0)</f>
        <v>0</v>
      </c>
      <c r="S912" t="str">
        <v>)</v>
      </c>
      <c r="T912" t="str">
        <v>x</v>
      </c>
      <c r="U912">
        <f>0.006165*F912^2</f>
        <v>1.041885</v>
      </c>
      <c r="X912" t="str">
        <v>x</v>
      </c>
      <c r="Y912">
        <f>D901</f>
        <v>1</v>
      </c>
      <c r="Z912" t="str">
        <v>=</v>
      </c>
      <c r="AA912">
        <f>IF(AA913=0,(D912*N912+P912*R912)*U912*Y912,0)</f>
        <v>0</v>
      </c>
    </row>
    <row r="913">
      <c r="A913" t="str">
        <f>A895</f>
        <v>Lantai 1</v>
      </c>
      <c r="B913">
        <f>B895</f>
        <v>29</v>
      </c>
      <c r="D913">
        <f>IF(AND(D910=D911,D911=D912,D910=D912),D910,0)</f>
        <v>3</v>
      </c>
      <c r="E913" t="str">
        <v>D</v>
      </c>
      <c r="F913">
        <f>IF(AND(F910=F911,F910=F912,F911=F912),F910,0)</f>
        <v>13</v>
      </c>
      <c r="L913" t="str">
        <v>Total panjang per balok</v>
      </c>
      <c r="M913" t="str">
        <v>=</v>
      </c>
      <c r="N913">
        <f>IF(AND(D910=D911,D910=D912,D911=D912,F910=F911,F910=F912,F911=F912),SUM(N910:N912),0)</f>
        <v>3.202</v>
      </c>
      <c r="O913" t="str">
        <v>+</v>
      </c>
      <c r="P913">
        <f>IF(N913&gt;12,ROUNDDOWN(N913/12,0),0)</f>
        <v>0</v>
      </c>
      <c r="Q913" t="str">
        <v>x</v>
      </c>
      <c r="R913">
        <f>IF(P913&gt;0,MAX(VLOOKUP(F913,$D$6:$G$15,3,FALSE),600),0)/1000</f>
        <v>0</v>
      </c>
      <c r="T913" t="str">
        <v>x</v>
      </c>
      <c r="U913">
        <f>U912</f>
        <v>1.041885</v>
      </c>
      <c r="V913" t="str">
        <v>x</v>
      </c>
      <c r="W913">
        <f>D913</f>
        <v>3</v>
      </c>
      <c r="X913" t="str">
        <v>x</v>
      </c>
      <c r="Y913">
        <f>Y912</f>
        <v>1</v>
      </c>
      <c r="Z913" t="str">
        <v>=</v>
      </c>
      <c r="AA913">
        <f>(N913+P913*R913/1000)*U913*W913*Y913</f>
        <v>10.00834731</v>
      </c>
    </row>
    <row r="915">
      <c r="A915" t="str">
        <f>A895</f>
        <v>Lantai 1</v>
      </c>
      <c r="B915">
        <f>B895</f>
        <v>29</v>
      </c>
      <c r="C915" t="str">
        <v>Sengkang Tumpuan</v>
      </c>
      <c r="D915">
        <f>VLOOKUP(D895,'Detail Balok'!$C$10:$AU$140,31,FALSE)</f>
        <v>0</v>
      </c>
      <c r="E915" t="str">
        <v>D</v>
      </c>
      <c r="F915">
        <f>VLOOKUP(D895,'Detail Balok'!$C$10:$AU$140,33,FALSE)</f>
        <v>8</v>
      </c>
      <c r="G915" t="str">
        <v>-</v>
      </c>
      <c r="H915">
        <f>VLOOKUP(D895,'Detail Balok'!$C$10:$AU$140,35,FALSE)</f>
        <v>150</v>
      </c>
      <c r="J915">
        <f>(IF(D915=0,(2*(D896+G896))-(F$5*8),IF(D915=3,(2*(D896+G896))-(F$5*8)+(G896-2*F$5),IF(D915=4,(2*(D896+G896))-(F$5*8)+2*(G896-2*F$5)))))/1000</f>
        <v>0.88</v>
      </c>
      <c r="K915" t="str">
        <v>+</v>
      </c>
      <c r="L915">
        <f>IF(D915=0,2*MAX(6*F915,75),(D915-1)*2*MAX(6*F915,75))/1000</f>
        <v>0.15</v>
      </c>
      <c r="M915" t="str">
        <v>=</v>
      </c>
      <c r="N915">
        <f>J915+L915</f>
        <v>1.03</v>
      </c>
      <c r="T915" t="str">
        <v>x</v>
      </c>
      <c r="U915">
        <f>0.006165*F915^2</f>
        <v>0.39456</v>
      </c>
      <c r="V915" t="str">
        <v>x</v>
      </c>
      <c r="W915">
        <f>IF(D898&gt;4*G896,ROUND(MAX(D898/4,2*G896)/H915,0)+1,ROUND(D898/H915,0)+1)</f>
        <v>6</v>
      </c>
      <c r="X915" t="str">
        <v>x</v>
      </c>
      <c r="Y915">
        <f>D901</f>
        <v>1</v>
      </c>
      <c r="Z915" t="str">
        <v>=</v>
      </c>
      <c r="AA915">
        <f>N915*U915*W915*Y915</f>
        <v>2.4383808000000005</v>
      </c>
    </row>
    <row r="916">
      <c r="A916" t="str">
        <f>A895</f>
        <v>Lantai 1</v>
      </c>
      <c r="B916">
        <f>B895</f>
        <v>29</v>
      </c>
      <c r="C916" t="str">
        <v>Sengkang Lapangan</v>
      </c>
      <c r="D916">
        <f>VLOOKUP(D895,'Detail Balok'!$C$10:$AU$140,36,FALSE)</f>
        <v>0</v>
      </c>
      <c r="E916" t="str">
        <v>D</v>
      </c>
      <c r="F916">
        <f>VLOOKUP(D895,'Detail Balok'!$C$10:$AU$140,38,FALSE)</f>
        <v>8</v>
      </c>
      <c r="G916" t="str">
        <v>-</v>
      </c>
      <c r="H916">
        <f>VLOOKUP(D895,'Detail Balok'!$C$10:$AU$140,40,FALSE)</f>
        <v>200</v>
      </c>
      <c r="J916">
        <f>(IF(D916=0,(2*(D896+G896))-(F$5*8),IF(D916=3,(2*(D896+G896))-(F$5*8)+(G896-2*F$5),IF(D916=4,(2*(D896+G896))-(F$5*8)+2*(G896-2*F$5)))))/1000</f>
        <v>0.88</v>
      </c>
      <c r="K916" t="str">
        <v>+</v>
      </c>
      <c r="L916">
        <f>IF(D916=0,2*MAX(6*F916,75),(D916-1)*2*MAX(6*F916,75))/1000</f>
        <v>0.15</v>
      </c>
      <c r="M916" t="str">
        <v>=</v>
      </c>
      <c r="N916">
        <f>J916+L916</f>
        <v>1.03</v>
      </c>
      <c r="T916" t="str">
        <v>x</v>
      </c>
      <c r="U916">
        <f>0.006165*F916^2</f>
        <v>0.39456</v>
      </c>
      <c r="V916" t="str">
        <v>x</v>
      </c>
      <c r="W916">
        <f>IF(D898-MAX(D898/4,2*G896)*2&gt;0,ROUND((D898-MAX(D898/4,2*G896)*2)/H916,0),0)</f>
        <v>6</v>
      </c>
      <c r="X916" t="str">
        <v>x</v>
      </c>
      <c r="Y916">
        <f>D901</f>
        <v>1</v>
      </c>
      <c r="Z916" t="str">
        <v>=</v>
      </c>
      <c r="AA916">
        <f>N916*U916*W916*Y916</f>
        <v>2.4383808000000005</v>
      </c>
    </row>
    <row r="917">
      <c r="A917" t="str">
        <f>A895</f>
        <v>Lantai 1</v>
      </c>
      <c r="B917">
        <f>B895</f>
        <v>29</v>
      </c>
      <c r="C917" t="str">
        <v>Sengkang Tumpuan</v>
      </c>
      <c r="D917">
        <f>VLOOKUP(D895,'Detail Balok'!$C$10:$AU$140,41,FALSE)</f>
        <v>0</v>
      </c>
      <c r="E917" t="str">
        <v>D</v>
      </c>
      <c r="F917">
        <f>VLOOKUP(D895,'Detail Balok'!$C$10:$AU$140,43,FALSE)</f>
        <v>8</v>
      </c>
      <c r="G917" t="str">
        <v>-</v>
      </c>
      <c r="H917">
        <f>VLOOKUP(D895,'Detail Balok'!$C$10:$AU$140,45,FALSE)</f>
        <v>150</v>
      </c>
      <c r="J917">
        <f>(IF(D917=0,(2*(D896+G896))-(F$5*8),IF(D917=3,(2*(D896+G896))-(F$5*8)+(G896-2*F$5),IF(D917=4,(2*(D896+G896))-(F$5*8)+2*(G896-2*F$5)))))/1000</f>
        <v>0.88</v>
      </c>
      <c r="K917" t="str">
        <v>+</v>
      </c>
      <c r="L917">
        <f>IF(D917=0,2*MAX(6*F917,75),(D917-1)*2*MAX(6*F917,75))/1000</f>
        <v>0.15</v>
      </c>
      <c r="M917" t="str">
        <v>=</v>
      </c>
      <c r="N917">
        <f>J917+L917</f>
        <v>1.03</v>
      </c>
      <c r="T917" t="str">
        <v>x</v>
      </c>
      <c r="U917">
        <f>0.006165*F917^2</f>
        <v>0.39456</v>
      </c>
      <c r="V917" t="str">
        <v>x</v>
      </c>
      <c r="W917">
        <f>IF(D898&gt;4*G896,ROUND(MAX(D898/4,2*G896)/H917,0)+1,0)</f>
        <v>6</v>
      </c>
      <c r="X917" t="str">
        <v>x</v>
      </c>
      <c r="Y917">
        <f>D901</f>
        <v>1</v>
      </c>
      <c r="Z917" t="str">
        <v>=</v>
      </c>
      <c r="AA917">
        <f>N917*U917*W917*Y917</f>
        <v>2.4383808000000005</v>
      </c>
    </row>
    <row r="919">
      <c r="A919" t="str">
        <f>A895</f>
        <v>Lantai 1</v>
      </c>
      <c r="B919">
        <f>B895</f>
        <v>29</v>
      </c>
      <c r="C919" t="str">
        <v>Kait Horizontal Tump.</v>
      </c>
      <c r="D919">
        <f>VLOOKUP(D895,'Detail Balok'!$C$10:$BJ$140,46,FALSE)</f>
        <v>0</v>
      </c>
      <c r="E919" t="str">
        <v>D</v>
      </c>
      <c r="F919">
        <f>VLOOKUP(D895,'Detail Balok'!$C$10:$BJ$140,48,FALSE)</f>
        <v>0</v>
      </c>
      <c r="G919" t="str">
        <v>-</v>
      </c>
      <c r="H919">
        <f>VLOOKUP(D895,'Detail Balok'!$C$10:$BJ$140,50,FALSE)</f>
        <v>100</v>
      </c>
      <c r="J919">
        <f>(D896-2*F$5)/1000</f>
        <v>0.12</v>
      </c>
      <c r="K919" t="str">
        <v>+</v>
      </c>
      <c r="L919">
        <f>IF(D919=0,2*MAX(6*F919,75),(D919-1)*2*MAX(6*F919,75))/1000</f>
        <v>0.15</v>
      </c>
      <c r="M919" t="str">
        <v>=</v>
      </c>
      <c r="N919">
        <f>J919+L919</f>
        <v>0.27</v>
      </c>
      <c r="T919" t="str">
        <v>x</v>
      </c>
      <c r="U919">
        <f>0.006165*F919^2</f>
        <v>0</v>
      </c>
      <c r="V919" t="str">
        <v>x</v>
      </c>
      <c r="W919">
        <f>W915</f>
        <v>6</v>
      </c>
      <c r="X919" t="str">
        <v>x</v>
      </c>
      <c r="Y919">
        <f>D905</f>
        <v>3</v>
      </c>
      <c r="Z919" t="str">
        <v>=</v>
      </c>
      <c r="AA919">
        <f>N919*U919*W919*Y919</f>
        <v>0</v>
      </c>
    </row>
    <row r="920">
      <c r="A920" t="str">
        <f>A895</f>
        <v>Lantai 1</v>
      </c>
      <c r="B920">
        <f>B895</f>
        <v>29</v>
      </c>
      <c r="C920" t="str">
        <v>Kait Horizontal Lap.</v>
      </c>
      <c r="D920">
        <f>VLOOKUP(D895,'Detail Balok'!$C$10:$BJ$140,51,FALSE)</f>
        <v>0</v>
      </c>
      <c r="E920" t="str">
        <v>D</v>
      </c>
      <c r="F920">
        <f>VLOOKUP(D895,'Detail Balok'!$C$10:$BJ$140,53,FALSE)</f>
        <v>0</v>
      </c>
      <c r="G920" t="str">
        <v>-</v>
      </c>
      <c r="H920">
        <f>VLOOKUP(D895,'Detail Balok'!$C$10:$BJ$140,55,FALSE)</f>
        <v>100</v>
      </c>
      <c r="J920">
        <f>(D896-2*F$5)/1000</f>
        <v>0.12</v>
      </c>
      <c r="K920" t="str">
        <v>+</v>
      </c>
      <c r="L920">
        <f>IF(D920=0,2*MAX(6*F920,75),(D920-1)*2*MAX(6*F920,75))/1000</f>
        <v>0.15</v>
      </c>
      <c r="M920" t="str">
        <v>=</v>
      </c>
      <c r="N920">
        <f>J920+L920</f>
        <v>0.27</v>
      </c>
      <c r="T920" t="str">
        <v>x</v>
      </c>
      <c r="U920">
        <f>0.006165*F920^2</f>
        <v>0</v>
      </c>
      <c r="V920" t="str">
        <v>x</v>
      </c>
      <c r="W920">
        <f>W916</f>
        <v>6</v>
      </c>
      <c r="X920" t="str">
        <v>x</v>
      </c>
      <c r="Y920">
        <f>D905</f>
        <v>3</v>
      </c>
      <c r="Z920" t="str">
        <v>=</v>
      </c>
      <c r="AA920">
        <f>N920*U920*W920*Y920</f>
        <v>0</v>
      </c>
    </row>
    <row r="921">
      <c r="A921" t="str">
        <f>A895</f>
        <v>Lantai 1</v>
      </c>
      <c r="B921">
        <f>B895</f>
        <v>29</v>
      </c>
      <c r="C921" t="str">
        <v>Kait Horizontal Tump.</v>
      </c>
      <c r="D921">
        <f>VLOOKUP(D895,'Detail Balok'!$C$10:$BJ$140,56,FALSE)</f>
        <v>0</v>
      </c>
      <c r="E921" t="str">
        <v>D</v>
      </c>
      <c r="F921">
        <f>VLOOKUP(D895,'Detail Balok'!$C$10:$BJ$140,58,FALSE)</f>
        <v>0</v>
      </c>
      <c r="G921" t="str">
        <v>-</v>
      </c>
      <c r="H921">
        <f>VLOOKUP(D895,'Detail Balok'!$C$10:$BJ$140,60,FALSE)</f>
        <v>100</v>
      </c>
      <c r="J921">
        <f>(D896-2*F$5)/1000</f>
        <v>0.12</v>
      </c>
      <c r="K921" t="str">
        <v>+</v>
      </c>
      <c r="L921">
        <f>IF(D921=0,2*MAX(6*F921,75),(D921-1)*2*MAX(6*F921,75))/1000</f>
        <v>0.15</v>
      </c>
      <c r="M921" t="str">
        <v>=</v>
      </c>
      <c r="N921">
        <f>J921+L921</f>
        <v>0.27</v>
      </c>
      <c r="T921" t="str">
        <v>x</v>
      </c>
      <c r="U921">
        <f>0.006165*F921^2</f>
        <v>0</v>
      </c>
      <c r="V921" t="str">
        <v>x</v>
      </c>
      <c r="W921">
        <f>W917</f>
        <v>6</v>
      </c>
      <c r="X921" t="str">
        <v>x</v>
      </c>
      <c r="Y921">
        <f>D905</f>
        <v>3</v>
      </c>
      <c r="Z921" t="str">
        <v>=</v>
      </c>
      <c r="AA921">
        <f>N921*U921*W921*Y921</f>
        <v>0</v>
      </c>
    </row>
    <row r="925">
      <c r="A925" t="str">
        <f>A895</f>
        <v>Lantai 1</v>
      </c>
      <c r="B925">
        <f>B895+1</f>
        <v>30</v>
      </c>
      <c r="C925" t="str">
        <f>CONCATENATE(A925," no. ",B925)</f>
        <v>Lantai 1 no. 30</v>
      </c>
      <c r="D925" t="str">
        <f>VLOOKUP(C925,'Data Panjang Balok'!$C$9:$N$254,2,FALSE)</f>
        <v>S24-1</v>
      </c>
    </row>
    <row r="926">
      <c r="C926" t="str">
        <v>Dimensi</v>
      </c>
      <c r="D926">
        <f>VLOOKUP(D925,'Detail Balok'!$C$10:$AU$140,2,FALSE)</f>
        <v>200</v>
      </c>
      <c r="F926" t="str">
        <v>x</v>
      </c>
      <c r="G926">
        <f>VLOOKUP(D925,'Detail Balok'!$C$10:$AU$140,3,FALSE)</f>
        <v>400</v>
      </c>
    </row>
    <row r="927">
      <c r="C927" t="str">
        <v>Panjang as ke as</v>
      </c>
      <c r="D927">
        <f>VLOOKUP(C925,'Data Panjang Balok'!$C$9:$N$254,4,FALSE)</f>
        <v>2120</v>
      </c>
    </row>
    <row r="928">
      <c r="C928" t="str">
        <v>Panjang netto</v>
      </c>
      <c r="D928">
        <f>VLOOKUP(C925,'Data Panjang Balok'!$C$9:$N$254,7,FALSE)</f>
        <v>2120</v>
      </c>
    </row>
    <row r="929">
      <c r="C929" t="str">
        <v>Kolom / balok kiri</v>
      </c>
      <c r="D929">
        <f>VLOOKUP(C925,'Data Panjang Balok'!$C$9:$N$254,9,FALSE)</f>
        <v>0</v>
      </c>
    </row>
    <row r="930">
      <c r="C930" t="str">
        <v>Kolom / balok kanan</v>
      </c>
      <c r="D930">
        <f>VLOOKUP(C925,'Data Panjang Balok'!$C$9:$N$254,10,FALSE)</f>
        <v>0</v>
      </c>
    </row>
    <row r="931">
      <c r="C931" t="str">
        <v>Jumlah</v>
      </c>
      <c r="D931">
        <f>VLOOKUP(C925,'Data Panjang Balok'!$C$9:$N$254,3,FALSE)</f>
        <v>1</v>
      </c>
    </row>
    <row r="932">
      <c r="A932" t="str">
        <f>A925</f>
        <v>Lantai 1</v>
      </c>
      <c r="B932">
        <f>B925</f>
        <v>30</v>
      </c>
      <c r="C932" t="str">
        <v>Tul Atas Tumpuan</v>
      </c>
      <c r="D932">
        <f>VLOOKUP(D925,'Detail Balok'!$C$10:$AU$140,4,FALSE)</f>
        <v>3</v>
      </c>
      <c r="E932" t="str">
        <v>D</v>
      </c>
      <c r="F932">
        <f>VLOOKUP(D925,'Detail Balok'!$C$10:$AU$140,6,FALSE)</f>
        <v>13</v>
      </c>
      <c r="I932" t="str">
        <v>(</v>
      </c>
      <c r="J932">
        <f>+D927/4/1000</f>
        <v>0.53</v>
      </c>
      <c r="K932" t="str">
        <v>+</v>
      </c>
      <c r="L932">
        <f>MAX(VLOOKUP(F932,N$6:P$15,3,FALSE)/1000,2/3*D929/1000)+F$16*F932/1000</f>
        <v>0.156</v>
      </c>
      <c r="M932" t="str">
        <v>=</v>
      </c>
      <c r="N932">
        <f>J932+L932</f>
        <v>0.686</v>
      </c>
      <c r="O932" t="str">
        <v>+</v>
      </c>
      <c r="P932">
        <f>D932-D933</f>
        <v>0</v>
      </c>
      <c r="Q932" t="str">
        <v>x</v>
      </c>
      <c r="R932">
        <f>IF(P932&gt;0,$F$18*F932/1000,0)</f>
        <v>0</v>
      </c>
      <c r="S932" t="str">
        <v>)</v>
      </c>
      <c r="T932" t="str">
        <v>x</v>
      </c>
      <c r="U932">
        <f>0.006165*F932^2</f>
        <v>1.041885</v>
      </c>
      <c r="X932" t="str">
        <v>x</v>
      </c>
      <c r="Y932">
        <f>D931</f>
        <v>1</v>
      </c>
      <c r="Z932" t="str">
        <v>=</v>
      </c>
      <c r="AA932">
        <f>IF(AA935=0,(D932*N932+P932*R932)*U932*Y932,0)</f>
        <v>0</v>
      </c>
    </row>
    <row r="933">
      <c r="A933" t="str">
        <f>A925</f>
        <v>Lantai 1</v>
      </c>
      <c r="B933">
        <f>B925</f>
        <v>30</v>
      </c>
      <c r="C933" t="str">
        <v>Tul Atas Lapangan</v>
      </c>
      <c r="D933">
        <f>VLOOKUP(D925,'Detail Balok'!$C$10:$AU$140,7,FALSE)</f>
        <v>3</v>
      </c>
      <c r="E933" t="str">
        <v>D</v>
      </c>
      <c r="F933">
        <f>VLOOKUP(D925,'Detail Balok'!$C$10:$AU$140,9,FALSE)</f>
        <v>13</v>
      </c>
      <c r="I933" t="str">
        <v>(</v>
      </c>
      <c r="J933">
        <f>+D927/2/1000</f>
        <v>1.06</v>
      </c>
      <c r="K933" t="str">
        <v>+</v>
      </c>
      <c r="M933" t="str">
        <v>=</v>
      </c>
      <c r="N933">
        <f>J933+L933</f>
        <v>1.06</v>
      </c>
      <c r="O933" t="str">
        <v>+</v>
      </c>
      <c r="P933">
        <f>MAX(D933-D932,D933-D934)</f>
        <v>0</v>
      </c>
      <c r="Q933" t="str">
        <v>x</v>
      </c>
      <c r="R933">
        <f>IF(P933&gt;0,2*(1-2*$F$19-1/2)*D928/1000,0)</f>
        <v>0</v>
      </c>
      <c r="S933" t="str">
        <v>)</v>
      </c>
      <c r="T933" t="str">
        <v>x</v>
      </c>
      <c r="U933">
        <f>0.006165*F933^2</f>
        <v>1.041885</v>
      </c>
      <c r="X933" t="str">
        <v>x</v>
      </c>
      <c r="Y933">
        <f>D931</f>
        <v>1</v>
      </c>
      <c r="Z933" t="str">
        <v>=</v>
      </c>
      <c r="AA933">
        <f>IF(AA935=0,(D933*N933+P933*R933)*U933*Y933,0)</f>
        <v>0</v>
      </c>
    </row>
    <row r="934">
      <c r="A934" t="str">
        <f>A925</f>
        <v>Lantai 1</v>
      </c>
      <c r="B934">
        <f>B925</f>
        <v>30</v>
      </c>
      <c r="C934" t="str">
        <v>Tul Atas Tumpuan</v>
      </c>
      <c r="D934">
        <f>VLOOKUP(D925,'Detail Balok'!$C$10:$AU$140,10,FALSE)</f>
        <v>3</v>
      </c>
      <c r="E934" t="str">
        <v>D</v>
      </c>
      <c r="F934">
        <f>VLOOKUP(D925,'Detail Balok'!$C$10:$AU$140,12,FALSE)</f>
        <v>13</v>
      </c>
      <c r="I934" t="str">
        <v>(</v>
      </c>
      <c r="J934">
        <f>+D927/4/1000</f>
        <v>0.53</v>
      </c>
      <c r="K934" t="str">
        <v>+</v>
      </c>
      <c r="L934">
        <f>MAX(VLOOKUP(F934,N$6:P$15,3,FALSE)/1000,2/3*D929/1000)+F$16*F934/1000</f>
        <v>0.156</v>
      </c>
      <c r="M934" t="str">
        <v>=</v>
      </c>
      <c r="N934">
        <f>J934+L934</f>
        <v>0.686</v>
      </c>
      <c r="O934" t="str">
        <v>+</v>
      </c>
      <c r="P934">
        <f>D934-D933</f>
        <v>0</v>
      </c>
      <c r="Q934" t="str">
        <v>x</v>
      </c>
      <c r="R934">
        <f>IF(P934&gt;0,$F$18*F934/1000,0)</f>
        <v>0</v>
      </c>
      <c r="S934" t="str">
        <v>)</v>
      </c>
      <c r="T934" t="str">
        <v>x</v>
      </c>
      <c r="U934">
        <f>0.006165*F934^2</f>
        <v>1.041885</v>
      </c>
      <c r="X934" t="str">
        <v>x</v>
      </c>
      <c r="Y934">
        <f>D931</f>
        <v>1</v>
      </c>
      <c r="Z934" t="str">
        <v>=</v>
      </c>
      <c r="AA934">
        <f>IF(AA935=0,(D934*N934+P934*R934)*U934*Y934,0)</f>
        <v>0</v>
      </c>
    </row>
    <row r="935">
      <c r="A935" t="str">
        <f>A925</f>
        <v>Lantai 1</v>
      </c>
      <c r="B935">
        <f>B925</f>
        <v>30</v>
      </c>
      <c r="D935">
        <f>IF(AND(D932=D933,D933=D934,D932=D934),D932,0)</f>
        <v>3</v>
      </c>
      <c r="E935" t="str">
        <v>D</v>
      </c>
      <c r="F935">
        <f>IF(AND(F932=F933,F932=F934,F933=F934),F932,0)</f>
        <v>13</v>
      </c>
      <c r="L935" t="str">
        <v>Total panjang per balok</v>
      </c>
      <c r="M935" t="str">
        <v>=</v>
      </c>
      <c r="N935">
        <f>IF(AND(D932=D933,D932=D934,D933=D934,F932=F933,F932=F934,F933=F934),SUM(N932:N934),0)</f>
        <v>2.432</v>
      </c>
      <c r="O935" t="str">
        <v>+</v>
      </c>
      <c r="P935">
        <f>IF(N935&gt;12,ROUNDDOWN(N935/12,0),0)</f>
        <v>0</v>
      </c>
      <c r="Q935" t="str">
        <v>x</v>
      </c>
      <c r="R935">
        <f>IF(P935&gt;0,MAX(VLOOKUP(F935,$D$6:$G$15,3,FALSE),600),0)/1000</f>
        <v>0</v>
      </c>
      <c r="T935" t="str">
        <v>x</v>
      </c>
      <c r="U935">
        <f>U934</f>
        <v>1.041885</v>
      </c>
      <c r="V935" t="str">
        <v>x</v>
      </c>
      <c r="W935">
        <f>D935</f>
        <v>3</v>
      </c>
      <c r="X935" t="str">
        <v>x</v>
      </c>
      <c r="Y935">
        <f>Y934</f>
        <v>1</v>
      </c>
      <c r="Z935" t="str">
        <v>=</v>
      </c>
      <c r="AA935">
        <f>(N935+P935*R935/1000)*U935*W935*Y935</f>
        <v>7.60159296</v>
      </c>
    </row>
    <row r="937">
      <c r="A937" t="str">
        <f>A925</f>
        <v>Lantai 1</v>
      </c>
      <c r="B937">
        <f>B925</f>
        <v>30</v>
      </c>
      <c r="C937" t="str">
        <v>Tul Peminggang</v>
      </c>
      <c r="D937">
        <f>VLOOKUP(D925,'Detail Balok'!$C$10:$AU$140,13,FALSE)</f>
        <v>0</v>
      </c>
      <c r="E937" t="str">
        <v>D</v>
      </c>
      <c r="F937">
        <f>VLOOKUP(D925,'Detail Balok'!$C$10:$AU$140,15,FALSE)</f>
        <v>8</v>
      </c>
      <c r="J937">
        <f>+D927/1000</f>
        <v>2.12</v>
      </c>
      <c r="K937" t="str">
        <v>+</v>
      </c>
      <c r="L937">
        <f>2*$F$16*F937/1000</f>
        <v>0.192</v>
      </c>
      <c r="M937" t="str">
        <v>=</v>
      </c>
      <c r="N937">
        <f>J937+L937</f>
        <v>2.3120000000000003</v>
      </c>
      <c r="O937" t="str">
        <v>+</v>
      </c>
      <c r="P937">
        <f>IF(N937&gt;12,ROUNDDOWN(N937/12,0),0)</f>
        <v>0</v>
      </c>
      <c r="Q937" t="str">
        <v>x</v>
      </c>
      <c r="R937">
        <f>IF(P937&gt;0,MAX(VLOOKUP(F937,$D$6:$G$15,3,FALSE),600),0)/1000</f>
        <v>0</v>
      </c>
      <c r="T937" t="str">
        <v>x</v>
      </c>
      <c r="U937">
        <f>0.006165*F937^2</f>
        <v>0.39456</v>
      </c>
      <c r="V937" t="str">
        <v>x</v>
      </c>
      <c r="W937">
        <f>+D937</f>
        <v>0</v>
      </c>
      <c r="X937" t="str">
        <v>x</v>
      </c>
      <c r="Y937">
        <f>D931</f>
        <v>1</v>
      </c>
      <c r="Z937" t="str">
        <v>=</v>
      </c>
      <c r="AA937">
        <f>(N937+P937*R937/1000)*U937*W937*Y937</f>
        <v>0</v>
      </c>
    </row>
    <row r="940">
      <c r="A940" t="str">
        <f>A925</f>
        <v>Lantai 1</v>
      </c>
      <c r="B940">
        <f>B925</f>
        <v>30</v>
      </c>
      <c r="C940" t="str">
        <v>Tul Bawah Tumpuan</v>
      </c>
      <c r="D940">
        <f>VLOOKUP(D925,'Detail Balok'!$C$10:$AU$140,22,FALSE)</f>
        <v>3</v>
      </c>
      <c r="E940" t="str">
        <v>D</v>
      </c>
      <c r="F940">
        <f>VLOOKUP(D925,'Detail Balok'!$C$10:$AU$140,24,FALSE)</f>
        <v>13</v>
      </c>
      <c r="I940" t="str">
        <v>(</v>
      </c>
      <c r="J940">
        <f>+J932</f>
        <v>0.53</v>
      </c>
      <c r="K940" t="str">
        <v>+</v>
      </c>
      <c r="L940">
        <f>MAX(VLOOKUP(F940,N$6:P$15,3,FALSE)/1000,2/3*D930/1000)+F$16*F940/1000</f>
        <v>0.156</v>
      </c>
      <c r="M940" t="str">
        <v>=</v>
      </c>
      <c r="N940">
        <f>J940+L940</f>
        <v>0.686</v>
      </c>
      <c r="O940" t="str">
        <v>+</v>
      </c>
      <c r="P940">
        <f>D940-D941</f>
        <v>0</v>
      </c>
      <c r="Q940" t="str">
        <v>x</v>
      </c>
      <c r="R940">
        <f>IF(P940&gt;0,$F$18*F940/1000,0)</f>
        <v>0</v>
      </c>
      <c r="S940" t="str">
        <v>)</v>
      </c>
      <c r="T940" t="str">
        <v>x</v>
      </c>
      <c r="U940">
        <f>0.006165*F940^2</f>
        <v>1.041885</v>
      </c>
      <c r="X940" t="str">
        <v>x</v>
      </c>
      <c r="Y940">
        <f>D931</f>
        <v>1</v>
      </c>
      <c r="Z940" t="str">
        <v>=</v>
      </c>
      <c r="AA940">
        <f>IF(AA943=0,(D940*N940+P940*R940)*U940*Y940,0)</f>
        <v>0</v>
      </c>
    </row>
    <row r="941">
      <c r="A941" t="str">
        <f>A925</f>
        <v>Lantai 1</v>
      </c>
      <c r="B941">
        <f>B925</f>
        <v>30</v>
      </c>
      <c r="C941" t="str">
        <v>Tul Bawah Lapangan</v>
      </c>
      <c r="D941">
        <f>VLOOKUP(D925,'Detail Balok'!$C$10:$AU$140,25,FALSE)</f>
        <v>3</v>
      </c>
      <c r="E941" t="str">
        <v>D</v>
      </c>
      <c r="F941">
        <f>VLOOKUP(D925,'Detail Balok'!$C$10:$AU$140,27,FALSE)</f>
        <v>13</v>
      </c>
      <c r="I941" t="str">
        <v>(</v>
      </c>
      <c r="J941">
        <f>+J933</f>
        <v>1.06</v>
      </c>
      <c r="K941" t="str">
        <v>+</v>
      </c>
      <c r="M941" t="str">
        <v>=</v>
      </c>
      <c r="N941">
        <f>J941+L941</f>
        <v>1.06</v>
      </c>
      <c r="O941" t="str">
        <v>+</v>
      </c>
      <c r="P941">
        <f>MAX(D941-D940,D941-D942)</f>
        <v>0</v>
      </c>
      <c r="Q941" t="str">
        <v>x</v>
      </c>
      <c r="R941">
        <f>IF(P941&gt;0,2*(1-2*$F$19-1/2)*D928/1000,0)</f>
        <v>0</v>
      </c>
      <c r="S941" t="str">
        <v>)</v>
      </c>
      <c r="T941" t="str">
        <v>x</v>
      </c>
      <c r="U941">
        <f>0.006165*F941^2</f>
        <v>1.041885</v>
      </c>
      <c r="X941" t="str">
        <v>x</v>
      </c>
      <c r="Y941">
        <f>D931</f>
        <v>1</v>
      </c>
      <c r="Z941" t="str">
        <v>=</v>
      </c>
      <c r="AA941">
        <f>IF(AA943=0,(D941*N941+P941*R941)*U941*Y941,0)</f>
        <v>0</v>
      </c>
    </row>
    <row r="942">
      <c r="A942" t="str">
        <f>A925</f>
        <v>Lantai 1</v>
      </c>
      <c r="B942">
        <f>B925</f>
        <v>30</v>
      </c>
      <c r="C942" t="str">
        <v>Tul Bawah Tumpuan</v>
      </c>
      <c r="D942">
        <f>VLOOKUP(D925,'Detail Balok'!$C$10:$AU$140,28,FALSE)</f>
        <v>3</v>
      </c>
      <c r="E942" t="str">
        <v>D</v>
      </c>
      <c r="F942">
        <f>VLOOKUP(D925,'Detail Balok'!$C$10:$AU$140,30,FALSE)</f>
        <v>13</v>
      </c>
      <c r="I942" t="str">
        <v>(</v>
      </c>
      <c r="J942">
        <f>+J934</f>
        <v>0.53</v>
      </c>
      <c r="K942" t="str">
        <v>+</v>
      </c>
      <c r="L942">
        <f>MAX(VLOOKUP(F942,N$6:P$15,3,FALSE)/1000,2/3*D930/1000)+F$16*F942/1000</f>
        <v>0.156</v>
      </c>
      <c r="M942" t="str">
        <v>=</v>
      </c>
      <c r="N942">
        <f>J942+L942</f>
        <v>0.686</v>
      </c>
      <c r="O942" t="str">
        <v>+</v>
      </c>
      <c r="P942">
        <f>D942-D941</f>
        <v>0</v>
      </c>
      <c r="Q942" t="str">
        <v>x</v>
      </c>
      <c r="R942">
        <f>IF(P942&gt;0,$F$18*F942/1000,0)</f>
        <v>0</v>
      </c>
      <c r="S942" t="str">
        <v>)</v>
      </c>
      <c r="T942" t="str">
        <v>x</v>
      </c>
      <c r="U942">
        <f>0.006165*F942^2</f>
        <v>1.041885</v>
      </c>
      <c r="X942" t="str">
        <v>x</v>
      </c>
      <c r="Y942">
        <f>D931</f>
        <v>1</v>
      </c>
      <c r="Z942" t="str">
        <v>=</v>
      </c>
      <c r="AA942">
        <f>IF(AA943=0,(D942*N942+P942*R942)*U942*Y942,0)</f>
        <v>0</v>
      </c>
    </row>
    <row r="943">
      <c r="A943" t="str">
        <f>A925</f>
        <v>Lantai 1</v>
      </c>
      <c r="B943">
        <f>B925</f>
        <v>30</v>
      </c>
      <c r="D943">
        <f>IF(AND(D940=D941,D941=D942,D940=D942),D940,0)</f>
        <v>3</v>
      </c>
      <c r="E943" t="str">
        <v>D</v>
      </c>
      <c r="F943">
        <f>IF(AND(F940=F941,F940=F942,F941=F942),F940,0)</f>
        <v>13</v>
      </c>
      <c r="L943" t="str">
        <v>Total panjang per balok</v>
      </c>
      <c r="M943" t="str">
        <v>=</v>
      </c>
      <c r="N943">
        <f>IF(AND(D940=D941,D940=D942,D941=D942,F940=F941,F940=F942,F941=F942),SUM(N940:N942),0)</f>
        <v>2.432</v>
      </c>
      <c r="O943" t="str">
        <v>+</v>
      </c>
      <c r="P943">
        <f>IF(N943&gt;12,ROUNDDOWN(N943/12,0),0)</f>
        <v>0</v>
      </c>
      <c r="Q943" t="str">
        <v>x</v>
      </c>
      <c r="R943">
        <f>IF(P943&gt;0,MAX(VLOOKUP(F943,$D$6:$G$15,3,FALSE),600),0)/1000</f>
        <v>0</v>
      </c>
      <c r="T943" t="str">
        <v>x</v>
      </c>
      <c r="U943">
        <f>U942</f>
        <v>1.041885</v>
      </c>
      <c r="V943" t="str">
        <v>x</v>
      </c>
      <c r="W943">
        <f>D943</f>
        <v>3</v>
      </c>
      <c r="X943" t="str">
        <v>x</v>
      </c>
      <c r="Y943">
        <f>Y942</f>
        <v>1</v>
      </c>
      <c r="Z943" t="str">
        <v>=</v>
      </c>
      <c r="AA943">
        <f>(N943+P943*R943/1000)*U943*W943*Y943</f>
        <v>7.60159296</v>
      </c>
    </row>
    <row r="945">
      <c r="A945" t="str">
        <f>A925</f>
        <v>Lantai 1</v>
      </c>
      <c r="B945">
        <f>B925</f>
        <v>30</v>
      </c>
      <c r="C945" t="str">
        <v>Sengkang Tumpuan</v>
      </c>
      <c r="D945">
        <f>VLOOKUP(D925,'Detail Balok'!$C$10:$AU$140,31,FALSE)</f>
        <v>0</v>
      </c>
      <c r="E945" t="str">
        <v>D</v>
      </c>
      <c r="F945">
        <f>VLOOKUP(D925,'Detail Balok'!$C$10:$AU$140,33,FALSE)</f>
        <v>8</v>
      </c>
      <c r="G945" t="str">
        <v>-</v>
      </c>
      <c r="H945">
        <f>VLOOKUP(D925,'Detail Balok'!$C$10:$AU$140,35,FALSE)</f>
        <v>150</v>
      </c>
      <c r="J945">
        <f>(IF(D945=0,(2*(D926+G926))-(F$5*8),IF(D945=3,(2*(D926+G926))-(F$5*8)+(G926-2*F$5),IF(D945=4,(2*(D926+G926))-(F$5*8)+2*(G926-2*F$5)))))/1000</f>
        <v>0.88</v>
      </c>
      <c r="K945" t="str">
        <v>+</v>
      </c>
      <c r="L945">
        <f>IF(D945=0,2*MAX(6*F945,75),(D945-1)*2*MAX(6*F945,75))/1000</f>
        <v>0.15</v>
      </c>
      <c r="M945" t="str">
        <v>=</v>
      </c>
      <c r="N945">
        <f>J945+L945</f>
        <v>1.03</v>
      </c>
      <c r="T945" t="str">
        <v>x</v>
      </c>
      <c r="U945">
        <f>0.006165*F945^2</f>
        <v>0.39456</v>
      </c>
      <c r="V945" t="str">
        <v>x</v>
      </c>
      <c r="W945">
        <f>IF(D928&gt;4*G926,ROUND(MAX(D928/4,2*G926)/H945,0)+1,ROUND(D928/H945,0)+1)</f>
        <v>6</v>
      </c>
      <c r="X945" t="str">
        <v>x</v>
      </c>
      <c r="Y945">
        <f>D931</f>
        <v>1</v>
      </c>
      <c r="Z945" t="str">
        <v>=</v>
      </c>
      <c r="AA945">
        <f>N945*U945*W945*Y945</f>
        <v>2.4383808000000005</v>
      </c>
    </row>
    <row r="946">
      <c r="A946" t="str">
        <f>A925</f>
        <v>Lantai 1</v>
      </c>
      <c r="B946">
        <f>B925</f>
        <v>30</v>
      </c>
      <c r="C946" t="str">
        <v>Sengkang Lapangan</v>
      </c>
      <c r="D946">
        <f>VLOOKUP(D925,'Detail Balok'!$C$10:$AU$140,36,FALSE)</f>
        <v>0</v>
      </c>
      <c r="E946" t="str">
        <v>D</v>
      </c>
      <c r="F946">
        <f>VLOOKUP(D925,'Detail Balok'!$C$10:$AU$140,38,FALSE)</f>
        <v>8</v>
      </c>
      <c r="G946" t="str">
        <v>-</v>
      </c>
      <c r="H946">
        <f>VLOOKUP(D925,'Detail Balok'!$C$10:$AU$140,40,FALSE)</f>
        <v>200</v>
      </c>
      <c r="J946">
        <f>(IF(D946=0,(2*(D926+G926))-(F$5*8),IF(D946=3,(2*(D926+G926))-(F$5*8)+(G926-2*F$5),IF(D946=4,(2*(D926+G926))-(F$5*8)+2*(G926-2*F$5)))))/1000</f>
        <v>0.88</v>
      </c>
      <c r="K946" t="str">
        <v>+</v>
      </c>
      <c r="L946">
        <f>IF(D946=0,2*MAX(6*F946,75),(D946-1)*2*MAX(6*F946,75))/1000</f>
        <v>0.15</v>
      </c>
      <c r="M946" t="str">
        <v>=</v>
      </c>
      <c r="N946">
        <f>J946+L946</f>
        <v>1.03</v>
      </c>
      <c r="T946" t="str">
        <v>x</v>
      </c>
      <c r="U946">
        <f>0.006165*F946^2</f>
        <v>0.39456</v>
      </c>
      <c r="V946" t="str">
        <v>x</v>
      </c>
      <c r="W946">
        <f>IF(D928-MAX(D928/4,2*G926)*2&gt;0,ROUND((D928-MAX(D928/4,2*G926)*2)/H946,0),0)</f>
        <v>3</v>
      </c>
      <c r="X946" t="str">
        <v>x</v>
      </c>
      <c r="Y946">
        <f>D931</f>
        <v>1</v>
      </c>
      <c r="Z946" t="str">
        <v>=</v>
      </c>
      <c r="AA946">
        <f>N946*U946*W946*Y946</f>
        <v>1.2191904000000002</v>
      </c>
    </row>
    <row r="947">
      <c r="A947" t="str">
        <f>A925</f>
        <v>Lantai 1</v>
      </c>
      <c r="B947">
        <f>B925</f>
        <v>30</v>
      </c>
      <c r="C947" t="str">
        <v>Sengkang Tumpuan</v>
      </c>
      <c r="D947">
        <f>VLOOKUP(D925,'Detail Balok'!$C$10:$AU$140,41,FALSE)</f>
        <v>0</v>
      </c>
      <c r="E947" t="str">
        <v>D</v>
      </c>
      <c r="F947">
        <f>VLOOKUP(D925,'Detail Balok'!$C$10:$AU$140,43,FALSE)</f>
        <v>8</v>
      </c>
      <c r="G947" t="str">
        <v>-</v>
      </c>
      <c r="H947">
        <f>VLOOKUP(D925,'Detail Balok'!$C$10:$AU$140,45,FALSE)</f>
        <v>150</v>
      </c>
      <c r="J947">
        <f>(IF(D947=0,(2*(D926+G926))-(F$5*8),IF(D947=3,(2*(D926+G926))-(F$5*8)+(G926-2*F$5),IF(D947=4,(2*(D926+G926))-(F$5*8)+2*(G926-2*F$5)))))/1000</f>
        <v>0.88</v>
      </c>
      <c r="K947" t="str">
        <v>+</v>
      </c>
      <c r="L947">
        <f>IF(D947=0,2*MAX(6*F947,75),(D947-1)*2*MAX(6*F947,75))/1000</f>
        <v>0.15</v>
      </c>
      <c r="M947" t="str">
        <v>=</v>
      </c>
      <c r="N947">
        <f>J947+L947</f>
        <v>1.03</v>
      </c>
      <c r="T947" t="str">
        <v>x</v>
      </c>
      <c r="U947">
        <f>0.006165*F947^2</f>
        <v>0.39456</v>
      </c>
      <c r="V947" t="str">
        <v>x</v>
      </c>
      <c r="W947">
        <f>IF(D928&gt;4*G926,ROUND(MAX(D928/4,2*G926)/H947,0)+1,0)</f>
        <v>6</v>
      </c>
      <c r="X947" t="str">
        <v>x</v>
      </c>
      <c r="Y947">
        <f>D931</f>
        <v>1</v>
      </c>
      <c r="Z947" t="str">
        <v>=</v>
      </c>
      <c r="AA947">
        <f>N947*U947*W947*Y947</f>
        <v>2.4383808000000005</v>
      </c>
    </row>
    <row r="949">
      <c r="A949" t="str">
        <f>A925</f>
        <v>Lantai 1</v>
      </c>
      <c r="B949">
        <f>B925</f>
        <v>30</v>
      </c>
      <c r="C949" t="str">
        <v>Kait Horizontal Tump.</v>
      </c>
      <c r="D949">
        <f>VLOOKUP(D925,'Detail Balok'!$C$10:$BJ$140,46,FALSE)</f>
        <v>0</v>
      </c>
      <c r="E949" t="str">
        <v>D</v>
      </c>
      <c r="F949">
        <f>VLOOKUP(D925,'Detail Balok'!$C$10:$BJ$140,48,FALSE)</f>
        <v>0</v>
      </c>
      <c r="G949" t="str">
        <v>-</v>
      </c>
      <c r="H949">
        <f>VLOOKUP(D925,'Detail Balok'!$C$10:$BJ$140,50,FALSE)</f>
        <v>100</v>
      </c>
      <c r="J949">
        <f>(D926-2*F$5)/1000</f>
        <v>0.12</v>
      </c>
      <c r="K949" t="str">
        <v>+</v>
      </c>
      <c r="L949">
        <f>IF(D949=0,2*MAX(6*F949,75),(D949-1)*2*MAX(6*F949,75))/1000</f>
        <v>0.15</v>
      </c>
      <c r="M949" t="str">
        <v>=</v>
      </c>
      <c r="N949">
        <f>J949+L949</f>
        <v>0.27</v>
      </c>
      <c r="T949" t="str">
        <v>x</v>
      </c>
      <c r="U949">
        <f>0.006165*F949^2</f>
        <v>0</v>
      </c>
      <c r="V949" t="str">
        <v>x</v>
      </c>
      <c r="W949">
        <f>W945</f>
        <v>6</v>
      </c>
      <c r="X949" t="str">
        <v>x</v>
      </c>
      <c r="Y949">
        <f>D935</f>
        <v>3</v>
      </c>
      <c r="Z949" t="str">
        <v>=</v>
      </c>
      <c r="AA949">
        <f>N949*U949*W949*Y949</f>
        <v>0</v>
      </c>
    </row>
    <row r="950">
      <c r="A950" t="str">
        <f>A925</f>
        <v>Lantai 1</v>
      </c>
      <c r="B950">
        <f>B925</f>
        <v>30</v>
      </c>
      <c r="C950" t="str">
        <v>Kait Horizontal Lap.</v>
      </c>
      <c r="D950">
        <f>VLOOKUP(D925,'Detail Balok'!$C$10:$BJ$140,51,FALSE)</f>
        <v>0</v>
      </c>
      <c r="E950" t="str">
        <v>D</v>
      </c>
      <c r="F950">
        <f>VLOOKUP(D925,'Detail Balok'!$C$10:$BJ$140,53,FALSE)</f>
        <v>0</v>
      </c>
      <c r="G950" t="str">
        <v>-</v>
      </c>
      <c r="H950">
        <f>VLOOKUP(D925,'Detail Balok'!$C$10:$BJ$140,55,FALSE)</f>
        <v>100</v>
      </c>
      <c r="J950">
        <f>(D926-2*F$5)/1000</f>
        <v>0.12</v>
      </c>
      <c r="K950" t="str">
        <v>+</v>
      </c>
      <c r="L950">
        <f>IF(D950=0,2*MAX(6*F950,75),(D950-1)*2*MAX(6*F950,75))/1000</f>
        <v>0.15</v>
      </c>
      <c r="M950" t="str">
        <v>=</v>
      </c>
      <c r="N950">
        <f>J950+L950</f>
        <v>0.27</v>
      </c>
      <c r="T950" t="str">
        <v>x</v>
      </c>
      <c r="U950">
        <f>0.006165*F950^2</f>
        <v>0</v>
      </c>
      <c r="V950" t="str">
        <v>x</v>
      </c>
      <c r="W950">
        <f>W946</f>
        <v>3</v>
      </c>
      <c r="X950" t="str">
        <v>x</v>
      </c>
      <c r="Y950">
        <f>D935</f>
        <v>3</v>
      </c>
      <c r="Z950" t="str">
        <v>=</v>
      </c>
      <c r="AA950">
        <f>N950*U950*W950*Y950</f>
        <v>0</v>
      </c>
    </row>
    <row r="951">
      <c r="A951" t="str">
        <f>A925</f>
        <v>Lantai 1</v>
      </c>
      <c r="B951">
        <f>B925</f>
        <v>30</v>
      </c>
      <c r="C951" t="str">
        <v>Kait Horizontal Tump.</v>
      </c>
      <c r="D951">
        <f>VLOOKUP(D925,'Detail Balok'!$C$10:$BJ$140,56,FALSE)</f>
        <v>0</v>
      </c>
      <c r="E951" t="str">
        <v>D</v>
      </c>
      <c r="F951">
        <f>VLOOKUP(D925,'Detail Balok'!$C$10:$BJ$140,58,FALSE)</f>
        <v>0</v>
      </c>
      <c r="G951" t="str">
        <v>-</v>
      </c>
      <c r="H951">
        <f>VLOOKUP(D925,'Detail Balok'!$C$10:$BJ$140,60,FALSE)</f>
        <v>100</v>
      </c>
      <c r="J951">
        <f>(D926-2*F$5)/1000</f>
        <v>0.12</v>
      </c>
      <c r="K951" t="str">
        <v>+</v>
      </c>
      <c r="L951">
        <f>IF(D951=0,2*MAX(6*F951,75),(D951-1)*2*MAX(6*F951,75))/1000</f>
        <v>0.15</v>
      </c>
      <c r="M951" t="str">
        <v>=</v>
      </c>
      <c r="N951">
        <f>J951+L951</f>
        <v>0.27</v>
      </c>
      <c r="T951" t="str">
        <v>x</v>
      </c>
      <c r="U951">
        <f>0.006165*F951^2</f>
        <v>0</v>
      </c>
      <c r="V951" t="str">
        <v>x</v>
      </c>
      <c r="W951">
        <f>W947</f>
        <v>6</v>
      </c>
      <c r="X951" t="str">
        <v>x</v>
      </c>
      <c r="Y951">
        <f>D935</f>
        <v>3</v>
      </c>
      <c r="Z951" t="str">
        <v>=</v>
      </c>
      <c r="AA951">
        <f>N951*U951*W951*Y951</f>
        <v>0</v>
      </c>
    </row>
    <row r="955">
      <c r="A955" t="str">
        <f>A925</f>
        <v>Lantai 1</v>
      </c>
      <c r="B955">
        <f>B925+1</f>
        <v>31</v>
      </c>
      <c r="C955" t="str">
        <f>CONCATENATE(A955," no. ",B955)</f>
        <v>Lantai 1 no. 31</v>
      </c>
      <c r="D955" t="str">
        <f>VLOOKUP(C955,'Data Panjang Balok'!$C$9:$N$254,2,FALSE)</f>
        <v>S25-1</v>
      </c>
    </row>
    <row r="956">
      <c r="C956" t="str">
        <v>Dimensi</v>
      </c>
      <c r="D956">
        <f>VLOOKUP(D955,'Detail Balok'!$C$10:$AU$140,2,FALSE)</f>
        <v>200</v>
      </c>
      <c r="F956" t="str">
        <v>x</v>
      </c>
      <c r="G956">
        <f>VLOOKUP(D955,'Detail Balok'!$C$10:$AU$140,3,FALSE)</f>
        <v>500</v>
      </c>
    </row>
    <row r="957">
      <c r="C957" t="str">
        <v>Panjang as ke as</v>
      </c>
      <c r="D957">
        <f>VLOOKUP(C955,'Data Panjang Balok'!$C$9:$N$254,4,FALSE)</f>
        <v>6150</v>
      </c>
    </row>
    <row r="958">
      <c r="C958" t="str">
        <v>Panjang netto</v>
      </c>
      <c r="D958">
        <f>VLOOKUP(C955,'Data Panjang Balok'!$C$9:$N$254,7,FALSE)</f>
        <v>6150</v>
      </c>
    </row>
    <row r="959">
      <c r="C959" t="str">
        <v>Kolom / balok kiri</v>
      </c>
      <c r="D959">
        <f>VLOOKUP(C955,'Data Panjang Balok'!$C$9:$N$254,9,FALSE)</f>
        <v>0</v>
      </c>
    </row>
    <row r="960">
      <c r="C960" t="str">
        <v>Kolom / balok kanan</v>
      </c>
      <c r="D960">
        <f>VLOOKUP(C955,'Data Panjang Balok'!$C$9:$N$254,10,FALSE)</f>
        <v>0</v>
      </c>
    </row>
    <row r="961">
      <c r="C961" t="str">
        <v>Jumlah</v>
      </c>
      <c r="D961">
        <f>VLOOKUP(C955,'Data Panjang Balok'!$C$9:$N$254,3,FALSE)</f>
        <v>1</v>
      </c>
    </row>
    <row r="962">
      <c r="A962" t="str">
        <f>A955</f>
        <v>Lantai 1</v>
      </c>
      <c r="B962">
        <f>B955</f>
        <v>31</v>
      </c>
      <c r="C962" t="str">
        <v>Tul Atas Tumpuan</v>
      </c>
      <c r="D962">
        <f>VLOOKUP(D955,'Detail Balok'!$C$10:$AU$140,4,FALSE)</f>
        <v>3</v>
      </c>
      <c r="E962" t="str">
        <v>D</v>
      </c>
      <c r="F962">
        <f>VLOOKUP(D955,'Detail Balok'!$C$10:$AU$140,6,FALSE)</f>
        <v>16</v>
      </c>
      <c r="I962" t="str">
        <v>(</v>
      </c>
      <c r="J962">
        <f>+D957/4/1000</f>
        <v>1.5375</v>
      </c>
      <c r="K962" t="str">
        <v>+</v>
      </c>
      <c r="L962">
        <f>MAX(VLOOKUP(F962,N$6:P$15,3,FALSE)/1000,2/3*D959/1000)+F$16*F962/1000</f>
        <v>0.192</v>
      </c>
      <c r="M962" t="str">
        <v>=</v>
      </c>
      <c r="N962">
        <f>J962+L962</f>
        <v>1.7295</v>
      </c>
      <c r="O962" t="str">
        <v>+</v>
      </c>
      <c r="P962">
        <f>D962-D963</f>
        <v>0</v>
      </c>
      <c r="Q962" t="str">
        <v>x</v>
      </c>
      <c r="R962">
        <f>IF(P962&gt;0,$F$18*F962/1000,0)</f>
        <v>0</v>
      </c>
      <c r="S962" t="str">
        <v>)</v>
      </c>
      <c r="T962" t="str">
        <v>x</v>
      </c>
      <c r="U962">
        <f>0.006165*F962^2</f>
        <v>1.57824</v>
      </c>
      <c r="X962" t="str">
        <v>x</v>
      </c>
      <c r="Y962">
        <f>D961</f>
        <v>1</v>
      </c>
      <c r="Z962" t="str">
        <v>=</v>
      </c>
      <c r="AA962">
        <f>IF(AA965=0,(D962*N962+P962*R962)*U962*Y962,0)</f>
        <v>0</v>
      </c>
    </row>
    <row r="963">
      <c r="A963" t="str">
        <f>A955</f>
        <v>Lantai 1</v>
      </c>
      <c r="B963">
        <f>B955</f>
        <v>31</v>
      </c>
      <c r="C963" t="str">
        <v>Tul Atas Lapangan</v>
      </c>
      <c r="D963">
        <f>VLOOKUP(D955,'Detail Balok'!$C$10:$AU$140,7,FALSE)</f>
        <v>3</v>
      </c>
      <c r="E963" t="str">
        <v>D</v>
      </c>
      <c r="F963">
        <f>VLOOKUP(D955,'Detail Balok'!$C$10:$AU$140,9,FALSE)</f>
        <v>16</v>
      </c>
      <c r="I963" t="str">
        <v>(</v>
      </c>
      <c r="J963">
        <f>+D957/2/1000</f>
        <v>3.075</v>
      </c>
      <c r="K963" t="str">
        <v>+</v>
      </c>
      <c r="M963" t="str">
        <v>=</v>
      </c>
      <c r="N963">
        <f>J963+L963</f>
        <v>3.075</v>
      </c>
      <c r="O963" t="str">
        <v>+</v>
      </c>
      <c r="P963">
        <f>MAX(D963-D962,D963-D964)</f>
        <v>0</v>
      </c>
      <c r="Q963" t="str">
        <v>x</v>
      </c>
      <c r="R963">
        <f>IF(P963&gt;0,2*(1-2*$F$19-1/2)*D958/1000,0)</f>
        <v>0</v>
      </c>
      <c r="S963" t="str">
        <v>)</v>
      </c>
      <c r="T963" t="str">
        <v>x</v>
      </c>
      <c r="U963">
        <f>0.006165*F963^2</f>
        <v>1.57824</v>
      </c>
      <c r="X963" t="str">
        <v>x</v>
      </c>
      <c r="Y963">
        <f>D961</f>
        <v>1</v>
      </c>
      <c r="Z963" t="str">
        <v>=</v>
      </c>
      <c r="AA963">
        <f>IF(AA965=0,(D963*N963+P963*R963)*U963*Y963,0)</f>
        <v>0</v>
      </c>
    </row>
    <row r="964">
      <c r="A964" t="str">
        <f>A955</f>
        <v>Lantai 1</v>
      </c>
      <c r="B964">
        <f>B955</f>
        <v>31</v>
      </c>
      <c r="C964" t="str">
        <v>Tul Atas Tumpuan</v>
      </c>
      <c r="D964">
        <f>VLOOKUP(D955,'Detail Balok'!$C$10:$AU$140,10,FALSE)</f>
        <v>3</v>
      </c>
      <c r="E964" t="str">
        <v>D</v>
      </c>
      <c r="F964">
        <f>VLOOKUP(D955,'Detail Balok'!$C$10:$AU$140,12,FALSE)</f>
        <v>16</v>
      </c>
      <c r="I964" t="str">
        <v>(</v>
      </c>
      <c r="J964">
        <f>+D957/4/1000</f>
        <v>1.5375</v>
      </c>
      <c r="K964" t="str">
        <v>+</v>
      </c>
      <c r="L964">
        <f>MAX(VLOOKUP(F964,N$6:P$15,3,FALSE)/1000,2/3*D959/1000)+F$16*F964/1000</f>
        <v>0.192</v>
      </c>
      <c r="M964" t="str">
        <v>=</v>
      </c>
      <c r="N964">
        <f>J964+L964</f>
        <v>1.7295</v>
      </c>
      <c r="O964" t="str">
        <v>+</v>
      </c>
      <c r="P964">
        <f>D964-D963</f>
        <v>0</v>
      </c>
      <c r="Q964" t="str">
        <v>x</v>
      </c>
      <c r="R964">
        <f>IF(P964&gt;0,$F$18*F964/1000,0)</f>
        <v>0</v>
      </c>
      <c r="S964" t="str">
        <v>)</v>
      </c>
      <c r="T964" t="str">
        <v>x</v>
      </c>
      <c r="U964">
        <f>0.006165*F964^2</f>
        <v>1.57824</v>
      </c>
      <c r="X964" t="str">
        <v>x</v>
      </c>
      <c r="Y964">
        <f>D961</f>
        <v>1</v>
      </c>
      <c r="Z964" t="str">
        <v>=</v>
      </c>
      <c r="AA964">
        <f>IF(AA965=0,(D964*N964+P964*R964)*U964*Y964,0)</f>
        <v>0</v>
      </c>
    </row>
    <row r="965">
      <c r="A965" t="str">
        <f>A955</f>
        <v>Lantai 1</v>
      </c>
      <c r="B965">
        <f>B955</f>
        <v>31</v>
      </c>
      <c r="D965">
        <f>IF(AND(D962=D963,D963=D964,D962=D964),D962,0)</f>
        <v>3</v>
      </c>
      <c r="E965" t="str">
        <v>D</v>
      </c>
      <c r="F965">
        <f>IF(AND(F962=F963,F962=F964,F963=F964),F962,0)</f>
        <v>16</v>
      </c>
      <c r="L965" t="str">
        <v>Total panjang per balok</v>
      </c>
      <c r="M965" t="str">
        <v>=</v>
      </c>
      <c r="N965">
        <f>IF(AND(D962=D963,D962=D964,D963=D964,F962=F963,F962=F964,F963=F964),SUM(N962:N964),0)</f>
        <v>6.534</v>
      </c>
      <c r="O965" t="str">
        <v>+</v>
      </c>
      <c r="P965">
        <f>IF(N965&gt;12,ROUNDDOWN(N965/12,0),0)</f>
        <v>0</v>
      </c>
      <c r="Q965" t="str">
        <v>x</v>
      </c>
      <c r="R965">
        <f>IF(P965&gt;0,MAX(VLOOKUP(F965,$D$6:$G$15,3,FALSE),600),0)/1000</f>
        <v>0</v>
      </c>
      <c r="T965" t="str">
        <v>x</v>
      </c>
      <c r="U965">
        <f>U964</f>
        <v>1.57824</v>
      </c>
      <c r="V965" t="str">
        <v>x</v>
      </c>
      <c r="W965">
        <f>D965</f>
        <v>3</v>
      </c>
      <c r="X965" t="str">
        <v>x</v>
      </c>
      <c r="Y965">
        <f>Y964</f>
        <v>1</v>
      </c>
      <c r="Z965" t="str">
        <v>=</v>
      </c>
      <c r="AA965">
        <f>(N965+P965*R965/1000)*U965*W965*Y965</f>
        <v>30.93666048</v>
      </c>
    </row>
    <row r="967">
      <c r="A967" t="str">
        <f>A955</f>
        <v>Lantai 1</v>
      </c>
      <c r="B967">
        <f>B955</f>
        <v>31</v>
      </c>
      <c r="C967" t="str">
        <v>Tul Peminggang</v>
      </c>
      <c r="D967">
        <f>VLOOKUP(D955,'Detail Balok'!$C$10:$AU$140,13,FALSE)</f>
        <v>2</v>
      </c>
      <c r="E967" t="str">
        <v>D</v>
      </c>
      <c r="F967">
        <f>VLOOKUP(D955,'Detail Balok'!$C$10:$AU$140,15,FALSE)</f>
        <v>10</v>
      </c>
      <c r="J967">
        <f>+D957/1000</f>
        <v>6.15</v>
      </c>
      <c r="K967" t="str">
        <v>+</v>
      </c>
      <c r="L967">
        <f>2*$F$16*F967/1000</f>
        <v>0.24</v>
      </c>
      <c r="M967" t="str">
        <v>=</v>
      </c>
      <c r="N967">
        <f>J967+L967</f>
        <v>6.390000000000001</v>
      </c>
      <c r="O967" t="str">
        <v>+</v>
      </c>
      <c r="P967">
        <f>IF(N967&gt;12,ROUNDDOWN(N967/12,0),0)</f>
        <v>0</v>
      </c>
      <c r="Q967" t="str">
        <v>x</v>
      </c>
      <c r="R967">
        <f>IF(P967&gt;0,MAX(VLOOKUP(F967,$D$6:$G$15,3,FALSE),600),0)/1000</f>
        <v>0</v>
      </c>
      <c r="T967" t="str">
        <v>x</v>
      </c>
      <c r="U967">
        <f>0.006165*F967^2</f>
        <v>0.6165</v>
      </c>
      <c r="V967" t="str">
        <v>x</v>
      </c>
      <c r="W967">
        <f>+D967</f>
        <v>2</v>
      </c>
      <c r="X967" t="str">
        <v>x</v>
      </c>
      <c r="Y967">
        <f>D961</f>
        <v>1</v>
      </c>
      <c r="Z967" t="str">
        <v>=</v>
      </c>
      <c r="AA967">
        <f>(N967+P967*R967/1000)*U967*W967*Y967</f>
        <v>7.878870000000001</v>
      </c>
    </row>
    <row r="970">
      <c r="A970" t="str">
        <f>A955</f>
        <v>Lantai 1</v>
      </c>
      <c r="B970">
        <f>B955</f>
        <v>31</v>
      </c>
      <c r="C970" t="str">
        <v>Tul Bawah Tumpuan</v>
      </c>
      <c r="D970">
        <f>VLOOKUP(D955,'Detail Balok'!$C$10:$AU$140,22,FALSE)</f>
        <v>3</v>
      </c>
      <c r="E970" t="str">
        <v>D</v>
      </c>
      <c r="F970">
        <f>VLOOKUP(D955,'Detail Balok'!$C$10:$AU$140,24,FALSE)</f>
        <v>16</v>
      </c>
      <c r="I970" t="str">
        <v>(</v>
      </c>
      <c r="J970">
        <f>+J962</f>
        <v>1.5375</v>
      </c>
      <c r="K970" t="str">
        <v>+</v>
      </c>
      <c r="L970">
        <f>MAX(VLOOKUP(F970,N$6:P$15,3,FALSE)/1000,2/3*D960/1000)+F$16*F970/1000</f>
        <v>0.192</v>
      </c>
      <c r="M970" t="str">
        <v>=</v>
      </c>
      <c r="N970">
        <f>J970+L970</f>
        <v>1.7295</v>
      </c>
      <c r="O970" t="str">
        <v>+</v>
      </c>
      <c r="P970">
        <f>D970-D971</f>
        <v>0</v>
      </c>
      <c r="Q970" t="str">
        <v>x</v>
      </c>
      <c r="R970">
        <f>IF(P970&gt;0,$F$18*F970/1000,0)</f>
        <v>0</v>
      </c>
      <c r="S970" t="str">
        <v>)</v>
      </c>
      <c r="T970" t="str">
        <v>x</v>
      </c>
      <c r="U970">
        <f>0.006165*F970^2</f>
        <v>1.57824</v>
      </c>
      <c r="X970" t="str">
        <v>x</v>
      </c>
      <c r="Y970">
        <f>D961</f>
        <v>1</v>
      </c>
      <c r="Z970" t="str">
        <v>=</v>
      </c>
      <c r="AA970">
        <f>IF(AA973=0,(D970*N970+P970*R970)*U970*Y970,0)</f>
        <v>0</v>
      </c>
    </row>
    <row r="971">
      <c r="A971" t="str">
        <f>A955</f>
        <v>Lantai 1</v>
      </c>
      <c r="B971">
        <f>B955</f>
        <v>31</v>
      </c>
      <c r="C971" t="str">
        <v>Tul Bawah Lapangan</v>
      </c>
      <c r="D971">
        <f>VLOOKUP(D955,'Detail Balok'!$C$10:$AU$140,25,FALSE)</f>
        <v>3</v>
      </c>
      <c r="E971" t="str">
        <v>D</v>
      </c>
      <c r="F971">
        <f>VLOOKUP(D955,'Detail Balok'!$C$10:$AU$140,27,FALSE)</f>
        <v>16</v>
      </c>
      <c r="I971" t="str">
        <v>(</v>
      </c>
      <c r="J971">
        <f>+J963</f>
        <v>3.075</v>
      </c>
      <c r="K971" t="str">
        <v>+</v>
      </c>
      <c r="M971" t="str">
        <v>=</v>
      </c>
      <c r="N971">
        <f>J971+L971</f>
        <v>3.075</v>
      </c>
      <c r="O971" t="str">
        <v>+</v>
      </c>
      <c r="P971">
        <f>MAX(D971-D970,D971-D972)</f>
        <v>0</v>
      </c>
      <c r="Q971" t="str">
        <v>x</v>
      </c>
      <c r="R971">
        <f>IF(P971&gt;0,2*(1-2*$F$19-1/2)*D958/1000,0)</f>
        <v>0</v>
      </c>
      <c r="S971" t="str">
        <v>)</v>
      </c>
      <c r="T971" t="str">
        <v>x</v>
      </c>
      <c r="U971">
        <f>0.006165*F971^2</f>
        <v>1.57824</v>
      </c>
      <c r="X971" t="str">
        <v>x</v>
      </c>
      <c r="Y971">
        <f>D961</f>
        <v>1</v>
      </c>
      <c r="Z971" t="str">
        <v>=</v>
      </c>
      <c r="AA971">
        <f>IF(AA973=0,(D971*N971+P971*R971)*U971*Y971,0)</f>
        <v>0</v>
      </c>
    </row>
    <row r="972">
      <c r="A972" t="str">
        <f>A955</f>
        <v>Lantai 1</v>
      </c>
      <c r="B972">
        <f>B955</f>
        <v>31</v>
      </c>
      <c r="C972" t="str">
        <v>Tul Bawah Tumpuan</v>
      </c>
      <c r="D972">
        <f>VLOOKUP(D955,'Detail Balok'!$C$10:$AU$140,28,FALSE)</f>
        <v>3</v>
      </c>
      <c r="E972" t="str">
        <v>D</v>
      </c>
      <c r="F972">
        <f>VLOOKUP(D955,'Detail Balok'!$C$10:$AU$140,30,FALSE)</f>
        <v>16</v>
      </c>
      <c r="I972" t="str">
        <v>(</v>
      </c>
      <c r="J972">
        <f>+J964</f>
        <v>1.5375</v>
      </c>
      <c r="K972" t="str">
        <v>+</v>
      </c>
      <c r="L972">
        <f>MAX(VLOOKUP(F972,N$6:P$15,3,FALSE)/1000,2/3*D960/1000)+F$16*F972/1000</f>
        <v>0.192</v>
      </c>
      <c r="M972" t="str">
        <v>=</v>
      </c>
      <c r="N972">
        <f>J972+L972</f>
        <v>1.7295</v>
      </c>
      <c r="O972" t="str">
        <v>+</v>
      </c>
      <c r="P972">
        <f>D972-D971</f>
        <v>0</v>
      </c>
      <c r="Q972" t="str">
        <v>x</v>
      </c>
      <c r="R972">
        <f>IF(P972&gt;0,$F$18*F972/1000,0)</f>
        <v>0</v>
      </c>
      <c r="S972" t="str">
        <v>)</v>
      </c>
      <c r="T972" t="str">
        <v>x</v>
      </c>
      <c r="U972">
        <f>0.006165*F972^2</f>
        <v>1.57824</v>
      </c>
      <c r="X972" t="str">
        <v>x</v>
      </c>
      <c r="Y972">
        <f>D961</f>
        <v>1</v>
      </c>
      <c r="Z972" t="str">
        <v>=</v>
      </c>
      <c r="AA972">
        <f>IF(AA973=0,(D972*N972+P972*R972)*U972*Y972,0)</f>
        <v>0</v>
      </c>
    </row>
    <row r="973">
      <c r="A973" t="str">
        <f>A955</f>
        <v>Lantai 1</v>
      </c>
      <c r="B973">
        <f>B955</f>
        <v>31</v>
      </c>
      <c r="D973">
        <f>IF(AND(D970=D971,D971=D972,D970=D972),D970,0)</f>
        <v>3</v>
      </c>
      <c r="E973" t="str">
        <v>D</v>
      </c>
      <c r="F973">
        <f>IF(AND(F970=F971,F970=F972,F971=F972),F970,0)</f>
        <v>16</v>
      </c>
      <c r="L973" t="str">
        <v>Total panjang per balok</v>
      </c>
      <c r="M973" t="str">
        <v>=</v>
      </c>
      <c r="N973">
        <f>IF(AND(D970=D971,D970=D972,D971=D972,F970=F971,F970=F972,F971=F972),SUM(N970:N972),0)</f>
        <v>6.534</v>
      </c>
      <c r="O973" t="str">
        <v>+</v>
      </c>
      <c r="P973">
        <f>IF(N973&gt;12,ROUNDDOWN(N973/12,0),0)</f>
        <v>0</v>
      </c>
      <c r="Q973" t="str">
        <v>x</v>
      </c>
      <c r="R973">
        <f>IF(P973&gt;0,MAX(VLOOKUP(F973,$D$6:$G$15,3,FALSE),600),0)/1000</f>
        <v>0</v>
      </c>
      <c r="T973" t="str">
        <v>x</v>
      </c>
      <c r="U973">
        <f>U972</f>
        <v>1.57824</v>
      </c>
      <c r="V973" t="str">
        <v>x</v>
      </c>
      <c r="W973">
        <f>D973</f>
        <v>3</v>
      </c>
      <c r="X973" t="str">
        <v>x</v>
      </c>
      <c r="Y973">
        <f>Y972</f>
        <v>1</v>
      </c>
      <c r="Z973" t="str">
        <v>=</v>
      </c>
      <c r="AA973">
        <f>(N973+P973*R973/1000)*U973*W973*Y973</f>
        <v>30.93666048</v>
      </c>
    </row>
    <row r="975">
      <c r="A975" t="str">
        <f>A955</f>
        <v>Lantai 1</v>
      </c>
      <c r="B975">
        <f>B955</f>
        <v>31</v>
      </c>
      <c r="C975" t="str">
        <v>Sengkang Tumpuan</v>
      </c>
      <c r="D975">
        <f>VLOOKUP(D955,'Detail Balok'!$C$10:$AU$140,31,FALSE)</f>
        <v>0</v>
      </c>
      <c r="E975" t="str">
        <v>D</v>
      </c>
      <c r="F975">
        <f>VLOOKUP(D955,'Detail Balok'!$C$10:$AU$140,33,FALSE)</f>
        <v>8</v>
      </c>
      <c r="G975" t="str">
        <v>-</v>
      </c>
      <c r="H975">
        <f>VLOOKUP(D955,'Detail Balok'!$C$10:$AU$140,35,FALSE)</f>
        <v>150</v>
      </c>
      <c r="J975">
        <f>(IF(D975=0,(2*(D956+G956))-(F$5*8),IF(D975=3,(2*(D956+G956))-(F$5*8)+(G956-2*F$5),IF(D975=4,(2*(D956+G956))-(F$5*8)+2*(G956-2*F$5)))))/1000</f>
        <v>1.08</v>
      </c>
      <c r="K975" t="str">
        <v>+</v>
      </c>
      <c r="L975">
        <f>IF(D975=0,2*MAX(6*F975,75),(D975-1)*2*MAX(6*F975,75))/1000</f>
        <v>0.15</v>
      </c>
      <c r="M975" t="str">
        <v>=</v>
      </c>
      <c r="N975">
        <f>J975+L975</f>
        <v>1.23</v>
      </c>
      <c r="T975" t="str">
        <v>x</v>
      </c>
      <c r="U975">
        <f>0.006165*F975^2</f>
        <v>0.39456</v>
      </c>
      <c r="V975" t="str">
        <v>x</v>
      </c>
      <c r="W975">
        <f>IF(D958&gt;4*G956,ROUND(MAX(D958/4,2*G956)/H975,0)+1,ROUND(D958/H975,0)+1)</f>
        <v>11</v>
      </c>
      <c r="X975" t="str">
        <v>x</v>
      </c>
      <c r="Y975">
        <f>D961</f>
        <v>1</v>
      </c>
      <c r="Z975" t="str">
        <v>=</v>
      </c>
      <c r="AA975">
        <f>N975*U975*W975*Y975</f>
        <v>5.338396800000001</v>
      </c>
    </row>
    <row r="976">
      <c r="A976" t="str">
        <f>A955</f>
        <v>Lantai 1</v>
      </c>
      <c r="B976">
        <f>B955</f>
        <v>31</v>
      </c>
      <c r="C976" t="str">
        <v>Sengkang Lapangan</v>
      </c>
      <c r="D976">
        <f>VLOOKUP(D955,'Detail Balok'!$C$10:$AU$140,36,FALSE)</f>
        <v>0</v>
      </c>
      <c r="E976" t="str">
        <v>D</v>
      </c>
      <c r="F976">
        <f>VLOOKUP(D955,'Detail Balok'!$C$10:$AU$140,38,FALSE)</f>
        <v>8</v>
      </c>
      <c r="G976" t="str">
        <v>-</v>
      </c>
      <c r="H976">
        <f>VLOOKUP(D955,'Detail Balok'!$C$10:$AU$140,40,FALSE)</f>
        <v>200</v>
      </c>
      <c r="J976">
        <f>(IF(D976=0,(2*(D956+G956))-(F$5*8),IF(D976=3,(2*(D956+G956))-(F$5*8)+(G956-2*F$5),IF(D976=4,(2*(D956+G956))-(F$5*8)+2*(G956-2*F$5)))))/1000</f>
        <v>1.08</v>
      </c>
      <c r="K976" t="str">
        <v>+</v>
      </c>
      <c r="L976">
        <f>IF(D976=0,2*MAX(6*F976,75),(D976-1)*2*MAX(6*F976,75))/1000</f>
        <v>0.15</v>
      </c>
      <c r="M976" t="str">
        <v>=</v>
      </c>
      <c r="N976">
        <f>J976+L976</f>
        <v>1.23</v>
      </c>
      <c r="T976" t="str">
        <v>x</v>
      </c>
      <c r="U976">
        <f>0.006165*F976^2</f>
        <v>0.39456</v>
      </c>
      <c r="V976" t="str">
        <v>x</v>
      </c>
      <c r="W976">
        <f>IF(D958-MAX(D958/4,2*G956)*2&gt;0,ROUND((D958-MAX(D958/4,2*G956)*2)/H976,0),0)</f>
        <v>15</v>
      </c>
      <c r="X976" t="str">
        <v>x</v>
      </c>
      <c r="Y976">
        <f>D961</f>
        <v>1</v>
      </c>
      <c r="Z976" t="str">
        <v>=</v>
      </c>
      <c r="AA976">
        <f>N976*U976*W976*Y976</f>
        <v>7.279632</v>
      </c>
    </row>
    <row r="977">
      <c r="A977" t="str">
        <f>A955</f>
        <v>Lantai 1</v>
      </c>
      <c r="B977">
        <f>B955</f>
        <v>31</v>
      </c>
      <c r="C977" t="str">
        <v>Sengkang Tumpuan</v>
      </c>
      <c r="D977">
        <f>VLOOKUP(D955,'Detail Balok'!$C$10:$AU$140,41,FALSE)</f>
        <v>0</v>
      </c>
      <c r="E977" t="str">
        <v>D</v>
      </c>
      <c r="F977">
        <f>VLOOKUP(D955,'Detail Balok'!$C$10:$AU$140,43,FALSE)</f>
        <v>8</v>
      </c>
      <c r="G977" t="str">
        <v>-</v>
      </c>
      <c r="H977">
        <f>VLOOKUP(D955,'Detail Balok'!$C$10:$AU$140,45,FALSE)</f>
        <v>150</v>
      </c>
      <c r="J977">
        <f>(IF(D977=0,(2*(D956+G956))-(F$5*8),IF(D977=3,(2*(D956+G956))-(F$5*8)+(G956-2*F$5),IF(D977=4,(2*(D956+G956))-(F$5*8)+2*(G956-2*F$5)))))/1000</f>
        <v>1.08</v>
      </c>
      <c r="K977" t="str">
        <v>+</v>
      </c>
      <c r="L977">
        <f>IF(D977=0,2*MAX(6*F977,75),(D977-1)*2*MAX(6*F977,75))/1000</f>
        <v>0.15</v>
      </c>
      <c r="M977" t="str">
        <v>=</v>
      </c>
      <c r="N977">
        <f>J977+L977</f>
        <v>1.23</v>
      </c>
      <c r="T977" t="str">
        <v>x</v>
      </c>
      <c r="U977">
        <f>0.006165*F977^2</f>
        <v>0.39456</v>
      </c>
      <c r="V977" t="str">
        <v>x</v>
      </c>
      <c r="W977">
        <f>IF(D958&gt;4*G956,ROUND(MAX(D958/4,2*G956)/H977,0)+1,0)</f>
        <v>11</v>
      </c>
      <c r="X977" t="str">
        <v>x</v>
      </c>
      <c r="Y977">
        <f>D961</f>
        <v>1</v>
      </c>
      <c r="Z977" t="str">
        <v>=</v>
      </c>
      <c r="AA977">
        <f>N977*U977*W977*Y977</f>
        <v>5.338396800000001</v>
      </c>
    </row>
    <row r="979">
      <c r="A979" t="str">
        <f>A955</f>
        <v>Lantai 1</v>
      </c>
      <c r="B979">
        <f>B955</f>
        <v>31</v>
      </c>
      <c r="C979" t="str">
        <v>Kait Horizontal Tump.</v>
      </c>
      <c r="D979">
        <f>VLOOKUP(D955,'Detail Balok'!$C$10:$BJ$140,46,FALSE)</f>
        <v>0</v>
      </c>
      <c r="E979" t="str">
        <v>D</v>
      </c>
      <c r="F979">
        <f>VLOOKUP(D955,'Detail Balok'!$C$10:$BJ$140,48,FALSE)</f>
        <v>0</v>
      </c>
      <c r="G979" t="str">
        <v>-</v>
      </c>
      <c r="H979">
        <f>VLOOKUP(D955,'Detail Balok'!$C$10:$BJ$140,50,FALSE)</f>
        <v>100</v>
      </c>
      <c r="J979">
        <f>(D956-2*F$5)/1000</f>
        <v>0.12</v>
      </c>
      <c r="K979" t="str">
        <v>+</v>
      </c>
      <c r="L979">
        <f>IF(D979=0,2*MAX(6*F979,75),(D979-1)*2*MAX(6*F979,75))/1000</f>
        <v>0.15</v>
      </c>
      <c r="M979" t="str">
        <v>=</v>
      </c>
      <c r="N979">
        <f>J979+L979</f>
        <v>0.27</v>
      </c>
      <c r="T979" t="str">
        <v>x</v>
      </c>
      <c r="U979">
        <f>0.006165*F979^2</f>
        <v>0</v>
      </c>
      <c r="V979" t="str">
        <v>x</v>
      </c>
      <c r="W979">
        <f>W975</f>
        <v>11</v>
      </c>
      <c r="X979" t="str">
        <v>x</v>
      </c>
      <c r="Y979">
        <f>D965</f>
        <v>3</v>
      </c>
      <c r="Z979" t="str">
        <v>=</v>
      </c>
      <c r="AA979">
        <f>N979*U979*W979*Y979</f>
        <v>0</v>
      </c>
    </row>
    <row r="980">
      <c r="A980" t="str">
        <f>A955</f>
        <v>Lantai 1</v>
      </c>
      <c r="B980">
        <f>B955</f>
        <v>31</v>
      </c>
      <c r="C980" t="str">
        <v>Kait Horizontal Lap.</v>
      </c>
      <c r="D980">
        <f>VLOOKUP(D955,'Detail Balok'!$C$10:$BJ$140,51,FALSE)</f>
        <v>0</v>
      </c>
      <c r="E980" t="str">
        <v>D</v>
      </c>
      <c r="F980">
        <f>VLOOKUP(D955,'Detail Balok'!$C$10:$BJ$140,53,FALSE)</f>
        <v>0</v>
      </c>
      <c r="G980" t="str">
        <v>-</v>
      </c>
      <c r="H980">
        <f>VLOOKUP(D955,'Detail Balok'!$C$10:$BJ$140,55,FALSE)</f>
        <v>100</v>
      </c>
      <c r="J980">
        <f>(D956-2*F$5)/1000</f>
        <v>0.12</v>
      </c>
      <c r="K980" t="str">
        <v>+</v>
      </c>
      <c r="L980">
        <f>IF(D980=0,2*MAX(6*F980,75),(D980-1)*2*MAX(6*F980,75))/1000</f>
        <v>0.15</v>
      </c>
      <c r="M980" t="str">
        <v>=</v>
      </c>
      <c r="N980">
        <f>J980+L980</f>
        <v>0.27</v>
      </c>
      <c r="T980" t="str">
        <v>x</v>
      </c>
      <c r="U980">
        <f>0.006165*F980^2</f>
        <v>0</v>
      </c>
      <c r="V980" t="str">
        <v>x</v>
      </c>
      <c r="W980">
        <f>W976</f>
        <v>15</v>
      </c>
      <c r="X980" t="str">
        <v>x</v>
      </c>
      <c r="Y980">
        <f>D965</f>
        <v>3</v>
      </c>
      <c r="Z980" t="str">
        <v>=</v>
      </c>
      <c r="AA980">
        <f>N980*U980*W980*Y980</f>
        <v>0</v>
      </c>
    </row>
    <row r="981">
      <c r="A981" t="str">
        <f>A955</f>
        <v>Lantai 1</v>
      </c>
      <c r="B981">
        <f>B955</f>
        <v>31</v>
      </c>
      <c r="C981" t="str">
        <v>Kait Horizontal Tump.</v>
      </c>
      <c r="D981">
        <f>VLOOKUP(D955,'Detail Balok'!$C$10:$BJ$140,56,FALSE)</f>
        <v>0</v>
      </c>
      <c r="E981" t="str">
        <v>D</v>
      </c>
      <c r="F981">
        <f>VLOOKUP(D955,'Detail Balok'!$C$10:$BJ$140,58,FALSE)</f>
        <v>0</v>
      </c>
      <c r="G981" t="str">
        <v>-</v>
      </c>
      <c r="H981">
        <f>VLOOKUP(D955,'Detail Balok'!$C$10:$BJ$140,60,FALSE)</f>
        <v>100</v>
      </c>
      <c r="J981">
        <f>(D956-2*F$5)/1000</f>
        <v>0.12</v>
      </c>
      <c r="K981" t="str">
        <v>+</v>
      </c>
      <c r="L981">
        <f>IF(D981=0,2*MAX(6*F981,75),(D981-1)*2*MAX(6*F981,75))/1000</f>
        <v>0.15</v>
      </c>
      <c r="M981" t="str">
        <v>=</v>
      </c>
      <c r="N981">
        <f>J981+L981</f>
        <v>0.27</v>
      </c>
      <c r="T981" t="str">
        <v>x</v>
      </c>
      <c r="U981">
        <f>0.006165*F981^2</f>
        <v>0</v>
      </c>
      <c r="V981" t="str">
        <v>x</v>
      </c>
      <c r="W981">
        <f>W977</f>
        <v>11</v>
      </c>
      <c r="X981" t="str">
        <v>x</v>
      </c>
      <c r="Y981">
        <f>D965</f>
        <v>3</v>
      </c>
      <c r="Z981" t="str">
        <v>=</v>
      </c>
      <c r="AA981">
        <f>N981*U981*W981*Y981</f>
        <v>0</v>
      </c>
    </row>
    <row r="985">
      <c r="A985" t="str">
        <f>A955</f>
        <v>Lantai 1</v>
      </c>
      <c r="B985">
        <f>B955+1</f>
        <v>32</v>
      </c>
      <c r="C985" t="str">
        <f>CONCATENATE(A985," no. ",B985)</f>
        <v>Lantai 1 no. 32</v>
      </c>
      <c r="D985" t="str">
        <f>VLOOKUP(C985,'Data Panjang Balok'!$C$9:$N$254,2,FALSE)</f>
        <v>S24-1</v>
      </c>
    </row>
    <row r="986">
      <c r="C986" t="str">
        <v>Dimensi</v>
      </c>
      <c r="D986">
        <f>VLOOKUP(D985,'Detail Balok'!$C$10:$AU$140,2,FALSE)</f>
        <v>200</v>
      </c>
      <c r="F986" t="str">
        <v>x</v>
      </c>
      <c r="G986">
        <f>VLOOKUP(D985,'Detail Balok'!$C$10:$AU$140,3,FALSE)</f>
        <v>400</v>
      </c>
    </row>
    <row r="987">
      <c r="C987" t="str">
        <v>Panjang as ke as</v>
      </c>
      <c r="D987">
        <f>VLOOKUP(C985,'Data Panjang Balok'!$C$9:$N$254,4,FALSE)</f>
        <v>5150</v>
      </c>
    </row>
    <row r="988">
      <c r="C988" t="str">
        <v>Panjang netto</v>
      </c>
      <c r="D988">
        <f>VLOOKUP(C985,'Data Panjang Balok'!$C$9:$N$254,7,FALSE)</f>
        <v>5150</v>
      </c>
    </row>
    <row r="989">
      <c r="C989" t="str">
        <v>Kolom / balok kiri</v>
      </c>
      <c r="D989">
        <f>VLOOKUP(C985,'Data Panjang Balok'!$C$9:$N$254,9,FALSE)</f>
        <v>0</v>
      </c>
    </row>
    <row r="990">
      <c r="C990" t="str">
        <v>Kolom / balok kanan</v>
      </c>
      <c r="D990">
        <f>VLOOKUP(C985,'Data Panjang Balok'!$C$9:$N$254,10,FALSE)</f>
        <v>0</v>
      </c>
    </row>
    <row r="991">
      <c r="C991" t="str">
        <v>Jumlah</v>
      </c>
      <c r="D991">
        <f>VLOOKUP(C985,'Data Panjang Balok'!$C$9:$N$254,3,FALSE)</f>
        <v>1</v>
      </c>
    </row>
    <row r="992">
      <c r="A992" t="str">
        <f>A985</f>
        <v>Lantai 1</v>
      </c>
      <c r="B992">
        <f>B985</f>
        <v>32</v>
      </c>
      <c r="C992" t="str">
        <v>Tul Atas Tumpuan</v>
      </c>
      <c r="D992">
        <f>VLOOKUP(D985,'Detail Balok'!$C$10:$AU$140,4,FALSE)</f>
        <v>3</v>
      </c>
      <c r="E992" t="str">
        <v>D</v>
      </c>
      <c r="F992">
        <f>VLOOKUP(D985,'Detail Balok'!$C$10:$AU$140,6,FALSE)</f>
        <v>13</v>
      </c>
      <c r="I992" t="str">
        <v>(</v>
      </c>
      <c r="J992">
        <f>+D987/4/1000</f>
        <v>1.2875</v>
      </c>
      <c r="K992" t="str">
        <v>+</v>
      </c>
      <c r="L992">
        <f>MAX(VLOOKUP(F992,N$6:P$15,3,FALSE)/1000,2/3*D989/1000)+F$16*F992/1000</f>
        <v>0.156</v>
      </c>
      <c r="M992" t="str">
        <v>=</v>
      </c>
      <c r="N992">
        <f>J992+L992</f>
        <v>1.4435</v>
      </c>
      <c r="O992" t="str">
        <v>+</v>
      </c>
      <c r="P992">
        <f>D992-D993</f>
        <v>0</v>
      </c>
      <c r="Q992" t="str">
        <v>x</v>
      </c>
      <c r="R992">
        <f>IF(P992&gt;0,$F$18*F992/1000,0)</f>
        <v>0</v>
      </c>
      <c r="S992" t="str">
        <v>)</v>
      </c>
      <c r="T992" t="str">
        <v>x</v>
      </c>
      <c r="U992">
        <f>0.006165*F992^2</f>
        <v>1.041885</v>
      </c>
      <c r="X992" t="str">
        <v>x</v>
      </c>
      <c r="Y992">
        <f>D991</f>
        <v>1</v>
      </c>
      <c r="Z992" t="str">
        <v>=</v>
      </c>
      <c r="AA992">
        <f>IF(AA995=0,(D992*N992+P992*R992)*U992*Y992,0)</f>
        <v>0</v>
      </c>
    </row>
    <row r="993">
      <c r="A993" t="str">
        <f>A985</f>
        <v>Lantai 1</v>
      </c>
      <c r="B993">
        <f>B985</f>
        <v>32</v>
      </c>
      <c r="C993" t="str">
        <v>Tul Atas Lapangan</v>
      </c>
      <c r="D993">
        <f>VLOOKUP(D985,'Detail Balok'!$C$10:$AU$140,7,FALSE)</f>
        <v>3</v>
      </c>
      <c r="E993" t="str">
        <v>D</v>
      </c>
      <c r="F993">
        <f>VLOOKUP(D985,'Detail Balok'!$C$10:$AU$140,9,FALSE)</f>
        <v>13</v>
      </c>
      <c r="I993" t="str">
        <v>(</v>
      </c>
      <c r="J993">
        <f>+D987/2/1000</f>
        <v>2.575</v>
      </c>
      <c r="K993" t="str">
        <v>+</v>
      </c>
      <c r="M993" t="str">
        <v>=</v>
      </c>
      <c r="N993">
        <f>J993+L993</f>
        <v>2.575</v>
      </c>
      <c r="O993" t="str">
        <v>+</v>
      </c>
      <c r="P993">
        <f>MAX(D993-D992,D993-D994)</f>
        <v>0</v>
      </c>
      <c r="Q993" t="str">
        <v>x</v>
      </c>
      <c r="R993">
        <f>IF(P993&gt;0,2*(1-2*$F$19-1/2)*D988/1000,0)</f>
        <v>0</v>
      </c>
      <c r="S993" t="str">
        <v>)</v>
      </c>
      <c r="T993" t="str">
        <v>x</v>
      </c>
      <c r="U993">
        <f>0.006165*F993^2</f>
        <v>1.041885</v>
      </c>
      <c r="X993" t="str">
        <v>x</v>
      </c>
      <c r="Y993">
        <f>D991</f>
        <v>1</v>
      </c>
      <c r="Z993" t="str">
        <v>=</v>
      </c>
      <c r="AA993">
        <f>IF(AA995=0,(D993*N993+P993*R993)*U993*Y993,0)</f>
        <v>0</v>
      </c>
    </row>
    <row r="994">
      <c r="A994" t="str">
        <f>A985</f>
        <v>Lantai 1</v>
      </c>
      <c r="B994">
        <f>B985</f>
        <v>32</v>
      </c>
      <c r="C994" t="str">
        <v>Tul Atas Tumpuan</v>
      </c>
      <c r="D994">
        <f>VLOOKUP(D985,'Detail Balok'!$C$10:$AU$140,10,FALSE)</f>
        <v>3</v>
      </c>
      <c r="E994" t="str">
        <v>D</v>
      </c>
      <c r="F994">
        <f>VLOOKUP(D985,'Detail Balok'!$C$10:$AU$140,12,FALSE)</f>
        <v>13</v>
      </c>
      <c r="I994" t="str">
        <v>(</v>
      </c>
      <c r="J994">
        <f>+D987/4/1000</f>
        <v>1.2875</v>
      </c>
      <c r="K994" t="str">
        <v>+</v>
      </c>
      <c r="L994">
        <f>MAX(VLOOKUP(F994,N$6:P$15,3,FALSE)/1000,2/3*D989/1000)+F$16*F994/1000</f>
        <v>0.156</v>
      </c>
      <c r="M994" t="str">
        <v>=</v>
      </c>
      <c r="N994">
        <f>J994+L994</f>
        <v>1.4435</v>
      </c>
      <c r="O994" t="str">
        <v>+</v>
      </c>
      <c r="P994">
        <f>D994-D993</f>
        <v>0</v>
      </c>
      <c r="Q994" t="str">
        <v>x</v>
      </c>
      <c r="R994">
        <f>IF(P994&gt;0,$F$18*F994/1000,0)</f>
        <v>0</v>
      </c>
      <c r="S994" t="str">
        <v>)</v>
      </c>
      <c r="T994" t="str">
        <v>x</v>
      </c>
      <c r="U994">
        <f>0.006165*F994^2</f>
        <v>1.041885</v>
      </c>
      <c r="X994" t="str">
        <v>x</v>
      </c>
      <c r="Y994">
        <f>D991</f>
        <v>1</v>
      </c>
      <c r="Z994" t="str">
        <v>=</v>
      </c>
      <c r="AA994">
        <f>IF(AA995=0,(D994*N994+P994*R994)*U994*Y994,0)</f>
        <v>0</v>
      </c>
    </row>
    <row r="995">
      <c r="A995" t="str">
        <f>A985</f>
        <v>Lantai 1</v>
      </c>
      <c r="B995">
        <f>B985</f>
        <v>32</v>
      </c>
      <c r="D995">
        <f>IF(AND(D992=D993,D993=D994,D992=D994),D992,0)</f>
        <v>3</v>
      </c>
      <c r="E995" t="str">
        <v>D</v>
      </c>
      <c r="F995">
        <f>IF(AND(F992=F993,F992=F994,F993=F994),F992,0)</f>
        <v>13</v>
      </c>
      <c r="L995" t="str">
        <v>Total panjang per balok</v>
      </c>
      <c r="M995" t="str">
        <v>=</v>
      </c>
      <c r="N995">
        <f>IF(AND(D992=D993,D992=D994,D993=D994,F992=F993,F992=F994,F993=F994),SUM(N992:N994),0)</f>
        <v>5.462000000000001</v>
      </c>
      <c r="O995" t="str">
        <v>+</v>
      </c>
      <c r="P995">
        <f>IF(N995&gt;12,ROUNDDOWN(N995/12,0),0)</f>
        <v>0</v>
      </c>
      <c r="Q995" t="str">
        <v>x</v>
      </c>
      <c r="R995">
        <f>IF(P995&gt;0,MAX(VLOOKUP(F995,$D$6:$G$15,3,FALSE),600),0)/1000</f>
        <v>0</v>
      </c>
      <c r="T995" t="str">
        <v>x</v>
      </c>
      <c r="U995">
        <f>U994</f>
        <v>1.041885</v>
      </c>
      <c r="V995" t="str">
        <v>x</v>
      </c>
      <c r="W995">
        <f>D995</f>
        <v>3</v>
      </c>
      <c r="X995" t="str">
        <v>x</v>
      </c>
      <c r="Y995">
        <f>Y994</f>
        <v>1</v>
      </c>
      <c r="Z995" t="str">
        <v>=</v>
      </c>
      <c r="AA995">
        <f>(N995+P995*R995/1000)*U995*W995*Y995</f>
        <v>17.072327610000002</v>
      </c>
    </row>
    <row r="997">
      <c r="A997" t="str">
        <f>A985</f>
        <v>Lantai 1</v>
      </c>
      <c r="B997">
        <f>B985</f>
        <v>32</v>
      </c>
      <c r="C997" t="str">
        <v>Tul Peminggang</v>
      </c>
      <c r="D997">
        <f>VLOOKUP(D985,'Detail Balok'!$C$10:$AU$140,13,FALSE)</f>
        <v>0</v>
      </c>
      <c r="E997" t="str">
        <v>D</v>
      </c>
      <c r="F997">
        <f>VLOOKUP(D985,'Detail Balok'!$C$10:$AU$140,15,FALSE)</f>
        <v>8</v>
      </c>
      <c r="J997">
        <f>+D987/1000</f>
        <v>5.15</v>
      </c>
      <c r="K997" t="str">
        <v>+</v>
      </c>
      <c r="L997">
        <f>2*$F$16*F997/1000</f>
        <v>0.192</v>
      </c>
      <c r="M997" t="str">
        <v>=</v>
      </c>
      <c r="N997">
        <f>J997+L997</f>
        <v>5.3420000000000005</v>
      </c>
      <c r="O997" t="str">
        <v>+</v>
      </c>
      <c r="P997">
        <f>IF(N997&gt;12,ROUNDDOWN(N997/12,0),0)</f>
        <v>0</v>
      </c>
      <c r="Q997" t="str">
        <v>x</v>
      </c>
      <c r="R997">
        <f>IF(P997&gt;0,MAX(VLOOKUP(F997,$D$6:$G$15,3,FALSE),600),0)/1000</f>
        <v>0</v>
      </c>
      <c r="T997" t="str">
        <v>x</v>
      </c>
      <c r="U997">
        <f>0.006165*F997^2</f>
        <v>0.39456</v>
      </c>
      <c r="V997" t="str">
        <v>x</v>
      </c>
      <c r="W997">
        <f>+D997</f>
        <v>0</v>
      </c>
      <c r="X997" t="str">
        <v>x</v>
      </c>
      <c r="Y997">
        <f>D991</f>
        <v>1</v>
      </c>
      <c r="Z997" t="str">
        <v>=</v>
      </c>
      <c r="AA997">
        <f>(N997+P997*R997/1000)*U997*W997*Y997</f>
        <v>0</v>
      </c>
    </row>
    <row r="1000">
      <c r="A1000" t="str">
        <f>A985</f>
        <v>Lantai 1</v>
      </c>
      <c r="B1000">
        <f>B985</f>
        <v>32</v>
      </c>
      <c r="C1000" t="str">
        <v>Tul Bawah Tumpuan</v>
      </c>
      <c r="D1000">
        <f>VLOOKUP(D985,'Detail Balok'!$C$10:$AU$140,22,FALSE)</f>
        <v>3</v>
      </c>
      <c r="E1000" t="str">
        <v>D</v>
      </c>
      <c r="F1000">
        <f>VLOOKUP(D985,'Detail Balok'!$C$10:$AU$140,24,FALSE)</f>
        <v>13</v>
      </c>
      <c r="I1000" t="str">
        <v>(</v>
      </c>
      <c r="J1000">
        <f>+J992</f>
        <v>1.2875</v>
      </c>
      <c r="K1000" t="str">
        <v>+</v>
      </c>
      <c r="L1000">
        <f>MAX(VLOOKUP(F1000,N$6:P$15,3,FALSE)/1000,2/3*D990/1000)+F$16*F1000/1000</f>
        <v>0.156</v>
      </c>
      <c r="M1000" t="str">
        <v>=</v>
      </c>
      <c r="N1000">
        <f>J1000+L1000</f>
        <v>1.4435</v>
      </c>
      <c r="O1000" t="str">
        <v>+</v>
      </c>
      <c r="P1000">
        <f>D1000-D1001</f>
        <v>0</v>
      </c>
      <c r="Q1000" t="str">
        <v>x</v>
      </c>
      <c r="R1000">
        <f>IF(P1000&gt;0,$F$18*F1000/1000,0)</f>
        <v>0</v>
      </c>
      <c r="S1000" t="str">
        <v>)</v>
      </c>
      <c r="T1000" t="str">
        <v>x</v>
      </c>
      <c r="U1000">
        <f>0.006165*F1000^2</f>
        <v>1.041885</v>
      </c>
      <c r="X1000" t="str">
        <v>x</v>
      </c>
      <c r="Y1000">
        <f>D991</f>
        <v>1</v>
      </c>
      <c r="Z1000" t="str">
        <v>=</v>
      </c>
      <c r="AA1000">
        <f>IF(AA1003=0,(D1000*N1000+P1000*R1000)*U1000*Y1000,0)</f>
        <v>0</v>
      </c>
    </row>
    <row r="1001">
      <c r="A1001" t="str">
        <f>A985</f>
        <v>Lantai 1</v>
      </c>
      <c r="B1001">
        <f>B985</f>
        <v>32</v>
      </c>
      <c r="C1001" t="str">
        <v>Tul Bawah Lapangan</v>
      </c>
      <c r="D1001">
        <f>VLOOKUP(D985,'Detail Balok'!$C$10:$AU$140,25,FALSE)</f>
        <v>3</v>
      </c>
      <c r="E1001" t="str">
        <v>D</v>
      </c>
      <c r="F1001">
        <f>VLOOKUP(D985,'Detail Balok'!$C$10:$AU$140,27,FALSE)</f>
        <v>13</v>
      </c>
      <c r="I1001" t="str">
        <v>(</v>
      </c>
      <c r="J1001">
        <f>+J993</f>
        <v>2.575</v>
      </c>
      <c r="K1001" t="str">
        <v>+</v>
      </c>
      <c r="M1001" t="str">
        <v>=</v>
      </c>
      <c r="N1001">
        <f>J1001+L1001</f>
        <v>2.575</v>
      </c>
      <c r="O1001" t="str">
        <v>+</v>
      </c>
      <c r="P1001">
        <f>MAX(D1001-D1000,D1001-D1002)</f>
        <v>0</v>
      </c>
      <c r="Q1001" t="str">
        <v>x</v>
      </c>
      <c r="R1001">
        <f>IF(P1001&gt;0,2*(1-2*$F$19-1/2)*D988/1000,0)</f>
        <v>0</v>
      </c>
      <c r="S1001" t="str">
        <v>)</v>
      </c>
      <c r="T1001" t="str">
        <v>x</v>
      </c>
      <c r="U1001">
        <f>0.006165*F1001^2</f>
        <v>1.041885</v>
      </c>
      <c r="X1001" t="str">
        <v>x</v>
      </c>
      <c r="Y1001">
        <f>D991</f>
        <v>1</v>
      </c>
      <c r="Z1001" t="str">
        <v>=</v>
      </c>
      <c r="AA1001">
        <f>IF(AA1003=0,(D1001*N1001+P1001*R1001)*U1001*Y1001,0)</f>
        <v>0</v>
      </c>
    </row>
    <row r="1002">
      <c r="A1002" t="str">
        <f>A985</f>
        <v>Lantai 1</v>
      </c>
      <c r="B1002">
        <f>B985</f>
        <v>32</v>
      </c>
      <c r="C1002" t="str">
        <v>Tul Bawah Tumpuan</v>
      </c>
      <c r="D1002">
        <f>VLOOKUP(D985,'Detail Balok'!$C$10:$AU$140,28,FALSE)</f>
        <v>3</v>
      </c>
      <c r="E1002" t="str">
        <v>D</v>
      </c>
      <c r="F1002">
        <f>VLOOKUP(D985,'Detail Balok'!$C$10:$AU$140,30,FALSE)</f>
        <v>13</v>
      </c>
      <c r="I1002" t="str">
        <v>(</v>
      </c>
      <c r="J1002">
        <f>+J994</f>
        <v>1.2875</v>
      </c>
      <c r="K1002" t="str">
        <v>+</v>
      </c>
      <c r="L1002">
        <f>MAX(VLOOKUP(F1002,N$6:P$15,3,FALSE)/1000,2/3*D990/1000)+F$16*F1002/1000</f>
        <v>0.156</v>
      </c>
      <c r="M1002" t="str">
        <v>=</v>
      </c>
      <c r="N1002">
        <f>J1002+L1002</f>
        <v>1.4435</v>
      </c>
      <c r="O1002" t="str">
        <v>+</v>
      </c>
      <c r="P1002">
        <f>D1002-D1001</f>
        <v>0</v>
      </c>
      <c r="Q1002" t="str">
        <v>x</v>
      </c>
      <c r="R1002">
        <f>IF(P1002&gt;0,$F$18*F1002/1000,0)</f>
        <v>0</v>
      </c>
      <c r="S1002" t="str">
        <v>)</v>
      </c>
      <c r="T1002" t="str">
        <v>x</v>
      </c>
      <c r="U1002">
        <f>0.006165*F1002^2</f>
        <v>1.041885</v>
      </c>
      <c r="X1002" t="str">
        <v>x</v>
      </c>
      <c r="Y1002">
        <f>D991</f>
        <v>1</v>
      </c>
      <c r="Z1002" t="str">
        <v>=</v>
      </c>
      <c r="AA1002">
        <f>IF(AA1003=0,(D1002*N1002+P1002*R1002)*U1002*Y1002,0)</f>
        <v>0</v>
      </c>
    </row>
    <row r="1003">
      <c r="A1003" t="str">
        <f>A985</f>
        <v>Lantai 1</v>
      </c>
      <c r="B1003">
        <f>B985</f>
        <v>32</v>
      </c>
      <c r="D1003">
        <f>IF(AND(D1000=D1001,D1001=D1002,D1000=D1002),D1000,0)</f>
        <v>3</v>
      </c>
      <c r="E1003" t="str">
        <v>D</v>
      </c>
      <c r="F1003">
        <f>IF(AND(F1000=F1001,F1000=F1002,F1001=F1002),F1000,0)</f>
        <v>13</v>
      </c>
      <c r="L1003" t="str">
        <v>Total panjang per balok</v>
      </c>
      <c r="M1003" t="str">
        <v>=</v>
      </c>
      <c r="N1003">
        <f>IF(AND(D1000=D1001,D1000=D1002,D1001=D1002,F1000=F1001,F1000=F1002,F1001=F1002),SUM(N1000:N1002),0)</f>
        <v>5.462000000000001</v>
      </c>
      <c r="O1003" t="str">
        <v>+</v>
      </c>
      <c r="P1003">
        <f>IF(N1003&gt;12,ROUNDDOWN(N1003/12,0),0)</f>
        <v>0</v>
      </c>
      <c r="Q1003" t="str">
        <v>x</v>
      </c>
      <c r="R1003">
        <f>IF(P1003&gt;0,MAX(VLOOKUP(F1003,$D$6:$G$15,3,FALSE),600),0)/1000</f>
        <v>0</v>
      </c>
      <c r="T1003" t="str">
        <v>x</v>
      </c>
      <c r="U1003">
        <f>U1002</f>
        <v>1.041885</v>
      </c>
      <c r="V1003" t="str">
        <v>x</v>
      </c>
      <c r="W1003">
        <f>D1003</f>
        <v>3</v>
      </c>
      <c r="X1003" t="str">
        <v>x</v>
      </c>
      <c r="Y1003">
        <f>Y1002</f>
        <v>1</v>
      </c>
      <c r="Z1003" t="str">
        <v>=</v>
      </c>
      <c r="AA1003">
        <f>(N1003+P1003*R1003/1000)*U1003*W1003*Y1003</f>
        <v>17.072327610000002</v>
      </c>
    </row>
    <row r="1005">
      <c r="A1005" t="str">
        <f>A985</f>
        <v>Lantai 1</v>
      </c>
      <c r="B1005">
        <f>B985</f>
        <v>32</v>
      </c>
      <c r="C1005" t="str">
        <v>Sengkang Tumpuan</v>
      </c>
      <c r="D1005">
        <f>VLOOKUP(D985,'Detail Balok'!$C$10:$AU$140,31,FALSE)</f>
        <v>0</v>
      </c>
      <c r="E1005" t="str">
        <v>D</v>
      </c>
      <c r="F1005">
        <f>VLOOKUP(D985,'Detail Balok'!$C$10:$AU$140,33,FALSE)</f>
        <v>8</v>
      </c>
      <c r="G1005" t="str">
        <v>-</v>
      </c>
      <c r="H1005">
        <f>VLOOKUP(D985,'Detail Balok'!$C$10:$AU$140,35,FALSE)</f>
        <v>150</v>
      </c>
      <c r="J1005">
        <f>(IF(D1005=0,(2*(D986+G986))-(F$5*8),IF(D1005=3,(2*(D986+G986))-(F$5*8)+(G986-2*F$5),IF(D1005=4,(2*(D986+G986))-(F$5*8)+2*(G986-2*F$5)))))/1000</f>
        <v>0.88</v>
      </c>
      <c r="K1005" t="str">
        <v>+</v>
      </c>
      <c r="L1005">
        <f>IF(D1005=0,2*MAX(6*F1005,75),(D1005-1)*2*MAX(6*F1005,75))/1000</f>
        <v>0.15</v>
      </c>
      <c r="M1005" t="str">
        <v>=</v>
      </c>
      <c r="N1005">
        <f>J1005+L1005</f>
        <v>1.03</v>
      </c>
      <c r="T1005" t="str">
        <v>x</v>
      </c>
      <c r="U1005">
        <f>0.006165*F1005^2</f>
        <v>0.39456</v>
      </c>
      <c r="V1005" t="str">
        <v>x</v>
      </c>
      <c r="W1005">
        <f>IF(D988&gt;4*G986,ROUND(MAX(D988/4,2*G986)/H1005,0)+1,ROUND(D988/H1005,0)+1)</f>
        <v>10</v>
      </c>
      <c r="X1005" t="str">
        <v>x</v>
      </c>
      <c r="Y1005">
        <f>D991</f>
        <v>1</v>
      </c>
      <c r="Z1005" t="str">
        <v>=</v>
      </c>
      <c r="AA1005">
        <f>N1005*U1005*W1005*Y1005</f>
        <v>4.063968000000001</v>
      </c>
    </row>
    <row r="1006">
      <c r="A1006" t="str">
        <f>A985</f>
        <v>Lantai 1</v>
      </c>
      <c r="B1006">
        <f>B985</f>
        <v>32</v>
      </c>
      <c r="C1006" t="str">
        <v>Sengkang Lapangan</v>
      </c>
      <c r="D1006">
        <f>VLOOKUP(D985,'Detail Balok'!$C$10:$AU$140,36,FALSE)</f>
        <v>0</v>
      </c>
      <c r="E1006" t="str">
        <v>D</v>
      </c>
      <c r="F1006">
        <f>VLOOKUP(D985,'Detail Balok'!$C$10:$AU$140,38,FALSE)</f>
        <v>8</v>
      </c>
      <c r="G1006" t="str">
        <v>-</v>
      </c>
      <c r="H1006">
        <f>VLOOKUP(D985,'Detail Balok'!$C$10:$AU$140,40,FALSE)</f>
        <v>200</v>
      </c>
      <c r="J1006">
        <f>(IF(D1006=0,(2*(D986+G986))-(F$5*8),IF(D1006=3,(2*(D986+G986))-(F$5*8)+(G986-2*F$5),IF(D1006=4,(2*(D986+G986))-(F$5*8)+2*(G986-2*F$5)))))/1000</f>
        <v>0.88</v>
      </c>
      <c r="K1006" t="str">
        <v>+</v>
      </c>
      <c r="L1006">
        <f>IF(D1006=0,2*MAX(6*F1006,75),(D1006-1)*2*MAX(6*F1006,75))/1000</f>
        <v>0.15</v>
      </c>
      <c r="M1006" t="str">
        <v>=</v>
      </c>
      <c r="N1006">
        <f>J1006+L1006</f>
        <v>1.03</v>
      </c>
      <c r="T1006" t="str">
        <v>x</v>
      </c>
      <c r="U1006">
        <f>0.006165*F1006^2</f>
        <v>0.39456</v>
      </c>
      <c r="V1006" t="str">
        <v>x</v>
      </c>
      <c r="W1006">
        <f>IF(D988-MAX(D988/4,2*G986)*2&gt;0,ROUND((D988-MAX(D988/4,2*G986)*2)/H1006,0),0)</f>
        <v>13</v>
      </c>
      <c r="X1006" t="str">
        <v>x</v>
      </c>
      <c r="Y1006">
        <f>D991</f>
        <v>1</v>
      </c>
      <c r="Z1006" t="str">
        <v>=</v>
      </c>
      <c r="AA1006">
        <f>N1006*U1006*W1006*Y1006</f>
        <v>5.2831584000000005</v>
      </c>
    </row>
    <row r="1007">
      <c r="A1007" t="str">
        <f>A985</f>
        <v>Lantai 1</v>
      </c>
      <c r="B1007">
        <f>B985</f>
        <v>32</v>
      </c>
      <c r="C1007" t="str">
        <v>Sengkang Tumpuan</v>
      </c>
      <c r="D1007">
        <f>VLOOKUP(D985,'Detail Balok'!$C$10:$AU$140,41,FALSE)</f>
        <v>0</v>
      </c>
      <c r="E1007" t="str">
        <v>D</v>
      </c>
      <c r="F1007">
        <f>VLOOKUP(D985,'Detail Balok'!$C$10:$AU$140,43,FALSE)</f>
        <v>8</v>
      </c>
      <c r="G1007" t="str">
        <v>-</v>
      </c>
      <c r="H1007">
        <f>VLOOKUP(D985,'Detail Balok'!$C$10:$AU$140,45,FALSE)</f>
        <v>150</v>
      </c>
      <c r="J1007">
        <f>(IF(D1007=0,(2*(D986+G986))-(F$5*8),IF(D1007=3,(2*(D986+G986))-(F$5*8)+(G986-2*F$5),IF(D1007=4,(2*(D986+G986))-(F$5*8)+2*(G986-2*F$5)))))/1000</f>
        <v>0.88</v>
      </c>
      <c r="K1007" t="str">
        <v>+</v>
      </c>
      <c r="L1007">
        <f>IF(D1007=0,2*MAX(6*F1007,75),(D1007-1)*2*MAX(6*F1007,75))/1000</f>
        <v>0.15</v>
      </c>
      <c r="M1007" t="str">
        <v>=</v>
      </c>
      <c r="N1007">
        <f>J1007+L1007</f>
        <v>1.03</v>
      </c>
      <c r="T1007" t="str">
        <v>x</v>
      </c>
      <c r="U1007">
        <f>0.006165*F1007^2</f>
        <v>0.39456</v>
      </c>
      <c r="V1007" t="str">
        <v>x</v>
      </c>
      <c r="W1007">
        <f>IF(D988&gt;4*G986,ROUND(MAX(D988/4,2*G986)/H1007,0)+1,0)</f>
        <v>10</v>
      </c>
      <c r="X1007" t="str">
        <v>x</v>
      </c>
      <c r="Y1007">
        <f>D991</f>
        <v>1</v>
      </c>
      <c r="Z1007" t="str">
        <v>=</v>
      </c>
      <c r="AA1007">
        <f>N1007*U1007*W1007*Y1007</f>
        <v>4.063968000000001</v>
      </c>
    </row>
    <row r="1009">
      <c r="A1009" t="str">
        <f>A985</f>
        <v>Lantai 1</v>
      </c>
      <c r="B1009">
        <f>B985</f>
        <v>32</v>
      </c>
      <c r="C1009" t="str">
        <v>Kait Horizontal Tump.</v>
      </c>
      <c r="D1009">
        <f>VLOOKUP(D985,'Detail Balok'!$C$10:$BJ$140,46,FALSE)</f>
        <v>0</v>
      </c>
      <c r="E1009" t="str">
        <v>D</v>
      </c>
      <c r="F1009">
        <f>VLOOKUP(D985,'Detail Balok'!$C$10:$BJ$140,48,FALSE)</f>
        <v>0</v>
      </c>
      <c r="G1009" t="str">
        <v>-</v>
      </c>
      <c r="H1009">
        <f>VLOOKUP(D985,'Detail Balok'!$C$10:$BJ$140,50,FALSE)</f>
        <v>100</v>
      </c>
      <c r="J1009">
        <f>(D986-2*F$5)/1000</f>
        <v>0.12</v>
      </c>
      <c r="K1009" t="str">
        <v>+</v>
      </c>
      <c r="L1009">
        <f>IF(D1009=0,2*MAX(6*F1009,75),(D1009-1)*2*MAX(6*F1009,75))/1000</f>
        <v>0.15</v>
      </c>
      <c r="M1009" t="str">
        <v>=</v>
      </c>
      <c r="N1009">
        <f>J1009+L1009</f>
        <v>0.27</v>
      </c>
      <c r="T1009" t="str">
        <v>x</v>
      </c>
      <c r="U1009">
        <f>0.006165*F1009^2</f>
        <v>0</v>
      </c>
      <c r="V1009" t="str">
        <v>x</v>
      </c>
      <c r="W1009">
        <f>W1005</f>
        <v>10</v>
      </c>
      <c r="X1009" t="str">
        <v>x</v>
      </c>
      <c r="Y1009">
        <f>D995</f>
        <v>3</v>
      </c>
      <c r="Z1009" t="str">
        <v>=</v>
      </c>
      <c r="AA1009">
        <f>N1009*U1009*W1009*Y1009</f>
        <v>0</v>
      </c>
    </row>
    <row r="1010">
      <c r="A1010" t="str">
        <f>A985</f>
        <v>Lantai 1</v>
      </c>
      <c r="B1010">
        <f>B985</f>
        <v>32</v>
      </c>
      <c r="C1010" t="str">
        <v>Kait Horizontal Lap.</v>
      </c>
      <c r="D1010">
        <f>VLOOKUP(D985,'Detail Balok'!$C$10:$BJ$140,51,FALSE)</f>
        <v>0</v>
      </c>
      <c r="E1010" t="str">
        <v>D</v>
      </c>
      <c r="F1010">
        <f>VLOOKUP(D985,'Detail Balok'!$C$10:$BJ$140,53,FALSE)</f>
        <v>0</v>
      </c>
      <c r="G1010" t="str">
        <v>-</v>
      </c>
      <c r="H1010">
        <f>VLOOKUP(D985,'Detail Balok'!$C$10:$BJ$140,55,FALSE)</f>
        <v>100</v>
      </c>
      <c r="J1010">
        <f>(D986-2*F$5)/1000</f>
        <v>0.12</v>
      </c>
      <c r="K1010" t="str">
        <v>+</v>
      </c>
      <c r="L1010">
        <f>IF(D1010=0,2*MAX(6*F1010,75),(D1010-1)*2*MAX(6*F1010,75))/1000</f>
        <v>0.15</v>
      </c>
      <c r="M1010" t="str">
        <v>=</v>
      </c>
      <c r="N1010">
        <f>J1010+L1010</f>
        <v>0.27</v>
      </c>
      <c r="T1010" t="str">
        <v>x</v>
      </c>
      <c r="U1010">
        <f>0.006165*F1010^2</f>
        <v>0</v>
      </c>
      <c r="V1010" t="str">
        <v>x</v>
      </c>
      <c r="W1010">
        <f>W1006</f>
        <v>13</v>
      </c>
      <c r="X1010" t="str">
        <v>x</v>
      </c>
      <c r="Y1010">
        <f>D995</f>
        <v>3</v>
      </c>
      <c r="Z1010" t="str">
        <v>=</v>
      </c>
      <c r="AA1010">
        <f>N1010*U1010*W1010*Y1010</f>
        <v>0</v>
      </c>
    </row>
    <row r="1011">
      <c r="A1011" t="str">
        <f>A985</f>
        <v>Lantai 1</v>
      </c>
      <c r="B1011">
        <f>B985</f>
        <v>32</v>
      </c>
      <c r="C1011" t="str">
        <v>Kait Horizontal Tump.</v>
      </c>
      <c r="D1011">
        <f>VLOOKUP(D985,'Detail Balok'!$C$10:$BJ$140,56,FALSE)</f>
        <v>0</v>
      </c>
      <c r="E1011" t="str">
        <v>D</v>
      </c>
      <c r="F1011">
        <f>VLOOKUP(D985,'Detail Balok'!$C$10:$BJ$140,58,FALSE)</f>
        <v>0</v>
      </c>
      <c r="G1011" t="str">
        <v>-</v>
      </c>
      <c r="H1011">
        <f>VLOOKUP(D985,'Detail Balok'!$C$10:$BJ$140,60,FALSE)</f>
        <v>100</v>
      </c>
      <c r="J1011">
        <f>(D986-2*F$5)/1000</f>
        <v>0.12</v>
      </c>
      <c r="K1011" t="str">
        <v>+</v>
      </c>
      <c r="L1011">
        <f>IF(D1011=0,2*MAX(6*F1011,75),(D1011-1)*2*MAX(6*F1011,75))/1000</f>
        <v>0.15</v>
      </c>
      <c r="M1011" t="str">
        <v>=</v>
      </c>
      <c r="N1011">
        <f>J1011+L1011</f>
        <v>0.27</v>
      </c>
      <c r="T1011" t="str">
        <v>x</v>
      </c>
      <c r="U1011">
        <f>0.006165*F1011^2</f>
        <v>0</v>
      </c>
      <c r="V1011" t="str">
        <v>x</v>
      </c>
      <c r="W1011">
        <f>W1007</f>
        <v>10</v>
      </c>
      <c r="X1011" t="str">
        <v>x</v>
      </c>
      <c r="Y1011">
        <f>D995</f>
        <v>3</v>
      </c>
      <c r="Z1011" t="str">
        <v>=</v>
      </c>
      <c r="AA1011">
        <f>N1011*U1011*W1011*Y1011</f>
        <v>0</v>
      </c>
    </row>
    <row r="1015">
      <c r="A1015" t="str">
        <f>A985</f>
        <v>Lantai 1</v>
      </c>
      <c r="B1015">
        <f>B985+1</f>
        <v>33</v>
      </c>
      <c r="C1015" t="str">
        <f>CONCATENATE(A1015," no. ",B1015)</f>
        <v>Lantai 1 no. 33</v>
      </c>
      <c r="D1015" t="str">
        <f>VLOOKUP(C1015,'Data Panjang Balok'!$C$9:$N$254,2,FALSE)</f>
        <v>S24-2</v>
      </c>
    </row>
    <row r="1016">
      <c r="C1016" t="str">
        <v>Dimensi</v>
      </c>
      <c r="D1016">
        <f>VLOOKUP(D1015,'Detail Balok'!$C$10:$AU$140,2,FALSE)</f>
        <v>200</v>
      </c>
      <c r="F1016" t="str">
        <v>x</v>
      </c>
      <c r="G1016">
        <f>VLOOKUP(D1015,'Detail Balok'!$C$10:$AU$140,3,FALSE)</f>
        <v>400</v>
      </c>
    </row>
    <row r="1017">
      <c r="C1017" t="str">
        <v>Panjang as ke as</v>
      </c>
      <c r="D1017">
        <f>VLOOKUP(C1015,'Data Panjang Balok'!$C$9:$N$254,4,FALSE)</f>
        <v>4000</v>
      </c>
    </row>
    <row r="1018">
      <c r="C1018" t="str">
        <v>Panjang netto</v>
      </c>
      <c r="D1018">
        <f>VLOOKUP(C1015,'Data Panjang Balok'!$C$9:$N$254,7,FALSE)</f>
        <v>4000</v>
      </c>
    </row>
    <row r="1019">
      <c r="C1019" t="str">
        <v>Kolom / balok kiri</v>
      </c>
      <c r="D1019">
        <f>VLOOKUP(C1015,'Data Panjang Balok'!$C$9:$N$254,9,FALSE)</f>
        <v>0</v>
      </c>
    </row>
    <row r="1020">
      <c r="C1020" t="str">
        <v>Kolom / balok kanan</v>
      </c>
      <c r="D1020">
        <f>VLOOKUP(C1015,'Data Panjang Balok'!$C$9:$N$254,10,FALSE)</f>
        <v>0</v>
      </c>
    </row>
    <row r="1021">
      <c r="C1021" t="str">
        <v>Jumlah</v>
      </c>
      <c r="D1021">
        <f>VLOOKUP(C1015,'Data Panjang Balok'!$C$9:$N$254,3,FALSE)</f>
        <v>1</v>
      </c>
    </row>
    <row r="1022">
      <c r="A1022" t="str">
        <f>A1015</f>
        <v>Lantai 1</v>
      </c>
      <c r="B1022">
        <f>B1015</f>
        <v>33</v>
      </c>
      <c r="C1022" t="str">
        <v>Tul Atas Tumpuan</v>
      </c>
      <c r="D1022">
        <f>VLOOKUP(D1015,'Detail Balok'!$C$10:$AU$140,4,FALSE)</f>
        <v>3</v>
      </c>
      <c r="E1022" t="str">
        <v>D</v>
      </c>
      <c r="F1022">
        <f>VLOOKUP(D1015,'Detail Balok'!$C$10:$AU$140,6,FALSE)</f>
        <v>16</v>
      </c>
      <c r="I1022" t="str">
        <v>(</v>
      </c>
      <c r="J1022">
        <f>+D1017/4/1000</f>
        <v>1</v>
      </c>
      <c r="K1022" t="str">
        <v>+</v>
      </c>
      <c r="L1022">
        <f>MAX(VLOOKUP(F1022,N$6:P$15,3,FALSE)/1000,2/3*D1019/1000)+F$16*F1022/1000</f>
        <v>0.192</v>
      </c>
      <c r="M1022" t="str">
        <v>=</v>
      </c>
      <c r="N1022">
        <f>J1022+L1022</f>
        <v>1.192</v>
      </c>
      <c r="O1022" t="str">
        <v>+</v>
      </c>
      <c r="P1022">
        <f>D1022-D1023</f>
        <v>0</v>
      </c>
      <c r="Q1022" t="str">
        <v>x</v>
      </c>
      <c r="R1022">
        <f>IF(P1022&gt;0,$F$18*F1022/1000,0)</f>
        <v>0</v>
      </c>
      <c r="S1022" t="str">
        <v>)</v>
      </c>
      <c r="T1022" t="str">
        <v>x</v>
      </c>
      <c r="U1022">
        <f>0.006165*F1022^2</f>
        <v>1.57824</v>
      </c>
      <c r="X1022" t="str">
        <v>x</v>
      </c>
      <c r="Y1022">
        <f>D1021</f>
        <v>1</v>
      </c>
      <c r="Z1022" t="str">
        <v>=</v>
      </c>
      <c r="AA1022">
        <f>IF(AA1025=0,(D1022*N1022+P1022*R1022)*U1022*Y1022,0)</f>
        <v>0</v>
      </c>
    </row>
    <row r="1023">
      <c r="A1023" t="str">
        <f>A1015</f>
        <v>Lantai 1</v>
      </c>
      <c r="B1023">
        <f>B1015</f>
        <v>33</v>
      </c>
      <c r="C1023" t="str">
        <v>Tul Atas Lapangan</v>
      </c>
      <c r="D1023">
        <f>VLOOKUP(D1015,'Detail Balok'!$C$10:$AU$140,7,FALSE)</f>
        <v>3</v>
      </c>
      <c r="E1023" t="str">
        <v>D</v>
      </c>
      <c r="F1023">
        <f>VLOOKUP(D1015,'Detail Balok'!$C$10:$AU$140,9,FALSE)</f>
        <v>16</v>
      </c>
      <c r="I1023" t="str">
        <v>(</v>
      </c>
      <c r="J1023">
        <f>+D1017/2/1000</f>
        <v>2</v>
      </c>
      <c r="K1023" t="str">
        <v>+</v>
      </c>
      <c r="M1023" t="str">
        <v>=</v>
      </c>
      <c r="N1023">
        <f>J1023+L1023</f>
        <v>2</v>
      </c>
      <c r="O1023" t="str">
        <v>+</v>
      </c>
      <c r="P1023">
        <f>MAX(D1023-D1022,D1023-D1024)</f>
        <v>0</v>
      </c>
      <c r="Q1023" t="str">
        <v>x</v>
      </c>
      <c r="R1023">
        <f>IF(P1023&gt;0,2*(1-2*$F$19-1/2)*D1018/1000,0)</f>
        <v>0</v>
      </c>
      <c r="S1023" t="str">
        <v>)</v>
      </c>
      <c r="T1023" t="str">
        <v>x</v>
      </c>
      <c r="U1023">
        <f>0.006165*F1023^2</f>
        <v>1.57824</v>
      </c>
      <c r="X1023" t="str">
        <v>x</v>
      </c>
      <c r="Y1023">
        <f>D1021</f>
        <v>1</v>
      </c>
      <c r="Z1023" t="str">
        <v>=</v>
      </c>
      <c r="AA1023">
        <f>IF(AA1025=0,(D1023*N1023+P1023*R1023)*U1023*Y1023,0)</f>
        <v>0</v>
      </c>
    </row>
    <row r="1024">
      <c r="A1024" t="str">
        <f>A1015</f>
        <v>Lantai 1</v>
      </c>
      <c r="B1024">
        <f>B1015</f>
        <v>33</v>
      </c>
      <c r="C1024" t="str">
        <v>Tul Atas Tumpuan</v>
      </c>
      <c r="D1024">
        <f>VLOOKUP(D1015,'Detail Balok'!$C$10:$AU$140,10,FALSE)</f>
        <v>3</v>
      </c>
      <c r="E1024" t="str">
        <v>D</v>
      </c>
      <c r="F1024">
        <f>VLOOKUP(D1015,'Detail Balok'!$C$10:$AU$140,12,FALSE)</f>
        <v>16</v>
      </c>
      <c r="I1024" t="str">
        <v>(</v>
      </c>
      <c r="J1024">
        <f>+D1017/4/1000</f>
        <v>1</v>
      </c>
      <c r="K1024" t="str">
        <v>+</v>
      </c>
      <c r="L1024">
        <f>MAX(VLOOKUP(F1024,N$6:P$15,3,FALSE)/1000,2/3*D1019/1000)+F$16*F1024/1000</f>
        <v>0.192</v>
      </c>
      <c r="M1024" t="str">
        <v>=</v>
      </c>
      <c r="N1024">
        <f>J1024+L1024</f>
        <v>1.192</v>
      </c>
      <c r="O1024" t="str">
        <v>+</v>
      </c>
      <c r="P1024">
        <f>D1024-D1023</f>
        <v>0</v>
      </c>
      <c r="Q1024" t="str">
        <v>x</v>
      </c>
      <c r="R1024">
        <f>IF(P1024&gt;0,$F$18*F1024/1000,0)</f>
        <v>0</v>
      </c>
      <c r="S1024" t="str">
        <v>)</v>
      </c>
      <c r="T1024" t="str">
        <v>x</v>
      </c>
      <c r="U1024">
        <f>0.006165*F1024^2</f>
        <v>1.57824</v>
      </c>
      <c r="X1024" t="str">
        <v>x</v>
      </c>
      <c r="Y1024">
        <f>D1021</f>
        <v>1</v>
      </c>
      <c r="Z1024" t="str">
        <v>=</v>
      </c>
      <c r="AA1024">
        <f>IF(AA1025=0,(D1024*N1024+P1024*R1024)*U1024*Y1024,0)</f>
        <v>0</v>
      </c>
    </row>
    <row r="1025">
      <c r="A1025" t="str">
        <f>A1015</f>
        <v>Lantai 1</v>
      </c>
      <c r="B1025">
        <f>B1015</f>
        <v>33</v>
      </c>
      <c r="D1025">
        <f>IF(AND(D1022=D1023,D1023=D1024,D1022=D1024),D1022,0)</f>
        <v>3</v>
      </c>
      <c r="E1025" t="str">
        <v>D</v>
      </c>
      <c r="F1025">
        <f>IF(AND(F1022=F1023,F1022=F1024,F1023=F1024),F1022,0)</f>
        <v>16</v>
      </c>
      <c r="L1025" t="str">
        <v>Total panjang per balok</v>
      </c>
      <c r="M1025" t="str">
        <v>=</v>
      </c>
      <c r="N1025">
        <f>IF(AND(D1022=D1023,D1022=D1024,D1023=D1024,F1022=F1023,F1022=F1024,F1023=F1024),SUM(N1022:N1024),0)</f>
        <v>4.384</v>
      </c>
      <c r="O1025" t="str">
        <v>+</v>
      </c>
      <c r="P1025">
        <f>IF(N1025&gt;12,ROUNDDOWN(N1025/12,0),0)</f>
        <v>0</v>
      </c>
      <c r="Q1025" t="str">
        <v>x</v>
      </c>
      <c r="R1025">
        <f>IF(P1025&gt;0,MAX(VLOOKUP(F1025,$D$6:$G$15,3,FALSE),600),0)/1000</f>
        <v>0</v>
      </c>
      <c r="T1025" t="str">
        <v>x</v>
      </c>
      <c r="U1025">
        <f>U1024</f>
        <v>1.57824</v>
      </c>
      <c r="V1025" t="str">
        <v>x</v>
      </c>
      <c r="W1025">
        <f>D1025</f>
        <v>3</v>
      </c>
      <c r="X1025" t="str">
        <v>x</v>
      </c>
      <c r="Y1025">
        <f>Y1024</f>
        <v>1</v>
      </c>
      <c r="Z1025" t="str">
        <v>=</v>
      </c>
      <c r="AA1025">
        <f>(N1025+P1025*R1025/1000)*U1025*W1025*Y1025</f>
        <v>20.757012480000004</v>
      </c>
    </row>
    <row r="1027">
      <c r="A1027" t="str">
        <f>A1015</f>
        <v>Lantai 1</v>
      </c>
      <c r="B1027">
        <f>B1015</f>
        <v>33</v>
      </c>
      <c r="C1027" t="str">
        <v>Tul Peminggang</v>
      </c>
      <c r="D1027">
        <f>VLOOKUP(D1015,'Detail Balok'!$C$10:$AU$140,13,FALSE)</f>
        <v>0</v>
      </c>
      <c r="E1027" t="str">
        <v>D</v>
      </c>
      <c r="F1027">
        <f>VLOOKUP(D1015,'Detail Balok'!$C$10:$AU$140,15,FALSE)</f>
        <v>8</v>
      </c>
      <c r="J1027">
        <f>+D1017/1000</f>
        <v>4</v>
      </c>
      <c r="K1027" t="str">
        <v>+</v>
      </c>
      <c r="L1027">
        <f>2*$F$16*F1027/1000</f>
        <v>0.192</v>
      </c>
      <c r="M1027" t="str">
        <v>=</v>
      </c>
      <c r="N1027">
        <f>J1027+L1027</f>
        <v>4.192</v>
      </c>
      <c r="O1027" t="str">
        <v>+</v>
      </c>
      <c r="P1027">
        <f>IF(N1027&gt;12,ROUNDDOWN(N1027/12,0),0)</f>
        <v>0</v>
      </c>
      <c r="Q1027" t="str">
        <v>x</v>
      </c>
      <c r="R1027">
        <f>IF(P1027&gt;0,MAX(VLOOKUP(F1027,$D$6:$G$15,3,FALSE),600),0)/1000</f>
        <v>0</v>
      </c>
      <c r="T1027" t="str">
        <v>x</v>
      </c>
      <c r="U1027">
        <f>0.006165*F1027^2</f>
        <v>0.39456</v>
      </c>
      <c r="V1027" t="str">
        <v>x</v>
      </c>
      <c r="W1027">
        <f>+D1027</f>
        <v>0</v>
      </c>
      <c r="X1027" t="str">
        <v>x</v>
      </c>
      <c r="Y1027">
        <f>D1021</f>
        <v>1</v>
      </c>
      <c r="Z1027" t="str">
        <v>=</v>
      </c>
      <c r="AA1027">
        <f>(N1027+P1027*R1027/1000)*U1027*W1027*Y1027</f>
        <v>0</v>
      </c>
    </row>
    <row r="1030">
      <c r="A1030" t="str">
        <f>A1015</f>
        <v>Lantai 1</v>
      </c>
      <c r="B1030">
        <f>B1015</f>
        <v>33</v>
      </c>
      <c r="C1030" t="str">
        <v>Tul Bawah Tumpuan</v>
      </c>
      <c r="D1030">
        <f>VLOOKUP(D1015,'Detail Balok'!$C$10:$AU$140,22,FALSE)</f>
        <v>3</v>
      </c>
      <c r="E1030" t="str">
        <v>D</v>
      </c>
      <c r="F1030">
        <f>VLOOKUP(D1015,'Detail Balok'!$C$10:$AU$140,24,FALSE)</f>
        <v>16</v>
      </c>
      <c r="I1030" t="str">
        <v>(</v>
      </c>
      <c r="J1030">
        <f>+J1022</f>
        <v>1</v>
      </c>
      <c r="K1030" t="str">
        <v>+</v>
      </c>
      <c r="L1030">
        <f>MAX(VLOOKUP(F1030,N$6:P$15,3,FALSE)/1000,2/3*D1020/1000)+F$16*F1030/1000</f>
        <v>0.192</v>
      </c>
      <c r="M1030" t="str">
        <v>=</v>
      </c>
      <c r="N1030">
        <f>J1030+L1030</f>
        <v>1.192</v>
      </c>
      <c r="O1030" t="str">
        <v>+</v>
      </c>
      <c r="P1030">
        <f>D1030-D1031</f>
        <v>0</v>
      </c>
      <c r="Q1030" t="str">
        <v>x</v>
      </c>
      <c r="R1030">
        <f>IF(P1030&gt;0,$F$18*F1030/1000,0)</f>
        <v>0</v>
      </c>
      <c r="S1030" t="str">
        <v>)</v>
      </c>
      <c r="T1030" t="str">
        <v>x</v>
      </c>
      <c r="U1030">
        <f>0.006165*F1030^2</f>
        <v>1.57824</v>
      </c>
      <c r="X1030" t="str">
        <v>x</v>
      </c>
      <c r="Y1030">
        <f>D1021</f>
        <v>1</v>
      </c>
      <c r="Z1030" t="str">
        <v>=</v>
      </c>
      <c r="AA1030">
        <f>IF(AA1033=0,(D1030*N1030+P1030*R1030)*U1030*Y1030,0)</f>
        <v>0</v>
      </c>
    </row>
    <row r="1031">
      <c r="A1031" t="str">
        <f>A1015</f>
        <v>Lantai 1</v>
      </c>
      <c r="B1031">
        <f>B1015</f>
        <v>33</v>
      </c>
      <c r="C1031" t="str">
        <v>Tul Bawah Lapangan</v>
      </c>
      <c r="D1031">
        <f>VLOOKUP(D1015,'Detail Balok'!$C$10:$AU$140,25,FALSE)</f>
        <v>3</v>
      </c>
      <c r="E1031" t="str">
        <v>D</v>
      </c>
      <c r="F1031">
        <f>VLOOKUP(D1015,'Detail Balok'!$C$10:$AU$140,27,FALSE)</f>
        <v>16</v>
      </c>
      <c r="I1031" t="str">
        <v>(</v>
      </c>
      <c r="J1031">
        <f>+J1023</f>
        <v>2</v>
      </c>
      <c r="K1031" t="str">
        <v>+</v>
      </c>
      <c r="M1031" t="str">
        <v>=</v>
      </c>
      <c r="N1031">
        <f>J1031+L1031</f>
        <v>2</v>
      </c>
      <c r="O1031" t="str">
        <v>+</v>
      </c>
      <c r="P1031">
        <f>MAX(D1031-D1030,D1031-D1032)</f>
        <v>0</v>
      </c>
      <c r="Q1031" t="str">
        <v>x</v>
      </c>
      <c r="R1031">
        <f>IF(P1031&gt;0,2*(1-2*$F$19-1/2)*D1018/1000,0)</f>
        <v>0</v>
      </c>
      <c r="S1031" t="str">
        <v>)</v>
      </c>
      <c r="T1031" t="str">
        <v>x</v>
      </c>
      <c r="U1031">
        <f>0.006165*F1031^2</f>
        <v>1.57824</v>
      </c>
      <c r="X1031" t="str">
        <v>x</v>
      </c>
      <c r="Y1031">
        <f>D1021</f>
        <v>1</v>
      </c>
      <c r="Z1031" t="str">
        <v>=</v>
      </c>
      <c r="AA1031">
        <f>IF(AA1033=0,(D1031*N1031+P1031*R1031)*U1031*Y1031,0)</f>
        <v>0</v>
      </c>
    </row>
    <row r="1032">
      <c r="A1032" t="str">
        <f>A1015</f>
        <v>Lantai 1</v>
      </c>
      <c r="B1032">
        <f>B1015</f>
        <v>33</v>
      </c>
      <c r="C1032" t="str">
        <v>Tul Bawah Tumpuan</v>
      </c>
      <c r="D1032">
        <f>VLOOKUP(D1015,'Detail Balok'!$C$10:$AU$140,28,FALSE)</f>
        <v>3</v>
      </c>
      <c r="E1032" t="str">
        <v>D</v>
      </c>
      <c r="F1032">
        <f>VLOOKUP(D1015,'Detail Balok'!$C$10:$AU$140,30,FALSE)</f>
        <v>16</v>
      </c>
      <c r="I1032" t="str">
        <v>(</v>
      </c>
      <c r="J1032">
        <f>+J1024</f>
        <v>1</v>
      </c>
      <c r="K1032" t="str">
        <v>+</v>
      </c>
      <c r="L1032">
        <f>MAX(VLOOKUP(F1032,N$6:P$15,3,FALSE)/1000,2/3*D1020/1000)+F$16*F1032/1000</f>
        <v>0.192</v>
      </c>
      <c r="M1032" t="str">
        <v>=</v>
      </c>
      <c r="N1032">
        <f>J1032+L1032</f>
        <v>1.192</v>
      </c>
      <c r="O1032" t="str">
        <v>+</v>
      </c>
      <c r="P1032">
        <f>D1032-D1031</f>
        <v>0</v>
      </c>
      <c r="Q1032" t="str">
        <v>x</v>
      </c>
      <c r="R1032">
        <f>IF(P1032&gt;0,$F$18*F1032/1000,0)</f>
        <v>0</v>
      </c>
      <c r="S1032" t="str">
        <v>)</v>
      </c>
      <c r="T1032" t="str">
        <v>x</v>
      </c>
      <c r="U1032">
        <f>0.006165*F1032^2</f>
        <v>1.57824</v>
      </c>
      <c r="X1032" t="str">
        <v>x</v>
      </c>
      <c r="Y1032">
        <f>D1021</f>
        <v>1</v>
      </c>
      <c r="Z1032" t="str">
        <v>=</v>
      </c>
      <c r="AA1032">
        <f>IF(AA1033=0,(D1032*N1032+P1032*R1032)*U1032*Y1032,0)</f>
        <v>0</v>
      </c>
    </row>
    <row r="1033">
      <c r="A1033" t="str">
        <f>A1015</f>
        <v>Lantai 1</v>
      </c>
      <c r="B1033">
        <f>B1015</f>
        <v>33</v>
      </c>
      <c r="D1033">
        <f>IF(AND(D1030=D1031,D1031=D1032,D1030=D1032),D1030,0)</f>
        <v>3</v>
      </c>
      <c r="E1033" t="str">
        <v>D</v>
      </c>
      <c r="F1033">
        <f>IF(AND(F1030=F1031,F1030=F1032,F1031=F1032),F1030,0)</f>
        <v>16</v>
      </c>
      <c r="L1033" t="str">
        <v>Total panjang per balok</v>
      </c>
      <c r="M1033" t="str">
        <v>=</v>
      </c>
      <c r="N1033">
        <f>IF(AND(D1030=D1031,D1030=D1032,D1031=D1032,F1030=F1031,F1030=F1032,F1031=F1032),SUM(N1030:N1032),0)</f>
        <v>4.384</v>
      </c>
      <c r="O1033" t="str">
        <v>+</v>
      </c>
      <c r="P1033">
        <f>IF(N1033&gt;12,ROUNDDOWN(N1033/12,0),0)</f>
        <v>0</v>
      </c>
      <c r="Q1033" t="str">
        <v>x</v>
      </c>
      <c r="R1033">
        <f>IF(P1033&gt;0,MAX(VLOOKUP(F1033,$D$6:$G$15,3,FALSE),600),0)/1000</f>
        <v>0</v>
      </c>
      <c r="T1033" t="str">
        <v>x</v>
      </c>
      <c r="U1033">
        <f>U1032</f>
        <v>1.57824</v>
      </c>
      <c r="V1033" t="str">
        <v>x</v>
      </c>
      <c r="W1033">
        <f>D1033</f>
        <v>3</v>
      </c>
      <c r="X1033" t="str">
        <v>x</v>
      </c>
      <c r="Y1033">
        <f>Y1032</f>
        <v>1</v>
      </c>
      <c r="Z1033" t="str">
        <v>=</v>
      </c>
      <c r="AA1033">
        <f>(N1033+P1033*R1033/1000)*U1033*W1033*Y1033</f>
        <v>20.757012480000004</v>
      </c>
    </row>
    <row r="1035">
      <c r="A1035" t="str">
        <f>A1015</f>
        <v>Lantai 1</v>
      </c>
      <c r="B1035">
        <f>B1015</f>
        <v>33</v>
      </c>
      <c r="C1035" t="str">
        <v>Sengkang Tumpuan</v>
      </c>
      <c r="D1035">
        <f>VLOOKUP(D1015,'Detail Balok'!$C$10:$AU$140,31,FALSE)</f>
        <v>0</v>
      </c>
      <c r="E1035" t="str">
        <v>D</v>
      </c>
      <c r="F1035">
        <f>VLOOKUP(D1015,'Detail Balok'!$C$10:$AU$140,33,FALSE)</f>
        <v>8</v>
      </c>
      <c r="G1035" t="str">
        <v>-</v>
      </c>
      <c r="H1035">
        <f>VLOOKUP(D1015,'Detail Balok'!$C$10:$AU$140,35,FALSE)</f>
        <v>150</v>
      </c>
      <c r="J1035">
        <f>(IF(D1035=0,(2*(D1016+G1016))-(F$5*8),IF(D1035=3,(2*(D1016+G1016))-(F$5*8)+(G1016-2*F$5),IF(D1035=4,(2*(D1016+G1016))-(F$5*8)+2*(G1016-2*F$5)))))/1000</f>
        <v>0.88</v>
      </c>
      <c r="K1035" t="str">
        <v>+</v>
      </c>
      <c r="L1035">
        <f>IF(D1035=0,2*MAX(6*F1035,75),(D1035-1)*2*MAX(6*F1035,75))/1000</f>
        <v>0.15</v>
      </c>
      <c r="M1035" t="str">
        <v>=</v>
      </c>
      <c r="N1035">
        <f>J1035+L1035</f>
        <v>1.03</v>
      </c>
      <c r="T1035" t="str">
        <v>x</v>
      </c>
      <c r="U1035">
        <f>0.006165*F1035^2</f>
        <v>0.39456</v>
      </c>
      <c r="V1035" t="str">
        <v>x</v>
      </c>
      <c r="W1035">
        <f>IF(D1018&gt;4*G1016,ROUND(MAX(D1018/4,2*G1016)/H1035,0)+1,ROUND(D1018/H1035,0)+1)</f>
        <v>8</v>
      </c>
      <c r="X1035" t="str">
        <v>x</v>
      </c>
      <c r="Y1035">
        <f>D1021</f>
        <v>1</v>
      </c>
      <c r="Z1035" t="str">
        <v>=</v>
      </c>
      <c r="AA1035">
        <f>N1035*U1035*W1035*Y1035</f>
        <v>3.2511744000000005</v>
      </c>
    </row>
    <row r="1036">
      <c r="A1036" t="str">
        <f>A1015</f>
        <v>Lantai 1</v>
      </c>
      <c r="B1036">
        <f>B1015</f>
        <v>33</v>
      </c>
      <c r="C1036" t="str">
        <v>Sengkang Lapangan</v>
      </c>
      <c r="D1036">
        <f>VLOOKUP(D1015,'Detail Balok'!$C$10:$AU$140,36,FALSE)</f>
        <v>0</v>
      </c>
      <c r="E1036" t="str">
        <v>D</v>
      </c>
      <c r="F1036">
        <f>VLOOKUP(D1015,'Detail Balok'!$C$10:$AU$140,38,FALSE)</f>
        <v>8</v>
      </c>
      <c r="G1036" t="str">
        <v>-</v>
      </c>
      <c r="H1036">
        <f>VLOOKUP(D1015,'Detail Balok'!$C$10:$AU$140,40,FALSE)</f>
        <v>200</v>
      </c>
      <c r="J1036">
        <f>(IF(D1036=0,(2*(D1016+G1016))-(F$5*8),IF(D1036=3,(2*(D1016+G1016))-(F$5*8)+(G1016-2*F$5),IF(D1036=4,(2*(D1016+G1016))-(F$5*8)+2*(G1016-2*F$5)))))/1000</f>
        <v>0.88</v>
      </c>
      <c r="K1036" t="str">
        <v>+</v>
      </c>
      <c r="L1036">
        <f>IF(D1036=0,2*MAX(6*F1036,75),(D1036-1)*2*MAX(6*F1036,75))/1000</f>
        <v>0.15</v>
      </c>
      <c r="M1036" t="str">
        <v>=</v>
      </c>
      <c r="N1036">
        <f>J1036+L1036</f>
        <v>1.03</v>
      </c>
      <c r="T1036" t="str">
        <v>x</v>
      </c>
      <c r="U1036">
        <f>0.006165*F1036^2</f>
        <v>0.39456</v>
      </c>
      <c r="V1036" t="str">
        <v>x</v>
      </c>
      <c r="W1036">
        <f>IF(D1018-MAX(D1018/4,2*G1016)*2&gt;0,ROUND((D1018-MAX(D1018/4,2*G1016)*2)/H1036,0),0)</f>
        <v>10</v>
      </c>
      <c r="X1036" t="str">
        <v>x</v>
      </c>
      <c r="Y1036">
        <f>D1021</f>
        <v>1</v>
      </c>
      <c r="Z1036" t="str">
        <v>=</v>
      </c>
      <c r="AA1036">
        <f>N1036*U1036*W1036*Y1036</f>
        <v>4.063968000000001</v>
      </c>
    </row>
    <row r="1037">
      <c r="A1037" t="str">
        <f>A1015</f>
        <v>Lantai 1</v>
      </c>
      <c r="B1037">
        <f>B1015</f>
        <v>33</v>
      </c>
      <c r="C1037" t="str">
        <v>Sengkang Tumpuan</v>
      </c>
      <c r="D1037">
        <f>VLOOKUP(D1015,'Detail Balok'!$C$10:$AU$140,41,FALSE)</f>
        <v>0</v>
      </c>
      <c r="E1037" t="str">
        <v>D</v>
      </c>
      <c r="F1037">
        <f>VLOOKUP(D1015,'Detail Balok'!$C$10:$AU$140,43,FALSE)</f>
        <v>8</v>
      </c>
      <c r="G1037" t="str">
        <v>-</v>
      </c>
      <c r="H1037">
        <f>VLOOKUP(D1015,'Detail Balok'!$C$10:$AU$140,45,FALSE)</f>
        <v>150</v>
      </c>
      <c r="J1037">
        <f>(IF(D1037=0,(2*(D1016+G1016))-(F$5*8),IF(D1037=3,(2*(D1016+G1016))-(F$5*8)+(G1016-2*F$5),IF(D1037=4,(2*(D1016+G1016))-(F$5*8)+2*(G1016-2*F$5)))))/1000</f>
        <v>0.88</v>
      </c>
      <c r="K1037" t="str">
        <v>+</v>
      </c>
      <c r="L1037">
        <f>IF(D1037=0,2*MAX(6*F1037,75),(D1037-1)*2*MAX(6*F1037,75))/1000</f>
        <v>0.15</v>
      </c>
      <c r="M1037" t="str">
        <v>=</v>
      </c>
      <c r="N1037">
        <f>J1037+L1037</f>
        <v>1.03</v>
      </c>
      <c r="T1037" t="str">
        <v>x</v>
      </c>
      <c r="U1037">
        <f>0.006165*F1037^2</f>
        <v>0.39456</v>
      </c>
      <c r="V1037" t="str">
        <v>x</v>
      </c>
      <c r="W1037">
        <f>IF(D1018&gt;4*G1016,ROUND(MAX(D1018/4,2*G1016)/H1037,0)+1,0)</f>
        <v>8</v>
      </c>
      <c r="X1037" t="str">
        <v>x</v>
      </c>
      <c r="Y1037">
        <f>D1021</f>
        <v>1</v>
      </c>
      <c r="Z1037" t="str">
        <v>=</v>
      </c>
      <c r="AA1037">
        <f>N1037*U1037*W1037*Y1037</f>
        <v>3.2511744000000005</v>
      </c>
    </row>
    <row r="1039">
      <c r="A1039" t="str">
        <f>A1015</f>
        <v>Lantai 1</v>
      </c>
      <c r="B1039">
        <f>B1015</f>
        <v>33</v>
      </c>
      <c r="C1039" t="str">
        <v>Kait Horizontal Tump.</v>
      </c>
      <c r="D1039">
        <f>VLOOKUP(D1015,'Detail Balok'!$C$10:$BJ$140,46,FALSE)</f>
        <v>0</v>
      </c>
      <c r="E1039" t="str">
        <v>D</v>
      </c>
      <c r="F1039">
        <f>VLOOKUP(D1015,'Detail Balok'!$C$10:$BJ$140,48,FALSE)</f>
        <v>0</v>
      </c>
      <c r="G1039" t="str">
        <v>-</v>
      </c>
      <c r="H1039">
        <f>VLOOKUP(D1015,'Detail Balok'!$C$10:$BJ$140,50,FALSE)</f>
        <v>100</v>
      </c>
      <c r="J1039">
        <f>(D1016-2*F$5)/1000</f>
        <v>0.12</v>
      </c>
      <c r="K1039" t="str">
        <v>+</v>
      </c>
      <c r="L1039">
        <f>IF(D1039=0,2*MAX(6*F1039,75),(D1039-1)*2*MAX(6*F1039,75))/1000</f>
        <v>0.15</v>
      </c>
      <c r="M1039" t="str">
        <v>=</v>
      </c>
      <c r="N1039">
        <f>J1039+L1039</f>
        <v>0.27</v>
      </c>
      <c r="T1039" t="str">
        <v>x</v>
      </c>
      <c r="U1039">
        <f>0.006165*F1039^2</f>
        <v>0</v>
      </c>
      <c r="V1039" t="str">
        <v>x</v>
      </c>
      <c r="W1039">
        <f>W1035</f>
        <v>8</v>
      </c>
      <c r="X1039" t="str">
        <v>x</v>
      </c>
      <c r="Y1039">
        <f>D1025</f>
        <v>3</v>
      </c>
      <c r="Z1039" t="str">
        <v>=</v>
      </c>
      <c r="AA1039">
        <f>N1039*U1039*W1039*Y1039</f>
        <v>0</v>
      </c>
    </row>
    <row r="1040">
      <c r="A1040" t="str">
        <f>A1015</f>
        <v>Lantai 1</v>
      </c>
      <c r="B1040">
        <f>B1015</f>
        <v>33</v>
      </c>
      <c r="C1040" t="str">
        <v>Kait Horizontal Lap.</v>
      </c>
      <c r="D1040">
        <f>VLOOKUP(D1015,'Detail Balok'!$C$10:$BJ$140,51,FALSE)</f>
        <v>0</v>
      </c>
      <c r="E1040" t="str">
        <v>D</v>
      </c>
      <c r="F1040">
        <f>VLOOKUP(D1015,'Detail Balok'!$C$10:$BJ$140,53,FALSE)</f>
        <v>0</v>
      </c>
      <c r="G1040" t="str">
        <v>-</v>
      </c>
      <c r="H1040">
        <f>VLOOKUP(D1015,'Detail Balok'!$C$10:$BJ$140,55,FALSE)</f>
        <v>100</v>
      </c>
      <c r="J1040">
        <f>(D1016-2*F$5)/1000</f>
        <v>0.12</v>
      </c>
      <c r="K1040" t="str">
        <v>+</v>
      </c>
      <c r="L1040">
        <f>IF(D1040=0,2*MAX(6*F1040,75),(D1040-1)*2*MAX(6*F1040,75))/1000</f>
        <v>0.15</v>
      </c>
      <c r="M1040" t="str">
        <v>=</v>
      </c>
      <c r="N1040">
        <f>J1040+L1040</f>
        <v>0.27</v>
      </c>
      <c r="T1040" t="str">
        <v>x</v>
      </c>
      <c r="U1040">
        <f>0.006165*F1040^2</f>
        <v>0</v>
      </c>
      <c r="V1040" t="str">
        <v>x</v>
      </c>
      <c r="W1040">
        <f>W1036</f>
        <v>10</v>
      </c>
      <c r="X1040" t="str">
        <v>x</v>
      </c>
      <c r="Y1040">
        <f>D1025</f>
        <v>3</v>
      </c>
      <c r="Z1040" t="str">
        <v>=</v>
      </c>
      <c r="AA1040">
        <f>N1040*U1040*W1040*Y1040</f>
        <v>0</v>
      </c>
    </row>
    <row r="1041">
      <c r="A1041" t="str">
        <f>A1015</f>
        <v>Lantai 1</v>
      </c>
      <c r="B1041">
        <f>B1015</f>
        <v>33</v>
      </c>
      <c r="C1041" t="str">
        <v>Kait Horizontal Tump.</v>
      </c>
      <c r="D1041">
        <f>VLOOKUP(D1015,'Detail Balok'!$C$10:$BJ$140,56,FALSE)</f>
        <v>0</v>
      </c>
      <c r="E1041" t="str">
        <v>D</v>
      </c>
      <c r="F1041">
        <f>VLOOKUP(D1015,'Detail Balok'!$C$10:$BJ$140,58,FALSE)</f>
        <v>0</v>
      </c>
      <c r="G1041" t="str">
        <v>-</v>
      </c>
      <c r="H1041">
        <f>VLOOKUP(D1015,'Detail Balok'!$C$10:$BJ$140,60,FALSE)</f>
        <v>100</v>
      </c>
      <c r="J1041">
        <f>(D1016-2*F$5)/1000</f>
        <v>0.12</v>
      </c>
      <c r="K1041" t="str">
        <v>+</v>
      </c>
      <c r="L1041">
        <f>IF(D1041=0,2*MAX(6*F1041,75),(D1041-1)*2*MAX(6*F1041,75))/1000</f>
        <v>0.15</v>
      </c>
      <c r="M1041" t="str">
        <v>=</v>
      </c>
      <c r="N1041">
        <f>J1041+L1041</f>
        <v>0.27</v>
      </c>
      <c r="T1041" t="str">
        <v>x</v>
      </c>
      <c r="U1041">
        <f>0.006165*F1041^2</f>
        <v>0</v>
      </c>
      <c r="V1041" t="str">
        <v>x</v>
      </c>
      <c r="W1041">
        <f>W1037</f>
        <v>8</v>
      </c>
      <c r="X1041" t="str">
        <v>x</v>
      </c>
      <c r="Y1041">
        <f>D1025</f>
        <v>3</v>
      </c>
      <c r="Z1041" t="str">
        <v>=</v>
      </c>
      <c r="AA1041">
        <f>N1041*U1041*W1041*Y1041</f>
        <v>0</v>
      </c>
    </row>
    <row r="1045">
      <c r="A1045" t="str">
        <f>A1015</f>
        <v>Lantai 1</v>
      </c>
      <c r="B1045">
        <f>B1015+1</f>
        <v>34</v>
      </c>
      <c r="C1045" t="str">
        <f>CONCATENATE(A1045," no. ",B1045)</f>
        <v>Lantai 1 no. 34</v>
      </c>
      <c r="D1045" t="str">
        <f>VLOOKUP(C1045,'Data Panjang Balok'!$C$9:$N$254,2,FALSE)</f>
        <v>S25-1</v>
      </c>
    </row>
    <row r="1046">
      <c r="C1046" t="str">
        <v>Dimensi</v>
      </c>
      <c r="D1046">
        <f>VLOOKUP(D1045,'Detail Balok'!$C$10:$AU$140,2,FALSE)</f>
        <v>200</v>
      </c>
      <c r="F1046" t="str">
        <v>x</v>
      </c>
      <c r="G1046">
        <f>VLOOKUP(D1045,'Detail Balok'!$C$10:$AU$140,3,FALSE)</f>
        <v>500</v>
      </c>
    </row>
    <row r="1047">
      <c r="C1047" t="str">
        <v>Panjang as ke as</v>
      </c>
      <c r="D1047">
        <f>VLOOKUP(C1045,'Data Panjang Balok'!$C$9:$N$254,4,FALSE)</f>
        <v>5075</v>
      </c>
    </row>
    <row r="1048">
      <c r="C1048" t="str">
        <v>Panjang netto</v>
      </c>
      <c r="D1048">
        <f>VLOOKUP(C1045,'Data Panjang Balok'!$C$9:$N$254,7,FALSE)</f>
        <v>5075</v>
      </c>
    </row>
    <row r="1049">
      <c r="C1049" t="str">
        <v>Kolom / balok kiri</v>
      </c>
      <c r="D1049">
        <f>VLOOKUP(C1045,'Data Panjang Balok'!$C$9:$N$254,9,FALSE)</f>
        <v>0</v>
      </c>
    </row>
    <row r="1050">
      <c r="C1050" t="str">
        <v>Kolom / balok kanan</v>
      </c>
      <c r="D1050">
        <f>VLOOKUP(C1045,'Data Panjang Balok'!$C$9:$N$254,10,FALSE)</f>
        <v>0</v>
      </c>
    </row>
    <row r="1051">
      <c r="C1051" t="str">
        <v>Jumlah</v>
      </c>
      <c r="D1051">
        <f>VLOOKUP(C1045,'Data Panjang Balok'!$C$9:$N$254,3,FALSE)</f>
        <v>1</v>
      </c>
    </row>
    <row r="1052">
      <c r="A1052" t="str">
        <f>A1045</f>
        <v>Lantai 1</v>
      </c>
      <c r="B1052">
        <f>B1045</f>
        <v>34</v>
      </c>
      <c r="C1052" t="str">
        <v>Tul Atas Tumpuan</v>
      </c>
      <c r="D1052">
        <f>VLOOKUP(D1045,'Detail Balok'!$C$10:$AU$140,4,FALSE)</f>
        <v>3</v>
      </c>
      <c r="E1052" t="str">
        <v>D</v>
      </c>
      <c r="F1052">
        <f>VLOOKUP(D1045,'Detail Balok'!$C$10:$AU$140,6,FALSE)</f>
        <v>16</v>
      </c>
      <c r="I1052" t="str">
        <v>(</v>
      </c>
      <c r="J1052">
        <f>+D1047/4/1000</f>
        <v>1.26875</v>
      </c>
      <c r="K1052" t="str">
        <v>+</v>
      </c>
      <c r="L1052">
        <f>MAX(VLOOKUP(F1052,N$6:P$15,3,FALSE)/1000,2/3*D1049/1000)+F$16*F1052/1000</f>
        <v>0.192</v>
      </c>
      <c r="M1052" t="str">
        <v>=</v>
      </c>
      <c r="N1052">
        <f>J1052+L1052</f>
        <v>1.46075</v>
      </c>
      <c r="O1052" t="str">
        <v>+</v>
      </c>
      <c r="P1052">
        <f>D1052-D1053</f>
        <v>0</v>
      </c>
      <c r="Q1052" t="str">
        <v>x</v>
      </c>
      <c r="R1052">
        <f>IF(P1052&gt;0,$F$18*F1052/1000,0)</f>
        <v>0</v>
      </c>
      <c r="S1052" t="str">
        <v>)</v>
      </c>
      <c r="T1052" t="str">
        <v>x</v>
      </c>
      <c r="U1052">
        <f>0.006165*F1052^2</f>
        <v>1.57824</v>
      </c>
      <c r="X1052" t="str">
        <v>x</v>
      </c>
      <c r="Y1052">
        <f>D1051</f>
        <v>1</v>
      </c>
      <c r="Z1052" t="str">
        <v>=</v>
      </c>
      <c r="AA1052">
        <f>IF(AA1055=0,(D1052*N1052+P1052*R1052)*U1052*Y1052,0)</f>
        <v>0</v>
      </c>
    </row>
    <row r="1053">
      <c r="A1053" t="str">
        <f>A1045</f>
        <v>Lantai 1</v>
      </c>
      <c r="B1053">
        <f>B1045</f>
        <v>34</v>
      </c>
      <c r="C1053" t="str">
        <v>Tul Atas Lapangan</v>
      </c>
      <c r="D1053">
        <f>VLOOKUP(D1045,'Detail Balok'!$C$10:$AU$140,7,FALSE)</f>
        <v>3</v>
      </c>
      <c r="E1053" t="str">
        <v>D</v>
      </c>
      <c r="F1053">
        <f>VLOOKUP(D1045,'Detail Balok'!$C$10:$AU$140,9,FALSE)</f>
        <v>16</v>
      </c>
      <c r="I1053" t="str">
        <v>(</v>
      </c>
      <c r="J1053">
        <f>+D1047/2/1000</f>
        <v>2.5375</v>
      </c>
      <c r="K1053" t="str">
        <v>+</v>
      </c>
      <c r="M1053" t="str">
        <v>=</v>
      </c>
      <c r="N1053">
        <f>J1053+L1053</f>
        <v>2.5375</v>
      </c>
      <c r="O1053" t="str">
        <v>+</v>
      </c>
      <c r="P1053">
        <f>MAX(D1053-D1052,D1053-D1054)</f>
        <v>0</v>
      </c>
      <c r="Q1053" t="str">
        <v>x</v>
      </c>
      <c r="R1053">
        <f>IF(P1053&gt;0,2*(1-2*$F$19-1/2)*D1048/1000,0)</f>
        <v>0</v>
      </c>
      <c r="S1053" t="str">
        <v>)</v>
      </c>
      <c r="T1053" t="str">
        <v>x</v>
      </c>
      <c r="U1053">
        <f>0.006165*F1053^2</f>
        <v>1.57824</v>
      </c>
      <c r="X1053" t="str">
        <v>x</v>
      </c>
      <c r="Y1053">
        <f>D1051</f>
        <v>1</v>
      </c>
      <c r="Z1053" t="str">
        <v>=</v>
      </c>
      <c r="AA1053">
        <f>IF(AA1055=0,(D1053*N1053+P1053*R1053)*U1053*Y1053,0)</f>
        <v>0</v>
      </c>
    </row>
    <row r="1054">
      <c r="A1054" t="str">
        <f>A1045</f>
        <v>Lantai 1</v>
      </c>
      <c r="B1054">
        <f>B1045</f>
        <v>34</v>
      </c>
      <c r="C1054" t="str">
        <v>Tul Atas Tumpuan</v>
      </c>
      <c r="D1054">
        <f>VLOOKUP(D1045,'Detail Balok'!$C$10:$AU$140,10,FALSE)</f>
        <v>3</v>
      </c>
      <c r="E1054" t="str">
        <v>D</v>
      </c>
      <c r="F1054">
        <f>VLOOKUP(D1045,'Detail Balok'!$C$10:$AU$140,12,FALSE)</f>
        <v>16</v>
      </c>
      <c r="I1054" t="str">
        <v>(</v>
      </c>
      <c r="J1054">
        <f>+D1047/4/1000</f>
        <v>1.26875</v>
      </c>
      <c r="K1054" t="str">
        <v>+</v>
      </c>
      <c r="L1054">
        <f>MAX(VLOOKUP(F1054,N$6:P$15,3,FALSE)/1000,2/3*D1049/1000)+F$16*F1054/1000</f>
        <v>0.192</v>
      </c>
      <c r="M1054" t="str">
        <v>=</v>
      </c>
      <c r="N1054">
        <f>J1054+L1054</f>
        <v>1.46075</v>
      </c>
      <c r="O1054" t="str">
        <v>+</v>
      </c>
      <c r="P1054">
        <f>D1054-D1053</f>
        <v>0</v>
      </c>
      <c r="Q1054" t="str">
        <v>x</v>
      </c>
      <c r="R1054">
        <f>IF(P1054&gt;0,$F$18*F1054/1000,0)</f>
        <v>0</v>
      </c>
      <c r="S1054" t="str">
        <v>)</v>
      </c>
      <c r="T1054" t="str">
        <v>x</v>
      </c>
      <c r="U1054">
        <f>0.006165*F1054^2</f>
        <v>1.57824</v>
      </c>
      <c r="X1054" t="str">
        <v>x</v>
      </c>
      <c r="Y1054">
        <f>D1051</f>
        <v>1</v>
      </c>
      <c r="Z1054" t="str">
        <v>=</v>
      </c>
      <c r="AA1054">
        <f>IF(AA1055=0,(D1054*N1054+P1054*R1054)*U1054*Y1054,0)</f>
        <v>0</v>
      </c>
    </row>
    <row r="1055">
      <c r="A1055" t="str">
        <f>A1045</f>
        <v>Lantai 1</v>
      </c>
      <c r="B1055">
        <f>B1045</f>
        <v>34</v>
      </c>
      <c r="D1055">
        <f>IF(AND(D1052=D1053,D1053=D1054,D1052=D1054),D1052,0)</f>
        <v>3</v>
      </c>
      <c r="E1055" t="str">
        <v>D</v>
      </c>
      <c r="F1055">
        <f>IF(AND(F1052=F1053,F1052=F1054,F1053=F1054),F1052,0)</f>
        <v>16</v>
      </c>
      <c r="L1055" t="str">
        <v>Total panjang per balok</v>
      </c>
      <c r="M1055" t="str">
        <v>=</v>
      </c>
      <c r="N1055">
        <f>IF(AND(D1052=D1053,D1052=D1054,D1053=D1054,F1052=F1053,F1052=F1054,F1053=F1054),SUM(N1052:N1054),0)</f>
        <v>5.459</v>
      </c>
      <c r="O1055" t="str">
        <v>+</v>
      </c>
      <c r="P1055">
        <f>IF(N1055&gt;12,ROUNDDOWN(N1055/12,0),0)</f>
        <v>0</v>
      </c>
      <c r="Q1055" t="str">
        <v>x</v>
      </c>
      <c r="R1055">
        <f>IF(P1055&gt;0,MAX(VLOOKUP(F1055,$D$6:$G$15,3,FALSE),600),0)/1000</f>
        <v>0</v>
      </c>
      <c r="T1055" t="str">
        <v>x</v>
      </c>
      <c r="U1055">
        <f>U1054</f>
        <v>1.57824</v>
      </c>
      <c r="V1055" t="str">
        <v>x</v>
      </c>
      <c r="W1055">
        <f>D1055</f>
        <v>3</v>
      </c>
      <c r="X1055" t="str">
        <v>x</v>
      </c>
      <c r="Y1055">
        <f>Y1054</f>
        <v>1</v>
      </c>
      <c r="Z1055" t="str">
        <v>=</v>
      </c>
      <c r="AA1055">
        <f>(N1055+P1055*R1055/1000)*U1055*W1055*Y1055</f>
        <v>25.84683648</v>
      </c>
    </row>
    <row r="1057">
      <c r="A1057" t="str">
        <f>A1045</f>
        <v>Lantai 1</v>
      </c>
      <c r="B1057">
        <f>B1045</f>
        <v>34</v>
      </c>
      <c r="C1057" t="str">
        <v>Tul Peminggang</v>
      </c>
      <c r="D1057">
        <f>VLOOKUP(D1045,'Detail Balok'!$C$10:$AU$140,13,FALSE)</f>
        <v>2</v>
      </c>
      <c r="E1057" t="str">
        <v>D</v>
      </c>
      <c r="F1057">
        <f>VLOOKUP(D1045,'Detail Balok'!$C$10:$AU$140,15,FALSE)</f>
        <v>10</v>
      </c>
      <c r="J1057">
        <f>+D1047/1000</f>
        <v>5.075</v>
      </c>
      <c r="K1057" t="str">
        <v>+</v>
      </c>
      <c r="L1057">
        <f>2*$F$16*F1057/1000</f>
        <v>0.24</v>
      </c>
      <c r="M1057" t="str">
        <v>=</v>
      </c>
      <c r="N1057">
        <f>J1057+L1057</f>
        <v>5.315</v>
      </c>
      <c r="O1057" t="str">
        <v>+</v>
      </c>
      <c r="P1057">
        <f>IF(N1057&gt;12,ROUNDDOWN(N1057/12,0),0)</f>
        <v>0</v>
      </c>
      <c r="Q1057" t="str">
        <v>x</v>
      </c>
      <c r="R1057">
        <f>IF(P1057&gt;0,MAX(VLOOKUP(F1057,$D$6:$G$15,3,FALSE),600),0)/1000</f>
        <v>0</v>
      </c>
      <c r="T1057" t="str">
        <v>x</v>
      </c>
      <c r="U1057">
        <f>0.006165*F1057^2</f>
        <v>0.6165</v>
      </c>
      <c r="V1057" t="str">
        <v>x</v>
      </c>
      <c r="W1057">
        <f>+D1057</f>
        <v>2</v>
      </c>
      <c r="X1057" t="str">
        <v>x</v>
      </c>
      <c r="Y1057">
        <f>D1051</f>
        <v>1</v>
      </c>
      <c r="Z1057" t="str">
        <v>=</v>
      </c>
      <c r="AA1057">
        <f>(N1057+P1057*R1057/1000)*U1057*W1057*Y1057</f>
        <v>6.553395000000001</v>
      </c>
    </row>
    <row r="1060">
      <c r="A1060" t="str">
        <f>A1045</f>
        <v>Lantai 1</v>
      </c>
      <c r="B1060">
        <f>B1045</f>
        <v>34</v>
      </c>
      <c r="C1060" t="str">
        <v>Tul Bawah Tumpuan</v>
      </c>
      <c r="D1060">
        <f>VLOOKUP(D1045,'Detail Balok'!$C$10:$AU$140,22,FALSE)</f>
        <v>3</v>
      </c>
      <c r="E1060" t="str">
        <v>D</v>
      </c>
      <c r="F1060">
        <f>VLOOKUP(D1045,'Detail Balok'!$C$10:$AU$140,24,FALSE)</f>
        <v>16</v>
      </c>
      <c r="I1060" t="str">
        <v>(</v>
      </c>
      <c r="J1060">
        <f>+J1052</f>
        <v>1.26875</v>
      </c>
      <c r="K1060" t="str">
        <v>+</v>
      </c>
      <c r="L1060">
        <f>MAX(VLOOKUP(F1060,N$6:P$15,3,FALSE)/1000,2/3*D1050/1000)+F$16*F1060/1000</f>
        <v>0.192</v>
      </c>
      <c r="M1060" t="str">
        <v>=</v>
      </c>
      <c r="N1060">
        <f>J1060+L1060</f>
        <v>1.46075</v>
      </c>
      <c r="O1060" t="str">
        <v>+</v>
      </c>
      <c r="P1060">
        <f>D1060-D1061</f>
        <v>0</v>
      </c>
      <c r="Q1060" t="str">
        <v>x</v>
      </c>
      <c r="R1060">
        <f>IF(P1060&gt;0,$F$18*F1060/1000,0)</f>
        <v>0</v>
      </c>
      <c r="S1060" t="str">
        <v>)</v>
      </c>
      <c r="T1060" t="str">
        <v>x</v>
      </c>
      <c r="U1060">
        <f>0.006165*F1060^2</f>
        <v>1.57824</v>
      </c>
      <c r="X1060" t="str">
        <v>x</v>
      </c>
      <c r="Y1060">
        <f>D1051</f>
        <v>1</v>
      </c>
      <c r="Z1060" t="str">
        <v>=</v>
      </c>
      <c r="AA1060">
        <f>IF(AA1063=0,(D1060*N1060+P1060*R1060)*U1060*Y1060,0)</f>
        <v>0</v>
      </c>
    </row>
    <row r="1061">
      <c r="A1061" t="str">
        <f>A1045</f>
        <v>Lantai 1</v>
      </c>
      <c r="B1061">
        <f>B1045</f>
        <v>34</v>
      </c>
      <c r="C1061" t="str">
        <v>Tul Bawah Lapangan</v>
      </c>
      <c r="D1061">
        <f>VLOOKUP(D1045,'Detail Balok'!$C$10:$AU$140,25,FALSE)</f>
        <v>3</v>
      </c>
      <c r="E1061" t="str">
        <v>D</v>
      </c>
      <c r="F1061">
        <f>VLOOKUP(D1045,'Detail Balok'!$C$10:$AU$140,27,FALSE)</f>
        <v>16</v>
      </c>
      <c r="I1061" t="str">
        <v>(</v>
      </c>
      <c r="J1061">
        <f>+J1053</f>
        <v>2.5375</v>
      </c>
      <c r="K1061" t="str">
        <v>+</v>
      </c>
      <c r="M1061" t="str">
        <v>=</v>
      </c>
      <c r="N1061">
        <f>J1061+L1061</f>
        <v>2.5375</v>
      </c>
      <c r="O1061" t="str">
        <v>+</v>
      </c>
      <c r="P1061">
        <f>MAX(D1061-D1060,D1061-D1062)</f>
        <v>0</v>
      </c>
      <c r="Q1061" t="str">
        <v>x</v>
      </c>
      <c r="R1061">
        <f>IF(P1061&gt;0,2*(1-2*$F$19-1/2)*D1048/1000,0)</f>
        <v>0</v>
      </c>
      <c r="S1061" t="str">
        <v>)</v>
      </c>
      <c r="T1061" t="str">
        <v>x</v>
      </c>
      <c r="U1061">
        <f>0.006165*F1061^2</f>
        <v>1.57824</v>
      </c>
      <c r="X1061" t="str">
        <v>x</v>
      </c>
      <c r="Y1061">
        <f>D1051</f>
        <v>1</v>
      </c>
      <c r="Z1061" t="str">
        <v>=</v>
      </c>
      <c r="AA1061">
        <f>IF(AA1063=0,(D1061*N1061+P1061*R1061)*U1061*Y1061,0)</f>
        <v>0</v>
      </c>
    </row>
    <row r="1062">
      <c r="A1062" t="str">
        <f>A1045</f>
        <v>Lantai 1</v>
      </c>
      <c r="B1062">
        <f>B1045</f>
        <v>34</v>
      </c>
      <c r="C1062" t="str">
        <v>Tul Bawah Tumpuan</v>
      </c>
      <c r="D1062">
        <f>VLOOKUP(D1045,'Detail Balok'!$C$10:$AU$140,28,FALSE)</f>
        <v>3</v>
      </c>
      <c r="E1062" t="str">
        <v>D</v>
      </c>
      <c r="F1062">
        <f>VLOOKUP(D1045,'Detail Balok'!$C$10:$AU$140,30,FALSE)</f>
        <v>16</v>
      </c>
      <c r="I1062" t="str">
        <v>(</v>
      </c>
      <c r="J1062">
        <f>+J1054</f>
        <v>1.26875</v>
      </c>
      <c r="K1062" t="str">
        <v>+</v>
      </c>
      <c r="L1062">
        <f>MAX(VLOOKUP(F1062,N$6:P$15,3,FALSE)/1000,2/3*D1050/1000)+F$16*F1062/1000</f>
        <v>0.192</v>
      </c>
      <c r="M1062" t="str">
        <v>=</v>
      </c>
      <c r="N1062">
        <f>J1062+L1062</f>
        <v>1.46075</v>
      </c>
      <c r="O1062" t="str">
        <v>+</v>
      </c>
      <c r="P1062">
        <f>D1062-D1061</f>
        <v>0</v>
      </c>
      <c r="Q1062" t="str">
        <v>x</v>
      </c>
      <c r="R1062">
        <f>IF(P1062&gt;0,$F$18*F1062/1000,0)</f>
        <v>0</v>
      </c>
      <c r="S1062" t="str">
        <v>)</v>
      </c>
      <c r="T1062" t="str">
        <v>x</v>
      </c>
      <c r="U1062">
        <f>0.006165*F1062^2</f>
        <v>1.57824</v>
      </c>
      <c r="X1062" t="str">
        <v>x</v>
      </c>
      <c r="Y1062">
        <f>D1051</f>
        <v>1</v>
      </c>
      <c r="Z1062" t="str">
        <v>=</v>
      </c>
      <c r="AA1062">
        <f>IF(AA1063=0,(D1062*N1062+P1062*R1062)*U1062*Y1062,0)</f>
        <v>0</v>
      </c>
    </row>
    <row r="1063">
      <c r="A1063" t="str">
        <f>A1045</f>
        <v>Lantai 1</v>
      </c>
      <c r="B1063">
        <f>B1045</f>
        <v>34</v>
      </c>
      <c r="D1063">
        <f>IF(AND(D1060=D1061,D1061=D1062,D1060=D1062),D1060,0)</f>
        <v>3</v>
      </c>
      <c r="E1063" t="str">
        <v>D</v>
      </c>
      <c r="F1063">
        <f>IF(AND(F1060=F1061,F1060=F1062,F1061=F1062),F1060,0)</f>
        <v>16</v>
      </c>
      <c r="L1063" t="str">
        <v>Total panjang per balok</v>
      </c>
      <c r="M1063" t="str">
        <v>=</v>
      </c>
      <c r="N1063">
        <f>IF(AND(D1060=D1061,D1060=D1062,D1061=D1062,F1060=F1061,F1060=F1062,F1061=F1062),SUM(N1060:N1062),0)</f>
        <v>5.459</v>
      </c>
      <c r="O1063" t="str">
        <v>+</v>
      </c>
      <c r="P1063">
        <f>IF(N1063&gt;12,ROUNDDOWN(N1063/12,0),0)</f>
        <v>0</v>
      </c>
      <c r="Q1063" t="str">
        <v>x</v>
      </c>
      <c r="R1063">
        <f>IF(P1063&gt;0,MAX(VLOOKUP(F1063,$D$6:$G$15,3,FALSE),600),0)/1000</f>
        <v>0</v>
      </c>
      <c r="T1063" t="str">
        <v>x</v>
      </c>
      <c r="U1063">
        <f>U1062</f>
        <v>1.57824</v>
      </c>
      <c r="V1063" t="str">
        <v>x</v>
      </c>
      <c r="W1063">
        <f>D1063</f>
        <v>3</v>
      </c>
      <c r="X1063" t="str">
        <v>x</v>
      </c>
      <c r="Y1063">
        <f>Y1062</f>
        <v>1</v>
      </c>
      <c r="Z1063" t="str">
        <v>=</v>
      </c>
      <c r="AA1063">
        <f>(N1063+P1063*R1063/1000)*U1063*W1063*Y1063</f>
        <v>25.84683648</v>
      </c>
    </row>
    <row r="1065">
      <c r="A1065" t="str">
        <f>A1045</f>
        <v>Lantai 1</v>
      </c>
      <c r="B1065">
        <f>B1045</f>
        <v>34</v>
      </c>
      <c r="C1065" t="str">
        <v>Sengkang Tumpuan</v>
      </c>
      <c r="D1065">
        <f>VLOOKUP(D1045,'Detail Balok'!$C$10:$AU$140,31,FALSE)</f>
        <v>0</v>
      </c>
      <c r="E1065" t="str">
        <v>D</v>
      </c>
      <c r="F1065">
        <f>VLOOKUP(D1045,'Detail Balok'!$C$10:$AU$140,33,FALSE)</f>
        <v>8</v>
      </c>
      <c r="G1065" t="str">
        <v>-</v>
      </c>
      <c r="H1065">
        <f>VLOOKUP(D1045,'Detail Balok'!$C$10:$AU$140,35,FALSE)</f>
        <v>150</v>
      </c>
      <c r="J1065">
        <f>(IF(D1065=0,(2*(D1046+G1046))-(F$5*8),IF(D1065=3,(2*(D1046+G1046))-(F$5*8)+(G1046-2*F$5),IF(D1065=4,(2*(D1046+G1046))-(F$5*8)+2*(G1046-2*F$5)))))/1000</f>
        <v>1.08</v>
      </c>
      <c r="K1065" t="str">
        <v>+</v>
      </c>
      <c r="L1065">
        <f>IF(D1065=0,2*MAX(6*F1065,75),(D1065-1)*2*MAX(6*F1065,75))/1000</f>
        <v>0.15</v>
      </c>
      <c r="M1065" t="str">
        <v>=</v>
      </c>
      <c r="N1065">
        <f>J1065+L1065</f>
        <v>1.23</v>
      </c>
      <c r="T1065" t="str">
        <v>x</v>
      </c>
      <c r="U1065">
        <f>0.006165*F1065^2</f>
        <v>0.39456</v>
      </c>
      <c r="V1065" t="str">
        <v>x</v>
      </c>
      <c r="W1065">
        <f>IF(D1048&gt;4*G1046,ROUND(MAX(D1048/4,2*G1046)/H1065,0)+1,ROUND(D1048/H1065,0)+1)</f>
        <v>9</v>
      </c>
      <c r="X1065" t="str">
        <v>x</v>
      </c>
      <c r="Y1065">
        <f>D1051</f>
        <v>1</v>
      </c>
      <c r="Z1065" t="str">
        <v>=</v>
      </c>
      <c r="AA1065">
        <f>N1065*U1065*W1065*Y1065</f>
        <v>4.3677792</v>
      </c>
    </row>
    <row r="1066">
      <c r="A1066" t="str">
        <f>A1045</f>
        <v>Lantai 1</v>
      </c>
      <c r="B1066">
        <f>B1045</f>
        <v>34</v>
      </c>
      <c r="C1066" t="str">
        <v>Sengkang Lapangan</v>
      </c>
      <c r="D1066">
        <f>VLOOKUP(D1045,'Detail Balok'!$C$10:$AU$140,36,FALSE)</f>
        <v>0</v>
      </c>
      <c r="E1066" t="str">
        <v>D</v>
      </c>
      <c r="F1066">
        <f>VLOOKUP(D1045,'Detail Balok'!$C$10:$AU$140,38,FALSE)</f>
        <v>8</v>
      </c>
      <c r="G1066" t="str">
        <v>-</v>
      </c>
      <c r="H1066">
        <f>VLOOKUP(D1045,'Detail Balok'!$C$10:$AU$140,40,FALSE)</f>
        <v>200</v>
      </c>
      <c r="J1066">
        <f>(IF(D1066=0,(2*(D1046+G1046))-(F$5*8),IF(D1066=3,(2*(D1046+G1046))-(F$5*8)+(G1046-2*F$5),IF(D1066=4,(2*(D1046+G1046))-(F$5*8)+2*(G1046-2*F$5)))))/1000</f>
        <v>1.08</v>
      </c>
      <c r="K1066" t="str">
        <v>+</v>
      </c>
      <c r="L1066">
        <f>IF(D1066=0,2*MAX(6*F1066,75),(D1066-1)*2*MAX(6*F1066,75))/1000</f>
        <v>0.15</v>
      </c>
      <c r="M1066" t="str">
        <v>=</v>
      </c>
      <c r="N1066">
        <f>J1066+L1066</f>
        <v>1.23</v>
      </c>
      <c r="T1066" t="str">
        <v>x</v>
      </c>
      <c r="U1066">
        <f>0.006165*F1066^2</f>
        <v>0.39456</v>
      </c>
      <c r="V1066" t="str">
        <v>x</v>
      </c>
      <c r="W1066">
        <f>IF(D1048-MAX(D1048/4,2*G1046)*2&gt;0,ROUND((D1048-MAX(D1048/4,2*G1046)*2)/H1066,0),0)</f>
        <v>13</v>
      </c>
      <c r="X1066" t="str">
        <v>x</v>
      </c>
      <c r="Y1066">
        <f>D1051</f>
        <v>1</v>
      </c>
      <c r="Z1066" t="str">
        <v>=</v>
      </c>
      <c r="AA1066">
        <f>N1066*U1066*W1066*Y1066</f>
        <v>6.309014400000001</v>
      </c>
    </row>
    <row r="1067">
      <c r="A1067" t="str">
        <f>A1045</f>
        <v>Lantai 1</v>
      </c>
      <c r="B1067">
        <f>B1045</f>
        <v>34</v>
      </c>
      <c r="C1067" t="str">
        <v>Sengkang Tumpuan</v>
      </c>
      <c r="D1067">
        <f>VLOOKUP(D1045,'Detail Balok'!$C$10:$AU$140,41,FALSE)</f>
        <v>0</v>
      </c>
      <c r="E1067" t="str">
        <v>D</v>
      </c>
      <c r="F1067">
        <f>VLOOKUP(D1045,'Detail Balok'!$C$10:$AU$140,43,FALSE)</f>
        <v>8</v>
      </c>
      <c r="G1067" t="str">
        <v>-</v>
      </c>
      <c r="H1067">
        <f>VLOOKUP(D1045,'Detail Balok'!$C$10:$AU$140,45,FALSE)</f>
        <v>150</v>
      </c>
      <c r="J1067">
        <f>(IF(D1067=0,(2*(D1046+G1046))-(F$5*8),IF(D1067=3,(2*(D1046+G1046))-(F$5*8)+(G1046-2*F$5),IF(D1067=4,(2*(D1046+G1046))-(F$5*8)+2*(G1046-2*F$5)))))/1000</f>
        <v>1.08</v>
      </c>
      <c r="K1067" t="str">
        <v>+</v>
      </c>
      <c r="L1067">
        <f>IF(D1067=0,2*MAX(6*F1067,75),(D1067-1)*2*MAX(6*F1067,75))/1000</f>
        <v>0.15</v>
      </c>
      <c r="M1067" t="str">
        <v>=</v>
      </c>
      <c r="N1067">
        <f>J1067+L1067</f>
        <v>1.23</v>
      </c>
      <c r="T1067" t="str">
        <v>x</v>
      </c>
      <c r="U1067">
        <f>0.006165*F1067^2</f>
        <v>0.39456</v>
      </c>
      <c r="V1067" t="str">
        <v>x</v>
      </c>
      <c r="W1067">
        <f>IF(D1048&gt;4*G1046,ROUND(MAX(D1048/4,2*G1046)/H1067,0)+1,0)</f>
        <v>9</v>
      </c>
      <c r="X1067" t="str">
        <v>x</v>
      </c>
      <c r="Y1067">
        <f>D1051</f>
        <v>1</v>
      </c>
      <c r="Z1067" t="str">
        <v>=</v>
      </c>
      <c r="AA1067">
        <f>N1067*U1067*W1067*Y1067</f>
        <v>4.3677792</v>
      </c>
    </row>
    <row r="1069">
      <c r="A1069" t="str">
        <f>A1045</f>
        <v>Lantai 1</v>
      </c>
      <c r="B1069">
        <f>B1045</f>
        <v>34</v>
      </c>
      <c r="C1069" t="str">
        <v>Kait Horizontal Tump.</v>
      </c>
      <c r="D1069">
        <f>VLOOKUP(D1045,'Detail Balok'!$C$10:$BJ$140,46,FALSE)</f>
        <v>0</v>
      </c>
      <c r="E1069" t="str">
        <v>D</v>
      </c>
      <c r="F1069">
        <f>VLOOKUP(D1045,'Detail Balok'!$C$10:$BJ$140,48,FALSE)</f>
        <v>0</v>
      </c>
      <c r="G1069" t="str">
        <v>-</v>
      </c>
      <c r="H1069">
        <f>VLOOKUP(D1045,'Detail Balok'!$C$10:$BJ$140,50,FALSE)</f>
        <v>100</v>
      </c>
      <c r="J1069">
        <f>(D1046-2*F$5)/1000</f>
        <v>0.12</v>
      </c>
      <c r="K1069" t="str">
        <v>+</v>
      </c>
      <c r="L1069">
        <f>IF(D1069=0,2*MAX(6*F1069,75),(D1069-1)*2*MAX(6*F1069,75))/1000</f>
        <v>0.15</v>
      </c>
      <c r="M1069" t="str">
        <v>=</v>
      </c>
      <c r="N1069">
        <f>J1069+L1069</f>
        <v>0.27</v>
      </c>
      <c r="T1069" t="str">
        <v>x</v>
      </c>
      <c r="U1069">
        <f>0.006165*F1069^2</f>
        <v>0</v>
      </c>
      <c r="V1069" t="str">
        <v>x</v>
      </c>
      <c r="W1069">
        <f>W1065</f>
        <v>9</v>
      </c>
      <c r="X1069" t="str">
        <v>x</v>
      </c>
      <c r="Y1069">
        <f>D1055</f>
        <v>3</v>
      </c>
      <c r="Z1069" t="str">
        <v>=</v>
      </c>
      <c r="AA1069">
        <f>N1069*U1069*W1069*Y1069</f>
        <v>0</v>
      </c>
    </row>
    <row r="1070">
      <c r="A1070" t="str">
        <f>A1045</f>
        <v>Lantai 1</v>
      </c>
      <c r="B1070">
        <f>B1045</f>
        <v>34</v>
      </c>
      <c r="C1070" t="str">
        <v>Kait Horizontal Lap.</v>
      </c>
      <c r="D1070">
        <f>VLOOKUP(D1045,'Detail Balok'!$C$10:$BJ$140,51,FALSE)</f>
        <v>0</v>
      </c>
      <c r="E1070" t="str">
        <v>D</v>
      </c>
      <c r="F1070">
        <f>VLOOKUP(D1045,'Detail Balok'!$C$10:$BJ$140,53,FALSE)</f>
        <v>0</v>
      </c>
      <c r="G1070" t="str">
        <v>-</v>
      </c>
      <c r="H1070">
        <f>VLOOKUP(D1045,'Detail Balok'!$C$10:$BJ$140,55,FALSE)</f>
        <v>100</v>
      </c>
      <c r="J1070">
        <f>(D1046-2*F$5)/1000</f>
        <v>0.12</v>
      </c>
      <c r="K1070" t="str">
        <v>+</v>
      </c>
      <c r="L1070">
        <f>IF(D1070=0,2*MAX(6*F1070,75),(D1070-1)*2*MAX(6*F1070,75))/1000</f>
        <v>0.15</v>
      </c>
      <c r="M1070" t="str">
        <v>=</v>
      </c>
      <c r="N1070">
        <f>J1070+L1070</f>
        <v>0.27</v>
      </c>
      <c r="T1070" t="str">
        <v>x</v>
      </c>
      <c r="U1070">
        <f>0.006165*F1070^2</f>
        <v>0</v>
      </c>
      <c r="V1070" t="str">
        <v>x</v>
      </c>
      <c r="W1070">
        <f>W1066</f>
        <v>13</v>
      </c>
      <c r="X1070" t="str">
        <v>x</v>
      </c>
      <c r="Y1070">
        <f>D1055</f>
        <v>3</v>
      </c>
      <c r="Z1070" t="str">
        <v>=</v>
      </c>
      <c r="AA1070">
        <f>N1070*U1070*W1070*Y1070</f>
        <v>0</v>
      </c>
    </row>
    <row r="1071">
      <c r="A1071" t="str">
        <f>A1045</f>
        <v>Lantai 1</v>
      </c>
      <c r="B1071">
        <f>B1045</f>
        <v>34</v>
      </c>
      <c r="C1071" t="str">
        <v>Kait Horizontal Tump.</v>
      </c>
      <c r="D1071">
        <f>VLOOKUP(D1045,'Detail Balok'!$C$10:$BJ$140,56,FALSE)</f>
        <v>0</v>
      </c>
      <c r="E1071" t="str">
        <v>D</v>
      </c>
      <c r="F1071">
        <f>VLOOKUP(D1045,'Detail Balok'!$C$10:$BJ$140,58,FALSE)</f>
        <v>0</v>
      </c>
      <c r="G1071" t="str">
        <v>-</v>
      </c>
      <c r="H1071">
        <f>VLOOKUP(D1045,'Detail Balok'!$C$10:$BJ$140,60,FALSE)</f>
        <v>100</v>
      </c>
      <c r="J1071">
        <f>(D1046-2*F$5)/1000</f>
        <v>0.12</v>
      </c>
      <c r="K1071" t="str">
        <v>+</v>
      </c>
      <c r="L1071">
        <f>IF(D1071=0,2*MAX(6*F1071,75),(D1071-1)*2*MAX(6*F1071,75))/1000</f>
        <v>0.15</v>
      </c>
      <c r="M1071" t="str">
        <v>=</v>
      </c>
      <c r="N1071">
        <f>J1071+L1071</f>
        <v>0.27</v>
      </c>
      <c r="T1071" t="str">
        <v>x</v>
      </c>
      <c r="U1071">
        <f>0.006165*F1071^2</f>
        <v>0</v>
      </c>
      <c r="V1071" t="str">
        <v>x</v>
      </c>
      <c r="W1071">
        <f>W1067</f>
        <v>9</v>
      </c>
      <c r="X1071" t="str">
        <v>x</v>
      </c>
      <c r="Y1071">
        <f>D1055</f>
        <v>3</v>
      </c>
      <c r="Z1071" t="str">
        <v>=</v>
      </c>
      <c r="AA1071">
        <f>N1071*U1071*W1071*Y1071</f>
        <v>0</v>
      </c>
    </row>
    <row r="1075">
      <c r="A1075" t="str">
        <f>A1045</f>
        <v>Lantai 1</v>
      </c>
      <c r="B1075">
        <f>B1045+1</f>
        <v>35</v>
      </c>
      <c r="C1075" t="str">
        <f>CONCATENATE(A1075," no. ",B1075)</f>
        <v>Lantai 1 no. 35</v>
      </c>
      <c r="D1075" t="str">
        <f>VLOOKUP(C1075,'Data Panjang Balok'!$C$9:$N$254,2,FALSE)</f>
        <v>S36-1</v>
      </c>
    </row>
    <row r="1076">
      <c r="C1076" t="str">
        <v>Dimensi</v>
      </c>
      <c r="D1076">
        <f>VLOOKUP(D1075,'Detail Balok'!$C$10:$AU$140,2,FALSE)</f>
        <v>300</v>
      </c>
      <c r="F1076" t="str">
        <v>x</v>
      </c>
      <c r="G1076">
        <f>VLOOKUP(D1075,'Detail Balok'!$C$10:$AU$140,3,FALSE)</f>
        <v>600</v>
      </c>
    </row>
    <row r="1077">
      <c r="C1077" t="str">
        <v>Panjang as ke as</v>
      </c>
      <c r="D1077">
        <f>VLOOKUP(C1075,'Data Panjang Balok'!$C$9:$N$254,4,FALSE)</f>
        <v>6075</v>
      </c>
    </row>
    <row r="1078">
      <c r="C1078" t="str">
        <v>Panjang netto</v>
      </c>
      <c r="D1078">
        <f>VLOOKUP(C1075,'Data Panjang Balok'!$C$9:$N$254,7,FALSE)</f>
        <v>6075</v>
      </c>
    </row>
    <row r="1079">
      <c r="C1079" t="str">
        <v>Kolom / balok kiri</v>
      </c>
      <c r="D1079">
        <f>VLOOKUP(C1075,'Data Panjang Balok'!$C$9:$N$254,9,FALSE)</f>
        <v>0</v>
      </c>
    </row>
    <row r="1080">
      <c r="C1080" t="str">
        <v>Kolom / balok kanan</v>
      </c>
      <c r="D1080">
        <f>VLOOKUP(C1075,'Data Panjang Balok'!$C$9:$N$254,10,FALSE)</f>
        <v>0</v>
      </c>
    </row>
    <row r="1081">
      <c r="C1081" t="str">
        <v>Jumlah</v>
      </c>
      <c r="D1081">
        <f>VLOOKUP(C1075,'Data Panjang Balok'!$C$9:$N$254,3,FALSE)</f>
        <v>1</v>
      </c>
    </row>
    <row r="1082">
      <c r="A1082" t="str">
        <f>A1075</f>
        <v>Lantai 1</v>
      </c>
      <c r="B1082">
        <f>B1075</f>
        <v>35</v>
      </c>
      <c r="C1082" t="str">
        <v>Tul Atas Tumpuan</v>
      </c>
      <c r="D1082">
        <f>VLOOKUP(D1075,'Detail Balok'!$C$10:$AU$140,4,FALSE)</f>
        <v>4</v>
      </c>
      <c r="E1082" t="str">
        <v>D</v>
      </c>
      <c r="F1082">
        <f>VLOOKUP(D1075,'Detail Balok'!$C$10:$AU$140,6,FALSE)</f>
        <v>16</v>
      </c>
      <c r="I1082" t="str">
        <v>(</v>
      </c>
      <c r="J1082">
        <f>+D1077/4/1000</f>
        <v>1.51875</v>
      </c>
      <c r="K1082" t="str">
        <v>+</v>
      </c>
      <c r="L1082">
        <f>MAX(VLOOKUP(F1082,N$6:P$15,3,FALSE)/1000,2/3*D1079/1000)+F$16*F1082/1000</f>
        <v>0.192</v>
      </c>
      <c r="M1082" t="str">
        <v>=</v>
      </c>
      <c r="N1082">
        <f>J1082+L1082</f>
        <v>1.71075</v>
      </c>
      <c r="O1082" t="str">
        <v>+</v>
      </c>
      <c r="P1082">
        <f>D1082-D1083</f>
        <v>0</v>
      </c>
      <c r="Q1082" t="str">
        <v>x</v>
      </c>
      <c r="R1082">
        <f>IF(P1082&gt;0,$F$18*F1082/1000,0)</f>
        <v>0</v>
      </c>
      <c r="S1082" t="str">
        <v>)</v>
      </c>
      <c r="T1082" t="str">
        <v>x</v>
      </c>
      <c r="U1082">
        <f>0.006165*F1082^2</f>
        <v>1.57824</v>
      </c>
      <c r="X1082" t="str">
        <v>x</v>
      </c>
      <c r="Y1082">
        <f>D1081</f>
        <v>1</v>
      </c>
      <c r="Z1082" t="str">
        <v>=</v>
      </c>
      <c r="AA1082">
        <f>IF(AA1085=0,(D1082*N1082+P1082*R1082)*U1082*Y1082,0)</f>
        <v>0</v>
      </c>
    </row>
    <row r="1083">
      <c r="A1083" t="str">
        <f>A1075</f>
        <v>Lantai 1</v>
      </c>
      <c r="B1083">
        <f>B1075</f>
        <v>35</v>
      </c>
      <c r="C1083" t="str">
        <v>Tul Atas Lapangan</v>
      </c>
      <c r="D1083">
        <f>VLOOKUP(D1075,'Detail Balok'!$C$10:$AU$140,7,FALSE)</f>
        <v>4</v>
      </c>
      <c r="E1083" t="str">
        <v>D</v>
      </c>
      <c r="F1083">
        <f>VLOOKUP(D1075,'Detail Balok'!$C$10:$AU$140,9,FALSE)</f>
        <v>16</v>
      </c>
      <c r="I1083" t="str">
        <v>(</v>
      </c>
      <c r="J1083">
        <f>+D1077/2/1000</f>
        <v>3.0375</v>
      </c>
      <c r="K1083" t="str">
        <v>+</v>
      </c>
      <c r="M1083" t="str">
        <v>=</v>
      </c>
      <c r="N1083">
        <f>J1083+L1083</f>
        <v>3.0375</v>
      </c>
      <c r="O1083" t="str">
        <v>+</v>
      </c>
      <c r="P1083">
        <f>MAX(D1083-D1082,D1083-D1084)</f>
        <v>0</v>
      </c>
      <c r="Q1083" t="str">
        <v>x</v>
      </c>
      <c r="R1083">
        <f>IF(P1083&gt;0,2*(1-2*$F$19-1/2)*D1078/1000,0)</f>
        <v>0</v>
      </c>
      <c r="S1083" t="str">
        <v>)</v>
      </c>
      <c r="T1083" t="str">
        <v>x</v>
      </c>
      <c r="U1083">
        <f>0.006165*F1083^2</f>
        <v>1.57824</v>
      </c>
      <c r="X1083" t="str">
        <v>x</v>
      </c>
      <c r="Y1083">
        <f>D1081</f>
        <v>1</v>
      </c>
      <c r="Z1083" t="str">
        <v>=</v>
      </c>
      <c r="AA1083">
        <f>IF(AA1085=0,(D1083*N1083+P1083*R1083)*U1083*Y1083,0)</f>
        <v>0</v>
      </c>
    </row>
    <row r="1084">
      <c r="A1084" t="str">
        <f>A1075</f>
        <v>Lantai 1</v>
      </c>
      <c r="B1084">
        <f>B1075</f>
        <v>35</v>
      </c>
      <c r="C1084" t="str">
        <v>Tul Atas Tumpuan</v>
      </c>
      <c r="D1084">
        <f>VLOOKUP(D1075,'Detail Balok'!$C$10:$AU$140,10,FALSE)</f>
        <v>4</v>
      </c>
      <c r="E1084" t="str">
        <v>D</v>
      </c>
      <c r="F1084">
        <f>VLOOKUP(D1075,'Detail Balok'!$C$10:$AU$140,12,FALSE)</f>
        <v>16</v>
      </c>
      <c r="I1084" t="str">
        <v>(</v>
      </c>
      <c r="J1084">
        <f>+D1077/4/1000</f>
        <v>1.51875</v>
      </c>
      <c r="K1084" t="str">
        <v>+</v>
      </c>
      <c r="L1084">
        <f>MAX(VLOOKUP(F1084,N$6:P$15,3,FALSE)/1000,2/3*D1079/1000)+F$16*F1084/1000</f>
        <v>0.192</v>
      </c>
      <c r="M1084" t="str">
        <v>=</v>
      </c>
      <c r="N1084">
        <f>J1084+L1084</f>
        <v>1.71075</v>
      </c>
      <c r="O1084" t="str">
        <v>+</v>
      </c>
      <c r="P1084">
        <f>D1084-D1083</f>
        <v>0</v>
      </c>
      <c r="Q1084" t="str">
        <v>x</v>
      </c>
      <c r="R1084">
        <f>IF(P1084&gt;0,$F$18*F1084/1000,0)</f>
        <v>0</v>
      </c>
      <c r="S1084" t="str">
        <v>)</v>
      </c>
      <c r="T1084" t="str">
        <v>x</v>
      </c>
      <c r="U1084">
        <f>0.006165*F1084^2</f>
        <v>1.57824</v>
      </c>
      <c r="X1084" t="str">
        <v>x</v>
      </c>
      <c r="Y1084">
        <f>D1081</f>
        <v>1</v>
      </c>
      <c r="Z1084" t="str">
        <v>=</v>
      </c>
      <c r="AA1084">
        <f>IF(AA1085=0,(D1084*N1084+P1084*R1084)*U1084*Y1084,0)</f>
        <v>0</v>
      </c>
    </row>
    <row r="1085">
      <c r="A1085" t="str">
        <f>A1075</f>
        <v>Lantai 1</v>
      </c>
      <c r="B1085">
        <f>B1075</f>
        <v>35</v>
      </c>
      <c r="D1085">
        <f>IF(AND(D1082=D1083,D1083=D1084,D1082=D1084),D1082,0)</f>
        <v>4</v>
      </c>
      <c r="E1085" t="str">
        <v>D</v>
      </c>
      <c r="F1085">
        <f>IF(AND(F1082=F1083,F1082=F1084,F1083=F1084),F1082,0)</f>
        <v>16</v>
      </c>
      <c r="L1085" t="str">
        <v>Total panjang per balok</v>
      </c>
      <c r="M1085" t="str">
        <v>=</v>
      </c>
      <c r="N1085">
        <f>IF(AND(D1082=D1083,D1082=D1084,D1083=D1084,F1082=F1083,F1082=F1084,F1083=F1084),SUM(N1082:N1084),0)</f>
        <v>6.4590000000000005</v>
      </c>
      <c r="O1085" t="str">
        <v>+</v>
      </c>
      <c r="P1085">
        <f>IF(N1085&gt;12,ROUNDDOWN(N1085/12,0),0)</f>
        <v>0</v>
      </c>
      <c r="Q1085" t="str">
        <v>x</v>
      </c>
      <c r="R1085">
        <f>IF(P1085&gt;0,MAX(VLOOKUP(F1085,$D$6:$G$15,3,FALSE),600),0)/1000</f>
        <v>0</v>
      </c>
      <c r="T1085" t="str">
        <v>x</v>
      </c>
      <c r="U1085">
        <f>U1084</f>
        <v>1.57824</v>
      </c>
      <c r="V1085" t="str">
        <v>x</v>
      </c>
      <c r="W1085">
        <f>D1085</f>
        <v>4</v>
      </c>
      <c r="X1085" t="str">
        <v>x</v>
      </c>
      <c r="Y1085">
        <f>Y1084</f>
        <v>1</v>
      </c>
      <c r="Z1085" t="str">
        <v>=</v>
      </c>
      <c r="AA1085">
        <f>(N1085+P1085*R1085/1000)*U1085*W1085*Y1085</f>
        <v>40.77540864</v>
      </c>
    </row>
    <row r="1087">
      <c r="A1087" t="str">
        <f>A1075</f>
        <v>Lantai 1</v>
      </c>
      <c r="B1087">
        <f>B1075</f>
        <v>35</v>
      </c>
      <c r="C1087" t="str">
        <v>Tul Peminggang</v>
      </c>
      <c r="D1087">
        <f>VLOOKUP(D1075,'Detail Balok'!$C$10:$AU$140,13,FALSE)</f>
        <v>2</v>
      </c>
      <c r="E1087" t="str">
        <v>D</v>
      </c>
      <c r="F1087">
        <f>VLOOKUP(D1075,'Detail Balok'!$C$10:$AU$140,15,FALSE)</f>
        <v>10</v>
      </c>
      <c r="J1087">
        <f>+D1077/1000</f>
        <v>6.075</v>
      </c>
      <c r="K1087" t="str">
        <v>+</v>
      </c>
      <c r="L1087">
        <f>2*$F$16*F1087/1000</f>
        <v>0.24</v>
      </c>
      <c r="M1087" t="str">
        <v>=</v>
      </c>
      <c r="N1087">
        <f>J1087+L1087</f>
        <v>6.315</v>
      </c>
      <c r="O1087" t="str">
        <v>+</v>
      </c>
      <c r="P1087">
        <f>IF(N1087&gt;12,ROUNDDOWN(N1087/12,0),0)</f>
        <v>0</v>
      </c>
      <c r="Q1087" t="str">
        <v>x</v>
      </c>
      <c r="R1087">
        <f>IF(P1087&gt;0,MAX(VLOOKUP(F1087,$D$6:$G$15,3,FALSE),600),0)/1000</f>
        <v>0</v>
      </c>
      <c r="T1087" t="str">
        <v>x</v>
      </c>
      <c r="U1087">
        <f>0.006165*F1087^2</f>
        <v>0.6165</v>
      </c>
      <c r="V1087" t="str">
        <v>x</v>
      </c>
      <c r="W1087">
        <f>+D1087</f>
        <v>2</v>
      </c>
      <c r="X1087" t="str">
        <v>x</v>
      </c>
      <c r="Y1087">
        <f>D1081</f>
        <v>1</v>
      </c>
      <c r="Z1087" t="str">
        <v>=</v>
      </c>
      <c r="AA1087">
        <f>(N1087+P1087*R1087/1000)*U1087*W1087*Y1087</f>
        <v>7.7863950000000015</v>
      </c>
    </row>
    <row r="1090">
      <c r="A1090" t="str">
        <f>A1075</f>
        <v>Lantai 1</v>
      </c>
      <c r="B1090">
        <f>B1075</f>
        <v>35</v>
      </c>
      <c r="C1090" t="str">
        <v>Tul Bawah Tumpuan</v>
      </c>
      <c r="D1090">
        <f>VLOOKUP(D1075,'Detail Balok'!$C$10:$AU$140,22,FALSE)</f>
        <v>4</v>
      </c>
      <c r="E1090" t="str">
        <v>D</v>
      </c>
      <c r="F1090">
        <f>VLOOKUP(D1075,'Detail Balok'!$C$10:$AU$140,24,FALSE)</f>
        <v>16</v>
      </c>
      <c r="I1090" t="str">
        <v>(</v>
      </c>
      <c r="J1090">
        <f>+J1082</f>
        <v>1.51875</v>
      </c>
      <c r="K1090" t="str">
        <v>+</v>
      </c>
      <c r="L1090">
        <f>MAX(VLOOKUP(F1090,N$6:P$15,3,FALSE)/1000,2/3*D1080/1000)+F$16*F1090/1000</f>
        <v>0.192</v>
      </c>
      <c r="M1090" t="str">
        <v>=</v>
      </c>
      <c r="N1090">
        <f>J1090+L1090</f>
        <v>1.71075</v>
      </c>
      <c r="O1090" t="str">
        <v>+</v>
      </c>
      <c r="P1090">
        <f>D1090-D1091</f>
        <v>0</v>
      </c>
      <c r="Q1090" t="str">
        <v>x</v>
      </c>
      <c r="R1090">
        <f>IF(P1090&gt;0,$F$18*F1090/1000,0)</f>
        <v>0</v>
      </c>
      <c r="S1090" t="str">
        <v>)</v>
      </c>
      <c r="T1090" t="str">
        <v>x</v>
      </c>
      <c r="U1090">
        <f>0.006165*F1090^2</f>
        <v>1.57824</v>
      </c>
      <c r="X1090" t="str">
        <v>x</v>
      </c>
      <c r="Y1090">
        <f>D1081</f>
        <v>1</v>
      </c>
      <c r="Z1090" t="str">
        <v>=</v>
      </c>
      <c r="AA1090">
        <f>IF(AA1093=0,(D1090*N1090+P1090*R1090)*U1090*Y1090,0)</f>
        <v>0</v>
      </c>
    </row>
    <row r="1091">
      <c r="A1091" t="str">
        <f>A1075</f>
        <v>Lantai 1</v>
      </c>
      <c r="B1091">
        <f>B1075</f>
        <v>35</v>
      </c>
      <c r="C1091" t="str">
        <v>Tul Bawah Lapangan</v>
      </c>
      <c r="D1091">
        <f>VLOOKUP(D1075,'Detail Balok'!$C$10:$AU$140,25,FALSE)</f>
        <v>4</v>
      </c>
      <c r="E1091" t="str">
        <v>D</v>
      </c>
      <c r="F1091">
        <f>VLOOKUP(D1075,'Detail Balok'!$C$10:$AU$140,27,FALSE)</f>
        <v>16</v>
      </c>
      <c r="I1091" t="str">
        <v>(</v>
      </c>
      <c r="J1091">
        <f>+J1083</f>
        <v>3.0375</v>
      </c>
      <c r="K1091" t="str">
        <v>+</v>
      </c>
      <c r="M1091" t="str">
        <v>=</v>
      </c>
      <c r="N1091">
        <f>J1091+L1091</f>
        <v>3.0375</v>
      </c>
      <c r="O1091" t="str">
        <v>+</v>
      </c>
      <c r="P1091">
        <f>MAX(D1091-D1090,D1091-D1092)</f>
        <v>0</v>
      </c>
      <c r="Q1091" t="str">
        <v>x</v>
      </c>
      <c r="R1091">
        <f>IF(P1091&gt;0,2*(1-2*$F$19-1/2)*D1078/1000,0)</f>
        <v>0</v>
      </c>
      <c r="S1091" t="str">
        <v>)</v>
      </c>
      <c r="T1091" t="str">
        <v>x</v>
      </c>
      <c r="U1091">
        <f>0.006165*F1091^2</f>
        <v>1.57824</v>
      </c>
      <c r="X1091" t="str">
        <v>x</v>
      </c>
      <c r="Y1091">
        <f>D1081</f>
        <v>1</v>
      </c>
      <c r="Z1091" t="str">
        <v>=</v>
      </c>
      <c r="AA1091">
        <f>IF(AA1093=0,(D1091*N1091+P1091*R1091)*U1091*Y1091,0)</f>
        <v>0</v>
      </c>
    </row>
    <row r="1092">
      <c r="A1092" t="str">
        <f>A1075</f>
        <v>Lantai 1</v>
      </c>
      <c r="B1092">
        <f>B1075</f>
        <v>35</v>
      </c>
      <c r="C1092" t="str">
        <v>Tul Bawah Tumpuan</v>
      </c>
      <c r="D1092">
        <f>VLOOKUP(D1075,'Detail Balok'!$C$10:$AU$140,28,FALSE)</f>
        <v>4</v>
      </c>
      <c r="E1092" t="str">
        <v>D</v>
      </c>
      <c r="F1092">
        <f>VLOOKUP(D1075,'Detail Balok'!$C$10:$AU$140,30,FALSE)</f>
        <v>16</v>
      </c>
      <c r="I1092" t="str">
        <v>(</v>
      </c>
      <c r="J1092">
        <f>+J1084</f>
        <v>1.51875</v>
      </c>
      <c r="K1092" t="str">
        <v>+</v>
      </c>
      <c r="L1092">
        <f>MAX(VLOOKUP(F1092,N$6:P$15,3,FALSE)/1000,2/3*D1080/1000)+F$16*F1092/1000</f>
        <v>0.192</v>
      </c>
      <c r="M1092" t="str">
        <v>=</v>
      </c>
      <c r="N1092">
        <f>J1092+L1092</f>
        <v>1.71075</v>
      </c>
      <c r="O1092" t="str">
        <v>+</v>
      </c>
      <c r="P1092">
        <f>D1092-D1091</f>
        <v>0</v>
      </c>
      <c r="Q1092" t="str">
        <v>x</v>
      </c>
      <c r="R1092">
        <f>IF(P1092&gt;0,$F$18*F1092/1000,0)</f>
        <v>0</v>
      </c>
      <c r="S1092" t="str">
        <v>)</v>
      </c>
      <c r="T1092" t="str">
        <v>x</v>
      </c>
      <c r="U1092">
        <f>0.006165*F1092^2</f>
        <v>1.57824</v>
      </c>
      <c r="X1092" t="str">
        <v>x</v>
      </c>
      <c r="Y1092">
        <f>D1081</f>
        <v>1</v>
      </c>
      <c r="Z1092" t="str">
        <v>=</v>
      </c>
      <c r="AA1092">
        <f>IF(AA1093=0,(D1092*N1092+P1092*R1092)*U1092*Y1092,0)</f>
        <v>0</v>
      </c>
    </row>
    <row r="1093">
      <c r="A1093" t="str">
        <f>A1075</f>
        <v>Lantai 1</v>
      </c>
      <c r="B1093">
        <f>B1075</f>
        <v>35</v>
      </c>
      <c r="D1093">
        <f>IF(AND(D1090=D1091,D1091=D1092,D1090=D1092),D1090,0)</f>
        <v>4</v>
      </c>
      <c r="E1093" t="str">
        <v>D</v>
      </c>
      <c r="F1093">
        <f>IF(AND(F1090=F1091,F1090=F1092,F1091=F1092),F1090,0)</f>
        <v>16</v>
      </c>
      <c r="L1093" t="str">
        <v>Total panjang per balok</v>
      </c>
      <c r="M1093" t="str">
        <v>=</v>
      </c>
      <c r="N1093">
        <f>IF(AND(D1090=D1091,D1090=D1092,D1091=D1092,F1090=F1091,F1090=F1092,F1091=F1092),SUM(N1090:N1092),0)</f>
        <v>6.4590000000000005</v>
      </c>
      <c r="O1093" t="str">
        <v>+</v>
      </c>
      <c r="P1093">
        <f>IF(N1093&gt;12,ROUNDDOWN(N1093/12,0),0)</f>
        <v>0</v>
      </c>
      <c r="Q1093" t="str">
        <v>x</v>
      </c>
      <c r="R1093">
        <f>IF(P1093&gt;0,MAX(VLOOKUP(F1093,$D$6:$G$15,3,FALSE),600),0)/1000</f>
        <v>0</v>
      </c>
      <c r="T1093" t="str">
        <v>x</v>
      </c>
      <c r="U1093">
        <f>U1092</f>
        <v>1.57824</v>
      </c>
      <c r="V1093" t="str">
        <v>x</v>
      </c>
      <c r="W1093">
        <f>D1093</f>
        <v>4</v>
      </c>
      <c r="X1093" t="str">
        <v>x</v>
      </c>
      <c r="Y1093">
        <f>Y1092</f>
        <v>1</v>
      </c>
      <c r="Z1093" t="str">
        <v>=</v>
      </c>
      <c r="AA1093">
        <f>(N1093+P1093*R1093/1000)*U1093*W1093*Y1093</f>
        <v>40.77540864</v>
      </c>
    </row>
    <row r="1095">
      <c r="A1095" t="str">
        <f>A1075</f>
        <v>Lantai 1</v>
      </c>
      <c r="B1095">
        <f>B1075</f>
        <v>35</v>
      </c>
      <c r="C1095" t="str">
        <v>Sengkang Tumpuan</v>
      </c>
      <c r="D1095">
        <f>VLOOKUP(D1075,'Detail Balok'!$C$10:$AU$140,31,FALSE)</f>
        <v>0</v>
      </c>
      <c r="E1095" t="str">
        <v>D</v>
      </c>
      <c r="F1095">
        <f>VLOOKUP(D1075,'Detail Balok'!$C$10:$AU$140,33,FALSE)</f>
        <v>8</v>
      </c>
      <c r="G1095" t="str">
        <v>-</v>
      </c>
      <c r="H1095">
        <f>VLOOKUP(D1075,'Detail Balok'!$C$10:$AU$140,35,FALSE)</f>
        <v>150</v>
      </c>
      <c r="J1095">
        <f>(IF(D1095=0,(2*(D1076+G1076))-(F$5*8),IF(D1095=3,(2*(D1076+G1076))-(F$5*8)+(G1076-2*F$5),IF(D1095=4,(2*(D1076+G1076))-(F$5*8)+2*(G1076-2*F$5)))))/1000</f>
        <v>1.48</v>
      </c>
      <c r="K1095" t="str">
        <v>+</v>
      </c>
      <c r="L1095">
        <f>IF(D1095=0,2*MAX(6*F1095,75),(D1095-1)*2*MAX(6*F1095,75))/1000</f>
        <v>0.15</v>
      </c>
      <c r="M1095" t="str">
        <v>=</v>
      </c>
      <c r="N1095">
        <f>J1095+L1095</f>
        <v>1.63</v>
      </c>
      <c r="T1095" t="str">
        <v>x</v>
      </c>
      <c r="U1095">
        <f>0.006165*F1095^2</f>
        <v>0.39456</v>
      </c>
      <c r="V1095" t="str">
        <v>x</v>
      </c>
      <c r="W1095">
        <f>IF(D1078&gt;4*G1076,ROUND(MAX(D1078/4,2*G1076)/H1095,0)+1,ROUND(D1078/H1095,0)+1)</f>
        <v>11</v>
      </c>
      <c r="X1095" t="str">
        <v>x</v>
      </c>
      <c r="Y1095">
        <f>D1081</f>
        <v>1</v>
      </c>
      <c r="Z1095" t="str">
        <v>=</v>
      </c>
      <c r="AA1095">
        <f>N1095*U1095*W1095*Y1095</f>
        <v>7.0744608</v>
      </c>
    </row>
    <row r="1096">
      <c r="A1096" t="str">
        <f>A1075</f>
        <v>Lantai 1</v>
      </c>
      <c r="B1096">
        <f>B1075</f>
        <v>35</v>
      </c>
      <c r="C1096" t="str">
        <v>Sengkang Lapangan</v>
      </c>
      <c r="D1096">
        <f>VLOOKUP(D1075,'Detail Balok'!$C$10:$AU$140,36,FALSE)</f>
        <v>0</v>
      </c>
      <c r="E1096" t="str">
        <v>D</v>
      </c>
      <c r="F1096">
        <f>VLOOKUP(D1075,'Detail Balok'!$C$10:$AU$140,38,FALSE)</f>
        <v>8</v>
      </c>
      <c r="G1096" t="str">
        <v>-</v>
      </c>
      <c r="H1096">
        <f>VLOOKUP(D1075,'Detail Balok'!$C$10:$AU$140,40,FALSE)</f>
        <v>200</v>
      </c>
      <c r="J1096">
        <f>(IF(D1096=0,(2*(D1076+G1076))-(F$5*8),IF(D1096=3,(2*(D1076+G1076))-(F$5*8)+(G1076-2*F$5),IF(D1096=4,(2*(D1076+G1076))-(F$5*8)+2*(G1076-2*F$5)))))/1000</f>
        <v>1.48</v>
      </c>
      <c r="K1096" t="str">
        <v>+</v>
      </c>
      <c r="L1096">
        <f>IF(D1096=0,2*MAX(6*F1096,75),(D1096-1)*2*MAX(6*F1096,75))/1000</f>
        <v>0.15</v>
      </c>
      <c r="M1096" t="str">
        <v>=</v>
      </c>
      <c r="N1096">
        <f>J1096+L1096</f>
        <v>1.63</v>
      </c>
      <c r="T1096" t="str">
        <v>x</v>
      </c>
      <c r="U1096">
        <f>0.006165*F1096^2</f>
        <v>0.39456</v>
      </c>
      <c r="V1096" t="str">
        <v>x</v>
      </c>
      <c r="W1096">
        <f>IF(D1078-MAX(D1078/4,2*G1076)*2&gt;0,ROUND((D1078-MAX(D1078/4,2*G1076)*2)/H1096,0),0)</f>
        <v>15</v>
      </c>
      <c r="X1096" t="str">
        <v>x</v>
      </c>
      <c r="Y1096">
        <f>D1081</f>
        <v>1</v>
      </c>
      <c r="Z1096" t="str">
        <v>=</v>
      </c>
      <c r="AA1096">
        <f>N1096*U1096*W1096*Y1096</f>
        <v>9.646992</v>
      </c>
    </row>
    <row r="1097">
      <c r="A1097" t="str">
        <f>A1075</f>
        <v>Lantai 1</v>
      </c>
      <c r="B1097">
        <f>B1075</f>
        <v>35</v>
      </c>
      <c r="C1097" t="str">
        <v>Sengkang Tumpuan</v>
      </c>
      <c r="D1097">
        <f>VLOOKUP(D1075,'Detail Balok'!$C$10:$AU$140,41,FALSE)</f>
        <v>0</v>
      </c>
      <c r="E1097" t="str">
        <v>D</v>
      </c>
      <c r="F1097">
        <f>VLOOKUP(D1075,'Detail Balok'!$C$10:$AU$140,43,FALSE)</f>
        <v>8</v>
      </c>
      <c r="G1097" t="str">
        <v>-</v>
      </c>
      <c r="H1097">
        <f>VLOOKUP(D1075,'Detail Balok'!$C$10:$AU$140,45,FALSE)</f>
        <v>150</v>
      </c>
      <c r="J1097">
        <f>(IF(D1097=0,(2*(D1076+G1076))-(F$5*8),IF(D1097=3,(2*(D1076+G1076))-(F$5*8)+(G1076-2*F$5),IF(D1097=4,(2*(D1076+G1076))-(F$5*8)+2*(G1076-2*F$5)))))/1000</f>
        <v>1.48</v>
      </c>
      <c r="K1097" t="str">
        <v>+</v>
      </c>
      <c r="L1097">
        <f>IF(D1097=0,2*MAX(6*F1097,75),(D1097-1)*2*MAX(6*F1097,75))/1000</f>
        <v>0.15</v>
      </c>
      <c r="M1097" t="str">
        <v>=</v>
      </c>
      <c r="N1097">
        <f>J1097+L1097</f>
        <v>1.63</v>
      </c>
      <c r="T1097" t="str">
        <v>x</v>
      </c>
      <c r="U1097">
        <f>0.006165*F1097^2</f>
        <v>0.39456</v>
      </c>
      <c r="V1097" t="str">
        <v>x</v>
      </c>
      <c r="W1097">
        <f>IF(D1078&gt;4*G1076,ROUND(MAX(D1078/4,2*G1076)/H1097,0)+1,0)</f>
        <v>11</v>
      </c>
      <c r="X1097" t="str">
        <v>x</v>
      </c>
      <c r="Y1097">
        <f>D1081</f>
        <v>1</v>
      </c>
      <c r="Z1097" t="str">
        <v>=</v>
      </c>
      <c r="AA1097">
        <f>N1097*U1097*W1097*Y1097</f>
        <v>7.0744608</v>
      </c>
    </row>
    <row r="1099">
      <c r="A1099" t="str">
        <f>A1075</f>
        <v>Lantai 1</v>
      </c>
      <c r="B1099">
        <f>B1075</f>
        <v>35</v>
      </c>
      <c r="C1099" t="str">
        <v>Kait Horizontal Tump.</v>
      </c>
      <c r="D1099">
        <f>VLOOKUP(D1075,'Detail Balok'!$C$10:$BJ$140,46,FALSE)</f>
        <v>0</v>
      </c>
      <c r="E1099" t="str">
        <v>D</v>
      </c>
      <c r="F1099">
        <f>VLOOKUP(D1075,'Detail Balok'!$C$10:$BJ$140,48,FALSE)</f>
        <v>0</v>
      </c>
      <c r="G1099" t="str">
        <v>-</v>
      </c>
      <c r="H1099">
        <f>VLOOKUP(D1075,'Detail Balok'!$C$10:$BJ$140,50,FALSE)</f>
        <v>100</v>
      </c>
      <c r="J1099">
        <f>(D1076-2*F$5)/1000</f>
        <v>0.22</v>
      </c>
      <c r="K1099" t="str">
        <v>+</v>
      </c>
      <c r="L1099">
        <f>IF(D1099=0,2*MAX(6*F1099,75),(D1099-1)*2*MAX(6*F1099,75))/1000</f>
        <v>0.15</v>
      </c>
      <c r="M1099" t="str">
        <v>=</v>
      </c>
      <c r="N1099">
        <f>J1099+L1099</f>
        <v>0.37</v>
      </c>
      <c r="T1099" t="str">
        <v>x</v>
      </c>
      <c r="U1099">
        <f>0.006165*F1099^2</f>
        <v>0</v>
      </c>
      <c r="V1099" t="str">
        <v>x</v>
      </c>
      <c r="W1099">
        <f>W1095</f>
        <v>11</v>
      </c>
      <c r="X1099" t="str">
        <v>x</v>
      </c>
      <c r="Y1099">
        <f>D1085</f>
        <v>4</v>
      </c>
      <c r="Z1099" t="str">
        <v>=</v>
      </c>
      <c r="AA1099">
        <f>N1099*U1099*W1099*Y1099</f>
        <v>0</v>
      </c>
    </row>
    <row r="1100">
      <c r="A1100" t="str">
        <f>A1075</f>
        <v>Lantai 1</v>
      </c>
      <c r="B1100">
        <f>B1075</f>
        <v>35</v>
      </c>
      <c r="C1100" t="str">
        <v>Kait Horizontal Lap.</v>
      </c>
      <c r="D1100">
        <f>VLOOKUP(D1075,'Detail Balok'!$C$10:$BJ$140,51,FALSE)</f>
        <v>0</v>
      </c>
      <c r="E1100" t="str">
        <v>D</v>
      </c>
      <c r="F1100">
        <f>VLOOKUP(D1075,'Detail Balok'!$C$10:$BJ$140,53,FALSE)</f>
        <v>0</v>
      </c>
      <c r="G1100" t="str">
        <v>-</v>
      </c>
      <c r="H1100">
        <f>VLOOKUP(D1075,'Detail Balok'!$C$10:$BJ$140,55,FALSE)</f>
        <v>100</v>
      </c>
      <c r="J1100">
        <f>(D1076-2*F$5)/1000</f>
        <v>0.22</v>
      </c>
      <c r="K1100" t="str">
        <v>+</v>
      </c>
      <c r="L1100">
        <f>IF(D1100=0,2*MAX(6*F1100,75),(D1100-1)*2*MAX(6*F1100,75))/1000</f>
        <v>0.15</v>
      </c>
      <c r="M1100" t="str">
        <v>=</v>
      </c>
      <c r="N1100">
        <f>J1100+L1100</f>
        <v>0.37</v>
      </c>
      <c r="T1100" t="str">
        <v>x</v>
      </c>
      <c r="U1100">
        <f>0.006165*F1100^2</f>
        <v>0</v>
      </c>
      <c r="V1100" t="str">
        <v>x</v>
      </c>
      <c r="W1100">
        <f>W1096</f>
        <v>15</v>
      </c>
      <c r="X1100" t="str">
        <v>x</v>
      </c>
      <c r="Y1100">
        <f>D1085</f>
        <v>4</v>
      </c>
      <c r="Z1100" t="str">
        <v>=</v>
      </c>
      <c r="AA1100">
        <f>N1100*U1100*W1100*Y1100</f>
        <v>0</v>
      </c>
    </row>
    <row r="1101">
      <c r="A1101" t="str">
        <f>A1075</f>
        <v>Lantai 1</v>
      </c>
      <c r="B1101">
        <f>B1075</f>
        <v>35</v>
      </c>
      <c r="C1101" t="str">
        <v>Kait Horizontal Tump.</v>
      </c>
      <c r="D1101">
        <f>VLOOKUP(D1075,'Detail Balok'!$C$10:$BJ$140,56,FALSE)</f>
        <v>0</v>
      </c>
      <c r="E1101" t="str">
        <v>D</v>
      </c>
      <c r="F1101">
        <f>VLOOKUP(D1075,'Detail Balok'!$C$10:$BJ$140,58,FALSE)</f>
        <v>0</v>
      </c>
      <c r="G1101" t="str">
        <v>-</v>
      </c>
      <c r="H1101">
        <f>VLOOKUP(D1075,'Detail Balok'!$C$10:$BJ$140,60,FALSE)</f>
        <v>100</v>
      </c>
      <c r="J1101">
        <f>(D1076-2*F$5)/1000</f>
        <v>0.22</v>
      </c>
      <c r="K1101" t="str">
        <v>+</v>
      </c>
      <c r="L1101">
        <f>IF(D1101=0,2*MAX(6*F1101,75),(D1101-1)*2*MAX(6*F1101,75))/1000</f>
        <v>0.15</v>
      </c>
      <c r="M1101" t="str">
        <v>=</v>
      </c>
      <c r="N1101">
        <f>J1101+L1101</f>
        <v>0.37</v>
      </c>
      <c r="T1101" t="str">
        <v>x</v>
      </c>
      <c r="U1101">
        <f>0.006165*F1101^2</f>
        <v>0</v>
      </c>
      <c r="V1101" t="str">
        <v>x</v>
      </c>
      <c r="W1101">
        <f>W1097</f>
        <v>11</v>
      </c>
      <c r="X1101" t="str">
        <v>x</v>
      </c>
      <c r="Y1101">
        <f>D1085</f>
        <v>4</v>
      </c>
      <c r="Z1101" t="str">
        <v>=</v>
      </c>
      <c r="AA1101">
        <f>N1101*U1101*W1101*Y1101</f>
        <v>0</v>
      </c>
    </row>
    <row r="1105">
      <c r="A1105" t="str">
        <f>A1075</f>
        <v>Lantai 1</v>
      </c>
      <c r="B1105">
        <f>B1075+1</f>
        <v>36</v>
      </c>
      <c r="C1105" t="str">
        <f>CONCATENATE(A1105," no. ",B1105)</f>
        <v>Lantai 1 no. 36</v>
      </c>
      <c r="D1105" t="str">
        <f>VLOOKUP(C1105,'Data Panjang Balok'!$C$9:$N$254,2,FALSE)</f>
        <v>S24-1</v>
      </c>
    </row>
    <row r="1106">
      <c r="C1106" t="str">
        <v>Dimensi</v>
      </c>
      <c r="D1106">
        <f>VLOOKUP(D1105,'Detail Balok'!$C$10:$AU$140,2,FALSE)</f>
        <v>200</v>
      </c>
      <c r="F1106" t="str">
        <v>x</v>
      </c>
      <c r="G1106">
        <f>VLOOKUP(D1105,'Detail Balok'!$C$10:$AU$140,3,FALSE)</f>
        <v>400</v>
      </c>
    </row>
    <row r="1107">
      <c r="C1107" t="str">
        <v>Panjang as ke as</v>
      </c>
      <c r="D1107">
        <f>VLOOKUP(C1105,'Data Panjang Balok'!$C$9:$N$254,4,FALSE)</f>
        <v>5370</v>
      </c>
    </row>
    <row r="1108">
      <c r="C1108" t="str">
        <v>Panjang netto</v>
      </c>
      <c r="D1108">
        <f>VLOOKUP(C1105,'Data Panjang Balok'!$C$9:$N$254,7,FALSE)</f>
        <v>5370</v>
      </c>
    </row>
    <row r="1109">
      <c r="C1109" t="str">
        <v>Kolom / balok kiri</v>
      </c>
      <c r="D1109">
        <f>VLOOKUP(C1105,'Data Panjang Balok'!$C$9:$N$254,9,FALSE)</f>
        <v>0</v>
      </c>
    </row>
    <row r="1110">
      <c r="C1110" t="str">
        <v>Kolom / balok kanan</v>
      </c>
      <c r="D1110">
        <f>VLOOKUP(C1105,'Data Panjang Balok'!$C$9:$N$254,10,FALSE)</f>
        <v>0</v>
      </c>
    </row>
    <row r="1111">
      <c r="C1111" t="str">
        <v>Jumlah</v>
      </c>
      <c r="D1111">
        <f>VLOOKUP(C1105,'Data Panjang Balok'!$C$9:$N$254,3,FALSE)</f>
        <v>1</v>
      </c>
    </row>
    <row r="1112">
      <c r="A1112" t="str">
        <f>A1105</f>
        <v>Lantai 1</v>
      </c>
      <c r="B1112">
        <f>B1105</f>
        <v>36</v>
      </c>
      <c r="C1112" t="str">
        <v>Tul Atas Tumpuan</v>
      </c>
      <c r="D1112">
        <f>VLOOKUP(D1105,'Detail Balok'!$C$10:$AU$140,4,FALSE)</f>
        <v>3</v>
      </c>
      <c r="E1112" t="str">
        <v>D</v>
      </c>
      <c r="F1112">
        <f>VLOOKUP(D1105,'Detail Balok'!$C$10:$AU$140,6,FALSE)</f>
        <v>13</v>
      </c>
      <c r="I1112" t="str">
        <v>(</v>
      </c>
      <c r="J1112">
        <f>+D1107/4/1000</f>
        <v>1.3425</v>
      </c>
      <c r="K1112" t="str">
        <v>+</v>
      </c>
      <c r="L1112">
        <f>MAX(VLOOKUP(F1112,N$6:P$15,3,FALSE)/1000,2/3*D1109/1000)+F$16*F1112/1000</f>
        <v>0.156</v>
      </c>
      <c r="M1112" t="str">
        <v>=</v>
      </c>
      <c r="N1112">
        <f>J1112+L1112</f>
        <v>1.4985</v>
      </c>
      <c r="O1112" t="str">
        <v>+</v>
      </c>
      <c r="P1112">
        <f>D1112-D1113</f>
        <v>0</v>
      </c>
      <c r="Q1112" t="str">
        <v>x</v>
      </c>
      <c r="R1112">
        <f>IF(P1112&gt;0,$F$18*F1112/1000,0)</f>
        <v>0</v>
      </c>
      <c r="S1112" t="str">
        <v>)</v>
      </c>
      <c r="T1112" t="str">
        <v>x</v>
      </c>
      <c r="U1112">
        <f>0.006165*F1112^2</f>
        <v>1.041885</v>
      </c>
      <c r="X1112" t="str">
        <v>x</v>
      </c>
      <c r="Y1112">
        <f>D1111</f>
        <v>1</v>
      </c>
      <c r="Z1112" t="str">
        <v>=</v>
      </c>
      <c r="AA1112">
        <f>IF(AA1115=0,(D1112*N1112+P1112*R1112)*U1112*Y1112,0)</f>
        <v>0</v>
      </c>
    </row>
    <row r="1113">
      <c r="A1113" t="str">
        <f>A1105</f>
        <v>Lantai 1</v>
      </c>
      <c r="B1113">
        <f>B1105</f>
        <v>36</v>
      </c>
      <c r="C1113" t="str">
        <v>Tul Atas Lapangan</v>
      </c>
      <c r="D1113">
        <f>VLOOKUP(D1105,'Detail Balok'!$C$10:$AU$140,7,FALSE)</f>
        <v>3</v>
      </c>
      <c r="E1113" t="str">
        <v>D</v>
      </c>
      <c r="F1113">
        <f>VLOOKUP(D1105,'Detail Balok'!$C$10:$AU$140,9,FALSE)</f>
        <v>13</v>
      </c>
      <c r="I1113" t="str">
        <v>(</v>
      </c>
      <c r="J1113">
        <f>+D1107/2/1000</f>
        <v>2.685</v>
      </c>
      <c r="K1113" t="str">
        <v>+</v>
      </c>
      <c r="M1113" t="str">
        <v>=</v>
      </c>
      <c r="N1113">
        <f>J1113+L1113</f>
        <v>2.685</v>
      </c>
      <c r="O1113" t="str">
        <v>+</v>
      </c>
      <c r="P1113">
        <f>MAX(D1113-D1112,D1113-D1114)</f>
        <v>0</v>
      </c>
      <c r="Q1113" t="str">
        <v>x</v>
      </c>
      <c r="R1113">
        <f>IF(P1113&gt;0,2*(1-2*$F$19-1/2)*D1108/1000,0)</f>
        <v>0</v>
      </c>
      <c r="S1113" t="str">
        <v>)</v>
      </c>
      <c r="T1113" t="str">
        <v>x</v>
      </c>
      <c r="U1113">
        <f>0.006165*F1113^2</f>
        <v>1.041885</v>
      </c>
      <c r="X1113" t="str">
        <v>x</v>
      </c>
      <c r="Y1113">
        <f>D1111</f>
        <v>1</v>
      </c>
      <c r="Z1113" t="str">
        <v>=</v>
      </c>
      <c r="AA1113">
        <f>IF(AA1115=0,(D1113*N1113+P1113*R1113)*U1113*Y1113,0)</f>
        <v>0</v>
      </c>
    </row>
    <row r="1114">
      <c r="A1114" t="str">
        <f>A1105</f>
        <v>Lantai 1</v>
      </c>
      <c r="B1114">
        <f>B1105</f>
        <v>36</v>
      </c>
      <c r="C1114" t="str">
        <v>Tul Atas Tumpuan</v>
      </c>
      <c r="D1114">
        <f>VLOOKUP(D1105,'Detail Balok'!$C$10:$AU$140,10,FALSE)</f>
        <v>3</v>
      </c>
      <c r="E1114" t="str">
        <v>D</v>
      </c>
      <c r="F1114">
        <f>VLOOKUP(D1105,'Detail Balok'!$C$10:$AU$140,12,FALSE)</f>
        <v>13</v>
      </c>
      <c r="I1114" t="str">
        <v>(</v>
      </c>
      <c r="J1114">
        <f>+D1107/4/1000</f>
        <v>1.3425</v>
      </c>
      <c r="K1114" t="str">
        <v>+</v>
      </c>
      <c r="L1114">
        <f>MAX(VLOOKUP(F1114,N$6:P$15,3,FALSE)/1000,2/3*D1109/1000)+F$16*F1114/1000</f>
        <v>0.156</v>
      </c>
      <c r="M1114" t="str">
        <v>=</v>
      </c>
      <c r="N1114">
        <f>J1114+L1114</f>
        <v>1.4985</v>
      </c>
      <c r="O1114" t="str">
        <v>+</v>
      </c>
      <c r="P1114">
        <f>D1114-D1113</f>
        <v>0</v>
      </c>
      <c r="Q1114" t="str">
        <v>x</v>
      </c>
      <c r="R1114">
        <f>IF(P1114&gt;0,$F$18*F1114/1000,0)</f>
        <v>0</v>
      </c>
      <c r="S1114" t="str">
        <v>)</v>
      </c>
      <c r="T1114" t="str">
        <v>x</v>
      </c>
      <c r="U1114">
        <f>0.006165*F1114^2</f>
        <v>1.041885</v>
      </c>
      <c r="X1114" t="str">
        <v>x</v>
      </c>
      <c r="Y1114">
        <f>D1111</f>
        <v>1</v>
      </c>
      <c r="Z1114" t="str">
        <v>=</v>
      </c>
      <c r="AA1114">
        <f>IF(AA1115=0,(D1114*N1114+P1114*R1114)*U1114*Y1114,0)</f>
        <v>0</v>
      </c>
    </row>
    <row r="1115">
      <c r="A1115" t="str">
        <f>A1105</f>
        <v>Lantai 1</v>
      </c>
      <c r="B1115">
        <f>B1105</f>
        <v>36</v>
      </c>
      <c r="D1115">
        <f>IF(AND(D1112=D1113,D1113=D1114,D1112=D1114),D1112,0)</f>
        <v>3</v>
      </c>
      <c r="E1115" t="str">
        <v>D</v>
      </c>
      <c r="F1115">
        <f>IF(AND(F1112=F1113,F1112=F1114,F1113=F1114),F1112,0)</f>
        <v>13</v>
      </c>
      <c r="L1115" t="str">
        <v>Total panjang per balok</v>
      </c>
      <c r="M1115" t="str">
        <v>=</v>
      </c>
      <c r="N1115">
        <f>IF(AND(D1112=D1113,D1112=D1114,D1113=D1114,F1112=F1113,F1112=F1114,F1113=F1114),SUM(N1112:N1114),0)</f>
        <v>5.682</v>
      </c>
      <c r="O1115" t="str">
        <v>+</v>
      </c>
      <c r="P1115">
        <f>IF(N1115&gt;12,ROUNDDOWN(N1115/12,0),0)</f>
        <v>0</v>
      </c>
      <c r="Q1115" t="str">
        <v>x</v>
      </c>
      <c r="R1115">
        <f>IF(P1115&gt;0,MAX(VLOOKUP(F1115,$D$6:$G$15,3,FALSE),600),0)/1000</f>
        <v>0</v>
      </c>
      <c r="T1115" t="str">
        <v>x</v>
      </c>
      <c r="U1115">
        <f>U1114</f>
        <v>1.041885</v>
      </c>
      <c r="V1115" t="str">
        <v>x</v>
      </c>
      <c r="W1115">
        <f>D1115</f>
        <v>3</v>
      </c>
      <c r="X1115" t="str">
        <v>x</v>
      </c>
      <c r="Y1115">
        <f>Y1114</f>
        <v>1</v>
      </c>
      <c r="Z1115" t="str">
        <v>=</v>
      </c>
      <c r="AA1115">
        <f>(N1115+P1115*R1115/1000)*U1115*W1115*Y1115</f>
        <v>17.759971710000002</v>
      </c>
    </row>
    <row r="1117">
      <c r="A1117" t="str">
        <f>A1105</f>
        <v>Lantai 1</v>
      </c>
      <c r="B1117">
        <f>B1105</f>
        <v>36</v>
      </c>
      <c r="C1117" t="str">
        <v>Tul Peminggang</v>
      </c>
      <c r="D1117">
        <f>VLOOKUP(D1105,'Detail Balok'!$C$10:$AU$140,13,FALSE)</f>
        <v>0</v>
      </c>
      <c r="E1117" t="str">
        <v>D</v>
      </c>
      <c r="F1117">
        <f>VLOOKUP(D1105,'Detail Balok'!$C$10:$AU$140,15,FALSE)</f>
        <v>8</v>
      </c>
      <c r="J1117">
        <f>+D1107/1000</f>
        <v>5.37</v>
      </c>
      <c r="K1117" t="str">
        <v>+</v>
      </c>
      <c r="L1117">
        <f>2*$F$16*F1117/1000</f>
        <v>0.192</v>
      </c>
      <c r="M1117" t="str">
        <v>=</v>
      </c>
      <c r="N1117">
        <f>J1117+L1117</f>
        <v>5.562</v>
      </c>
      <c r="O1117" t="str">
        <v>+</v>
      </c>
      <c r="P1117">
        <f>IF(N1117&gt;12,ROUNDDOWN(N1117/12,0),0)</f>
        <v>0</v>
      </c>
      <c r="Q1117" t="str">
        <v>x</v>
      </c>
      <c r="R1117">
        <f>IF(P1117&gt;0,MAX(VLOOKUP(F1117,$D$6:$G$15,3,FALSE),600),0)/1000</f>
        <v>0</v>
      </c>
      <c r="T1117" t="str">
        <v>x</v>
      </c>
      <c r="U1117">
        <f>0.006165*F1117^2</f>
        <v>0.39456</v>
      </c>
      <c r="V1117" t="str">
        <v>x</v>
      </c>
      <c r="W1117">
        <f>+D1117</f>
        <v>0</v>
      </c>
      <c r="X1117" t="str">
        <v>x</v>
      </c>
      <c r="Y1117">
        <f>D1111</f>
        <v>1</v>
      </c>
      <c r="Z1117" t="str">
        <v>=</v>
      </c>
      <c r="AA1117">
        <f>(N1117+P1117*R1117/1000)*U1117*W1117*Y1117</f>
        <v>0</v>
      </c>
    </row>
    <row r="1120">
      <c r="A1120" t="str">
        <f>A1105</f>
        <v>Lantai 1</v>
      </c>
      <c r="B1120">
        <f>B1105</f>
        <v>36</v>
      </c>
      <c r="C1120" t="str">
        <v>Tul Bawah Tumpuan</v>
      </c>
      <c r="D1120">
        <f>VLOOKUP(D1105,'Detail Balok'!$C$10:$AU$140,22,FALSE)</f>
        <v>3</v>
      </c>
      <c r="E1120" t="str">
        <v>D</v>
      </c>
      <c r="F1120">
        <f>VLOOKUP(D1105,'Detail Balok'!$C$10:$AU$140,24,FALSE)</f>
        <v>13</v>
      </c>
      <c r="I1120" t="str">
        <v>(</v>
      </c>
      <c r="J1120">
        <f>+J1112</f>
        <v>1.3425</v>
      </c>
      <c r="K1120" t="str">
        <v>+</v>
      </c>
      <c r="L1120">
        <f>MAX(VLOOKUP(F1120,N$6:P$15,3,FALSE)/1000,2/3*D1110/1000)+F$16*F1120/1000</f>
        <v>0.156</v>
      </c>
      <c r="M1120" t="str">
        <v>=</v>
      </c>
      <c r="N1120">
        <f>J1120+L1120</f>
        <v>1.4985</v>
      </c>
      <c r="O1120" t="str">
        <v>+</v>
      </c>
      <c r="P1120">
        <f>D1120-D1121</f>
        <v>0</v>
      </c>
      <c r="Q1120" t="str">
        <v>x</v>
      </c>
      <c r="R1120">
        <f>IF(P1120&gt;0,$F$18*F1120/1000,0)</f>
        <v>0</v>
      </c>
      <c r="S1120" t="str">
        <v>)</v>
      </c>
      <c r="T1120" t="str">
        <v>x</v>
      </c>
      <c r="U1120">
        <f>0.006165*F1120^2</f>
        <v>1.041885</v>
      </c>
      <c r="X1120" t="str">
        <v>x</v>
      </c>
      <c r="Y1120">
        <f>D1111</f>
        <v>1</v>
      </c>
      <c r="Z1120" t="str">
        <v>=</v>
      </c>
      <c r="AA1120">
        <f>IF(AA1123=0,(D1120*N1120+P1120*R1120)*U1120*Y1120,0)</f>
        <v>0</v>
      </c>
    </row>
    <row r="1121">
      <c r="A1121" t="str">
        <f>A1105</f>
        <v>Lantai 1</v>
      </c>
      <c r="B1121">
        <f>B1105</f>
        <v>36</v>
      </c>
      <c r="C1121" t="str">
        <v>Tul Bawah Lapangan</v>
      </c>
      <c r="D1121">
        <f>VLOOKUP(D1105,'Detail Balok'!$C$10:$AU$140,25,FALSE)</f>
        <v>3</v>
      </c>
      <c r="E1121" t="str">
        <v>D</v>
      </c>
      <c r="F1121">
        <f>VLOOKUP(D1105,'Detail Balok'!$C$10:$AU$140,27,FALSE)</f>
        <v>13</v>
      </c>
      <c r="I1121" t="str">
        <v>(</v>
      </c>
      <c r="J1121">
        <f>+J1113</f>
        <v>2.685</v>
      </c>
      <c r="K1121" t="str">
        <v>+</v>
      </c>
      <c r="M1121" t="str">
        <v>=</v>
      </c>
      <c r="N1121">
        <f>J1121+L1121</f>
        <v>2.685</v>
      </c>
      <c r="O1121" t="str">
        <v>+</v>
      </c>
      <c r="P1121">
        <f>MAX(D1121-D1120,D1121-D1122)</f>
        <v>0</v>
      </c>
      <c r="Q1121" t="str">
        <v>x</v>
      </c>
      <c r="R1121">
        <f>IF(P1121&gt;0,2*(1-2*$F$19-1/2)*D1108/1000,0)</f>
        <v>0</v>
      </c>
      <c r="S1121" t="str">
        <v>)</v>
      </c>
      <c r="T1121" t="str">
        <v>x</v>
      </c>
      <c r="U1121">
        <f>0.006165*F1121^2</f>
        <v>1.041885</v>
      </c>
      <c r="X1121" t="str">
        <v>x</v>
      </c>
      <c r="Y1121">
        <f>D1111</f>
        <v>1</v>
      </c>
      <c r="Z1121" t="str">
        <v>=</v>
      </c>
      <c r="AA1121">
        <f>IF(AA1123=0,(D1121*N1121+P1121*R1121)*U1121*Y1121,0)</f>
        <v>0</v>
      </c>
    </row>
    <row r="1122">
      <c r="A1122" t="str">
        <f>A1105</f>
        <v>Lantai 1</v>
      </c>
      <c r="B1122">
        <f>B1105</f>
        <v>36</v>
      </c>
      <c r="C1122" t="str">
        <v>Tul Bawah Tumpuan</v>
      </c>
      <c r="D1122">
        <f>VLOOKUP(D1105,'Detail Balok'!$C$10:$AU$140,28,FALSE)</f>
        <v>3</v>
      </c>
      <c r="E1122" t="str">
        <v>D</v>
      </c>
      <c r="F1122">
        <f>VLOOKUP(D1105,'Detail Balok'!$C$10:$AU$140,30,FALSE)</f>
        <v>13</v>
      </c>
      <c r="I1122" t="str">
        <v>(</v>
      </c>
      <c r="J1122">
        <f>+J1114</f>
        <v>1.3425</v>
      </c>
      <c r="K1122" t="str">
        <v>+</v>
      </c>
      <c r="L1122">
        <f>MAX(VLOOKUP(F1122,N$6:P$15,3,FALSE)/1000,2/3*D1110/1000)+F$16*F1122/1000</f>
        <v>0.156</v>
      </c>
      <c r="M1122" t="str">
        <v>=</v>
      </c>
      <c r="N1122">
        <f>J1122+L1122</f>
        <v>1.4985</v>
      </c>
      <c r="O1122" t="str">
        <v>+</v>
      </c>
      <c r="P1122">
        <f>D1122-D1121</f>
        <v>0</v>
      </c>
      <c r="Q1122" t="str">
        <v>x</v>
      </c>
      <c r="R1122">
        <f>IF(P1122&gt;0,$F$18*F1122/1000,0)</f>
        <v>0</v>
      </c>
      <c r="S1122" t="str">
        <v>)</v>
      </c>
      <c r="T1122" t="str">
        <v>x</v>
      </c>
      <c r="U1122">
        <f>0.006165*F1122^2</f>
        <v>1.041885</v>
      </c>
      <c r="X1122" t="str">
        <v>x</v>
      </c>
      <c r="Y1122">
        <f>D1111</f>
        <v>1</v>
      </c>
      <c r="Z1122" t="str">
        <v>=</v>
      </c>
      <c r="AA1122">
        <f>IF(AA1123=0,(D1122*N1122+P1122*R1122)*U1122*Y1122,0)</f>
        <v>0</v>
      </c>
    </row>
    <row r="1123">
      <c r="A1123" t="str">
        <f>A1105</f>
        <v>Lantai 1</v>
      </c>
      <c r="B1123">
        <f>B1105</f>
        <v>36</v>
      </c>
      <c r="D1123">
        <f>IF(AND(D1120=D1121,D1121=D1122,D1120=D1122),D1120,0)</f>
        <v>3</v>
      </c>
      <c r="E1123" t="str">
        <v>D</v>
      </c>
      <c r="F1123">
        <f>IF(AND(F1120=F1121,F1120=F1122,F1121=F1122),F1120,0)</f>
        <v>13</v>
      </c>
      <c r="L1123" t="str">
        <v>Total panjang per balok</v>
      </c>
      <c r="M1123" t="str">
        <v>=</v>
      </c>
      <c r="N1123">
        <f>IF(AND(D1120=D1121,D1120=D1122,D1121=D1122,F1120=F1121,F1120=F1122,F1121=F1122),SUM(N1120:N1122),0)</f>
        <v>5.682</v>
      </c>
      <c r="O1123" t="str">
        <v>+</v>
      </c>
      <c r="P1123">
        <f>IF(N1123&gt;12,ROUNDDOWN(N1123/12,0),0)</f>
        <v>0</v>
      </c>
      <c r="Q1123" t="str">
        <v>x</v>
      </c>
      <c r="R1123">
        <f>IF(P1123&gt;0,MAX(VLOOKUP(F1123,$D$6:$G$15,3,FALSE),600),0)/1000</f>
        <v>0</v>
      </c>
      <c r="T1123" t="str">
        <v>x</v>
      </c>
      <c r="U1123">
        <f>U1122</f>
        <v>1.041885</v>
      </c>
      <c r="V1123" t="str">
        <v>x</v>
      </c>
      <c r="W1123">
        <f>D1123</f>
        <v>3</v>
      </c>
      <c r="X1123" t="str">
        <v>x</v>
      </c>
      <c r="Y1123">
        <f>Y1122</f>
        <v>1</v>
      </c>
      <c r="Z1123" t="str">
        <v>=</v>
      </c>
      <c r="AA1123">
        <f>(N1123+P1123*R1123/1000)*U1123*W1123*Y1123</f>
        <v>17.759971710000002</v>
      </c>
    </row>
    <row r="1125">
      <c r="A1125" t="str">
        <f>A1105</f>
        <v>Lantai 1</v>
      </c>
      <c r="B1125">
        <f>B1105</f>
        <v>36</v>
      </c>
      <c r="C1125" t="str">
        <v>Sengkang Tumpuan</v>
      </c>
      <c r="D1125">
        <f>VLOOKUP(D1105,'Detail Balok'!$C$10:$AU$140,31,FALSE)</f>
        <v>0</v>
      </c>
      <c r="E1125" t="str">
        <v>D</v>
      </c>
      <c r="F1125">
        <f>VLOOKUP(D1105,'Detail Balok'!$C$10:$AU$140,33,FALSE)</f>
        <v>8</v>
      </c>
      <c r="G1125" t="str">
        <v>-</v>
      </c>
      <c r="H1125">
        <f>VLOOKUP(D1105,'Detail Balok'!$C$10:$AU$140,35,FALSE)</f>
        <v>150</v>
      </c>
      <c r="J1125">
        <f>(IF(D1125=0,(2*(D1106+G1106))-(F$5*8),IF(D1125=3,(2*(D1106+G1106))-(F$5*8)+(G1106-2*F$5),IF(D1125=4,(2*(D1106+G1106))-(F$5*8)+2*(G1106-2*F$5)))))/1000</f>
        <v>0.88</v>
      </c>
      <c r="K1125" t="str">
        <v>+</v>
      </c>
      <c r="L1125">
        <f>IF(D1125=0,2*MAX(6*F1125,75),(D1125-1)*2*MAX(6*F1125,75))/1000</f>
        <v>0.15</v>
      </c>
      <c r="M1125" t="str">
        <v>=</v>
      </c>
      <c r="N1125">
        <f>J1125+L1125</f>
        <v>1.03</v>
      </c>
      <c r="T1125" t="str">
        <v>x</v>
      </c>
      <c r="U1125">
        <f>0.006165*F1125^2</f>
        <v>0.39456</v>
      </c>
      <c r="V1125" t="str">
        <v>x</v>
      </c>
      <c r="W1125">
        <f>IF(D1108&gt;4*G1106,ROUND(MAX(D1108/4,2*G1106)/H1125,0)+1,ROUND(D1108/H1125,0)+1)</f>
        <v>10</v>
      </c>
      <c r="X1125" t="str">
        <v>x</v>
      </c>
      <c r="Y1125">
        <f>D1111</f>
        <v>1</v>
      </c>
      <c r="Z1125" t="str">
        <v>=</v>
      </c>
      <c r="AA1125">
        <f>N1125*U1125*W1125*Y1125</f>
        <v>4.063968000000001</v>
      </c>
    </row>
    <row r="1126">
      <c r="A1126" t="str">
        <f>A1105</f>
        <v>Lantai 1</v>
      </c>
      <c r="B1126">
        <f>B1105</f>
        <v>36</v>
      </c>
      <c r="C1126" t="str">
        <v>Sengkang Lapangan</v>
      </c>
      <c r="D1126">
        <f>VLOOKUP(D1105,'Detail Balok'!$C$10:$AU$140,36,FALSE)</f>
        <v>0</v>
      </c>
      <c r="E1126" t="str">
        <v>D</v>
      </c>
      <c r="F1126">
        <f>VLOOKUP(D1105,'Detail Balok'!$C$10:$AU$140,38,FALSE)</f>
        <v>8</v>
      </c>
      <c r="G1126" t="str">
        <v>-</v>
      </c>
      <c r="H1126">
        <f>VLOOKUP(D1105,'Detail Balok'!$C$10:$AU$140,40,FALSE)</f>
        <v>200</v>
      </c>
      <c r="J1126">
        <f>(IF(D1126=0,(2*(D1106+G1106))-(F$5*8),IF(D1126=3,(2*(D1106+G1106))-(F$5*8)+(G1106-2*F$5),IF(D1126=4,(2*(D1106+G1106))-(F$5*8)+2*(G1106-2*F$5)))))/1000</f>
        <v>0.88</v>
      </c>
      <c r="K1126" t="str">
        <v>+</v>
      </c>
      <c r="L1126">
        <f>IF(D1126=0,2*MAX(6*F1126,75),(D1126-1)*2*MAX(6*F1126,75))/1000</f>
        <v>0.15</v>
      </c>
      <c r="M1126" t="str">
        <v>=</v>
      </c>
      <c r="N1126">
        <f>J1126+L1126</f>
        <v>1.03</v>
      </c>
      <c r="T1126" t="str">
        <v>x</v>
      </c>
      <c r="U1126">
        <f>0.006165*F1126^2</f>
        <v>0.39456</v>
      </c>
      <c r="V1126" t="str">
        <v>x</v>
      </c>
      <c r="W1126">
        <f>IF(D1108-MAX(D1108/4,2*G1106)*2&gt;0,ROUND((D1108-MAX(D1108/4,2*G1106)*2)/H1126,0),0)</f>
        <v>13</v>
      </c>
      <c r="X1126" t="str">
        <v>x</v>
      </c>
      <c r="Y1126">
        <f>D1111</f>
        <v>1</v>
      </c>
      <c r="Z1126" t="str">
        <v>=</v>
      </c>
      <c r="AA1126">
        <f>N1126*U1126*W1126*Y1126</f>
        <v>5.2831584000000005</v>
      </c>
    </row>
    <row r="1127">
      <c r="A1127" t="str">
        <f>A1105</f>
        <v>Lantai 1</v>
      </c>
      <c r="B1127">
        <f>B1105</f>
        <v>36</v>
      </c>
      <c r="C1127" t="str">
        <v>Sengkang Tumpuan</v>
      </c>
      <c r="D1127">
        <f>VLOOKUP(D1105,'Detail Balok'!$C$10:$AU$140,41,FALSE)</f>
        <v>0</v>
      </c>
      <c r="E1127" t="str">
        <v>D</v>
      </c>
      <c r="F1127">
        <f>VLOOKUP(D1105,'Detail Balok'!$C$10:$AU$140,43,FALSE)</f>
        <v>8</v>
      </c>
      <c r="G1127" t="str">
        <v>-</v>
      </c>
      <c r="H1127">
        <f>VLOOKUP(D1105,'Detail Balok'!$C$10:$AU$140,45,FALSE)</f>
        <v>150</v>
      </c>
      <c r="J1127">
        <f>(IF(D1127=0,(2*(D1106+G1106))-(F$5*8),IF(D1127=3,(2*(D1106+G1106))-(F$5*8)+(G1106-2*F$5),IF(D1127=4,(2*(D1106+G1106))-(F$5*8)+2*(G1106-2*F$5)))))/1000</f>
        <v>0.88</v>
      </c>
      <c r="K1127" t="str">
        <v>+</v>
      </c>
      <c r="L1127">
        <f>IF(D1127=0,2*MAX(6*F1127,75),(D1127-1)*2*MAX(6*F1127,75))/1000</f>
        <v>0.15</v>
      </c>
      <c r="M1127" t="str">
        <v>=</v>
      </c>
      <c r="N1127">
        <f>J1127+L1127</f>
        <v>1.03</v>
      </c>
      <c r="T1127" t="str">
        <v>x</v>
      </c>
      <c r="U1127">
        <f>0.006165*F1127^2</f>
        <v>0.39456</v>
      </c>
      <c r="V1127" t="str">
        <v>x</v>
      </c>
      <c r="W1127">
        <f>IF(D1108&gt;4*G1106,ROUND(MAX(D1108/4,2*G1106)/H1127,0)+1,0)</f>
        <v>10</v>
      </c>
      <c r="X1127" t="str">
        <v>x</v>
      </c>
      <c r="Y1127">
        <f>D1111</f>
        <v>1</v>
      </c>
      <c r="Z1127" t="str">
        <v>=</v>
      </c>
      <c r="AA1127">
        <f>N1127*U1127*W1127*Y1127</f>
        <v>4.063968000000001</v>
      </c>
    </row>
    <row r="1129">
      <c r="A1129" t="str">
        <f>A1105</f>
        <v>Lantai 1</v>
      </c>
      <c r="B1129">
        <f>B1105</f>
        <v>36</v>
      </c>
      <c r="C1129" t="str">
        <v>Kait Horizontal Tump.</v>
      </c>
      <c r="D1129">
        <f>VLOOKUP(D1105,'Detail Balok'!$C$10:$BJ$140,46,FALSE)</f>
        <v>0</v>
      </c>
      <c r="E1129" t="str">
        <v>D</v>
      </c>
      <c r="F1129">
        <f>VLOOKUP(D1105,'Detail Balok'!$C$10:$BJ$140,48,FALSE)</f>
        <v>0</v>
      </c>
      <c r="G1129" t="str">
        <v>-</v>
      </c>
      <c r="H1129">
        <f>VLOOKUP(D1105,'Detail Balok'!$C$10:$BJ$140,50,FALSE)</f>
        <v>100</v>
      </c>
      <c r="J1129">
        <f>(D1106-2*F$5)/1000</f>
        <v>0.12</v>
      </c>
      <c r="K1129" t="str">
        <v>+</v>
      </c>
      <c r="L1129">
        <f>IF(D1129=0,2*MAX(6*F1129,75),(D1129-1)*2*MAX(6*F1129,75))/1000</f>
        <v>0.15</v>
      </c>
      <c r="M1129" t="str">
        <v>=</v>
      </c>
      <c r="N1129">
        <f>J1129+L1129</f>
        <v>0.27</v>
      </c>
      <c r="T1129" t="str">
        <v>x</v>
      </c>
      <c r="U1129">
        <f>0.006165*F1129^2</f>
        <v>0</v>
      </c>
      <c r="V1129" t="str">
        <v>x</v>
      </c>
      <c r="W1129">
        <f>W1125</f>
        <v>10</v>
      </c>
      <c r="X1129" t="str">
        <v>x</v>
      </c>
      <c r="Y1129">
        <f>D1115</f>
        <v>3</v>
      </c>
      <c r="Z1129" t="str">
        <v>=</v>
      </c>
      <c r="AA1129">
        <f>N1129*U1129*W1129*Y1129</f>
        <v>0</v>
      </c>
    </row>
    <row r="1130">
      <c r="A1130" t="str">
        <f>A1105</f>
        <v>Lantai 1</v>
      </c>
      <c r="B1130">
        <f>B1105</f>
        <v>36</v>
      </c>
      <c r="C1130" t="str">
        <v>Kait Horizontal Lap.</v>
      </c>
      <c r="D1130">
        <f>VLOOKUP(D1105,'Detail Balok'!$C$10:$BJ$140,51,FALSE)</f>
        <v>0</v>
      </c>
      <c r="E1130" t="str">
        <v>D</v>
      </c>
      <c r="F1130">
        <f>VLOOKUP(D1105,'Detail Balok'!$C$10:$BJ$140,53,FALSE)</f>
        <v>0</v>
      </c>
      <c r="G1130" t="str">
        <v>-</v>
      </c>
      <c r="H1130">
        <f>VLOOKUP(D1105,'Detail Balok'!$C$10:$BJ$140,55,FALSE)</f>
        <v>100</v>
      </c>
      <c r="J1130">
        <f>(D1106-2*F$5)/1000</f>
        <v>0.12</v>
      </c>
      <c r="K1130" t="str">
        <v>+</v>
      </c>
      <c r="L1130">
        <f>IF(D1130=0,2*MAX(6*F1130,75),(D1130-1)*2*MAX(6*F1130,75))/1000</f>
        <v>0.15</v>
      </c>
      <c r="M1130" t="str">
        <v>=</v>
      </c>
      <c r="N1130">
        <f>J1130+L1130</f>
        <v>0.27</v>
      </c>
      <c r="T1130" t="str">
        <v>x</v>
      </c>
      <c r="U1130">
        <f>0.006165*F1130^2</f>
        <v>0</v>
      </c>
      <c r="V1130" t="str">
        <v>x</v>
      </c>
      <c r="W1130">
        <f>W1126</f>
        <v>13</v>
      </c>
      <c r="X1130" t="str">
        <v>x</v>
      </c>
      <c r="Y1130">
        <f>D1115</f>
        <v>3</v>
      </c>
      <c r="Z1130" t="str">
        <v>=</v>
      </c>
      <c r="AA1130">
        <f>N1130*U1130*W1130*Y1130</f>
        <v>0</v>
      </c>
    </row>
    <row r="1131">
      <c r="A1131" t="str">
        <f>A1105</f>
        <v>Lantai 1</v>
      </c>
      <c r="B1131">
        <f>B1105</f>
        <v>36</v>
      </c>
      <c r="C1131" t="str">
        <v>Kait Horizontal Tump.</v>
      </c>
      <c r="D1131">
        <f>VLOOKUP(D1105,'Detail Balok'!$C$10:$BJ$140,56,FALSE)</f>
        <v>0</v>
      </c>
      <c r="E1131" t="str">
        <v>D</v>
      </c>
      <c r="F1131">
        <f>VLOOKUP(D1105,'Detail Balok'!$C$10:$BJ$140,58,FALSE)</f>
        <v>0</v>
      </c>
      <c r="G1131" t="str">
        <v>-</v>
      </c>
      <c r="H1131">
        <f>VLOOKUP(D1105,'Detail Balok'!$C$10:$BJ$140,60,FALSE)</f>
        <v>100</v>
      </c>
      <c r="J1131">
        <f>(D1106-2*F$5)/1000</f>
        <v>0.12</v>
      </c>
      <c r="K1131" t="str">
        <v>+</v>
      </c>
      <c r="L1131">
        <f>IF(D1131=0,2*MAX(6*F1131,75),(D1131-1)*2*MAX(6*F1131,75))/1000</f>
        <v>0.15</v>
      </c>
      <c r="M1131" t="str">
        <v>=</v>
      </c>
      <c r="N1131">
        <f>J1131+L1131</f>
        <v>0.27</v>
      </c>
      <c r="T1131" t="str">
        <v>x</v>
      </c>
      <c r="U1131">
        <f>0.006165*F1131^2</f>
        <v>0</v>
      </c>
      <c r="V1131" t="str">
        <v>x</v>
      </c>
      <c r="W1131">
        <f>W1127</f>
        <v>10</v>
      </c>
      <c r="X1131" t="str">
        <v>x</v>
      </c>
      <c r="Y1131">
        <f>D1115</f>
        <v>3</v>
      </c>
      <c r="Z1131" t="str">
        <v>=</v>
      </c>
      <c r="AA1131">
        <f>N1131*U1131*W1131*Y1131</f>
        <v>0</v>
      </c>
    </row>
    <row r="1135">
      <c r="A1135" t="str">
        <f>A1105</f>
        <v>Lantai 1</v>
      </c>
      <c r="B1135">
        <f>B1105+1</f>
        <v>37</v>
      </c>
      <c r="C1135" t="str">
        <f>CONCATENATE(A1135," no. ",B1135)</f>
        <v>Lantai 1 no. 37</v>
      </c>
      <c r="D1135" t="str">
        <f>VLOOKUP(C1135,'Data Panjang Balok'!$C$9:$N$254,2,FALSE)</f>
        <v>S24-2</v>
      </c>
    </row>
    <row r="1136">
      <c r="C1136" t="str">
        <v>Dimensi</v>
      </c>
      <c r="D1136">
        <f>VLOOKUP(D1135,'Detail Balok'!$C$10:$AU$140,2,FALSE)</f>
        <v>200</v>
      </c>
      <c r="F1136" t="str">
        <v>x</v>
      </c>
      <c r="G1136">
        <f>VLOOKUP(D1135,'Detail Balok'!$C$10:$AU$140,3,FALSE)</f>
        <v>400</v>
      </c>
    </row>
    <row r="1137">
      <c r="C1137" t="str">
        <v>Panjang as ke as</v>
      </c>
      <c r="D1137">
        <f>VLOOKUP(C1135,'Data Panjang Balok'!$C$9:$N$254,4,FALSE)</f>
        <v>5500</v>
      </c>
    </row>
    <row r="1138">
      <c r="C1138" t="str">
        <v>Panjang netto</v>
      </c>
      <c r="D1138">
        <f>VLOOKUP(C1135,'Data Panjang Balok'!$C$9:$N$254,7,FALSE)</f>
        <v>5500</v>
      </c>
    </row>
    <row r="1139">
      <c r="C1139" t="str">
        <v>Kolom / balok kiri</v>
      </c>
      <c r="D1139">
        <f>VLOOKUP(C1135,'Data Panjang Balok'!$C$9:$N$254,9,FALSE)</f>
        <v>0</v>
      </c>
    </row>
    <row r="1140">
      <c r="C1140" t="str">
        <v>Kolom / balok kanan</v>
      </c>
      <c r="D1140">
        <f>VLOOKUP(C1135,'Data Panjang Balok'!$C$9:$N$254,10,FALSE)</f>
        <v>0</v>
      </c>
    </row>
    <row r="1141">
      <c r="C1141" t="str">
        <v>Jumlah</v>
      </c>
      <c r="D1141">
        <f>VLOOKUP(C1135,'Data Panjang Balok'!$C$9:$N$254,3,FALSE)</f>
        <v>1</v>
      </c>
    </row>
    <row r="1142">
      <c r="A1142" t="str">
        <f>A1135</f>
        <v>Lantai 1</v>
      </c>
      <c r="B1142">
        <f>B1135</f>
        <v>37</v>
      </c>
      <c r="C1142" t="str">
        <v>Tul Atas Tumpuan</v>
      </c>
      <c r="D1142">
        <f>VLOOKUP(D1135,'Detail Balok'!$C$10:$AU$140,4,FALSE)</f>
        <v>3</v>
      </c>
      <c r="E1142" t="str">
        <v>D</v>
      </c>
      <c r="F1142">
        <f>VLOOKUP(D1135,'Detail Balok'!$C$10:$AU$140,6,FALSE)</f>
        <v>16</v>
      </c>
      <c r="I1142" t="str">
        <v>(</v>
      </c>
      <c r="J1142">
        <f>+D1137/4/1000</f>
        <v>1.375</v>
      </c>
      <c r="K1142" t="str">
        <v>+</v>
      </c>
      <c r="L1142">
        <f>MAX(VLOOKUP(F1142,N$6:P$15,3,FALSE)/1000,2/3*D1139/1000)+F$16*F1142/1000</f>
        <v>0.192</v>
      </c>
      <c r="M1142" t="str">
        <v>=</v>
      </c>
      <c r="N1142">
        <f>J1142+L1142</f>
        <v>1.567</v>
      </c>
      <c r="O1142" t="str">
        <v>+</v>
      </c>
      <c r="P1142">
        <f>D1142-D1143</f>
        <v>0</v>
      </c>
      <c r="Q1142" t="str">
        <v>x</v>
      </c>
      <c r="R1142">
        <f>IF(P1142&gt;0,$F$18*F1142/1000,0)</f>
        <v>0</v>
      </c>
      <c r="S1142" t="str">
        <v>)</v>
      </c>
      <c r="T1142" t="str">
        <v>x</v>
      </c>
      <c r="U1142">
        <f>0.006165*F1142^2</f>
        <v>1.57824</v>
      </c>
      <c r="X1142" t="str">
        <v>x</v>
      </c>
      <c r="Y1142">
        <f>D1141</f>
        <v>1</v>
      </c>
      <c r="Z1142" t="str">
        <v>=</v>
      </c>
      <c r="AA1142">
        <f>IF(AA1145=0,(D1142*N1142+P1142*R1142)*U1142*Y1142,0)</f>
        <v>0</v>
      </c>
    </row>
    <row r="1143">
      <c r="A1143" t="str">
        <f>A1135</f>
        <v>Lantai 1</v>
      </c>
      <c r="B1143">
        <f>B1135</f>
        <v>37</v>
      </c>
      <c r="C1143" t="str">
        <v>Tul Atas Lapangan</v>
      </c>
      <c r="D1143">
        <f>VLOOKUP(D1135,'Detail Balok'!$C$10:$AU$140,7,FALSE)</f>
        <v>3</v>
      </c>
      <c r="E1143" t="str">
        <v>D</v>
      </c>
      <c r="F1143">
        <f>VLOOKUP(D1135,'Detail Balok'!$C$10:$AU$140,9,FALSE)</f>
        <v>16</v>
      </c>
      <c r="I1143" t="str">
        <v>(</v>
      </c>
      <c r="J1143">
        <f>+D1137/2/1000</f>
        <v>2.75</v>
      </c>
      <c r="K1143" t="str">
        <v>+</v>
      </c>
      <c r="M1143" t="str">
        <v>=</v>
      </c>
      <c r="N1143">
        <f>J1143+L1143</f>
        <v>2.75</v>
      </c>
      <c r="O1143" t="str">
        <v>+</v>
      </c>
      <c r="P1143">
        <f>MAX(D1143-D1142,D1143-D1144)</f>
        <v>0</v>
      </c>
      <c r="Q1143" t="str">
        <v>x</v>
      </c>
      <c r="R1143">
        <f>IF(P1143&gt;0,2*(1-2*$F$19-1/2)*D1138/1000,0)</f>
        <v>0</v>
      </c>
      <c r="S1143" t="str">
        <v>)</v>
      </c>
      <c r="T1143" t="str">
        <v>x</v>
      </c>
      <c r="U1143">
        <f>0.006165*F1143^2</f>
        <v>1.57824</v>
      </c>
      <c r="X1143" t="str">
        <v>x</v>
      </c>
      <c r="Y1143">
        <f>D1141</f>
        <v>1</v>
      </c>
      <c r="Z1143" t="str">
        <v>=</v>
      </c>
      <c r="AA1143">
        <f>IF(AA1145=0,(D1143*N1143+P1143*R1143)*U1143*Y1143,0)</f>
        <v>0</v>
      </c>
    </row>
    <row r="1144">
      <c r="A1144" t="str">
        <f>A1135</f>
        <v>Lantai 1</v>
      </c>
      <c r="B1144">
        <f>B1135</f>
        <v>37</v>
      </c>
      <c r="C1144" t="str">
        <v>Tul Atas Tumpuan</v>
      </c>
      <c r="D1144">
        <f>VLOOKUP(D1135,'Detail Balok'!$C$10:$AU$140,10,FALSE)</f>
        <v>3</v>
      </c>
      <c r="E1144" t="str">
        <v>D</v>
      </c>
      <c r="F1144">
        <f>VLOOKUP(D1135,'Detail Balok'!$C$10:$AU$140,12,FALSE)</f>
        <v>16</v>
      </c>
      <c r="I1144" t="str">
        <v>(</v>
      </c>
      <c r="J1144">
        <f>+D1137/4/1000</f>
        <v>1.375</v>
      </c>
      <c r="K1144" t="str">
        <v>+</v>
      </c>
      <c r="L1144">
        <f>MAX(VLOOKUP(F1144,N$6:P$15,3,FALSE)/1000,2/3*D1139/1000)+F$16*F1144/1000</f>
        <v>0.192</v>
      </c>
      <c r="M1144" t="str">
        <v>=</v>
      </c>
      <c r="N1144">
        <f>J1144+L1144</f>
        <v>1.567</v>
      </c>
      <c r="O1144" t="str">
        <v>+</v>
      </c>
      <c r="P1144">
        <f>D1144-D1143</f>
        <v>0</v>
      </c>
      <c r="Q1144" t="str">
        <v>x</v>
      </c>
      <c r="R1144">
        <f>IF(P1144&gt;0,$F$18*F1144/1000,0)</f>
        <v>0</v>
      </c>
      <c r="S1144" t="str">
        <v>)</v>
      </c>
      <c r="T1144" t="str">
        <v>x</v>
      </c>
      <c r="U1144">
        <f>0.006165*F1144^2</f>
        <v>1.57824</v>
      </c>
      <c r="X1144" t="str">
        <v>x</v>
      </c>
      <c r="Y1144">
        <f>D1141</f>
        <v>1</v>
      </c>
      <c r="Z1144" t="str">
        <v>=</v>
      </c>
      <c r="AA1144">
        <f>IF(AA1145=0,(D1144*N1144+P1144*R1144)*U1144*Y1144,0)</f>
        <v>0</v>
      </c>
    </row>
    <row r="1145">
      <c r="A1145" t="str">
        <f>A1135</f>
        <v>Lantai 1</v>
      </c>
      <c r="B1145">
        <f>B1135</f>
        <v>37</v>
      </c>
      <c r="D1145">
        <f>IF(AND(D1142=D1143,D1143=D1144,D1142=D1144),D1142,0)</f>
        <v>3</v>
      </c>
      <c r="E1145" t="str">
        <v>D</v>
      </c>
      <c r="F1145">
        <f>IF(AND(F1142=F1143,F1142=F1144,F1143=F1144),F1142,0)</f>
        <v>16</v>
      </c>
      <c r="L1145" t="str">
        <v>Total panjang per balok</v>
      </c>
      <c r="M1145" t="str">
        <v>=</v>
      </c>
      <c r="N1145">
        <f>IF(AND(D1142=D1143,D1142=D1144,D1143=D1144,F1142=F1143,F1142=F1144,F1143=F1144),SUM(N1142:N1144),0)</f>
        <v>5.884</v>
      </c>
      <c r="O1145" t="str">
        <v>+</v>
      </c>
      <c r="P1145">
        <f>IF(N1145&gt;12,ROUNDDOWN(N1145/12,0),0)</f>
        <v>0</v>
      </c>
      <c r="Q1145" t="str">
        <v>x</v>
      </c>
      <c r="R1145">
        <f>IF(P1145&gt;0,MAX(VLOOKUP(F1145,$D$6:$G$15,3,FALSE),600),0)/1000</f>
        <v>0</v>
      </c>
      <c r="T1145" t="str">
        <v>x</v>
      </c>
      <c r="U1145">
        <f>U1144</f>
        <v>1.57824</v>
      </c>
      <c r="V1145" t="str">
        <v>x</v>
      </c>
      <c r="W1145">
        <f>D1145</f>
        <v>3</v>
      </c>
      <c r="X1145" t="str">
        <v>x</v>
      </c>
      <c r="Y1145">
        <f>Y1144</f>
        <v>1</v>
      </c>
      <c r="Z1145" t="str">
        <v>=</v>
      </c>
      <c r="AA1145">
        <f>(N1145+P1145*R1145/1000)*U1145*W1145*Y1145</f>
        <v>27.859092480000005</v>
      </c>
    </row>
    <row r="1147">
      <c r="A1147" t="str">
        <f>A1135</f>
        <v>Lantai 1</v>
      </c>
      <c r="B1147">
        <f>B1135</f>
        <v>37</v>
      </c>
      <c r="C1147" t="str">
        <v>Tul Peminggang</v>
      </c>
      <c r="D1147">
        <f>VLOOKUP(D1135,'Detail Balok'!$C$10:$AU$140,13,FALSE)</f>
        <v>0</v>
      </c>
      <c r="E1147" t="str">
        <v>D</v>
      </c>
      <c r="F1147">
        <f>VLOOKUP(D1135,'Detail Balok'!$C$10:$AU$140,15,FALSE)</f>
        <v>8</v>
      </c>
      <c r="J1147">
        <f>+D1137/1000</f>
        <v>5.5</v>
      </c>
      <c r="K1147" t="str">
        <v>+</v>
      </c>
      <c r="L1147">
        <f>2*$F$16*F1147/1000</f>
        <v>0.192</v>
      </c>
      <c r="M1147" t="str">
        <v>=</v>
      </c>
      <c r="N1147">
        <f>J1147+L1147</f>
        <v>5.692</v>
      </c>
      <c r="O1147" t="str">
        <v>+</v>
      </c>
      <c r="P1147">
        <f>IF(N1147&gt;12,ROUNDDOWN(N1147/12,0),0)</f>
        <v>0</v>
      </c>
      <c r="Q1147" t="str">
        <v>x</v>
      </c>
      <c r="R1147">
        <f>IF(P1147&gt;0,MAX(VLOOKUP(F1147,$D$6:$G$15,3,FALSE),600),0)/1000</f>
        <v>0</v>
      </c>
      <c r="T1147" t="str">
        <v>x</v>
      </c>
      <c r="U1147">
        <f>0.006165*F1147^2</f>
        <v>0.39456</v>
      </c>
      <c r="V1147" t="str">
        <v>x</v>
      </c>
      <c r="W1147">
        <f>+D1147</f>
        <v>0</v>
      </c>
      <c r="X1147" t="str">
        <v>x</v>
      </c>
      <c r="Y1147">
        <f>D1141</f>
        <v>1</v>
      </c>
      <c r="Z1147" t="str">
        <v>=</v>
      </c>
      <c r="AA1147">
        <f>(N1147+P1147*R1147/1000)*U1147*W1147*Y1147</f>
        <v>0</v>
      </c>
    </row>
    <row r="1150">
      <c r="A1150" t="str">
        <f>A1135</f>
        <v>Lantai 1</v>
      </c>
      <c r="B1150">
        <f>B1135</f>
        <v>37</v>
      </c>
      <c r="C1150" t="str">
        <v>Tul Bawah Tumpuan</v>
      </c>
      <c r="D1150">
        <f>VLOOKUP(D1135,'Detail Balok'!$C$10:$AU$140,22,FALSE)</f>
        <v>3</v>
      </c>
      <c r="E1150" t="str">
        <v>D</v>
      </c>
      <c r="F1150">
        <f>VLOOKUP(D1135,'Detail Balok'!$C$10:$AU$140,24,FALSE)</f>
        <v>16</v>
      </c>
      <c r="I1150" t="str">
        <v>(</v>
      </c>
      <c r="J1150">
        <f>+J1142</f>
        <v>1.375</v>
      </c>
      <c r="K1150" t="str">
        <v>+</v>
      </c>
      <c r="L1150">
        <f>MAX(VLOOKUP(F1150,N$6:P$15,3,FALSE)/1000,2/3*D1140/1000)+F$16*F1150/1000</f>
        <v>0.192</v>
      </c>
      <c r="M1150" t="str">
        <v>=</v>
      </c>
      <c r="N1150">
        <f>J1150+L1150</f>
        <v>1.567</v>
      </c>
      <c r="O1150" t="str">
        <v>+</v>
      </c>
      <c r="P1150">
        <f>D1150-D1151</f>
        <v>0</v>
      </c>
      <c r="Q1150" t="str">
        <v>x</v>
      </c>
      <c r="R1150">
        <f>IF(P1150&gt;0,$F$18*F1150/1000,0)</f>
        <v>0</v>
      </c>
      <c r="S1150" t="str">
        <v>)</v>
      </c>
      <c r="T1150" t="str">
        <v>x</v>
      </c>
      <c r="U1150">
        <f>0.006165*F1150^2</f>
        <v>1.57824</v>
      </c>
      <c r="X1150" t="str">
        <v>x</v>
      </c>
      <c r="Y1150">
        <f>D1141</f>
        <v>1</v>
      </c>
      <c r="Z1150" t="str">
        <v>=</v>
      </c>
      <c r="AA1150">
        <f>IF(AA1153=0,(D1150*N1150+P1150*R1150)*U1150*Y1150,0)</f>
        <v>0</v>
      </c>
    </row>
    <row r="1151">
      <c r="A1151" t="str">
        <f>A1135</f>
        <v>Lantai 1</v>
      </c>
      <c r="B1151">
        <f>B1135</f>
        <v>37</v>
      </c>
      <c r="C1151" t="str">
        <v>Tul Bawah Lapangan</v>
      </c>
      <c r="D1151">
        <f>VLOOKUP(D1135,'Detail Balok'!$C$10:$AU$140,25,FALSE)</f>
        <v>3</v>
      </c>
      <c r="E1151" t="str">
        <v>D</v>
      </c>
      <c r="F1151">
        <f>VLOOKUP(D1135,'Detail Balok'!$C$10:$AU$140,27,FALSE)</f>
        <v>16</v>
      </c>
      <c r="I1151" t="str">
        <v>(</v>
      </c>
      <c r="J1151">
        <f>+J1143</f>
        <v>2.75</v>
      </c>
      <c r="K1151" t="str">
        <v>+</v>
      </c>
      <c r="M1151" t="str">
        <v>=</v>
      </c>
      <c r="N1151">
        <f>J1151+L1151</f>
        <v>2.75</v>
      </c>
      <c r="O1151" t="str">
        <v>+</v>
      </c>
      <c r="P1151">
        <f>MAX(D1151-D1150,D1151-D1152)</f>
        <v>0</v>
      </c>
      <c r="Q1151" t="str">
        <v>x</v>
      </c>
      <c r="R1151">
        <f>IF(P1151&gt;0,2*(1-2*$F$19-1/2)*D1138/1000,0)</f>
        <v>0</v>
      </c>
      <c r="S1151" t="str">
        <v>)</v>
      </c>
      <c r="T1151" t="str">
        <v>x</v>
      </c>
      <c r="U1151">
        <f>0.006165*F1151^2</f>
        <v>1.57824</v>
      </c>
      <c r="X1151" t="str">
        <v>x</v>
      </c>
      <c r="Y1151">
        <f>D1141</f>
        <v>1</v>
      </c>
      <c r="Z1151" t="str">
        <v>=</v>
      </c>
      <c r="AA1151">
        <f>IF(AA1153=0,(D1151*N1151+P1151*R1151)*U1151*Y1151,0)</f>
        <v>0</v>
      </c>
    </row>
    <row r="1152">
      <c r="A1152" t="str">
        <f>A1135</f>
        <v>Lantai 1</v>
      </c>
      <c r="B1152">
        <f>B1135</f>
        <v>37</v>
      </c>
      <c r="C1152" t="str">
        <v>Tul Bawah Tumpuan</v>
      </c>
      <c r="D1152">
        <f>VLOOKUP(D1135,'Detail Balok'!$C$10:$AU$140,28,FALSE)</f>
        <v>3</v>
      </c>
      <c r="E1152" t="str">
        <v>D</v>
      </c>
      <c r="F1152">
        <f>VLOOKUP(D1135,'Detail Balok'!$C$10:$AU$140,30,FALSE)</f>
        <v>16</v>
      </c>
      <c r="I1152" t="str">
        <v>(</v>
      </c>
      <c r="J1152">
        <f>+J1144</f>
        <v>1.375</v>
      </c>
      <c r="K1152" t="str">
        <v>+</v>
      </c>
      <c r="L1152">
        <f>MAX(VLOOKUP(F1152,N$6:P$15,3,FALSE)/1000,2/3*D1140/1000)+F$16*F1152/1000</f>
        <v>0.192</v>
      </c>
      <c r="M1152" t="str">
        <v>=</v>
      </c>
      <c r="N1152">
        <f>J1152+L1152</f>
        <v>1.567</v>
      </c>
      <c r="O1152" t="str">
        <v>+</v>
      </c>
      <c r="P1152">
        <f>D1152-D1151</f>
        <v>0</v>
      </c>
      <c r="Q1152" t="str">
        <v>x</v>
      </c>
      <c r="R1152">
        <f>IF(P1152&gt;0,$F$18*F1152/1000,0)</f>
        <v>0</v>
      </c>
      <c r="S1152" t="str">
        <v>)</v>
      </c>
      <c r="T1152" t="str">
        <v>x</v>
      </c>
      <c r="U1152">
        <f>0.006165*F1152^2</f>
        <v>1.57824</v>
      </c>
      <c r="X1152" t="str">
        <v>x</v>
      </c>
      <c r="Y1152">
        <f>D1141</f>
        <v>1</v>
      </c>
      <c r="Z1152" t="str">
        <v>=</v>
      </c>
      <c r="AA1152">
        <f>IF(AA1153=0,(D1152*N1152+P1152*R1152)*U1152*Y1152,0)</f>
        <v>0</v>
      </c>
    </row>
    <row r="1153">
      <c r="A1153" t="str">
        <f>A1135</f>
        <v>Lantai 1</v>
      </c>
      <c r="B1153">
        <f>B1135</f>
        <v>37</v>
      </c>
      <c r="D1153">
        <f>IF(AND(D1150=D1151,D1151=D1152,D1150=D1152),D1150,0)</f>
        <v>3</v>
      </c>
      <c r="E1153" t="str">
        <v>D</v>
      </c>
      <c r="F1153">
        <f>IF(AND(F1150=F1151,F1150=F1152,F1151=F1152),F1150,0)</f>
        <v>16</v>
      </c>
      <c r="L1153" t="str">
        <v>Total panjang per balok</v>
      </c>
      <c r="M1153" t="str">
        <v>=</v>
      </c>
      <c r="N1153">
        <f>IF(AND(D1150=D1151,D1150=D1152,D1151=D1152,F1150=F1151,F1150=F1152,F1151=F1152),SUM(N1150:N1152),0)</f>
        <v>5.884</v>
      </c>
      <c r="O1153" t="str">
        <v>+</v>
      </c>
      <c r="P1153">
        <f>IF(N1153&gt;12,ROUNDDOWN(N1153/12,0),0)</f>
        <v>0</v>
      </c>
      <c r="Q1153" t="str">
        <v>x</v>
      </c>
      <c r="R1153">
        <f>IF(P1153&gt;0,MAX(VLOOKUP(F1153,$D$6:$G$15,3,FALSE),600),0)/1000</f>
        <v>0</v>
      </c>
      <c r="T1153" t="str">
        <v>x</v>
      </c>
      <c r="U1153">
        <f>U1152</f>
        <v>1.57824</v>
      </c>
      <c r="V1153" t="str">
        <v>x</v>
      </c>
      <c r="W1153">
        <f>D1153</f>
        <v>3</v>
      </c>
      <c r="X1153" t="str">
        <v>x</v>
      </c>
      <c r="Y1153">
        <f>Y1152</f>
        <v>1</v>
      </c>
      <c r="Z1153" t="str">
        <v>=</v>
      </c>
      <c r="AA1153">
        <f>(N1153+P1153*R1153/1000)*U1153*W1153*Y1153</f>
        <v>27.859092480000005</v>
      </c>
    </row>
    <row r="1155">
      <c r="A1155" t="str">
        <f>A1135</f>
        <v>Lantai 1</v>
      </c>
      <c r="B1155">
        <f>B1135</f>
        <v>37</v>
      </c>
      <c r="C1155" t="str">
        <v>Sengkang Tumpuan</v>
      </c>
      <c r="D1155">
        <f>VLOOKUP(D1135,'Detail Balok'!$C$10:$AU$140,31,FALSE)</f>
        <v>0</v>
      </c>
      <c r="E1155" t="str">
        <v>D</v>
      </c>
      <c r="F1155">
        <f>VLOOKUP(D1135,'Detail Balok'!$C$10:$AU$140,33,FALSE)</f>
        <v>8</v>
      </c>
      <c r="G1155" t="str">
        <v>-</v>
      </c>
      <c r="H1155">
        <f>VLOOKUP(D1135,'Detail Balok'!$C$10:$AU$140,35,FALSE)</f>
        <v>150</v>
      </c>
      <c r="J1155">
        <f>(IF(D1155=0,(2*(D1136+G1136))-(F$5*8),IF(D1155=3,(2*(D1136+G1136))-(F$5*8)+(G1136-2*F$5),IF(D1155=4,(2*(D1136+G1136))-(F$5*8)+2*(G1136-2*F$5)))))/1000</f>
        <v>0.88</v>
      </c>
      <c r="K1155" t="str">
        <v>+</v>
      </c>
      <c r="L1155">
        <f>IF(D1155=0,2*MAX(6*F1155,75),(D1155-1)*2*MAX(6*F1155,75))/1000</f>
        <v>0.15</v>
      </c>
      <c r="M1155" t="str">
        <v>=</v>
      </c>
      <c r="N1155">
        <f>J1155+L1155</f>
        <v>1.03</v>
      </c>
      <c r="T1155" t="str">
        <v>x</v>
      </c>
      <c r="U1155">
        <f>0.006165*F1155^2</f>
        <v>0.39456</v>
      </c>
      <c r="V1155" t="str">
        <v>x</v>
      </c>
      <c r="W1155">
        <f>IF(D1138&gt;4*G1136,ROUND(MAX(D1138/4,2*G1136)/H1155,0)+1,ROUND(D1138/H1155,0)+1)</f>
        <v>10</v>
      </c>
      <c r="X1155" t="str">
        <v>x</v>
      </c>
      <c r="Y1155">
        <f>D1141</f>
        <v>1</v>
      </c>
      <c r="Z1155" t="str">
        <v>=</v>
      </c>
      <c r="AA1155">
        <f>N1155*U1155*W1155*Y1155</f>
        <v>4.063968000000001</v>
      </c>
    </row>
    <row r="1156">
      <c r="A1156" t="str">
        <f>A1135</f>
        <v>Lantai 1</v>
      </c>
      <c r="B1156">
        <f>B1135</f>
        <v>37</v>
      </c>
      <c r="C1156" t="str">
        <v>Sengkang Lapangan</v>
      </c>
      <c r="D1156">
        <f>VLOOKUP(D1135,'Detail Balok'!$C$10:$AU$140,36,FALSE)</f>
        <v>0</v>
      </c>
      <c r="E1156" t="str">
        <v>D</v>
      </c>
      <c r="F1156">
        <f>VLOOKUP(D1135,'Detail Balok'!$C$10:$AU$140,38,FALSE)</f>
        <v>8</v>
      </c>
      <c r="G1156" t="str">
        <v>-</v>
      </c>
      <c r="H1156">
        <f>VLOOKUP(D1135,'Detail Balok'!$C$10:$AU$140,40,FALSE)</f>
        <v>200</v>
      </c>
      <c r="J1156">
        <f>(IF(D1156=0,(2*(D1136+G1136))-(F$5*8),IF(D1156=3,(2*(D1136+G1136))-(F$5*8)+(G1136-2*F$5),IF(D1156=4,(2*(D1136+G1136))-(F$5*8)+2*(G1136-2*F$5)))))/1000</f>
        <v>0.88</v>
      </c>
      <c r="K1156" t="str">
        <v>+</v>
      </c>
      <c r="L1156">
        <f>IF(D1156=0,2*MAX(6*F1156,75),(D1156-1)*2*MAX(6*F1156,75))/1000</f>
        <v>0.15</v>
      </c>
      <c r="M1156" t="str">
        <v>=</v>
      </c>
      <c r="N1156">
        <f>J1156+L1156</f>
        <v>1.03</v>
      </c>
      <c r="T1156" t="str">
        <v>x</v>
      </c>
      <c r="U1156">
        <f>0.006165*F1156^2</f>
        <v>0.39456</v>
      </c>
      <c r="V1156" t="str">
        <v>x</v>
      </c>
      <c r="W1156">
        <f>IF(D1138-MAX(D1138/4,2*G1136)*2&gt;0,ROUND((D1138-MAX(D1138/4,2*G1136)*2)/H1156,0),0)</f>
        <v>14</v>
      </c>
      <c r="X1156" t="str">
        <v>x</v>
      </c>
      <c r="Y1156">
        <f>D1141</f>
        <v>1</v>
      </c>
      <c r="Z1156" t="str">
        <v>=</v>
      </c>
      <c r="AA1156">
        <f>N1156*U1156*W1156*Y1156</f>
        <v>5.689555200000001</v>
      </c>
    </row>
    <row r="1157">
      <c r="A1157" t="str">
        <f>A1135</f>
        <v>Lantai 1</v>
      </c>
      <c r="B1157">
        <f>B1135</f>
        <v>37</v>
      </c>
      <c r="C1157" t="str">
        <v>Sengkang Tumpuan</v>
      </c>
      <c r="D1157">
        <f>VLOOKUP(D1135,'Detail Balok'!$C$10:$AU$140,41,FALSE)</f>
        <v>0</v>
      </c>
      <c r="E1157" t="str">
        <v>D</v>
      </c>
      <c r="F1157">
        <f>VLOOKUP(D1135,'Detail Balok'!$C$10:$AU$140,43,FALSE)</f>
        <v>8</v>
      </c>
      <c r="G1157" t="str">
        <v>-</v>
      </c>
      <c r="H1157">
        <f>VLOOKUP(D1135,'Detail Balok'!$C$10:$AU$140,45,FALSE)</f>
        <v>150</v>
      </c>
      <c r="J1157">
        <f>(IF(D1157=0,(2*(D1136+G1136))-(F$5*8),IF(D1157=3,(2*(D1136+G1136))-(F$5*8)+(G1136-2*F$5),IF(D1157=4,(2*(D1136+G1136))-(F$5*8)+2*(G1136-2*F$5)))))/1000</f>
        <v>0.88</v>
      </c>
      <c r="K1157" t="str">
        <v>+</v>
      </c>
      <c r="L1157">
        <f>IF(D1157=0,2*MAX(6*F1157,75),(D1157-1)*2*MAX(6*F1157,75))/1000</f>
        <v>0.15</v>
      </c>
      <c r="M1157" t="str">
        <v>=</v>
      </c>
      <c r="N1157">
        <f>J1157+L1157</f>
        <v>1.03</v>
      </c>
      <c r="T1157" t="str">
        <v>x</v>
      </c>
      <c r="U1157">
        <f>0.006165*F1157^2</f>
        <v>0.39456</v>
      </c>
      <c r="V1157" t="str">
        <v>x</v>
      </c>
      <c r="W1157">
        <f>IF(D1138&gt;4*G1136,ROUND(MAX(D1138/4,2*G1136)/H1157,0)+1,0)</f>
        <v>10</v>
      </c>
      <c r="X1157" t="str">
        <v>x</v>
      </c>
      <c r="Y1157">
        <f>D1141</f>
        <v>1</v>
      </c>
      <c r="Z1157" t="str">
        <v>=</v>
      </c>
      <c r="AA1157">
        <f>N1157*U1157*W1157*Y1157</f>
        <v>4.063968000000001</v>
      </c>
    </row>
    <row r="1159">
      <c r="A1159" t="str">
        <f>A1135</f>
        <v>Lantai 1</v>
      </c>
      <c r="B1159">
        <f>B1135</f>
        <v>37</v>
      </c>
      <c r="C1159" t="str">
        <v>Kait Horizontal Tump.</v>
      </c>
      <c r="D1159">
        <f>VLOOKUP(D1135,'Detail Balok'!$C$10:$BJ$140,46,FALSE)</f>
        <v>0</v>
      </c>
      <c r="E1159" t="str">
        <v>D</v>
      </c>
      <c r="F1159">
        <f>VLOOKUP(D1135,'Detail Balok'!$C$10:$BJ$140,48,FALSE)</f>
        <v>0</v>
      </c>
      <c r="G1159" t="str">
        <v>-</v>
      </c>
      <c r="H1159">
        <f>VLOOKUP(D1135,'Detail Balok'!$C$10:$BJ$140,50,FALSE)</f>
        <v>100</v>
      </c>
      <c r="J1159">
        <f>(D1136-2*F$5)/1000</f>
        <v>0.12</v>
      </c>
      <c r="K1159" t="str">
        <v>+</v>
      </c>
      <c r="L1159">
        <f>IF(D1159=0,2*MAX(6*F1159,75),(D1159-1)*2*MAX(6*F1159,75))/1000</f>
        <v>0.15</v>
      </c>
      <c r="M1159" t="str">
        <v>=</v>
      </c>
      <c r="N1159">
        <f>J1159+L1159</f>
        <v>0.27</v>
      </c>
      <c r="T1159" t="str">
        <v>x</v>
      </c>
      <c r="U1159">
        <f>0.006165*F1159^2</f>
        <v>0</v>
      </c>
      <c r="V1159" t="str">
        <v>x</v>
      </c>
      <c r="W1159">
        <f>W1155</f>
        <v>10</v>
      </c>
      <c r="X1159" t="str">
        <v>x</v>
      </c>
      <c r="Y1159">
        <f>D1145</f>
        <v>3</v>
      </c>
      <c r="Z1159" t="str">
        <v>=</v>
      </c>
      <c r="AA1159">
        <f>N1159*U1159*W1159*Y1159</f>
        <v>0</v>
      </c>
    </row>
    <row r="1160">
      <c r="A1160" t="str">
        <f>A1135</f>
        <v>Lantai 1</v>
      </c>
      <c r="B1160">
        <f>B1135</f>
        <v>37</v>
      </c>
      <c r="C1160" t="str">
        <v>Kait Horizontal Lap.</v>
      </c>
      <c r="D1160">
        <f>VLOOKUP(D1135,'Detail Balok'!$C$10:$BJ$140,51,FALSE)</f>
        <v>0</v>
      </c>
      <c r="E1160" t="str">
        <v>D</v>
      </c>
      <c r="F1160">
        <f>VLOOKUP(D1135,'Detail Balok'!$C$10:$BJ$140,53,FALSE)</f>
        <v>0</v>
      </c>
      <c r="G1160" t="str">
        <v>-</v>
      </c>
      <c r="H1160">
        <f>VLOOKUP(D1135,'Detail Balok'!$C$10:$BJ$140,55,FALSE)</f>
        <v>100</v>
      </c>
      <c r="J1160">
        <f>(D1136-2*F$5)/1000</f>
        <v>0.12</v>
      </c>
      <c r="K1160" t="str">
        <v>+</v>
      </c>
      <c r="L1160">
        <f>IF(D1160=0,2*MAX(6*F1160,75),(D1160-1)*2*MAX(6*F1160,75))/1000</f>
        <v>0.15</v>
      </c>
      <c r="M1160" t="str">
        <v>=</v>
      </c>
      <c r="N1160">
        <f>J1160+L1160</f>
        <v>0.27</v>
      </c>
      <c r="T1160" t="str">
        <v>x</v>
      </c>
      <c r="U1160">
        <f>0.006165*F1160^2</f>
        <v>0</v>
      </c>
      <c r="V1160" t="str">
        <v>x</v>
      </c>
      <c r="W1160">
        <f>W1156</f>
        <v>14</v>
      </c>
      <c r="X1160" t="str">
        <v>x</v>
      </c>
      <c r="Y1160">
        <f>D1145</f>
        <v>3</v>
      </c>
      <c r="Z1160" t="str">
        <v>=</v>
      </c>
      <c r="AA1160">
        <f>N1160*U1160*W1160*Y1160</f>
        <v>0</v>
      </c>
    </row>
    <row r="1161">
      <c r="A1161" t="str">
        <f>A1135</f>
        <v>Lantai 1</v>
      </c>
      <c r="B1161">
        <f>B1135</f>
        <v>37</v>
      </c>
      <c r="C1161" t="str">
        <v>Kait Horizontal Tump.</v>
      </c>
      <c r="D1161">
        <f>VLOOKUP(D1135,'Detail Balok'!$C$10:$BJ$140,56,FALSE)</f>
        <v>0</v>
      </c>
      <c r="E1161" t="str">
        <v>D</v>
      </c>
      <c r="F1161">
        <f>VLOOKUP(D1135,'Detail Balok'!$C$10:$BJ$140,58,FALSE)</f>
        <v>0</v>
      </c>
      <c r="G1161" t="str">
        <v>-</v>
      </c>
      <c r="H1161">
        <f>VLOOKUP(D1135,'Detail Balok'!$C$10:$BJ$140,60,FALSE)</f>
        <v>100</v>
      </c>
      <c r="J1161">
        <f>(D1136-2*F$5)/1000</f>
        <v>0.12</v>
      </c>
      <c r="K1161" t="str">
        <v>+</v>
      </c>
      <c r="L1161">
        <f>IF(D1161=0,2*MAX(6*F1161,75),(D1161-1)*2*MAX(6*F1161,75))/1000</f>
        <v>0.15</v>
      </c>
      <c r="M1161" t="str">
        <v>=</v>
      </c>
      <c r="N1161">
        <f>J1161+L1161</f>
        <v>0.27</v>
      </c>
      <c r="T1161" t="str">
        <v>x</v>
      </c>
      <c r="U1161">
        <f>0.006165*F1161^2</f>
        <v>0</v>
      </c>
      <c r="V1161" t="str">
        <v>x</v>
      </c>
      <c r="W1161">
        <f>W1157</f>
        <v>10</v>
      </c>
      <c r="X1161" t="str">
        <v>x</v>
      </c>
      <c r="Y1161">
        <f>D1145</f>
        <v>3</v>
      </c>
      <c r="Z1161" t="str">
        <v>=</v>
      </c>
      <c r="AA1161">
        <f>N1161*U1161*W1161*Y1161</f>
        <v>0</v>
      </c>
    </row>
    <row r="1165">
      <c r="A1165" t="str">
        <f>A1135</f>
        <v>Lantai 1</v>
      </c>
      <c r="B1165">
        <f>B1135+1</f>
        <v>38</v>
      </c>
      <c r="C1165" t="str">
        <f>CONCATENATE(A1165," no. ",B1165)</f>
        <v>Lantai 1 no. 38</v>
      </c>
      <c r="D1165" t="str">
        <f>VLOOKUP(C1165,'Data Panjang Balok'!$C$9:$N$254,2,FALSE)</f>
        <v>S24-1</v>
      </c>
    </row>
    <row r="1166">
      <c r="C1166" t="str">
        <v>Dimensi</v>
      </c>
      <c r="D1166">
        <f>VLOOKUP(D1165,'Detail Balok'!$C$10:$AU$140,2,FALSE)</f>
        <v>200</v>
      </c>
      <c r="F1166" t="str">
        <v>x</v>
      </c>
      <c r="G1166">
        <f>VLOOKUP(D1165,'Detail Balok'!$C$10:$AU$140,3,FALSE)</f>
        <v>400</v>
      </c>
    </row>
    <row r="1167">
      <c r="C1167" t="str">
        <v>Panjang as ke as</v>
      </c>
      <c r="D1167">
        <f>VLOOKUP(C1165,'Data Panjang Balok'!$C$9:$N$254,4,FALSE)</f>
        <v>8825</v>
      </c>
    </row>
    <row r="1168">
      <c r="C1168" t="str">
        <v>Panjang netto</v>
      </c>
      <c r="D1168">
        <f>VLOOKUP(C1165,'Data Panjang Balok'!$C$9:$N$254,7,FALSE)</f>
        <v>8825</v>
      </c>
    </row>
    <row r="1169">
      <c r="C1169" t="str">
        <v>Kolom / balok kiri</v>
      </c>
      <c r="D1169">
        <f>VLOOKUP(C1165,'Data Panjang Balok'!$C$9:$N$254,9,FALSE)</f>
        <v>0</v>
      </c>
    </row>
    <row r="1170">
      <c r="C1170" t="str">
        <v>Kolom / balok kanan</v>
      </c>
      <c r="D1170">
        <f>VLOOKUP(C1165,'Data Panjang Balok'!$C$9:$N$254,10,FALSE)</f>
        <v>0</v>
      </c>
    </row>
    <row r="1171">
      <c r="C1171" t="str">
        <v>Jumlah</v>
      </c>
      <c r="D1171">
        <f>VLOOKUP(C1165,'Data Panjang Balok'!$C$9:$N$254,3,FALSE)</f>
        <v>1</v>
      </c>
    </row>
    <row r="1172">
      <c r="A1172" t="str">
        <f>A1165</f>
        <v>Lantai 1</v>
      </c>
      <c r="B1172">
        <f>B1165</f>
        <v>38</v>
      </c>
      <c r="C1172" t="str">
        <v>Tul Atas Tumpuan</v>
      </c>
      <c r="D1172">
        <f>VLOOKUP(D1165,'Detail Balok'!$C$10:$AU$140,4,FALSE)</f>
        <v>3</v>
      </c>
      <c r="E1172" t="str">
        <v>D</v>
      </c>
      <c r="F1172">
        <f>VLOOKUP(D1165,'Detail Balok'!$C$10:$AU$140,6,FALSE)</f>
        <v>13</v>
      </c>
      <c r="I1172" t="str">
        <v>(</v>
      </c>
      <c r="J1172">
        <f>+D1167/4/1000</f>
        <v>2.20625</v>
      </c>
      <c r="K1172" t="str">
        <v>+</v>
      </c>
      <c r="L1172">
        <f>MAX(VLOOKUP(F1172,N$6:P$15,3,FALSE)/1000,2/3*D1169/1000)+F$16*F1172/1000</f>
        <v>0.156</v>
      </c>
      <c r="M1172" t="str">
        <v>=</v>
      </c>
      <c r="N1172">
        <f>J1172+L1172</f>
        <v>2.36225</v>
      </c>
      <c r="O1172" t="str">
        <v>+</v>
      </c>
      <c r="P1172">
        <f>D1172-D1173</f>
        <v>0</v>
      </c>
      <c r="Q1172" t="str">
        <v>x</v>
      </c>
      <c r="R1172">
        <f>IF(P1172&gt;0,$F$18*F1172/1000,0)</f>
        <v>0</v>
      </c>
      <c r="S1172" t="str">
        <v>)</v>
      </c>
      <c r="T1172" t="str">
        <v>x</v>
      </c>
      <c r="U1172">
        <f>0.006165*F1172^2</f>
        <v>1.041885</v>
      </c>
      <c r="X1172" t="str">
        <v>x</v>
      </c>
      <c r="Y1172">
        <f>D1171</f>
        <v>1</v>
      </c>
      <c r="Z1172" t="str">
        <v>=</v>
      </c>
      <c r="AA1172">
        <f>IF(AA1175=0,(D1172*N1172+P1172*R1172)*U1172*Y1172,0)</f>
        <v>0</v>
      </c>
    </row>
    <row r="1173">
      <c r="A1173" t="str">
        <f>A1165</f>
        <v>Lantai 1</v>
      </c>
      <c r="B1173">
        <f>B1165</f>
        <v>38</v>
      </c>
      <c r="C1173" t="str">
        <v>Tul Atas Lapangan</v>
      </c>
      <c r="D1173">
        <f>VLOOKUP(D1165,'Detail Balok'!$C$10:$AU$140,7,FALSE)</f>
        <v>3</v>
      </c>
      <c r="E1173" t="str">
        <v>D</v>
      </c>
      <c r="F1173">
        <f>VLOOKUP(D1165,'Detail Balok'!$C$10:$AU$140,9,FALSE)</f>
        <v>13</v>
      </c>
      <c r="I1173" t="str">
        <v>(</v>
      </c>
      <c r="J1173">
        <f>+D1167/2/1000</f>
        <v>4.4125</v>
      </c>
      <c r="K1173" t="str">
        <v>+</v>
      </c>
      <c r="M1173" t="str">
        <v>=</v>
      </c>
      <c r="N1173">
        <f>J1173+L1173</f>
        <v>4.4125</v>
      </c>
      <c r="O1173" t="str">
        <v>+</v>
      </c>
      <c r="P1173">
        <f>MAX(D1173-D1172,D1173-D1174)</f>
        <v>0</v>
      </c>
      <c r="Q1173" t="str">
        <v>x</v>
      </c>
      <c r="R1173">
        <f>IF(P1173&gt;0,2*(1-2*$F$19-1/2)*D1168/1000,0)</f>
        <v>0</v>
      </c>
      <c r="S1173" t="str">
        <v>)</v>
      </c>
      <c r="T1173" t="str">
        <v>x</v>
      </c>
      <c r="U1173">
        <f>0.006165*F1173^2</f>
        <v>1.041885</v>
      </c>
      <c r="X1173" t="str">
        <v>x</v>
      </c>
      <c r="Y1173">
        <f>D1171</f>
        <v>1</v>
      </c>
      <c r="Z1173" t="str">
        <v>=</v>
      </c>
      <c r="AA1173">
        <f>IF(AA1175=0,(D1173*N1173+P1173*R1173)*U1173*Y1173,0)</f>
        <v>0</v>
      </c>
    </row>
    <row r="1174">
      <c r="A1174" t="str">
        <f>A1165</f>
        <v>Lantai 1</v>
      </c>
      <c r="B1174">
        <f>B1165</f>
        <v>38</v>
      </c>
      <c r="C1174" t="str">
        <v>Tul Atas Tumpuan</v>
      </c>
      <c r="D1174">
        <f>VLOOKUP(D1165,'Detail Balok'!$C$10:$AU$140,10,FALSE)</f>
        <v>3</v>
      </c>
      <c r="E1174" t="str">
        <v>D</v>
      </c>
      <c r="F1174">
        <f>VLOOKUP(D1165,'Detail Balok'!$C$10:$AU$140,12,FALSE)</f>
        <v>13</v>
      </c>
      <c r="I1174" t="str">
        <v>(</v>
      </c>
      <c r="J1174">
        <f>+D1167/4/1000</f>
        <v>2.20625</v>
      </c>
      <c r="K1174" t="str">
        <v>+</v>
      </c>
      <c r="L1174">
        <f>MAX(VLOOKUP(F1174,N$6:P$15,3,FALSE)/1000,2/3*D1169/1000)+F$16*F1174/1000</f>
        <v>0.156</v>
      </c>
      <c r="M1174" t="str">
        <v>=</v>
      </c>
      <c r="N1174">
        <f>J1174+L1174</f>
        <v>2.36225</v>
      </c>
      <c r="O1174" t="str">
        <v>+</v>
      </c>
      <c r="P1174">
        <f>D1174-D1173</f>
        <v>0</v>
      </c>
      <c r="Q1174" t="str">
        <v>x</v>
      </c>
      <c r="R1174">
        <f>IF(P1174&gt;0,$F$18*F1174/1000,0)</f>
        <v>0</v>
      </c>
      <c r="S1174" t="str">
        <v>)</v>
      </c>
      <c r="T1174" t="str">
        <v>x</v>
      </c>
      <c r="U1174">
        <f>0.006165*F1174^2</f>
        <v>1.041885</v>
      </c>
      <c r="X1174" t="str">
        <v>x</v>
      </c>
      <c r="Y1174">
        <f>D1171</f>
        <v>1</v>
      </c>
      <c r="Z1174" t="str">
        <v>=</v>
      </c>
      <c r="AA1174">
        <f>IF(AA1175=0,(D1174*N1174+P1174*R1174)*U1174*Y1174,0)</f>
        <v>0</v>
      </c>
    </row>
    <row r="1175">
      <c r="A1175" t="str">
        <f>A1165</f>
        <v>Lantai 1</v>
      </c>
      <c r="B1175">
        <f>B1165</f>
        <v>38</v>
      </c>
      <c r="D1175">
        <f>IF(AND(D1172=D1173,D1173=D1174,D1172=D1174),D1172,0)</f>
        <v>3</v>
      </c>
      <c r="E1175" t="str">
        <v>D</v>
      </c>
      <c r="F1175">
        <f>IF(AND(F1172=F1173,F1172=F1174,F1173=F1174),F1172,0)</f>
        <v>13</v>
      </c>
      <c r="L1175" t="str">
        <v>Total panjang per balok</v>
      </c>
      <c r="M1175" t="str">
        <v>=</v>
      </c>
      <c r="N1175">
        <f>IF(AND(D1172=D1173,D1172=D1174,D1173=D1174,F1172=F1173,F1172=F1174,F1173=F1174),SUM(N1172:N1174),0)</f>
        <v>9.136999999999999</v>
      </c>
      <c r="O1175" t="str">
        <v>+</v>
      </c>
      <c r="P1175">
        <f>IF(N1175&gt;12,ROUNDDOWN(N1175/12,0),0)</f>
        <v>0</v>
      </c>
      <c r="Q1175" t="str">
        <v>x</v>
      </c>
      <c r="R1175">
        <f>IF(P1175&gt;0,MAX(VLOOKUP(F1175,$D$6:$G$15,3,FALSE),600),0)/1000</f>
        <v>0</v>
      </c>
      <c r="T1175" t="str">
        <v>x</v>
      </c>
      <c r="U1175">
        <f>U1174</f>
        <v>1.041885</v>
      </c>
      <c r="V1175" t="str">
        <v>x</v>
      </c>
      <c r="W1175">
        <f>D1175</f>
        <v>3</v>
      </c>
      <c r="X1175" t="str">
        <v>x</v>
      </c>
      <c r="Y1175">
        <f>Y1174</f>
        <v>1</v>
      </c>
      <c r="Z1175" t="str">
        <v>=</v>
      </c>
      <c r="AA1175">
        <f>(N1175+P1175*R1175/1000)*U1175*W1175*Y1175</f>
        <v>28.559109734999996</v>
      </c>
    </row>
    <row r="1177">
      <c r="A1177" t="str">
        <f>A1165</f>
        <v>Lantai 1</v>
      </c>
      <c r="B1177">
        <f>B1165</f>
        <v>38</v>
      </c>
      <c r="C1177" t="str">
        <v>Tul Peminggang</v>
      </c>
      <c r="D1177">
        <f>VLOOKUP(D1165,'Detail Balok'!$C$10:$AU$140,13,FALSE)</f>
        <v>0</v>
      </c>
      <c r="E1177" t="str">
        <v>D</v>
      </c>
      <c r="F1177">
        <f>VLOOKUP(D1165,'Detail Balok'!$C$10:$AU$140,15,FALSE)</f>
        <v>8</v>
      </c>
      <c r="J1177">
        <f>+D1167/1000</f>
        <v>8.825</v>
      </c>
      <c r="K1177" t="str">
        <v>+</v>
      </c>
      <c r="L1177">
        <f>2*$F$16*F1177/1000</f>
        <v>0.192</v>
      </c>
      <c r="M1177" t="str">
        <v>=</v>
      </c>
      <c r="N1177">
        <f>J1177+L1177</f>
        <v>9.017</v>
      </c>
      <c r="O1177" t="str">
        <v>+</v>
      </c>
      <c r="P1177">
        <f>IF(N1177&gt;12,ROUNDDOWN(N1177/12,0),0)</f>
        <v>0</v>
      </c>
      <c r="Q1177" t="str">
        <v>x</v>
      </c>
      <c r="R1177">
        <f>IF(P1177&gt;0,MAX(VLOOKUP(F1177,$D$6:$G$15,3,FALSE),600),0)/1000</f>
        <v>0</v>
      </c>
      <c r="T1177" t="str">
        <v>x</v>
      </c>
      <c r="U1177">
        <f>0.006165*F1177^2</f>
        <v>0.39456</v>
      </c>
      <c r="V1177" t="str">
        <v>x</v>
      </c>
      <c r="W1177">
        <f>+D1177</f>
        <v>0</v>
      </c>
      <c r="X1177" t="str">
        <v>x</v>
      </c>
      <c r="Y1177">
        <f>D1171</f>
        <v>1</v>
      </c>
      <c r="Z1177" t="str">
        <v>=</v>
      </c>
      <c r="AA1177">
        <f>(N1177+P1177*R1177/1000)*U1177*W1177*Y1177</f>
        <v>0</v>
      </c>
    </row>
    <row r="1180">
      <c r="A1180" t="str">
        <f>A1165</f>
        <v>Lantai 1</v>
      </c>
      <c r="B1180">
        <f>B1165</f>
        <v>38</v>
      </c>
      <c r="C1180" t="str">
        <v>Tul Bawah Tumpuan</v>
      </c>
      <c r="D1180">
        <f>VLOOKUP(D1165,'Detail Balok'!$C$10:$AU$140,22,FALSE)</f>
        <v>3</v>
      </c>
      <c r="E1180" t="str">
        <v>D</v>
      </c>
      <c r="F1180">
        <f>VLOOKUP(D1165,'Detail Balok'!$C$10:$AU$140,24,FALSE)</f>
        <v>13</v>
      </c>
      <c r="I1180" t="str">
        <v>(</v>
      </c>
      <c r="J1180">
        <f>+J1172</f>
        <v>2.20625</v>
      </c>
      <c r="K1180" t="str">
        <v>+</v>
      </c>
      <c r="L1180">
        <f>MAX(VLOOKUP(F1180,N$6:P$15,3,FALSE)/1000,2/3*D1170/1000)+F$16*F1180/1000</f>
        <v>0.156</v>
      </c>
      <c r="M1180" t="str">
        <v>=</v>
      </c>
      <c r="N1180">
        <f>J1180+L1180</f>
        <v>2.36225</v>
      </c>
      <c r="O1180" t="str">
        <v>+</v>
      </c>
      <c r="P1180">
        <f>D1180-D1181</f>
        <v>0</v>
      </c>
      <c r="Q1180" t="str">
        <v>x</v>
      </c>
      <c r="R1180">
        <f>IF(P1180&gt;0,$F$18*F1180/1000,0)</f>
        <v>0</v>
      </c>
      <c r="S1180" t="str">
        <v>)</v>
      </c>
      <c r="T1180" t="str">
        <v>x</v>
      </c>
      <c r="U1180">
        <f>0.006165*F1180^2</f>
        <v>1.041885</v>
      </c>
      <c r="X1180" t="str">
        <v>x</v>
      </c>
      <c r="Y1180">
        <f>D1171</f>
        <v>1</v>
      </c>
      <c r="Z1180" t="str">
        <v>=</v>
      </c>
      <c r="AA1180">
        <f>IF(AA1183=0,(D1180*N1180+P1180*R1180)*U1180*Y1180,0)</f>
        <v>0</v>
      </c>
    </row>
    <row r="1181">
      <c r="A1181" t="str">
        <f>A1165</f>
        <v>Lantai 1</v>
      </c>
      <c r="B1181">
        <f>B1165</f>
        <v>38</v>
      </c>
      <c r="C1181" t="str">
        <v>Tul Bawah Lapangan</v>
      </c>
      <c r="D1181">
        <f>VLOOKUP(D1165,'Detail Balok'!$C$10:$AU$140,25,FALSE)</f>
        <v>3</v>
      </c>
      <c r="E1181" t="str">
        <v>D</v>
      </c>
      <c r="F1181">
        <f>VLOOKUP(D1165,'Detail Balok'!$C$10:$AU$140,27,FALSE)</f>
        <v>13</v>
      </c>
      <c r="I1181" t="str">
        <v>(</v>
      </c>
      <c r="J1181">
        <f>+J1173</f>
        <v>4.4125</v>
      </c>
      <c r="K1181" t="str">
        <v>+</v>
      </c>
      <c r="M1181" t="str">
        <v>=</v>
      </c>
      <c r="N1181">
        <f>J1181+L1181</f>
        <v>4.4125</v>
      </c>
      <c r="O1181" t="str">
        <v>+</v>
      </c>
      <c r="P1181">
        <f>MAX(D1181-D1180,D1181-D1182)</f>
        <v>0</v>
      </c>
      <c r="Q1181" t="str">
        <v>x</v>
      </c>
      <c r="R1181">
        <f>IF(P1181&gt;0,2*(1-2*$F$19-1/2)*D1168/1000,0)</f>
        <v>0</v>
      </c>
      <c r="S1181" t="str">
        <v>)</v>
      </c>
      <c r="T1181" t="str">
        <v>x</v>
      </c>
      <c r="U1181">
        <f>0.006165*F1181^2</f>
        <v>1.041885</v>
      </c>
      <c r="X1181" t="str">
        <v>x</v>
      </c>
      <c r="Y1181">
        <f>D1171</f>
        <v>1</v>
      </c>
      <c r="Z1181" t="str">
        <v>=</v>
      </c>
      <c r="AA1181">
        <f>IF(AA1183=0,(D1181*N1181+P1181*R1181)*U1181*Y1181,0)</f>
        <v>0</v>
      </c>
    </row>
    <row r="1182">
      <c r="A1182" t="str">
        <f>A1165</f>
        <v>Lantai 1</v>
      </c>
      <c r="B1182">
        <f>B1165</f>
        <v>38</v>
      </c>
      <c r="C1182" t="str">
        <v>Tul Bawah Tumpuan</v>
      </c>
      <c r="D1182">
        <f>VLOOKUP(D1165,'Detail Balok'!$C$10:$AU$140,28,FALSE)</f>
        <v>3</v>
      </c>
      <c r="E1182" t="str">
        <v>D</v>
      </c>
      <c r="F1182">
        <f>VLOOKUP(D1165,'Detail Balok'!$C$10:$AU$140,30,FALSE)</f>
        <v>13</v>
      </c>
      <c r="I1182" t="str">
        <v>(</v>
      </c>
      <c r="J1182">
        <f>+J1174</f>
        <v>2.20625</v>
      </c>
      <c r="K1182" t="str">
        <v>+</v>
      </c>
      <c r="L1182">
        <f>MAX(VLOOKUP(F1182,N$6:P$15,3,FALSE)/1000,2/3*D1170/1000)+F$16*F1182/1000</f>
        <v>0.156</v>
      </c>
      <c r="M1182" t="str">
        <v>=</v>
      </c>
      <c r="N1182">
        <f>J1182+L1182</f>
        <v>2.36225</v>
      </c>
      <c r="O1182" t="str">
        <v>+</v>
      </c>
      <c r="P1182">
        <f>D1182-D1181</f>
        <v>0</v>
      </c>
      <c r="Q1182" t="str">
        <v>x</v>
      </c>
      <c r="R1182">
        <f>IF(P1182&gt;0,$F$18*F1182/1000,0)</f>
        <v>0</v>
      </c>
      <c r="S1182" t="str">
        <v>)</v>
      </c>
      <c r="T1182" t="str">
        <v>x</v>
      </c>
      <c r="U1182">
        <f>0.006165*F1182^2</f>
        <v>1.041885</v>
      </c>
      <c r="X1182" t="str">
        <v>x</v>
      </c>
      <c r="Y1182">
        <f>D1171</f>
        <v>1</v>
      </c>
      <c r="Z1182" t="str">
        <v>=</v>
      </c>
      <c r="AA1182">
        <f>IF(AA1183=0,(D1182*N1182+P1182*R1182)*U1182*Y1182,0)</f>
        <v>0</v>
      </c>
    </row>
    <row r="1183">
      <c r="A1183" t="str">
        <f>A1165</f>
        <v>Lantai 1</v>
      </c>
      <c r="B1183">
        <f>B1165</f>
        <v>38</v>
      </c>
      <c r="D1183">
        <f>IF(AND(D1180=D1181,D1181=D1182,D1180=D1182),D1180,0)</f>
        <v>3</v>
      </c>
      <c r="E1183" t="str">
        <v>D</v>
      </c>
      <c r="F1183">
        <f>IF(AND(F1180=F1181,F1180=F1182,F1181=F1182),F1180,0)</f>
        <v>13</v>
      </c>
      <c r="L1183" t="str">
        <v>Total panjang per balok</v>
      </c>
      <c r="M1183" t="str">
        <v>=</v>
      </c>
      <c r="N1183">
        <f>IF(AND(D1180=D1181,D1180=D1182,D1181=D1182,F1180=F1181,F1180=F1182,F1181=F1182),SUM(N1180:N1182),0)</f>
        <v>9.136999999999999</v>
      </c>
      <c r="O1183" t="str">
        <v>+</v>
      </c>
      <c r="P1183">
        <f>IF(N1183&gt;12,ROUNDDOWN(N1183/12,0),0)</f>
        <v>0</v>
      </c>
      <c r="Q1183" t="str">
        <v>x</v>
      </c>
      <c r="R1183">
        <f>IF(P1183&gt;0,MAX(VLOOKUP(F1183,$D$6:$G$15,3,FALSE),600),0)/1000</f>
        <v>0</v>
      </c>
      <c r="T1183" t="str">
        <v>x</v>
      </c>
      <c r="U1183">
        <f>U1182</f>
        <v>1.041885</v>
      </c>
      <c r="V1183" t="str">
        <v>x</v>
      </c>
      <c r="W1183">
        <f>D1183</f>
        <v>3</v>
      </c>
      <c r="X1183" t="str">
        <v>x</v>
      </c>
      <c r="Y1183">
        <f>Y1182</f>
        <v>1</v>
      </c>
      <c r="Z1183" t="str">
        <v>=</v>
      </c>
      <c r="AA1183">
        <f>(N1183+P1183*R1183/1000)*U1183*W1183*Y1183</f>
        <v>28.559109734999996</v>
      </c>
    </row>
    <row r="1185">
      <c r="A1185" t="str">
        <f>A1165</f>
        <v>Lantai 1</v>
      </c>
      <c r="B1185">
        <f>B1165</f>
        <v>38</v>
      </c>
      <c r="C1185" t="str">
        <v>Sengkang Tumpuan</v>
      </c>
      <c r="D1185">
        <f>VLOOKUP(D1165,'Detail Balok'!$C$10:$AU$140,31,FALSE)</f>
        <v>0</v>
      </c>
      <c r="E1185" t="str">
        <v>D</v>
      </c>
      <c r="F1185">
        <f>VLOOKUP(D1165,'Detail Balok'!$C$10:$AU$140,33,FALSE)</f>
        <v>8</v>
      </c>
      <c r="G1185" t="str">
        <v>-</v>
      </c>
      <c r="H1185">
        <f>VLOOKUP(D1165,'Detail Balok'!$C$10:$AU$140,35,FALSE)</f>
        <v>150</v>
      </c>
      <c r="J1185">
        <f>(IF(D1185=0,(2*(D1166+G1166))-(F$5*8),IF(D1185=3,(2*(D1166+G1166))-(F$5*8)+(G1166-2*F$5),IF(D1185=4,(2*(D1166+G1166))-(F$5*8)+2*(G1166-2*F$5)))))/1000</f>
        <v>0.88</v>
      </c>
      <c r="K1185" t="str">
        <v>+</v>
      </c>
      <c r="L1185">
        <f>IF(D1185=0,2*MAX(6*F1185,75),(D1185-1)*2*MAX(6*F1185,75))/1000</f>
        <v>0.15</v>
      </c>
      <c r="M1185" t="str">
        <v>=</v>
      </c>
      <c r="N1185">
        <f>J1185+L1185</f>
        <v>1.03</v>
      </c>
      <c r="T1185" t="str">
        <v>x</v>
      </c>
      <c r="U1185">
        <f>0.006165*F1185^2</f>
        <v>0.39456</v>
      </c>
      <c r="V1185" t="str">
        <v>x</v>
      </c>
      <c r="W1185">
        <f>IF(D1168&gt;4*G1166,ROUND(MAX(D1168/4,2*G1166)/H1185,0)+1,ROUND(D1168/H1185,0)+1)</f>
        <v>16</v>
      </c>
      <c r="X1185" t="str">
        <v>x</v>
      </c>
      <c r="Y1185">
        <f>D1171</f>
        <v>1</v>
      </c>
      <c r="Z1185" t="str">
        <v>=</v>
      </c>
      <c r="AA1185">
        <f>N1185*U1185*W1185*Y1185</f>
        <v>6.502348800000001</v>
      </c>
    </row>
    <row r="1186">
      <c r="A1186" t="str">
        <f>A1165</f>
        <v>Lantai 1</v>
      </c>
      <c r="B1186">
        <f>B1165</f>
        <v>38</v>
      </c>
      <c r="C1186" t="str">
        <v>Sengkang Lapangan</v>
      </c>
      <c r="D1186">
        <f>VLOOKUP(D1165,'Detail Balok'!$C$10:$AU$140,36,FALSE)</f>
        <v>0</v>
      </c>
      <c r="E1186" t="str">
        <v>D</v>
      </c>
      <c r="F1186">
        <f>VLOOKUP(D1165,'Detail Balok'!$C$10:$AU$140,38,FALSE)</f>
        <v>8</v>
      </c>
      <c r="G1186" t="str">
        <v>-</v>
      </c>
      <c r="H1186">
        <f>VLOOKUP(D1165,'Detail Balok'!$C$10:$AU$140,40,FALSE)</f>
        <v>200</v>
      </c>
      <c r="J1186">
        <f>(IF(D1186=0,(2*(D1166+G1166))-(F$5*8),IF(D1186=3,(2*(D1166+G1166))-(F$5*8)+(G1166-2*F$5),IF(D1186=4,(2*(D1166+G1166))-(F$5*8)+2*(G1166-2*F$5)))))/1000</f>
        <v>0.88</v>
      </c>
      <c r="K1186" t="str">
        <v>+</v>
      </c>
      <c r="L1186">
        <f>IF(D1186=0,2*MAX(6*F1186,75),(D1186-1)*2*MAX(6*F1186,75))/1000</f>
        <v>0.15</v>
      </c>
      <c r="M1186" t="str">
        <v>=</v>
      </c>
      <c r="N1186">
        <f>J1186+L1186</f>
        <v>1.03</v>
      </c>
      <c r="T1186" t="str">
        <v>x</v>
      </c>
      <c r="U1186">
        <f>0.006165*F1186^2</f>
        <v>0.39456</v>
      </c>
      <c r="V1186" t="str">
        <v>x</v>
      </c>
      <c r="W1186">
        <f>IF(D1168-MAX(D1168/4,2*G1166)*2&gt;0,ROUND((D1168-MAX(D1168/4,2*G1166)*2)/H1186,0),0)</f>
        <v>22</v>
      </c>
      <c r="X1186" t="str">
        <v>x</v>
      </c>
      <c r="Y1186">
        <f>D1171</f>
        <v>1</v>
      </c>
      <c r="Z1186" t="str">
        <v>=</v>
      </c>
      <c r="AA1186">
        <f>N1186*U1186*W1186*Y1186</f>
        <v>8.940729600000001</v>
      </c>
    </row>
    <row r="1187">
      <c r="A1187" t="str">
        <f>A1165</f>
        <v>Lantai 1</v>
      </c>
      <c r="B1187">
        <f>B1165</f>
        <v>38</v>
      </c>
      <c r="C1187" t="str">
        <v>Sengkang Tumpuan</v>
      </c>
      <c r="D1187">
        <f>VLOOKUP(D1165,'Detail Balok'!$C$10:$AU$140,41,FALSE)</f>
        <v>0</v>
      </c>
      <c r="E1187" t="str">
        <v>D</v>
      </c>
      <c r="F1187">
        <f>VLOOKUP(D1165,'Detail Balok'!$C$10:$AU$140,43,FALSE)</f>
        <v>8</v>
      </c>
      <c r="G1187" t="str">
        <v>-</v>
      </c>
      <c r="H1187">
        <f>VLOOKUP(D1165,'Detail Balok'!$C$10:$AU$140,45,FALSE)</f>
        <v>150</v>
      </c>
      <c r="J1187">
        <f>(IF(D1187=0,(2*(D1166+G1166))-(F$5*8),IF(D1187=3,(2*(D1166+G1166))-(F$5*8)+(G1166-2*F$5),IF(D1187=4,(2*(D1166+G1166))-(F$5*8)+2*(G1166-2*F$5)))))/1000</f>
        <v>0.88</v>
      </c>
      <c r="K1187" t="str">
        <v>+</v>
      </c>
      <c r="L1187">
        <f>IF(D1187=0,2*MAX(6*F1187,75),(D1187-1)*2*MAX(6*F1187,75))/1000</f>
        <v>0.15</v>
      </c>
      <c r="M1187" t="str">
        <v>=</v>
      </c>
      <c r="N1187">
        <f>J1187+L1187</f>
        <v>1.03</v>
      </c>
      <c r="T1187" t="str">
        <v>x</v>
      </c>
      <c r="U1187">
        <f>0.006165*F1187^2</f>
        <v>0.39456</v>
      </c>
      <c r="V1187" t="str">
        <v>x</v>
      </c>
      <c r="W1187">
        <f>IF(D1168&gt;4*G1166,ROUND(MAX(D1168/4,2*G1166)/H1187,0)+1,0)</f>
        <v>16</v>
      </c>
      <c r="X1187" t="str">
        <v>x</v>
      </c>
      <c r="Y1187">
        <f>D1171</f>
        <v>1</v>
      </c>
      <c r="Z1187" t="str">
        <v>=</v>
      </c>
      <c r="AA1187">
        <f>N1187*U1187*W1187*Y1187</f>
        <v>6.502348800000001</v>
      </c>
    </row>
    <row r="1189">
      <c r="A1189" t="str">
        <f>A1165</f>
        <v>Lantai 1</v>
      </c>
      <c r="B1189">
        <f>B1165</f>
        <v>38</v>
      </c>
      <c r="C1189" t="str">
        <v>Kait Horizontal Tump.</v>
      </c>
      <c r="D1189">
        <f>VLOOKUP(D1165,'Detail Balok'!$C$10:$BJ$140,46,FALSE)</f>
        <v>0</v>
      </c>
      <c r="E1189" t="str">
        <v>D</v>
      </c>
      <c r="F1189">
        <f>VLOOKUP(D1165,'Detail Balok'!$C$10:$BJ$140,48,FALSE)</f>
        <v>0</v>
      </c>
      <c r="G1189" t="str">
        <v>-</v>
      </c>
      <c r="H1189">
        <f>VLOOKUP(D1165,'Detail Balok'!$C$10:$BJ$140,50,FALSE)</f>
        <v>100</v>
      </c>
      <c r="J1189">
        <f>(D1166-2*F$5)/1000</f>
        <v>0.12</v>
      </c>
      <c r="K1189" t="str">
        <v>+</v>
      </c>
      <c r="L1189">
        <f>IF(D1189=0,2*MAX(6*F1189,75),(D1189-1)*2*MAX(6*F1189,75))/1000</f>
        <v>0.15</v>
      </c>
      <c r="M1189" t="str">
        <v>=</v>
      </c>
      <c r="N1189">
        <f>J1189+L1189</f>
        <v>0.27</v>
      </c>
      <c r="T1189" t="str">
        <v>x</v>
      </c>
      <c r="U1189">
        <f>0.006165*F1189^2</f>
        <v>0</v>
      </c>
      <c r="V1189" t="str">
        <v>x</v>
      </c>
      <c r="W1189">
        <f>W1185</f>
        <v>16</v>
      </c>
      <c r="X1189" t="str">
        <v>x</v>
      </c>
      <c r="Y1189">
        <f>D1175</f>
        <v>3</v>
      </c>
      <c r="Z1189" t="str">
        <v>=</v>
      </c>
      <c r="AA1189">
        <f>N1189*U1189*W1189*Y1189</f>
        <v>0</v>
      </c>
    </row>
    <row r="1190">
      <c r="A1190" t="str">
        <f>A1165</f>
        <v>Lantai 1</v>
      </c>
      <c r="B1190">
        <f>B1165</f>
        <v>38</v>
      </c>
      <c r="C1190" t="str">
        <v>Kait Horizontal Lap.</v>
      </c>
      <c r="D1190">
        <f>VLOOKUP(D1165,'Detail Balok'!$C$10:$BJ$140,51,FALSE)</f>
        <v>0</v>
      </c>
      <c r="E1190" t="str">
        <v>D</v>
      </c>
      <c r="F1190">
        <f>VLOOKUP(D1165,'Detail Balok'!$C$10:$BJ$140,53,FALSE)</f>
        <v>0</v>
      </c>
      <c r="G1190" t="str">
        <v>-</v>
      </c>
      <c r="H1190">
        <f>VLOOKUP(D1165,'Detail Balok'!$C$10:$BJ$140,55,FALSE)</f>
        <v>100</v>
      </c>
      <c r="J1190">
        <f>(D1166-2*F$5)/1000</f>
        <v>0.12</v>
      </c>
      <c r="K1190" t="str">
        <v>+</v>
      </c>
      <c r="L1190">
        <f>IF(D1190=0,2*MAX(6*F1190,75),(D1190-1)*2*MAX(6*F1190,75))/1000</f>
        <v>0.15</v>
      </c>
      <c r="M1190" t="str">
        <v>=</v>
      </c>
      <c r="N1190">
        <f>J1190+L1190</f>
        <v>0.27</v>
      </c>
      <c r="T1190" t="str">
        <v>x</v>
      </c>
      <c r="U1190">
        <f>0.006165*F1190^2</f>
        <v>0</v>
      </c>
      <c r="V1190" t="str">
        <v>x</v>
      </c>
      <c r="W1190">
        <f>W1186</f>
        <v>22</v>
      </c>
      <c r="X1190" t="str">
        <v>x</v>
      </c>
      <c r="Y1190">
        <f>D1175</f>
        <v>3</v>
      </c>
      <c r="Z1190" t="str">
        <v>=</v>
      </c>
      <c r="AA1190">
        <f>N1190*U1190*W1190*Y1190</f>
        <v>0</v>
      </c>
    </row>
    <row r="1191">
      <c r="A1191" t="str">
        <f>A1165</f>
        <v>Lantai 1</v>
      </c>
      <c r="B1191">
        <f>B1165</f>
        <v>38</v>
      </c>
      <c r="C1191" t="str">
        <v>Kait Horizontal Tump.</v>
      </c>
      <c r="D1191">
        <f>VLOOKUP(D1165,'Detail Balok'!$C$10:$BJ$140,56,FALSE)</f>
        <v>0</v>
      </c>
      <c r="E1191" t="str">
        <v>D</v>
      </c>
      <c r="F1191">
        <f>VLOOKUP(D1165,'Detail Balok'!$C$10:$BJ$140,58,FALSE)</f>
        <v>0</v>
      </c>
      <c r="G1191" t="str">
        <v>-</v>
      </c>
      <c r="H1191">
        <f>VLOOKUP(D1165,'Detail Balok'!$C$10:$BJ$140,60,FALSE)</f>
        <v>100</v>
      </c>
      <c r="J1191">
        <f>(D1166-2*F$5)/1000</f>
        <v>0.12</v>
      </c>
      <c r="K1191" t="str">
        <v>+</v>
      </c>
      <c r="L1191">
        <f>IF(D1191=0,2*MAX(6*F1191,75),(D1191-1)*2*MAX(6*F1191,75))/1000</f>
        <v>0.15</v>
      </c>
      <c r="M1191" t="str">
        <v>=</v>
      </c>
      <c r="N1191">
        <f>J1191+L1191</f>
        <v>0.27</v>
      </c>
      <c r="T1191" t="str">
        <v>x</v>
      </c>
      <c r="U1191">
        <f>0.006165*F1191^2</f>
        <v>0</v>
      </c>
      <c r="V1191" t="str">
        <v>x</v>
      </c>
      <c r="W1191">
        <f>W1187</f>
        <v>16</v>
      </c>
      <c r="X1191" t="str">
        <v>x</v>
      </c>
      <c r="Y1191">
        <f>D1175</f>
        <v>3</v>
      </c>
      <c r="Z1191" t="str">
        <v>=</v>
      </c>
      <c r="AA1191">
        <f>N1191*U1191*W1191*Y1191</f>
        <v>0</v>
      </c>
    </row>
    <row r="1195">
      <c r="A1195" t="str">
        <f>A1165</f>
        <v>Lantai 1</v>
      </c>
      <c r="B1195">
        <f>B1165+1</f>
        <v>39</v>
      </c>
      <c r="C1195" t="str">
        <f>CONCATENATE(A1195," no. ",B1195)</f>
        <v>Lantai 1 no. 39</v>
      </c>
      <c r="D1195" t="str">
        <f>VLOOKUP(C1195,'Data Panjang Balok'!$C$9:$N$254,2,FALSE)</f>
        <v>S24-1</v>
      </c>
    </row>
    <row r="1196">
      <c r="C1196" t="str">
        <v>Dimensi</v>
      </c>
      <c r="D1196">
        <f>VLOOKUP(D1195,'Detail Balok'!$C$10:$AU$140,2,FALSE)</f>
        <v>200</v>
      </c>
      <c r="F1196" t="str">
        <v>x</v>
      </c>
      <c r="G1196">
        <f>VLOOKUP(D1195,'Detail Balok'!$C$10:$AU$140,3,FALSE)</f>
        <v>400</v>
      </c>
    </row>
    <row r="1197">
      <c r="C1197" t="str">
        <v>Panjang as ke as</v>
      </c>
      <c r="D1197">
        <f>VLOOKUP(C1195,'Data Panjang Balok'!$C$9:$N$254,4,FALSE)</f>
        <v>8825</v>
      </c>
    </row>
    <row r="1198">
      <c r="C1198" t="str">
        <v>Panjang netto</v>
      </c>
      <c r="D1198">
        <f>VLOOKUP(C1195,'Data Panjang Balok'!$C$9:$N$254,7,FALSE)</f>
        <v>8825</v>
      </c>
    </row>
    <row r="1199">
      <c r="C1199" t="str">
        <v>Kolom / balok kiri</v>
      </c>
      <c r="D1199">
        <f>VLOOKUP(C1195,'Data Panjang Balok'!$C$9:$N$254,9,FALSE)</f>
        <v>0</v>
      </c>
    </row>
    <row r="1200">
      <c r="C1200" t="str">
        <v>Kolom / balok kanan</v>
      </c>
      <c r="D1200">
        <f>VLOOKUP(C1195,'Data Panjang Balok'!$C$9:$N$254,10,FALSE)</f>
        <v>0</v>
      </c>
    </row>
    <row r="1201">
      <c r="C1201" t="str">
        <v>Jumlah</v>
      </c>
      <c r="D1201">
        <f>VLOOKUP(C1195,'Data Panjang Balok'!$C$9:$N$254,3,FALSE)</f>
        <v>1</v>
      </c>
    </row>
    <row r="1202">
      <c r="A1202" t="str">
        <f>A1195</f>
        <v>Lantai 1</v>
      </c>
      <c r="B1202">
        <f>B1195</f>
        <v>39</v>
      </c>
      <c r="C1202" t="str">
        <v>Tul Atas Tumpuan</v>
      </c>
      <c r="D1202">
        <f>VLOOKUP(D1195,'Detail Balok'!$C$10:$AU$140,4,FALSE)</f>
        <v>3</v>
      </c>
      <c r="E1202" t="str">
        <v>D</v>
      </c>
      <c r="F1202">
        <f>VLOOKUP(D1195,'Detail Balok'!$C$10:$AU$140,6,FALSE)</f>
        <v>13</v>
      </c>
      <c r="I1202" t="str">
        <v>(</v>
      </c>
      <c r="J1202">
        <f>+D1197/4/1000</f>
        <v>2.20625</v>
      </c>
      <c r="K1202" t="str">
        <v>+</v>
      </c>
      <c r="L1202">
        <f>MAX(VLOOKUP(F1202,N$6:P$15,3,FALSE)/1000,2/3*D1199/1000)+F$16*F1202/1000</f>
        <v>0.156</v>
      </c>
      <c r="M1202" t="str">
        <v>=</v>
      </c>
      <c r="N1202">
        <f>J1202+L1202</f>
        <v>2.36225</v>
      </c>
      <c r="O1202" t="str">
        <v>+</v>
      </c>
      <c r="P1202">
        <f>D1202-D1203</f>
        <v>0</v>
      </c>
      <c r="Q1202" t="str">
        <v>x</v>
      </c>
      <c r="R1202">
        <f>IF(P1202&gt;0,$F$18*F1202/1000,0)</f>
        <v>0</v>
      </c>
      <c r="S1202" t="str">
        <v>)</v>
      </c>
      <c r="T1202" t="str">
        <v>x</v>
      </c>
      <c r="U1202">
        <f>0.006165*F1202^2</f>
        <v>1.041885</v>
      </c>
      <c r="X1202" t="str">
        <v>x</v>
      </c>
      <c r="Y1202">
        <f>D1201</f>
        <v>1</v>
      </c>
      <c r="Z1202" t="str">
        <v>=</v>
      </c>
      <c r="AA1202">
        <f>IF(AA1205=0,(D1202*N1202+P1202*R1202)*U1202*Y1202,0)</f>
        <v>0</v>
      </c>
    </row>
    <row r="1203">
      <c r="A1203" t="str">
        <f>A1195</f>
        <v>Lantai 1</v>
      </c>
      <c r="B1203">
        <f>B1195</f>
        <v>39</v>
      </c>
      <c r="C1203" t="str">
        <v>Tul Atas Lapangan</v>
      </c>
      <c r="D1203">
        <f>VLOOKUP(D1195,'Detail Balok'!$C$10:$AU$140,7,FALSE)</f>
        <v>3</v>
      </c>
      <c r="E1203" t="str">
        <v>D</v>
      </c>
      <c r="F1203">
        <f>VLOOKUP(D1195,'Detail Balok'!$C$10:$AU$140,9,FALSE)</f>
        <v>13</v>
      </c>
      <c r="I1203" t="str">
        <v>(</v>
      </c>
      <c r="J1203">
        <f>+D1197/2/1000</f>
        <v>4.4125</v>
      </c>
      <c r="K1203" t="str">
        <v>+</v>
      </c>
      <c r="M1203" t="str">
        <v>=</v>
      </c>
      <c r="N1203">
        <f>J1203+L1203</f>
        <v>4.4125</v>
      </c>
      <c r="O1203" t="str">
        <v>+</v>
      </c>
      <c r="P1203">
        <f>MAX(D1203-D1202,D1203-D1204)</f>
        <v>0</v>
      </c>
      <c r="Q1203" t="str">
        <v>x</v>
      </c>
      <c r="R1203">
        <f>IF(P1203&gt;0,2*(1-2*$F$19-1/2)*D1198/1000,0)</f>
        <v>0</v>
      </c>
      <c r="S1203" t="str">
        <v>)</v>
      </c>
      <c r="T1203" t="str">
        <v>x</v>
      </c>
      <c r="U1203">
        <f>0.006165*F1203^2</f>
        <v>1.041885</v>
      </c>
      <c r="X1203" t="str">
        <v>x</v>
      </c>
      <c r="Y1203">
        <f>D1201</f>
        <v>1</v>
      </c>
      <c r="Z1203" t="str">
        <v>=</v>
      </c>
      <c r="AA1203">
        <f>IF(AA1205=0,(D1203*N1203+P1203*R1203)*U1203*Y1203,0)</f>
        <v>0</v>
      </c>
    </row>
    <row r="1204">
      <c r="A1204" t="str">
        <f>A1195</f>
        <v>Lantai 1</v>
      </c>
      <c r="B1204">
        <f>B1195</f>
        <v>39</v>
      </c>
      <c r="C1204" t="str">
        <v>Tul Atas Tumpuan</v>
      </c>
      <c r="D1204">
        <f>VLOOKUP(D1195,'Detail Balok'!$C$10:$AU$140,10,FALSE)</f>
        <v>3</v>
      </c>
      <c r="E1204" t="str">
        <v>D</v>
      </c>
      <c r="F1204">
        <f>VLOOKUP(D1195,'Detail Balok'!$C$10:$AU$140,12,FALSE)</f>
        <v>13</v>
      </c>
      <c r="I1204" t="str">
        <v>(</v>
      </c>
      <c r="J1204">
        <f>+D1197/4/1000</f>
        <v>2.20625</v>
      </c>
      <c r="K1204" t="str">
        <v>+</v>
      </c>
      <c r="L1204">
        <f>MAX(VLOOKUP(F1204,N$6:P$15,3,FALSE)/1000,2/3*D1199/1000)+F$16*F1204/1000</f>
        <v>0.156</v>
      </c>
      <c r="M1204" t="str">
        <v>=</v>
      </c>
      <c r="N1204">
        <f>J1204+L1204</f>
        <v>2.36225</v>
      </c>
      <c r="O1204" t="str">
        <v>+</v>
      </c>
      <c r="P1204">
        <f>D1204-D1203</f>
        <v>0</v>
      </c>
      <c r="Q1204" t="str">
        <v>x</v>
      </c>
      <c r="R1204">
        <f>IF(P1204&gt;0,$F$18*F1204/1000,0)</f>
        <v>0</v>
      </c>
      <c r="S1204" t="str">
        <v>)</v>
      </c>
      <c r="T1204" t="str">
        <v>x</v>
      </c>
      <c r="U1204">
        <f>0.006165*F1204^2</f>
        <v>1.041885</v>
      </c>
      <c r="X1204" t="str">
        <v>x</v>
      </c>
      <c r="Y1204">
        <f>D1201</f>
        <v>1</v>
      </c>
      <c r="Z1204" t="str">
        <v>=</v>
      </c>
      <c r="AA1204">
        <f>IF(AA1205=0,(D1204*N1204+P1204*R1204)*U1204*Y1204,0)</f>
        <v>0</v>
      </c>
    </row>
    <row r="1205">
      <c r="A1205" t="str">
        <f>A1195</f>
        <v>Lantai 1</v>
      </c>
      <c r="B1205">
        <f>B1195</f>
        <v>39</v>
      </c>
      <c r="D1205">
        <f>IF(AND(D1202=D1203,D1203=D1204,D1202=D1204),D1202,0)</f>
        <v>3</v>
      </c>
      <c r="E1205" t="str">
        <v>D</v>
      </c>
      <c r="F1205">
        <f>IF(AND(F1202=F1203,F1202=F1204,F1203=F1204),F1202,0)</f>
        <v>13</v>
      </c>
      <c r="L1205" t="str">
        <v>Total panjang per balok</v>
      </c>
      <c r="M1205" t="str">
        <v>=</v>
      </c>
      <c r="N1205">
        <f>IF(AND(D1202=D1203,D1202=D1204,D1203=D1204,F1202=F1203,F1202=F1204,F1203=F1204),SUM(N1202:N1204),0)</f>
        <v>9.136999999999999</v>
      </c>
      <c r="O1205" t="str">
        <v>+</v>
      </c>
      <c r="P1205">
        <f>IF(N1205&gt;12,ROUNDDOWN(N1205/12,0),0)</f>
        <v>0</v>
      </c>
      <c r="Q1205" t="str">
        <v>x</v>
      </c>
      <c r="R1205">
        <f>IF(P1205&gt;0,MAX(VLOOKUP(F1205,$D$6:$G$15,3,FALSE),600),0)/1000</f>
        <v>0</v>
      </c>
      <c r="T1205" t="str">
        <v>x</v>
      </c>
      <c r="U1205">
        <f>U1204</f>
        <v>1.041885</v>
      </c>
      <c r="V1205" t="str">
        <v>x</v>
      </c>
      <c r="W1205">
        <f>D1205</f>
        <v>3</v>
      </c>
      <c r="X1205" t="str">
        <v>x</v>
      </c>
      <c r="Y1205">
        <f>Y1204</f>
        <v>1</v>
      </c>
      <c r="Z1205" t="str">
        <v>=</v>
      </c>
      <c r="AA1205">
        <f>(N1205+P1205*R1205/1000)*U1205*W1205*Y1205</f>
        <v>28.559109734999996</v>
      </c>
    </row>
    <row r="1207">
      <c r="A1207" t="str">
        <f>A1195</f>
        <v>Lantai 1</v>
      </c>
      <c r="B1207">
        <f>B1195</f>
        <v>39</v>
      </c>
      <c r="C1207" t="str">
        <v>Tul Peminggang</v>
      </c>
      <c r="D1207">
        <f>VLOOKUP(D1195,'Detail Balok'!$C$10:$AU$140,13,FALSE)</f>
        <v>0</v>
      </c>
      <c r="E1207" t="str">
        <v>D</v>
      </c>
      <c r="F1207">
        <f>VLOOKUP(D1195,'Detail Balok'!$C$10:$AU$140,15,FALSE)</f>
        <v>8</v>
      </c>
      <c r="J1207">
        <f>+D1197/1000</f>
        <v>8.825</v>
      </c>
      <c r="K1207" t="str">
        <v>+</v>
      </c>
      <c r="L1207">
        <f>2*$F$16*F1207/1000</f>
        <v>0.192</v>
      </c>
      <c r="M1207" t="str">
        <v>=</v>
      </c>
      <c r="N1207">
        <f>J1207+L1207</f>
        <v>9.017</v>
      </c>
      <c r="O1207" t="str">
        <v>+</v>
      </c>
      <c r="P1207">
        <f>IF(N1207&gt;12,ROUNDDOWN(N1207/12,0),0)</f>
        <v>0</v>
      </c>
      <c r="Q1207" t="str">
        <v>x</v>
      </c>
      <c r="R1207">
        <f>IF(P1207&gt;0,MAX(VLOOKUP(F1207,$D$6:$G$15,3,FALSE),600),0)/1000</f>
        <v>0</v>
      </c>
      <c r="T1207" t="str">
        <v>x</v>
      </c>
      <c r="U1207">
        <f>0.006165*F1207^2</f>
        <v>0.39456</v>
      </c>
      <c r="V1207" t="str">
        <v>x</v>
      </c>
      <c r="W1207">
        <f>+D1207</f>
        <v>0</v>
      </c>
      <c r="X1207" t="str">
        <v>x</v>
      </c>
      <c r="Y1207">
        <f>D1201</f>
        <v>1</v>
      </c>
      <c r="Z1207" t="str">
        <v>=</v>
      </c>
      <c r="AA1207">
        <f>(N1207+P1207*R1207/1000)*U1207*W1207*Y1207</f>
        <v>0</v>
      </c>
    </row>
    <row r="1210">
      <c r="A1210" t="str">
        <f>A1195</f>
        <v>Lantai 1</v>
      </c>
      <c r="B1210">
        <f>B1195</f>
        <v>39</v>
      </c>
      <c r="C1210" t="str">
        <v>Tul Bawah Tumpuan</v>
      </c>
      <c r="D1210">
        <f>VLOOKUP(D1195,'Detail Balok'!$C$10:$AU$140,22,FALSE)</f>
        <v>3</v>
      </c>
      <c r="E1210" t="str">
        <v>D</v>
      </c>
      <c r="F1210">
        <f>VLOOKUP(D1195,'Detail Balok'!$C$10:$AU$140,24,FALSE)</f>
        <v>13</v>
      </c>
      <c r="I1210" t="str">
        <v>(</v>
      </c>
      <c r="J1210">
        <f>+J1202</f>
        <v>2.20625</v>
      </c>
      <c r="K1210" t="str">
        <v>+</v>
      </c>
      <c r="L1210">
        <f>MAX(VLOOKUP(F1210,N$6:P$15,3,FALSE)/1000,2/3*D1200/1000)+F$16*F1210/1000</f>
        <v>0.156</v>
      </c>
      <c r="M1210" t="str">
        <v>=</v>
      </c>
      <c r="N1210">
        <f>J1210+L1210</f>
        <v>2.36225</v>
      </c>
      <c r="O1210" t="str">
        <v>+</v>
      </c>
      <c r="P1210">
        <f>D1210-D1211</f>
        <v>0</v>
      </c>
      <c r="Q1210" t="str">
        <v>x</v>
      </c>
      <c r="R1210">
        <f>IF(P1210&gt;0,$F$18*F1210/1000,0)</f>
        <v>0</v>
      </c>
      <c r="S1210" t="str">
        <v>)</v>
      </c>
      <c r="T1210" t="str">
        <v>x</v>
      </c>
      <c r="U1210">
        <f>0.006165*F1210^2</f>
        <v>1.041885</v>
      </c>
      <c r="X1210" t="str">
        <v>x</v>
      </c>
      <c r="Y1210">
        <f>D1201</f>
        <v>1</v>
      </c>
      <c r="Z1210" t="str">
        <v>=</v>
      </c>
      <c r="AA1210">
        <f>IF(AA1213=0,(D1210*N1210+P1210*R1210)*U1210*Y1210,0)</f>
        <v>0</v>
      </c>
    </row>
    <row r="1211">
      <c r="A1211" t="str">
        <f>A1195</f>
        <v>Lantai 1</v>
      </c>
      <c r="B1211">
        <f>B1195</f>
        <v>39</v>
      </c>
      <c r="C1211" t="str">
        <v>Tul Bawah Lapangan</v>
      </c>
      <c r="D1211">
        <f>VLOOKUP(D1195,'Detail Balok'!$C$10:$AU$140,25,FALSE)</f>
        <v>3</v>
      </c>
      <c r="E1211" t="str">
        <v>D</v>
      </c>
      <c r="F1211">
        <f>VLOOKUP(D1195,'Detail Balok'!$C$10:$AU$140,27,FALSE)</f>
        <v>13</v>
      </c>
      <c r="I1211" t="str">
        <v>(</v>
      </c>
      <c r="J1211">
        <f>+J1203</f>
        <v>4.4125</v>
      </c>
      <c r="K1211" t="str">
        <v>+</v>
      </c>
      <c r="M1211" t="str">
        <v>=</v>
      </c>
      <c r="N1211">
        <f>J1211+L1211</f>
        <v>4.4125</v>
      </c>
      <c r="O1211" t="str">
        <v>+</v>
      </c>
      <c r="P1211">
        <f>MAX(D1211-D1210,D1211-D1212)</f>
        <v>0</v>
      </c>
      <c r="Q1211" t="str">
        <v>x</v>
      </c>
      <c r="R1211">
        <f>IF(P1211&gt;0,2*(1-2*$F$19-1/2)*D1198/1000,0)</f>
        <v>0</v>
      </c>
      <c r="S1211" t="str">
        <v>)</v>
      </c>
      <c r="T1211" t="str">
        <v>x</v>
      </c>
      <c r="U1211">
        <f>0.006165*F1211^2</f>
        <v>1.041885</v>
      </c>
      <c r="X1211" t="str">
        <v>x</v>
      </c>
      <c r="Y1211">
        <f>D1201</f>
        <v>1</v>
      </c>
      <c r="Z1211" t="str">
        <v>=</v>
      </c>
      <c r="AA1211">
        <f>IF(AA1213=0,(D1211*N1211+P1211*R1211)*U1211*Y1211,0)</f>
        <v>0</v>
      </c>
    </row>
    <row r="1212">
      <c r="A1212" t="str">
        <f>A1195</f>
        <v>Lantai 1</v>
      </c>
      <c r="B1212">
        <f>B1195</f>
        <v>39</v>
      </c>
      <c r="C1212" t="str">
        <v>Tul Bawah Tumpuan</v>
      </c>
      <c r="D1212">
        <f>VLOOKUP(D1195,'Detail Balok'!$C$10:$AU$140,28,FALSE)</f>
        <v>3</v>
      </c>
      <c r="E1212" t="str">
        <v>D</v>
      </c>
      <c r="F1212">
        <f>VLOOKUP(D1195,'Detail Balok'!$C$10:$AU$140,30,FALSE)</f>
        <v>13</v>
      </c>
      <c r="I1212" t="str">
        <v>(</v>
      </c>
      <c r="J1212">
        <f>+J1204</f>
        <v>2.20625</v>
      </c>
      <c r="K1212" t="str">
        <v>+</v>
      </c>
      <c r="L1212">
        <f>MAX(VLOOKUP(F1212,N$6:P$15,3,FALSE)/1000,2/3*D1200/1000)+F$16*F1212/1000</f>
        <v>0.156</v>
      </c>
      <c r="M1212" t="str">
        <v>=</v>
      </c>
      <c r="N1212">
        <f>J1212+L1212</f>
        <v>2.36225</v>
      </c>
      <c r="O1212" t="str">
        <v>+</v>
      </c>
      <c r="P1212">
        <f>D1212-D1211</f>
        <v>0</v>
      </c>
      <c r="Q1212" t="str">
        <v>x</v>
      </c>
      <c r="R1212">
        <f>IF(P1212&gt;0,$F$18*F1212/1000,0)</f>
        <v>0</v>
      </c>
      <c r="S1212" t="str">
        <v>)</v>
      </c>
      <c r="T1212" t="str">
        <v>x</v>
      </c>
      <c r="U1212">
        <f>0.006165*F1212^2</f>
        <v>1.041885</v>
      </c>
      <c r="X1212" t="str">
        <v>x</v>
      </c>
      <c r="Y1212">
        <f>D1201</f>
        <v>1</v>
      </c>
      <c r="Z1212" t="str">
        <v>=</v>
      </c>
      <c r="AA1212">
        <f>IF(AA1213=0,(D1212*N1212+P1212*R1212)*U1212*Y1212,0)</f>
        <v>0</v>
      </c>
    </row>
    <row r="1213">
      <c r="A1213" t="str">
        <f>A1195</f>
        <v>Lantai 1</v>
      </c>
      <c r="B1213">
        <f>B1195</f>
        <v>39</v>
      </c>
      <c r="D1213">
        <f>IF(AND(D1210=D1211,D1211=D1212,D1210=D1212),D1210,0)</f>
        <v>3</v>
      </c>
      <c r="E1213" t="str">
        <v>D</v>
      </c>
      <c r="F1213">
        <f>IF(AND(F1210=F1211,F1210=F1212,F1211=F1212),F1210,0)</f>
        <v>13</v>
      </c>
      <c r="L1213" t="str">
        <v>Total panjang per balok</v>
      </c>
      <c r="M1213" t="str">
        <v>=</v>
      </c>
      <c r="N1213">
        <f>IF(AND(D1210=D1211,D1210=D1212,D1211=D1212,F1210=F1211,F1210=F1212,F1211=F1212),SUM(N1210:N1212),0)</f>
        <v>9.136999999999999</v>
      </c>
      <c r="O1213" t="str">
        <v>+</v>
      </c>
      <c r="P1213">
        <f>IF(N1213&gt;12,ROUNDDOWN(N1213/12,0),0)</f>
        <v>0</v>
      </c>
      <c r="Q1213" t="str">
        <v>x</v>
      </c>
      <c r="R1213">
        <f>IF(P1213&gt;0,MAX(VLOOKUP(F1213,$D$6:$G$15,3,FALSE),600),0)/1000</f>
        <v>0</v>
      </c>
      <c r="T1213" t="str">
        <v>x</v>
      </c>
      <c r="U1213">
        <f>U1212</f>
        <v>1.041885</v>
      </c>
      <c r="V1213" t="str">
        <v>x</v>
      </c>
      <c r="W1213">
        <f>D1213</f>
        <v>3</v>
      </c>
      <c r="X1213" t="str">
        <v>x</v>
      </c>
      <c r="Y1213">
        <f>Y1212</f>
        <v>1</v>
      </c>
      <c r="Z1213" t="str">
        <v>=</v>
      </c>
      <c r="AA1213">
        <f>(N1213+P1213*R1213/1000)*U1213*W1213*Y1213</f>
        <v>28.559109734999996</v>
      </c>
    </row>
    <row r="1215">
      <c r="A1215" t="str">
        <f>A1195</f>
        <v>Lantai 1</v>
      </c>
      <c r="B1215">
        <f>B1195</f>
        <v>39</v>
      </c>
      <c r="C1215" t="str">
        <v>Sengkang Tumpuan</v>
      </c>
      <c r="D1215">
        <f>VLOOKUP(D1195,'Detail Balok'!$C$10:$AU$140,31,FALSE)</f>
        <v>0</v>
      </c>
      <c r="E1215" t="str">
        <v>D</v>
      </c>
      <c r="F1215">
        <f>VLOOKUP(D1195,'Detail Balok'!$C$10:$AU$140,33,FALSE)</f>
        <v>8</v>
      </c>
      <c r="G1215" t="str">
        <v>-</v>
      </c>
      <c r="H1215">
        <f>VLOOKUP(D1195,'Detail Balok'!$C$10:$AU$140,35,FALSE)</f>
        <v>150</v>
      </c>
      <c r="J1215">
        <f>(IF(D1215=0,(2*(D1196+G1196))-(F$5*8),IF(D1215=3,(2*(D1196+G1196))-(F$5*8)+(G1196-2*F$5),IF(D1215=4,(2*(D1196+G1196))-(F$5*8)+2*(G1196-2*F$5)))))/1000</f>
        <v>0.88</v>
      </c>
      <c r="K1215" t="str">
        <v>+</v>
      </c>
      <c r="L1215">
        <f>IF(D1215=0,2*MAX(6*F1215,75),(D1215-1)*2*MAX(6*F1215,75))/1000</f>
        <v>0.15</v>
      </c>
      <c r="M1215" t="str">
        <v>=</v>
      </c>
      <c r="N1215">
        <f>J1215+L1215</f>
        <v>1.03</v>
      </c>
      <c r="T1215" t="str">
        <v>x</v>
      </c>
      <c r="U1215">
        <f>0.006165*F1215^2</f>
        <v>0.39456</v>
      </c>
      <c r="V1215" t="str">
        <v>x</v>
      </c>
      <c r="W1215">
        <f>IF(D1198&gt;4*G1196,ROUND(MAX(D1198/4,2*G1196)/H1215,0)+1,ROUND(D1198/H1215,0)+1)</f>
        <v>16</v>
      </c>
      <c r="X1215" t="str">
        <v>x</v>
      </c>
      <c r="Y1215">
        <f>D1201</f>
        <v>1</v>
      </c>
      <c r="Z1215" t="str">
        <v>=</v>
      </c>
      <c r="AA1215">
        <f>N1215*U1215*W1215*Y1215</f>
        <v>6.502348800000001</v>
      </c>
    </row>
    <row r="1216">
      <c r="A1216" t="str">
        <f>A1195</f>
        <v>Lantai 1</v>
      </c>
      <c r="B1216">
        <f>B1195</f>
        <v>39</v>
      </c>
      <c r="C1216" t="str">
        <v>Sengkang Lapangan</v>
      </c>
      <c r="D1216">
        <f>VLOOKUP(D1195,'Detail Balok'!$C$10:$AU$140,36,FALSE)</f>
        <v>0</v>
      </c>
      <c r="E1216" t="str">
        <v>D</v>
      </c>
      <c r="F1216">
        <f>VLOOKUP(D1195,'Detail Balok'!$C$10:$AU$140,38,FALSE)</f>
        <v>8</v>
      </c>
      <c r="G1216" t="str">
        <v>-</v>
      </c>
      <c r="H1216">
        <f>VLOOKUP(D1195,'Detail Balok'!$C$10:$AU$140,40,FALSE)</f>
        <v>200</v>
      </c>
      <c r="J1216">
        <f>(IF(D1216=0,(2*(D1196+G1196))-(F$5*8),IF(D1216=3,(2*(D1196+G1196))-(F$5*8)+(G1196-2*F$5),IF(D1216=4,(2*(D1196+G1196))-(F$5*8)+2*(G1196-2*F$5)))))/1000</f>
        <v>0.88</v>
      </c>
      <c r="K1216" t="str">
        <v>+</v>
      </c>
      <c r="L1216">
        <f>IF(D1216=0,2*MAX(6*F1216,75),(D1216-1)*2*MAX(6*F1216,75))/1000</f>
        <v>0.15</v>
      </c>
      <c r="M1216" t="str">
        <v>=</v>
      </c>
      <c r="N1216">
        <f>J1216+L1216</f>
        <v>1.03</v>
      </c>
      <c r="T1216" t="str">
        <v>x</v>
      </c>
      <c r="U1216">
        <f>0.006165*F1216^2</f>
        <v>0.39456</v>
      </c>
      <c r="V1216" t="str">
        <v>x</v>
      </c>
      <c r="W1216">
        <f>IF(D1198-MAX(D1198/4,2*G1196)*2&gt;0,ROUND((D1198-MAX(D1198/4,2*G1196)*2)/H1216,0),0)</f>
        <v>22</v>
      </c>
      <c r="X1216" t="str">
        <v>x</v>
      </c>
      <c r="Y1216">
        <f>D1201</f>
        <v>1</v>
      </c>
      <c r="Z1216" t="str">
        <v>=</v>
      </c>
      <c r="AA1216">
        <f>N1216*U1216*W1216*Y1216</f>
        <v>8.940729600000001</v>
      </c>
    </row>
    <row r="1217">
      <c r="A1217" t="str">
        <f>A1195</f>
        <v>Lantai 1</v>
      </c>
      <c r="B1217">
        <f>B1195</f>
        <v>39</v>
      </c>
      <c r="C1217" t="str">
        <v>Sengkang Tumpuan</v>
      </c>
      <c r="D1217">
        <f>VLOOKUP(D1195,'Detail Balok'!$C$10:$AU$140,41,FALSE)</f>
        <v>0</v>
      </c>
      <c r="E1217" t="str">
        <v>D</v>
      </c>
      <c r="F1217">
        <f>VLOOKUP(D1195,'Detail Balok'!$C$10:$AU$140,43,FALSE)</f>
        <v>8</v>
      </c>
      <c r="G1217" t="str">
        <v>-</v>
      </c>
      <c r="H1217">
        <f>VLOOKUP(D1195,'Detail Balok'!$C$10:$AU$140,45,FALSE)</f>
        <v>150</v>
      </c>
      <c r="J1217">
        <f>(IF(D1217=0,(2*(D1196+G1196))-(F$5*8),IF(D1217=3,(2*(D1196+G1196))-(F$5*8)+(G1196-2*F$5),IF(D1217=4,(2*(D1196+G1196))-(F$5*8)+2*(G1196-2*F$5)))))/1000</f>
        <v>0.88</v>
      </c>
      <c r="K1217" t="str">
        <v>+</v>
      </c>
      <c r="L1217">
        <f>IF(D1217=0,2*MAX(6*F1217,75),(D1217-1)*2*MAX(6*F1217,75))/1000</f>
        <v>0.15</v>
      </c>
      <c r="M1217" t="str">
        <v>=</v>
      </c>
      <c r="N1217">
        <f>J1217+L1217</f>
        <v>1.03</v>
      </c>
      <c r="T1217" t="str">
        <v>x</v>
      </c>
      <c r="U1217">
        <f>0.006165*F1217^2</f>
        <v>0.39456</v>
      </c>
      <c r="V1217" t="str">
        <v>x</v>
      </c>
      <c r="W1217">
        <f>IF(D1198&gt;4*G1196,ROUND(MAX(D1198/4,2*G1196)/H1217,0)+1,0)</f>
        <v>16</v>
      </c>
      <c r="X1217" t="str">
        <v>x</v>
      </c>
      <c r="Y1217">
        <f>D1201</f>
        <v>1</v>
      </c>
      <c r="Z1217" t="str">
        <v>=</v>
      </c>
      <c r="AA1217">
        <f>N1217*U1217*W1217*Y1217</f>
        <v>6.502348800000001</v>
      </c>
    </row>
    <row r="1219">
      <c r="A1219" t="str">
        <f>A1195</f>
        <v>Lantai 1</v>
      </c>
      <c r="B1219">
        <f>B1195</f>
        <v>39</v>
      </c>
      <c r="C1219" t="str">
        <v>Kait Horizontal Tump.</v>
      </c>
      <c r="D1219">
        <f>VLOOKUP(D1195,'Detail Balok'!$C$10:$BJ$140,46,FALSE)</f>
        <v>0</v>
      </c>
      <c r="E1219" t="str">
        <v>D</v>
      </c>
      <c r="F1219">
        <f>VLOOKUP(D1195,'Detail Balok'!$C$10:$BJ$140,48,FALSE)</f>
        <v>0</v>
      </c>
      <c r="G1219" t="str">
        <v>-</v>
      </c>
      <c r="H1219">
        <f>VLOOKUP(D1195,'Detail Balok'!$C$10:$BJ$140,50,FALSE)</f>
        <v>100</v>
      </c>
      <c r="J1219">
        <f>(D1196-2*F$5)/1000</f>
        <v>0.12</v>
      </c>
      <c r="K1219" t="str">
        <v>+</v>
      </c>
      <c r="L1219">
        <f>IF(D1219=0,2*MAX(6*F1219,75),(D1219-1)*2*MAX(6*F1219,75))/1000</f>
        <v>0.15</v>
      </c>
      <c r="M1219" t="str">
        <v>=</v>
      </c>
      <c r="N1219">
        <f>J1219+L1219</f>
        <v>0.27</v>
      </c>
      <c r="T1219" t="str">
        <v>x</v>
      </c>
      <c r="U1219">
        <f>0.006165*F1219^2</f>
        <v>0</v>
      </c>
      <c r="V1219" t="str">
        <v>x</v>
      </c>
      <c r="W1219">
        <f>W1215</f>
        <v>16</v>
      </c>
      <c r="X1219" t="str">
        <v>x</v>
      </c>
      <c r="Y1219">
        <f>D1205</f>
        <v>3</v>
      </c>
      <c r="Z1219" t="str">
        <v>=</v>
      </c>
      <c r="AA1219">
        <f>N1219*U1219*W1219*Y1219</f>
        <v>0</v>
      </c>
    </row>
    <row r="1220">
      <c r="A1220" t="str">
        <f>A1195</f>
        <v>Lantai 1</v>
      </c>
      <c r="B1220">
        <f>B1195</f>
        <v>39</v>
      </c>
      <c r="C1220" t="str">
        <v>Kait Horizontal Lap.</v>
      </c>
      <c r="D1220">
        <f>VLOOKUP(D1195,'Detail Balok'!$C$10:$BJ$140,51,FALSE)</f>
        <v>0</v>
      </c>
      <c r="E1220" t="str">
        <v>D</v>
      </c>
      <c r="F1220">
        <f>VLOOKUP(D1195,'Detail Balok'!$C$10:$BJ$140,53,FALSE)</f>
        <v>0</v>
      </c>
      <c r="G1220" t="str">
        <v>-</v>
      </c>
      <c r="H1220">
        <f>VLOOKUP(D1195,'Detail Balok'!$C$10:$BJ$140,55,FALSE)</f>
        <v>100</v>
      </c>
      <c r="J1220">
        <f>(D1196-2*F$5)/1000</f>
        <v>0.12</v>
      </c>
      <c r="K1220" t="str">
        <v>+</v>
      </c>
      <c r="L1220">
        <f>IF(D1220=0,2*MAX(6*F1220,75),(D1220-1)*2*MAX(6*F1220,75))/1000</f>
        <v>0.15</v>
      </c>
      <c r="M1220" t="str">
        <v>=</v>
      </c>
      <c r="N1220">
        <f>J1220+L1220</f>
        <v>0.27</v>
      </c>
      <c r="T1220" t="str">
        <v>x</v>
      </c>
      <c r="U1220">
        <f>0.006165*F1220^2</f>
        <v>0</v>
      </c>
      <c r="V1220" t="str">
        <v>x</v>
      </c>
      <c r="W1220">
        <f>W1216</f>
        <v>22</v>
      </c>
      <c r="X1220" t="str">
        <v>x</v>
      </c>
      <c r="Y1220">
        <f>D1205</f>
        <v>3</v>
      </c>
      <c r="Z1220" t="str">
        <v>=</v>
      </c>
      <c r="AA1220">
        <f>N1220*U1220*W1220*Y1220</f>
        <v>0</v>
      </c>
    </row>
    <row r="1221">
      <c r="A1221" t="str">
        <f>A1195</f>
        <v>Lantai 1</v>
      </c>
      <c r="B1221">
        <f>B1195</f>
        <v>39</v>
      </c>
      <c r="C1221" t="str">
        <v>Kait Horizontal Tump.</v>
      </c>
      <c r="D1221">
        <f>VLOOKUP(D1195,'Detail Balok'!$C$10:$BJ$140,56,FALSE)</f>
        <v>0</v>
      </c>
      <c r="E1221" t="str">
        <v>D</v>
      </c>
      <c r="F1221">
        <f>VLOOKUP(D1195,'Detail Balok'!$C$10:$BJ$140,58,FALSE)</f>
        <v>0</v>
      </c>
      <c r="G1221" t="str">
        <v>-</v>
      </c>
      <c r="H1221">
        <f>VLOOKUP(D1195,'Detail Balok'!$C$10:$BJ$140,60,FALSE)</f>
        <v>100</v>
      </c>
      <c r="J1221">
        <f>(D1196-2*F$5)/1000</f>
        <v>0.12</v>
      </c>
      <c r="K1221" t="str">
        <v>+</v>
      </c>
      <c r="L1221">
        <f>IF(D1221=0,2*MAX(6*F1221,75),(D1221-1)*2*MAX(6*F1221,75))/1000</f>
        <v>0.15</v>
      </c>
      <c r="M1221" t="str">
        <v>=</v>
      </c>
      <c r="N1221">
        <f>J1221+L1221</f>
        <v>0.27</v>
      </c>
      <c r="T1221" t="str">
        <v>x</v>
      </c>
      <c r="U1221">
        <f>0.006165*F1221^2</f>
        <v>0</v>
      </c>
      <c r="V1221" t="str">
        <v>x</v>
      </c>
      <c r="W1221">
        <f>W1217</f>
        <v>16</v>
      </c>
      <c r="X1221" t="str">
        <v>x</v>
      </c>
      <c r="Y1221">
        <f>D1205</f>
        <v>3</v>
      </c>
      <c r="Z1221" t="str">
        <v>=</v>
      </c>
      <c r="AA1221">
        <f>N1221*U1221*W1221*Y1221</f>
        <v>0</v>
      </c>
    </row>
    <row r="1225">
      <c r="A1225" t="str">
        <f>A1195</f>
        <v>Lantai 1</v>
      </c>
      <c r="B1225">
        <f>B1195+1</f>
        <v>40</v>
      </c>
      <c r="C1225" t="str">
        <f>CONCATENATE(A1225," no. ",B1225)</f>
        <v>Lantai 1 no. 40</v>
      </c>
      <c r="D1225" t="str">
        <f>VLOOKUP(C1225,'Data Panjang Balok'!$C$9:$N$254,2,FALSE)</f>
        <v>S24-1</v>
      </c>
    </row>
    <row r="1226">
      <c r="C1226" t="str">
        <v>Dimensi</v>
      </c>
      <c r="D1226">
        <f>VLOOKUP(D1225,'Detail Balok'!$C$10:$AU$140,2,FALSE)</f>
        <v>200</v>
      </c>
      <c r="F1226" t="str">
        <v>x</v>
      </c>
      <c r="G1226">
        <f>VLOOKUP(D1225,'Detail Balok'!$C$10:$AU$140,3,FALSE)</f>
        <v>400</v>
      </c>
    </row>
    <row r="1227">
      <c r="C1227" t="str">
        <v>Panjang as ke as</v>
      </c>
      <c r="D1227">
        <f>VLOOKUP(C1225,'Data Panjang Balok'!$C$9:$N$254,4,FALSE)</f>
        <v>16710</v>
      </c>
    </row>
    <row r="1228">
      <c r="C1228" t="str">
        <v>Panjang netto</v>
      </c>
      <c r="D1228">
        <f>VLOOKUP(C1225,'Data Panjang Balok'!$C$9:$N$254,7,FALSE)</f>
        <v>16710</v>
      </c>
    </row>
    <row r="1229">
      <c r="C1229" t="str">
        <v>Kolom / balok kiri</v>
      </c>
      <c r="D1229">
        <f>VLOOKUP(C1225,'Data Panjang Balok'!$C$9:$N$254,9,FALSE)</f>
        <v>0</v>
      </c>
    </row>
    <row r="1230">
      <c r="C1230" t="str">
        <v>Kolom / balok kanan</v>
      </c>
      <c r="D1230">
        <f>VLOOKUP(C1225,'Data Panjang Balok'!$C$9:$N$254,10,FALSE)</f>
        <v>0</v>
      </c>
    </row>
    <row r="1231">
      <c r="C1231" t="str">
        <v>Jumlah</v>
      </c>
      <c r="D1231">
        <f>VLOOKUP(C1225,'Data Panjang Balok'!$C$9:$N$254,3,FALSE)</f>
        <v>1</v>
      </c>
    </row>
    <row r="1232">
      <c r="A1232" t="str">
        <f>A1225</f>
        <v>Lantai 1</v>
      </c>
      <c r="B1232">
        <f>B1225</f>
        <v>40</v>
      </c>
      <c r="C1232" t="str">
        <v>Tul Atas Tumpuan</v>
      </c>
      <c r="D1232">
        <f>VLOOKUP(D1225,'Detail Balok'!$C$10:$AU$140,4,FALSE)</f>
        <v>3</v>
      </c>
      <c r="E1232" t="str">
        <v>D</v>
      </c>
      <c r="F1232">
        <f>VLOOKUP(D1225,'Detail Balok'!$C$10:$AU$140,6,FALSE)</f>
        <v>13</v>
      </c>
      <c r="I1232" t="str">
        <v>(</v>
      </c>
      <c r="J1232">
        <f>+D1227/4/1000</f>
        <v>4.1775</v>
      </c>
      <c r="K1232" t="str">
        <v>+</v>
      </c>
      <c r="L1232">
        <f>MAX(VLOOKUP(F1232,N$6:P$15,3,FALSE)/1000,2/3*D1229/1000)+F$16*F1232/1000</f>
        <v>0.156</v>
      </c>
      <c r="M1232" t="str">
        <v>=</v>
      </c>
      <c r="N1232">
        <f>J1232+L1232</f>
        <v>4.3335</v>
      </c>
      <c r="O1232" t="str">
        <v>+</v>
      </c>
      <c r="P1232">
        <f>D1232-D1233</f>
        <v>0</v>
      </c>
      <c r="Q1232" t="str">
        <v>x</v>
      </c>
      <c r="R1232">
        <f>IF(P1232&gt;0,$F$18*F1232/1000,0)</f>
        <v>0</v>
      </c>
      <c r="S1232" t="str">
        <v>)</v>
      </c>
      <c r="T1232" t="str">
        <v>x</v>
      </c>
      <c r="U1232">
        <f>0.006165*F1232^2</f>
        <v>1.041885</v>
      </c>
      <c r="X1232" t="str">
        <v>x</v>
      </c>
      <c r="Y1232">
        <f>D1231</f>
        <v>1</v>
      </c>
      <c r="Z1232" t="str">
        <v>=</v>
      </c>
      <c r="AA1232">
        <f>IF(AA1235=0,(D1232*N1232+P1232*R1232)*U1232*Y1232,0)</f>
        <v>0</v>
      </c>
    </row>
    <row r="1233">
      <c r="A1233" t="str">
        <f>A1225</f>
        <v>Lantai 1</v>
      </c>
      <c r="B1233">
        <f>B1225</f>
        <v>40</v>
      </c>
      <c r="C1233" t="str">
        <v>Tul Atas Lapangan</v>
      </c>
      <c r="D1233">
        <f>VLOOKUP(D1225,'Detail Balok'!$C$10:$AU$140,7,FALSE)</f>
        <v>3</v>
      </c>
      <c r="E1233" t="str">
        <v>D</v>
      </c>
      <c r="F1233">
        <f>VLOOKUP(D1225,'Detail Balok'!$C$10:$AU$140,9,FALSE)</f>
        <v>13</v>
      </c>
      <c r="I1233" t="str">
        <v>(</v>
      </c>
      <c r="J1233">
        <f>+D1227/2/1000</f>
        <v>8.355</v>
      </c>
      <c r="K1233" t="str">
        <v>+</v>
      </c>
      <c r="M1233" t="str">
        <v>=</v>
      </c>
      <c r="N1233">
        <f>J1233+L1233</f>
        <v>8.355</v>
      </c>
      <c r="O1233" t="str">
        <v>+</v>
      </c>
      <c r="P1233">
        <f>MAX(D1233-D1232,D1233-D1234)</f>
        <v>0</v>
      </c>
      <c r="Q1233" t="str">
        <v>x</v>
      </c>
      <c r="R1233">
        <f>IF(P1233&gt;0,2*(1-2*$F$19-1/2)*D1228/1000,0)</f>
        <v>0</v>
      </c>
      <c r="S1233" t="str">
        <v>)</v>
      </c>
      <c r="T1233" t="str">
        <v>x</v>
      </c>
      <c r="U1233">
        <f>0.006165*F1233^2</f>
        <v>1.041885</v>
      </c>
      <c r="X1233" t="str">
        <v>x</v>
      </c>
      <c r="Y1233">
        <f>D1231</f>
        <v>1</v>
      </c>
      <c r="Z1233" t="str">
        <v>=</v>
      </c>
      <c r="AA1233">
        <f>IF(AA1235=0,(D1233*N1233+P1233*R1233)*U1233*Y1233,0)</f>
        <v>0</v>
      </c>
    </row>
    <row r="1234">
      <c r="A1234" t="str">
        <f>A1225</f>
        <v>Lantai 1</v>
      </c>
      <c r="B1234">
        <f>B1225</f>
        <v>40</v>
      </c>
      <c r="C1234" t="str">
        <v>Tul Atas Tumpuan</v>
      </c>
      <c r="D1234">
        <f>VLOOKUP(D1225,'Detail Balok'!$C$10:$AU$140,10,FALSE)</f>
        <v>3</v>
      </c>
      <c r="E1234" t="str">
        <v>D</v>
      </c>
      <c r="F1234">
        <f>VLOOKUP(D1225,'Detail Balok'!$C$10:$AU$140,12,FALSE)</f>
        <v>13</v>
      </c>
      <c r="I1234" t="str">
        <v>(</v>
      </c>
      <c r="J1234">
        <f>+D1227/4/1000</f>
        <v>4.1775</v>
      </c>
      <c r="K1234" t="str">
        <v>+</v>
      </c>
      <c r="L1234">
        <f>MAX(VLOOKUP(F1234,N$6:P$15,3,FALSE)/1000,2/3*D1229/1000)+F$16*F1234/1000</f>
        <v>0.156</v>
      </c>
      <c r="M1234" t="str">
        <v>=</v>
      </c>
      <c r="N1234">
        <f>J1234+L1234</f>
        <v>4.3335</v>
      </c>
      <c r="O1234" t="str">
        <v>+</v>
      </c>
      <c r="P1234">
        <f>D1234-D1233</f>
        <v>0</v>
      </c>
      <c r="Q1234" t="str">
        <v>x</v>
      </c>
      <c r="R1234">
        <f>IF(P1234&gt;0,$F$18*F1234/1000,0)</f>
        <v>0</v>
      </c>
      <c r="S1234" t="str">
        <v>)</v>
      </c>
      <c r="T1234" t="str">
        <v>x</v>
      </c>
      <c r="U1234">
        <f>0.006165*F1234^2</f>
        <v>1.041885</v>
      </c>
      <c r="X1234" t="str">
        <v>x</v>
      </c>
      <c r="Y1234">
        <f>D1231</f>
        <v>1</v>
      </c>
      <c r="Z1234" t="str">
        <v>=</v>
      </c>
      <c r="AA1234">
        <f>IF(AA1235=0,(D1234*N1234+P1234*R1234)*U1234*Y1234,0)</f>
        <v>0</v>
      </c>
    </row>
    <row r="1235">
      <c r="A1235" t="str">
        <f>A1225</f>
        <v>Lantai 1</v>
      </c>
      <c r="B1235">
        <f>B1225</f>
        <v>40</v>
      </c>
      <c r="D1235">
        <f>IF(AND(D1232=D1233,D1233=D1234,D1232=D1234),D1232,0)</f>
        <v>3</v>
      </c>
      <c r="E1235" t="str">
        <v>D</v>
      </c>
      <c r="F1235">
        <f>IF(AND(F1232=F1233,F1232=F1234,F1233=F1234),F1232,0)</f>
        <v>13</v>
      </c>
      <c r="L1235" t="str">
        <v>Total panjang per balok</v>
      </c>
      <c r="M1235" t="str">
        <v>=</v>
      </c>
      <c r="N1235">
        <f>IF(AND(D1232=D1233,D1232=D1234,D1233=D1234,F1232=F1233,F1232=F1234,F1233=F1234),SUM(N1232:N1234),0)</f>
        <v>17.022000000000002</v>
      </c>
      <c r="O1235" t="str">
        <v>+</v>
      </c>
      <c r="P1235">
        <f>IF(N1235&gt;12,ROUNDDOWN(N1235/12,0),0)</f>
        <v>1</v>
      </c>
      <c r="Q1235" t="str">
        <v>x</v>
      </c>
      <c r="R1235">
        <f>IF(P1235&gt;0,MAX(VLOOKUP(F1235,$D$6:$G$15,3,FALSE),600),0)/1000</f>
        <v>0.65</v>
      </c>
      <c r="T1235" t="str">
        <v>x</v>
      </c>
      <c r="U1235">
        <f>U1234</f>
        <v>1.041885</v>
      </c>
      <c r="V1235" t="str">
        <v>x</v>
      </c>
      <c r="W1235">
        <f>D1235</f>
        <v>3</v>
      </c>
      <c r="X1235" t="str">
        <v>x</v>
      </c>
      <c r="Y1235">
        <f>Y1234</f>
        <v>1</v>
      </c>
      <c r="Z1235" t="str">
        <v>=</v>
      </c>
      <c r="AA1235">
        <f>(N1235+P1235*R1235/1000)*U1235*W1235*Y1235</f>
        <v>53.20693108575</v>
      </c>
    </row>
    <row r="1237">
      <c r="A1237" t="str">
        <f>A1225</f>
        <v>Lantai 1</v>
      </c>
      <c r="B1237">
        <f>B1225</f>
        <v>40</v>
      </c>
      <c r="C1237" t="str">
        <v>Tul Peminggang</v>
      </c>
      <c r="D1237">
        <f>VLOOKUP(D1225,'Detail Balok'!$C$10:$AU$140,13,FALSE)</f>
        <v>0</v>
      </c>
      <c r="E1237" t="str">
        <v>D</v>
      </c>
      <c r="F1237">
        <f>VLOOKUP(D1225,'Detail Balok'!$C$10:$AU$140,15,FALSE)</f>
        <v>8</v>
      </c>
      <c r="J1237">
        <f>+D1227/1000</f>
        <v>16.71</v>
      </c>
      <c r="K1237" t="str">
        <v>+</v>
      </c>
      <c r="L1237">
        <f>2*$F$16*F1237/1000</f>
        <v>0.192</v>
      </c>
      <c r="M1237" t="str">
        <v>=</v>
      </c>
      <c r="N1237">
        <f>J1237+L1237</f>
        <v>16.902</v>
      </c>
      <c r="O1237" t="str">
        <v>+</v>
      </c>
      <c r="P1237">
        <f>IF(N1237&gt;12,ROUNDDOWN(N1237/12,0),0)</f>
        <v>1</v>
      </c>
      <c r="Q1237" t="str">
        <v>x</v>
      </c>
      <c r="R1237">
        <f>IF(P1237&gt;0,MAX(VLOOKUP(F1237,$D$6:$G$15,3,FALSE),600),0)/1000</f>
        <v>0.6</v>
      </c>
      <c r="T1237" t="str">
        <v>x</v>
      </c>
      <c r="U1237">
        <f>0.006165*F1237^2</f>
        <v>0.39456</v>
      </c>
      <c r="V1237" t="str">
        <v>x</v>
      </c>
      <c r="W1237">
        <f>+D1237</f>
        <v>0</v>
      </c>
      <c r="X1237" t="str">
        <v>x</v>
      </c>
      <c r="Y1237">
        <f>D1231</f>
        <v>1</v>
      </c>
      <c r="Z1237" t="str">
        <v>=</v>
      </c>
      <c r="AA1237">
        <f>(N1237+P1237*R1237/1000)*U1237*W1237*Y1237</f>
        <v>0</v>
      </c>
    </row>
    <row r="1240">
      <c r="A1240" t="str">
        <f>A1225</f>
        <v>Lantai 1</v>
      </c>
      <c r="B1240">
        <f>B1225</f>
        <v>40</v>
      </c>
      <c r="C1240" t="str">
        <v>Tul Bawah Tumpuan</v>
      </c>
      <c r="D1240">
        <f>VLOOKUP(D1225,'Detail Balok'!$C$10:$AU$140,22,FALSE)</f>
        <v>3</v>
      </c>
      <c r="E1240" t="str">
        <v>D</v>
      </c>
      <c r="F1240">
        <f>VLOOKUP(D1225,'Detail Balok'!$C$10:$AU$140,24,FALSE)</f>
        <v>13</v>
      </c>
      <c r="I1240" t="str">
        <v>(</v>
      </c>
      <c r="J1240">
        <f>+J1232</f>
        <v>4.1775</v>
      </c>
      <c r="K1240" t="str">
        <v>+</v>
      </c>
      <c r="L1240">
        <f>MAX(VLOOKUP(F1240,N$6:P$15,3,FALSE)/1000,2/3*D1230/1000)+F$16*F1240/1000</f>
        <v>0.156</v>
      </c>
      <c r="M1240" t="str">
        <v>=</v>
      </c>
      <c r="N1240">
        <f>J1240+L1240</f>
        <v>4.3335</v>
      </c>
      <c r="O1240" t="str">
        <v>+</v>
      </c>
      <c r="P1240">
        <f>D1240-D1241</f>
        <v>0</v>
      </c>
      <c r="Q1240" t="str">
        <v>x</v>
      </c>
      <c r="R1240">
        <f>IF(P1240&gt;0,$F$18*F1240/1000,0)</f>
        <v>0</v>
      </c>
      <c r="S1240" t="str">
        <v>)</v>
      </c>
      <c r="T1240" t="str">
        <v>x</v>
      </c>
      <c r="U1240">
        <f>0.006165*F1240^2</f>
        <v>1.041885</v>
      </c>
      <c r="X1240" t="str">
        <v>x</v>
      </c>
      <c r="Y1240">
        <f>D1231</f>
        <v>1</v>
      </c>
      <c r="Z1240" t="str">
        <v>=</v>
      </c>
      <c r="AA1240">
        <f>IF(AA1243=0,(D1240*N1240+P1240*R1240)*U1240*Y1240,0)</f>
        <v>0</v>
      </c>
    </row>
    <row r="1241">
      <c r="A1241" t="str">
        <f>A1225</f>
        <v>Lantai 1</v>
      </c>
      <c r="B1241">
        <f>B1225</f>
        <v>40</v>
      </c>
      <c r="C1241" t="str">
        <v>Tul Bawah Lapangan</v>
      </c>
      <c r="D1241">
        <f>VLOOKUP(D1225,'Detail Balok'!$C$10:$AU$140,25,FALSE)</f>
        <v>3</v>
      </c>
      <c r="E1241" t="str">
        <v>D</v>
      </c>
      <c r="F1241">
        <f>VLOOKUP(D1225,'Detail Balok'!$C$10:$AU$140,27,FALSE)</f>
        <v>13</v>
      </c>
      <c r="I1241" t="str">
        <v>(</v>
      </c>
      <c r="J1241">
        <f>+J1233</f>
        <v>8.355</v>
      </c>
      <c r="K1241" t="str">
        <v>+</v>
      </c>
      <c r="M1241" t="str">
        <v>=</v>
      </c>
      <c r="N1241">
        <f>J1241+L1241</f>
        <v>8.355</v>
      </c>
      <c r="O1241" t="str">
        <v>+</v>
      </c>
      <c r="P1241">
        <f>MAX(D1241-D1240,D1241-D1242)</f>
        <v>0</v>
      </c>
      <c r="Q1241" t="str">
        <v>x</v>
      </c>
      <c r="R1241">
        <f>IF(P1241&gt;0,2*(1-2*$F$19-1/2)*D1228/1000,0)</f>
        <v>0</v>
      </c>
      <c r="S1241" t="str">
        <v>)</v>
      </c>
      <c r="T1241" t="str">
        <v>x</v>
      </c>
      <c r="U1241">
        <f>0.006165*F1241^2</f>
        <v>1.041885</v>
      </c>
      <c r="X1241" t="str">
        <v>x</v>
      </c>
      <c r="Y1241">
        <f>D1231</f>
        <v>1</v>
      </c>
      <c r="Z1241" t="str">
        <v>=</v>
      </c>
      <c r="AA1241">
        <f>IF(AA1243=0,(D1241*N1241+P1241*R1241)*U1241*Y1241,0)</f>
        <v>0</v>
      </c>
    </row>
    <row r="1242">
      <c r="A1242" t="str">
        <f>A1225</f>
        <v>Lantai 1</v>
      </c>
      <c r="B1242">
        <f>B1225</f>
        <v>40</v>
      </c>
      <c r="C1242" t="str">
        <v>Tul Bawah Tumpuan</v>
      </c>
      <c r="D1242">
        <f>VLOOKUP(D1225,'Detail Balok'!$C$10:$AU$140,28,FALSE)</f>
        <v>3</v>
      </c>
      <c r="E1242" t="str">
        <v>D</v>
      </c>
      <c r="F1242">
        <f>VLOOKUP(D1225,'Detail Balok'!$C$10:$AU$140,30,FALSE)</f>
        <v>13</v>
      </c>
      <c r="I1242" t="str">
        <v>(</v>
      </c>
      <c r="J1242">
        <f>+J1234</f>
        <v>4.1775</v>
      </c>
      <c r="K1242" t="str">
        <v>+</v>
      </c>
      <c r="L1242">
        <f>MAX(VLOOKUP(F1242,N$6:P$15,3,FALSE)/1000,2/3*D1230/1000)+F$16*F1242/1000</f>
        <v>0.156</v>
      </c>
      <c r="M1242" t="str">
        <v>=</v>
      </c>
      <c r="N1242">
        <f>J1242+L1242</f>
        <v>4.3335</v>
      </c>
      <c r="O1242" t="str">
        <v>+</v>
      </c>
      <c r="P1242">
        <f>D1242-D1241</f>
        <v>0</v>
      </c>
      <c r="Q1242" t="str">
        <v>x</v>
      </c>
      <c r="R1242">
        <f>IF(P1242&gt;0,$F$18*F1242/1000,0)</f>
        <v>0</v>
      </c>
      <c r="S1242" t="str">
        <v>)</v>
      </c>
      <c r="T1242" t="str">
        <v>x</v>
      </c>
      <c r="U1242">
        <f>0.006165*F1242^2</f>
        <v>1.041885</v>
      </c>
      <c r="X1242" t="str">
        <v>x</v>
      </c>
      <c r="Y1242">
        <f>D1231</f>
        <v>1</v>
      </c>
      <c r="Z1242" t="str">
        <v>=</v>
      </c>
      <c r="AA1242">
        <f>IF(AA1243=0,(D1242*N1242+P1242*R1242)*U1242*Y1242,0)</f>
        <v>0</v>
      </c>
    </row>
    <row r="1243">
      <c r="A1243" t="str">
        <f>A1225</f>
        <v>Lantai 1</v>
      </c>
      <c r="B1243">
        <f>B1225</f>
        <v>40</v>
      </c>
      <c r="D1243">
        <f>IF(AND(D1240=D1241,D1241=D1242,D1240=D1242),D1240,0)</f>
        <v>3</v>
      </c>
      <c r="E1243" t="str">
        <v>D</v>
      </c>
      <c r="F1243">
        <f>IF(AND(F1240=F1241,F1240=F1242,F1241=F1242),F1240,0)</f>
        <v>13</v>
      </c>
      <c r="L1243" t="str">
        <v>Total panjang per balok</v>
      </c>
      <c r="M1243" t="str">
        <v>=</v>
      </c>
      <c r="N1243">
        <f>IF(AND(D1240=D1241,D1240=D1242,D1241=D1242,F1240=F1241,F1240=F1242,F1241=F1242),SUM(N1240:N1242),0)</f>
        <v>17.022000000000002</v>
      </c>
      <c r="O1243" t="str">
        <v>+</v>
      </c>
      <c r="P1243">
        <f>IF(N1243&gt;12,ROUNDDOWN(N1243/12,0),0)</f>
        <v>1</v>
      </c>
      <c r="Q1243" t="str">
        <v>x</v>
      </c>
      <c r="R1243">
        <f>IF(P1243&gt;0,MAX(VLOOKUP(F1243,$D$6:$G$15,3,FALSE),600),0)/1000</f>
        <v>0.65</v>
      </c>
      <c r="T1243" t="str">
        <v>x</v>
      </c>
      <c r="U1243">
        <f>U1242</f>
        <v>1.041885</v>
      </c>
      <c r="V1243" t="str">
        <v>x</v>
      </c>
      <c r="W1243">
        <f>D1243</f>
        <v>3</v>
      </c>
      <c r="X1243" t="str">
        <v>x</v>
      </c>
      <c r="Y1243">
        <f>Y1242</f>
        <v>1</v>
      </c>
      <c r="Z1243" t="str">
        <v>=</v>
      </c>
      <c r="AA1243">
        <f>(N1243+P1243*R1243/1000)*U1243*W1243*Y1243</f>
        <v>53.20693108575</v>
      </c>
    </row>
    <row r="1245">
      <c r="A1245" t="str">
        <f>A1225</f>
        <v>Lantai 1</v>
      </c>
      <c r="B1245">
        <f>B1225</f>
        <v>40</v>
      </c>
      <c r="C1245" t="str">
        <v>Sengkang Tumpuan</v>
      </c>
      <c r="D1245">
        <f>VLOOKUP(D1225,'Detail Balok'!$C$10:$AU$140,31,FALSE)</f>
        <v>0</v>
      </c>
      <c r="E1245" t="str">
        <v>D</v>
      </c>
      <c r="F1245">
        <f>VLOOKUP(D1225,'Detail Balok'!$C$10:$AU$140,33,FALSE)</f>
        <v>8</v>
      </c>
      <c r="G1245" t="str">
        <v>-</v>
      </c>
      <c r="H1245">
        <f>VLOOKUP(D1225,'Detail Balok'!$C$10:$AU$140,35,FALSE)</f>
        <v>150</v>
      </c>
      <c r="J1245">
        <f>(IF(D1245=0,(2*(D1226+G1226))-(F$5*8),IF(D1245=3,(2*(D1226+G1226))-(F$5*8)+(G1226-2*F$5),IF(D1245=4,(2*(D1226+G1226))-(F$5*8)+2*(G1226-2*F$5)))))/1000</f>
        <v>0.88</v>
      </c>
      <c r="K1245" t="str">
        <v>+</v>
      </c>
      <c r="L1245">
        <f>IF(D1245=0,2*MAX(6*F1245,75),(D1245-1)*2*MAX(6*F1245,75))/1000</f>
        <v>0.15</v>
      </c>
      <c r="M1245" t="str">
        <v>=</v>
      </c>
      <c r="N1245">
        <f>J1245+L1245</f>
        <v>1.03</v>
      </c>
      <c r="T1245" t="str">
        <v>x</v>
      </c>
      <c r="U1245">
        <f>0.006165*F1245^2</f>
        <v>0.39456</v>
      </c>
      <c r="V1245" t="str">
        <v>x</v>
      </c>
      <c r="W1245">
        <f>IF(D1228&gt;4*G1226,ROUND(MAX(D1228/4,2*G1226)/H1245,0)+1,ROUND(D1228/H1245,0)+1)</f>
        <v>29</v>
      </c>
      <c r="X1245" t="str">
        <v>x</v>
      </c>
      <c r="Y1245">
        <f>D1231</f>
        <v>1</v>
      </c>
      <c r="Z1245" t="str">
        <v>=</v>
      </c>
      <c r="AA1245">
        <f>N1245*U1245*W1245*Y1245</f>
        <v>11.785507200000001</v>
      </c>
    </row>
    <row r="1246">
      <c r="A1246" t="str">
        <f>A1225</f>
        <v>Lantai 1</v>
      </c>
      <c r="B1246">
        <f>B1225</f>
        <v>40</v>
      </c>
      <c r="C1246" t="str">
        <v>Sengkang Lapangan</v>
      </c>
      <c r="D1246">
        <f>VLOOKUP(D1225,'Detail Balok'!$C$10:$AU$140,36,FALSE)</f>
        <v>0</v>
      </c>
      <c r="E1246" t="str">
        <v>D</v>
      </c>
      <c r="F1246">
        <f>VLOOKUP(D1225,'Detail Balok'!$C$10:$AU$140,38,FALSE)</f>
        <v>8</v>
      </c>
      <c r="G1246" t="str">
        <v>-</v>
      </c>
      <c r="H1246">
        <f>VLOOKUP(D1225,'Detail Balok'!$C$10:$AU$140,40,FALSE)</f>
        <v>200</v>
      </c>
      <c r="J1246">
        <f>(IF(D1246=0,(2*(D1226+G1226))-(F$5*8),IF(D1246=3,(2*(D1226+G1226))-(F$5*8)+(G1226-2*F$5),IF(D1246=4,(2*(D1226+G1226))-(F$5*8)+2*(G1226-2*F$5)))))/1000</f>
        <v>0.88</v>
      </c>
      <c r="K1246" t="str">
        <v>+</v>
      </c>
      <c r="L1246">
        <f>IF(D1246=0,2*MAX(6*F1246,75),(D1246-1)*2*MAX(6*F1246,75))/1000</f>
        <v>0.15</v>
      </c>
      <c r="M1246" t="str">
        <v>=</v>
      </c>
      <c r="N1246">
        <f>J1246+L1246</f>
        <v>1.03</v>
      </c>
      <c r="T1246" t="str">
        <v>x</v>
      </c>
      <c r="U1246">
        <f>0.006165*F1246^2</f>
        <v>0.39456</v>
      </c>
      <c r="V1246" t="str">
        <v>x</v>
      </c>
      <c r="W1246">
        <f>IF(D1228-MAX(D1228/4,2*G1226)*2&gt;0,ROUND((D1228-MAX(D1228/4,2*G1226)*2)/H1246,0),0)</f>
        <v>42</v>
      </c>
      <c r="X1246" t="str">
        <v>x</v>
      </c>
      <c r="Y1246">
        <f>D1231</f>
        <v>1</v>
      </c>
      <c r="Z1246" t="str">
        <v>=</v>
      </c>
      <c r="AA1246">
        <f>N1246*U1246*W1246*Y1246</f>
        <v>17.068665600000003</v>
      </c>
    </row>
    <row r="1247">
      <c r="A1247" t="str">
        <f>A1225</f>
        <v>Lantai 1</v>
      </c>
      <c r="B1247">
        <f>B1225</f>
        <v>40</v>
      </c>
      <c r="C1247" t="str">
        <v>Sengkang Tumpuan</v>
      </c>
      <c r="D1247">
        <f>VLOOKUP(D1225,'Detail Balok'!$C$10:$AU$140,41,FALSE)</f>
        <v>0</v>
      </c>
      <c r="E1247" t="str">
        <v>D</v>
      </c>
      <c r="F1247">
        <f>VLOOKUP(D1225,'Detail Balok'!$C$10:$AU$140,43,FALSE)</f>
        <v>8</v>
      </c>
      <c r="G1247" t="str">
        <v>-</v>
      </c>
      <c r="H1247">
        <f>VLOOKUP(D1225,'Detail Balok'!$C$10:$AU$140,45,FALSE)</f>
        <v>150</v>
      </c>
      <c r="J1247">
        <f>(IF(D1247=0,(2*(D1226+G1226))-(F$5*8),IF(D1247=3,(2*(D1226+G1226))-(F$5*8)+(G1226-2*F$5),IF(D1247=4,(2*(D1226+G1226))-(F$5*8)+2*(G1226-2*F$5)))))/1000</f>
        <v>0.88</v>
      </c>
      <c r="K1247" t="str">
        <v>+</v>
      </c>
      <c r="L1247">
        <f>IF(D1247=0,2*MAX(6*F1247,75),(D1247-1)*2*MAX(6*F1247,75))/1000</f>
        <v>0.15</v>
      </c>
      <c r="M1247" t="str">
        <v>=</v>
      </c>
      <c r="N1247">
        <f>J1247+L1247</f>
        <v>1.03</v>
      </c>
      <c r="T1247" t="str">
        <v>x</v>
      </c>
      <c r="U1247">
        <f>0.006165*F1247^2</f>
        <v>0.39456</v>
      </c>
      <c r="V1247" t="str">
        <v>x</v>
      </c>
      <c r="W1247">
        <f>IF(D1228&gt;4*G1226,ROUND(MAX(D1228/4,2*G1226)/H1247,0)+1,0)</f>
        <v>29</v>
      </c>
      <c r="X1247" t="str">
        <v>x</v>
      </c>
      <c r="Y1247">
        <f>D1231</f>
        <v>1</v>
      </c>
      <c r="Z1247" t="str">
        <v>=</v>
      </c>
      <c r="AA1247">
        <f>N1247*U1247*W1247*Y1247</f>
        <v>11.785507200000001</v>
      </c>
    </row>
    <row r="1249">
      <c r="A1249" t="str">
        <f>A1225</f>
        <v>Lantai 1</v>
      </c>
      <c r="B1249">
        <f>B1225</f>
        <v>40</v>
      </c>
      <c r="C1249" t="str">
        <v>Kait Horizontal Tump.</v>
      </c>
      <c r="D1249">
        <f>VLOOKUP(D1225,'Detail Balok'!$C$10:$BJ$140,46,FALSE)</f>
        <v>0</v>
      </c>
      <c r="E1249" t="str">
        <v>D</v>
      </c>
      <c r="F1249">
        <f>VLOOKUP(D1225,'Detail Balok'!$C$10:$BJ$140,48,FALSE)</f>
        <v>0</v>
      </c>
      <c r="G1249" t="str">
        <v>-</v>
      </c>
      <c r="H1249">
        <f>VLOOKUP(D1225,'Detail Balok'!$C$10:$BJ$140,50,FALSE)</f>
        <v>100</v>
      </c>
      <c r="J1249">
        <f>(D1226-2*F$5)/1000</f>
        <v>0.12</v>
      </c>
      <c r="K1249" t="str">
        <v>+</v>
      </c>
      <c r="L1249">
        <f>IF(D1249=0,2*MAX(6*F1249,75),(D1249-1)*2*MAX(6*F1249,75))/1000</f>
        <v>0.15</v>
      </c>
      <c r="M1249" t="str">
        <v>=</v>
      </c>
      <c r="N1249">
        <f>J1249+L1249</f>
        <v>0.27</v>
      </c>
      <c r="T1249" t="str">
        <v>x</v>
      </c>
      <c r="U1249">
        <f>0.006165*F1249^2</f>
        <v>0</v>
      </c>
      <c r="V1249" t="str">
        <v>x</v>
      </c>
      <c r="W1249">
        <f>W1245</f>
        <v>29</v>
      </c>
      <c r="X1249" t="str">
        <v>x</v>
      </c>
      <c r="Y1249">
        <f>D1235</f>
        <v>3</v>
      </c>
      <c r="Z1249" t="str">
        <v>=</v>
      </c>
      <c r="AA1249">
        <f>N1249*U1249*W1249*Y1249</f>
        <v>0</v>
      </c>
    </row>
    <row r="1250">
      <c r="A1250" t="str">
        <f>A1225</f>
        <v>Lantai 1</v>
      </c>
      <c r="B1250">
        <f>B1225</f>
        <v>40</v>
      </c>
      <c r="C1250" t="str">
        <v>Kait Horizontal Lap.</v>
      </c>
      <c r="D1250">
        <f>VLOOKUP(D1225,'Detail Balok'!$C$10:$BJ$140,51,FALSE)</f>
        <v>0</v>
      </c>
      <c r="E1250" t="str">
        <v>D</v>
      </c>
      <c r="F1250">
        <f>VLOOKUP(D1225,'Detail Balok'!$C$10:$BJ$140,53,FALSE)</f>
        <v>0</v>
      </c>
      <c r="G1250" t="str">
        <v>-</v>
      </c>
      <c r="H1250">
        <f>VLOOKUP(D1225,'Detail Balok'!$C$10:$BJ$140,55,FALSE)</f>
        <v>100</v>
      </c>
      <c r="J1250">
        <f>(D1226-2*F$5)/1000</f>
        <v>0.12</v>
      </c>
      <c r="K1250" t="str">
        <v>+</v>
      </c>
      <c r="L1250">
        <f>IF(D1250=0,2*MAX(6*F1250,75),(D1250-1)*2*MAX(6*F1250,75))/1000</f>
        <v>0.15</v>
      </c>
      <c r="M1250" t="str">
        <v>=</v>
      </c>
      <c r="N1250">
        <f>J1250+L1250</f>
        <v>0.27</v>
      </c>
      <c r="T1250" t="str">
        <v>x</v>
      </c>
      <c r="U1250">
        <f>0.006165*F1250^2</f>
        <v>0</v>
      </c>
      <c r="V1250" t="str">
        <v>x</v>
      </c>
      <c r="W1250">
        <f>W1246</f>
        <v>42</v>
      </c>
      <c r="X1250" t="str">
        <v>x</v>
      </c>
      <c r="Y1250">
        <f>D1235</f>
        <v>3</v>
      </c>
      <c r="Z1250" t="str">
        <v>=</v>
      </c>
      <c r="AA1250">
        <f>N1250*U1250*W1250*Y1250</f>
        <v>0</v>
      </c>
    </row>
    <row r="1251">
      <c r="A1251" t="str">
        <f>A1225</f>
        <v>Lantai 1</v>
      </c>
      <c r="B1251">
        <f>B1225</f>
        <v>40</v>
      </c>
      <c r="C1251" t="str">
        <v>Kait Horizontal Tump.</v>
      </c>
      <c r="D1251">
        <f>VLOOKUP(D1225,'Detail Balok'!$C$10:$BJ$140,56,FALSE)</f>
        <v>0</v>
      </c>
      <c r="E1251" t="str">
        <v>D</v>
      </c>
      <c r="F1251">
        <f>VLOOKUP(D1225,'Detail Balok'!$C$10:$BJ$140,58,FALSE)</f>
        <v>0</v>
      </c>
      <c r="G1251" t="str">
        <v>-</v>
      </c>
      <c r="H1251">
        <f>VLOOKUP(D1225,'Detail Balok'!$C$10:$BJ$140,60,FALSE)</f>
        <v>100</v>
      </c>
      <c r="J1251">
        <f>(D1226-2*F$5)/1000</f>
        <v>0.12</v>
      </c>
      <c r="K1251" t="str">
        <v>+</v>
      </c>
      <c r="L1251">
        <f>IF(D1251=0,2*MAX(6*F1251,75),(D1251-1)*2*MAX(6*F1251,75))/1000</f>
        <v>0.15</v>
      </c>
      <c r="M1251" t="str">
        <v>=</v>
      </c>
      <c r="N1251">
        <f>J1251+L1251</f>
        <v>0.27</v>
      </c>
      <c r="T1251" t="str">
        <v>x</v>
      </c>
      <c r="U1251">
        <f>0.006165*F1251^2</f>
        <v>0</v>
      </c>
      <c r="V1251" t="str">
        <v>x</v>
      </c>
      <c r="W1251">
        <f>W1247</f>
        <v>29</v>
      </c>
      <c r="X1251" t="str">
        <v>x</v>
      </c>
      <c r="Y1251">
        <f>D1235</f>
        <v>3</v>
      </c>
      <c r="Z1251" t="str">
        <v>=</v>
      </c>
      <c r="AA1251">
        <f>N1251*U1251*W1251*Y1251</f>
        <v>0</v>
      </c>
    </row>
    <row r="1255">
      <c r="A1255" t="str">
        <f>A1225</f>
        <v>Lantai 1</v>
      </c>
      <c r="B1255">
        <f>B1225+1</f>
        <v>41</v>
      </c>
      <c r="C1255" t="str">
        <f>CONCATENATE(A1255," no. ",B1255)</f>
        <v>Lantai 1 no. 41</v>
      </c>
      <c r="D1255" t="str">
        <f>VLOOKUP(C1255,'Data Panjang Balok'!$C$9:$N$254,2,FALSE)</f>
        <v>S24-1</v>
      </c>
    </row>
    <row r="1256">
      <c r="C1256" t="str">
        <v>Dimensi</v>
      </c>
      <c r="D1256">
        <f>VLOOKUP(D1255,'Detail Balok'!$C$10:$AU$140,2,FALSE)</f>
        <v>200</v>
      </c>
      <c r="F1256" t="str">
        <v>x</v>
      </c>
      <c r="G1256">
        <f>VLOOKUP(D1255,'Detail Balok'!$C$10:$AU$140,3,FALSE)</f>
        <v>400</v>
      </c>
    </row>
    <row r="1257">
      <c r="C1257" t="str">
        <v>Panjang as ke as</v>
      </c>
      <c r="D1257">
        <f>VLOOKUP(C1255,'Data Panjang Balok'!$C$9:$N$254,4,FALSE)</f>
        <v>7090</v>
      </c>
    </row>
    <row r="1258">
      <c r="C1258" t="str">
        <v>Panjang netto</v>
      </c>
      <c r="D1258">
        <f>VLOOKUP(C1255,'Data Panjang Balok'!$C$9:$N$254,7,FALSE)</f>
        <v>7090</v>
      </c>
    </row>
    <row r="1259">
      <c r="C1259" t="str">
        <v>Kolom / balok kiri</v>
      </c>
      <c r="D1259">
        <f>VLOOKUP(C1255,'Data Panjang Balok'!$C$9:$N$254,9,FALSE)</f>
        <v>0</v>
      </c>
    </row>
    <row r="1260">
      <c r="C1260" t="str">
        <v>Kolom / balok kanan</v>
      </c>
      <c r="D1260">
        <f>VLOOKUP(C1255,'Data Panjang Balok'!$C$9:$N$254,10,FALSE)</f>
        <v>0</v>
      </c>
    </row>
    <row r="1261">
      <c r="C1261" t="str">
        <v>Jumlah</v>
      </c>
      <c r="D1261">
        <f>VLOOKUP(C1255,'Data Panjang Balok'!$C$9:$N$254,3,FALSE)</f>
        <v>1</v>
      </c>
    </row>
    <row r="1262">
      <c r="A1262" t="str">
        <f>A1255</f>
        <v>Lantai 1</v>
      </c>
      <c r="B1262">
        <f>B1255</f>
        <v>41</v>
      </c>
      <c r="C1262" t="str">
        <v>Tul Atas Tumpuan</v>
      </c>
      <c r="D1262">
        <f>VLOOKUP(D1255,'Detail Balok'!$C$10:$AU$140,4,FALSE)</f>
        <v>3</v>
      </c>
      <c r="E1262" t="str">
        <v>D</v>
      </c>
      <c r="F1262">
        <f>VLOOKUP(D1255,'Detail Balok'!$C$10:$AU$140,6,FALSE)</f>
        <v>13</v>
      </c>
      <c r="I1262" t="str">
        <v>(</v>
      </c>
      <c r="J1262">
        <f>+D1257/4/1000</f>
        <v>1.7725</v>
      </c>
      <c r="K1262" t="str">
        <v>+</v>
      </c>
      <c r="L1262">
        <f>MAX(VLOOKUP(F1262,N$6:P$15,3,FALSE)/1000,2/3*D1259/1000)+F$16*F1262/1000</f>
        <v>0.156</v>
      </c>
      <c r="M1262" t="str">
        <v>=</v>
      </c>
      <c r="N1262">
        <f>J1262+L1262</f>
        <v>1.9284999999999999</v>
      </c>
      <c r="O1262" t="str">
        <v>+</v>
      </c>
      <c r="P1262">
        <f>D1262-D1263</f>
        <v>0</v>
      </c>
      <c r="Q1262" t="str">
        <v>x</v>
      </c>
      <c r="R1262">
        <f>IF(P1262&gt;0,$F$18*F1262/1000,0)</f>
        <v>0</v>
      </c>
      <c r="S1262" t="str">
        <v>)</v>
      </c>
      <c r="T1262" t="str">
        <v>x</v>
      </c>
      <c r="U1262">
        <f>0.006165*F1262^2</f>
        <v>1.041885</v>
      </c>
      <c r="X1262" t="str">
        <v>x</v>
      </c>
      <c r="Y1262">
        <f>D1261</f>
        <v>1</v>
      </c>
      <c r="Z1262" t="str">
        <v>=</v>
      </c>
      <c r="AA1262">
        <f>IF(AA1265=0,(D1262*N1262+P1262*R1262)*U1262*Y1262,0)</f>
        <v>0</v>
      </c>
    </row>
    <row r="1263">
      <c r="A1263" t="str">
        <f>A1255</f>
        <v>Lantai 1</v>
      </c>
      <c r="B1263">
        <f>B1255</f>
        <v>41</v>
      </c>
      <c r="C1263" t="str">
        <v>Tul Atas Lapangan</v>
      </c>
      <c r="D1263">
        <f>VLOOKUP(D1255,'Detail Balok'!$C$10:$AU$140,7,FALSE)</f>
        <v>3</v>
      </c>
      <c r="E1263" t="str">
        <v>D</v>
      </c>
      <c r="F1263">
        <f>VLOOKUP(D1255,'Detail Balok'!$C$10:$AU$140,9,FALSE)</f>
        <v>13</v>
      </c>
      <c r="I1263" t="str">
        <v>(</v>
      </c>
      <c r="J1263">
        <f>+D1257/2/1000</f>
        <v>3.545</v>
      </c>
      <c r="K1263" t="str">
        <v>+</v>
      </c>
      <c r="M1263" t="str">
        <v>=</v>
      </c>
      <c r="N1263">
        <f>J1263+L1263</f>
        <v>3.545</v>
      </c>
      <c r="O1263" t="str">
        <v>+</v>
      </c>
      <c r="P1263">
        <f>MAX(D1263-D1262,D1263-D1264)</f>
        <v>0</v>
      </c>
      <c r="Q1263" t="str">
        <v>x</v>
      </c>
      <c r="R1263">
        <f>IF(P1263&gt;0,2*(1-2*$F$19-1/2)*D1258/1000,0)</f>
        <v>0</v>
      </c>
      <c r="S1263" t="str">
        <v>)</v>
      </c>
      <c r="T1263" t="str">
        <v>x</v>
      </c>
      <c r="U1263">
        <f>0.006165*F1263^2</f>
        <v>1.041885</v>
      </c>
      <c r="X1263" t="str">
        <v>x</v>
      </c>
      <c r="Y1263">
        <f>D1261</f>
        <v>1</v>
      </c>
      <c r="Z1263" t="str">
        <v>=</v>
      </c>
      <c r="AA1263">
        <f>IF(AA1265=0,(D1263*N1263+P1263*R1263)*U1263*Y1263,0)</f>
        <v>0</v>
      </c>
    </row>
    <row r="1264">
      <c r="A1264" t="str">
        <f>A1255</f>
        <v>Lantai 1</v>
      </c>
      <c r="B1264">
        <f>B1255</f>
        <v>41</v>
      </c>
      <c r="C1264" t="str">
        <v>Tul Atas Tumpuan</v>
      </c>
      <c r="D1264">
        <f>VLOOKUP(D1255,'Detail Balok'!$C$10:$AU$140,10,FALSE)</f>
        <v>3</v>
      </c>
      <c r="E1264" t="str">
        <v>D</v>
      </c>
      <c r="F1264">
        <f>VLOOKUP(D1255,'Detail Balok'!$C$10:$AU$140,12,FALSE)</f>
        <v>13</v>
      </c>
      <c r="I1264" t="str">
        <v>(</v>
      </c>
      <c r="J1264">
        <f>+D1257/4/1000</f>
        <v>1.7725</v>
      </c>
      <c r="K1264" t="str">
        <v>+</v>
      </c>
      <c r="L1264">
        <f>MAX(VLOOKUP(F1264,N$6:P$15,3,FALSE)/1000,2/3*D1259/1000)+F$16*F1264/1000</f>
        <v>0.156</v>
      </c>
      <c r="M1264" t="str">
        <v>=</v>
      </c>
      <c r="N1264">
        <f>J1264+L1264</f>
        <v>1.9284999999999999</v>
      </c>
      <c r="O1264" t="str">
        <v>+</v>
      </c>
      <c r="P1264">
        <f>D1264-D1263</f>
        <v>0</v>
      </c>
      <c r="Q1264" t="str">
        <v>x</v>
      </c>
      <c r="R1264">
        <f>IF(P1264&gt;0,$F$18*F1264/1000,0)</f>
        <v>0</v>
      </c>
      <c r="S1264" t="str">
        <v>)</v>
      </c>
      <c r="T1264" t="str">
        <v>x</v>
      </c>
      <c r="U1264">
        <f>0.006165*F1264^2</f>
        <v>1.041885</v>
      </c>
      <c r="X1264" t="str">
        <v>x</v>
      </c>
      <c r="Y1264">
        <f>D1261</f>
        <v>1</v>
      </c>
      <c r="Z1264" t="str">
        <v>=</v>
      </c>
      <c r="AA1264">
        <f>IF(AA1265=0,(D1264*N1264+P1264*R1264)*U1264*Y1264,0)</f>
        <v>0</v>
      </c>
    </row>
    <row r="1265">
      <c r="A1265" t="str">
        <f>A1255</f>
        <v>Lantai 1</v>
      </c>
      <c r="B1265">
        <f>B1255</f>
        <v>41</v>
      </c>
      <c r="D1265">
        <f>IF(AND(D1262=D1263,D1263=D1264,D1262=D1264),D1262,0)</f>
        <v>3</v>
      </c>
      <c r="E1265" t="str">
        <v>D</v>
      </c>
      <c r="F1265">
        <f>IF(AND(F1262=F1263,F1262=F1264,F1263=F1264),F1262,0)</f>
        <v>13</v>
      </c>
      <c r="L1265" t="str">
        <v>Total panjang per balok</v>
      </c>
      <c r="M1265" t="str">
        <v>=</v>
      </c>
      <c r="N1265">
        <f>IF(AND(D1262=D1263,D1262=D1264,D1263=D1264,F1262=F1263,F1262=F1264,F1263=F1264),SUM(N1262:N1264),0)</f>
        <v>7.401999999999999</v>
      </c>
      <c r="O1265" t="str">
        <v>+</v>
      </c>
      <c r="P1265">
        <f>IF(N1265&gt;12,ROUNDDOWN(N1265/12,0),0)</f>
        <v>0</v>
      </c>
      <c r="Q1265" t="str">
        <v>x</v>
      </c>
      <c r="R1265">
        <f>IF(P1265&gt;0,MAX(VLOOKUP(F1265,$D$6:$G$15,3,FALSE),600),0)/1000</f>
        <v>0</v>
      </c>
      <c r="T1265" t="str">
        <v>x</v>
      </c>
      <c r="U1265">
        <f>U1264</f>
        <v>1.041885</v>
      </c>
      <c r="V1265" t="str">
        <v>x</v>
      </c>
      <c r="W1265">
        <f>D1265</f>
        <v>3</v>
      </c>
      <c r="X1265" t="str">
        <v>x</v>
      </c>
      <c r="Y1265">
        <f>Y1264</f>
        <v>1</v>
      </c>
      <c r="Z1265" t="str">
        <v>=</v>
      </c>
      <c r="AA1265">
        <f>(N1265+P1265*R1265/1000)*U1265*W1265*Y1265</f>
        <v>23.136098309999994</v>
      </c>
    </row>
    <row r="1267">
      <c r="A1267" t="str">
        <f>A1255</f>
        <v>Lantai 1</v>
      </c>
      <c r="B1267">
        <f>B1255</f>
        <v>41</v>
      </c>
      <c r="C1267" t="str">
        <v>Tul Peminggang</v>
      </c>
      <c r="D1267">
        <f>VLOOKUP(D1255,'Detail Balok'!$C$10:$AU$140,13,FALSE)</f>
        <v>0</v>
      </c>
      <c r="E1267" t="str">
        <v>D</v>
      </c>
      <c r="F1267">
        <f>VLOOKUP(D1255,'Detail Balok'!$C$10:$AU$140,15,FALSE)</f>
        <v>8</v>
      </c>
      <c r="J1267">
        <f>+D1257/1000</f>
        <v>7.09</v>
      </c>
      <c r="K1267" t="str">
        <v>+</v>
      </c>
      <c r="L1267">
        <f>2*$F$16*F1267/1000</f>
        <v>0.192</v>
      </c>
      <c r="M1267" t="str">
        <v>=</v>
      </c>
      <c r="N1267">
        <f>J1267+L1267</f>
        <v>7.282</v>
      </c>
      <c r="O1267" t="str">
        <v>+</v>
      </c>
      <c r="P1267">
        <f>IF(N1267&gt;12,ROUNDDOWN(N1267/12,0),0)</f>
        <v>0</v>
      </c>
      <c r="Q1267" t="str">
        <v>x</v>
      </c>
      <c r="R1267">
        <f>IF(P1267&gt;0,MAX(VLOOKUP(F1267,$D$6:$G$15,3,FALSE),600),0)/1000</f>
        <v>0</v>
      </c>
      <c r="T1267" t="str">
        <v>x</v>
      </c>
      <c r="U1267">
        <f>0.006165*F1267^2</f>
        <v>0.39456</v>
      </c>
      <c r="V1267" t="str">
        <v>x</v>
      </c>
      <c r="W1267">
        <f>+D1267</f>
        <v>0</v>
      </c>
      <c r="X1267" t="str">
        <v>x</v>
      </c>
      <c r="Y1267">
        <f>D1261</f>
        <v>1</v>
      </c>
      <c r="Z1267" t="str">
        <v>=</v>
      </c>
      <c r="AA1267">
        <f>(N1267+P1267*R1267/1000)*U1267*W1267*Y1267</f>
        <v>0</v>
      </c>
    </row>
    <row r="1270">
      <c r="A1270" t="str">
        <f>A1255</f>
        <v>Lantai 1</v>
      </c>
      <c r="B1270">
        <f>B1255</f>
        <v>41</v>
      </c>
      <c r="C1270" t="str">
        <v>Tul Bawah Tumpuan</v>
      </c>
      <c r="D1270">
        <f>VLOOKUP(D1255,'Detail Balok'!$C$10:$AU$140,22,FALSE)</f>
        <v>3</v>
      </c>
      <c r="E1270" t="str">
        <v>D</v>
      </c>
      <c r="F1270">
        <f>VLOOKUP(D1255,'Detail Balok'!$C$10:$AU$140,24,FALSE)</f>
        <v>13</v>
      </c>
      <c r="I1270" t="str">
        <v>(</v>
      </c>
      <c r="J1270">
        <f>+J1262</f>
        <v>1.7725</v>
      </c>
      <c r="K1270" t="str">
        <v>+</v>
      </c>
      <c r="L1270">
        <f>MAX(VLOOKUP(F1270,N$6:P$15,3,FALSE)/1000,2/3*D1260/1000)+F$16*F1270/1000</f>
        <v>0.156</v>
      </c>
      <c r="M1270" t="str">
        <v>=</v>
      </c>
      <c r="N1270">
        <f>J1270+L1270</f>
        <v>1.9284999999999999</v>
      </c>
      <c r="O1270" t="str">
        <v>+</v>
      </c>
      <c r="P1270">
        <f>D1270-D1271</f>
        <v>0</v>
      </c>
      <c r="Q1270" t="str">
        <v>x</v>
      </c>
      <c r="R1270">
        <f>IF(P1270&gt;0,$F$18*F1270/1000,0)</f>
        <v>0</v>
      </c>
      <c r="S1270" t="str">
        <v>)</v>
      </c>
      <c r="T1270" t="str">
        <v>x</v>
      </c>
      <c r="U1270">
        <f>0.006165*F1270^2</f>
        <v>1.041885</v>
      </c>
      <c r="X1270" t="str">
        <v>x</v>
      </c>
      <c r="Y1270">
        <f>D1261</f>
        <v>1</v>
      </c>
      <c r="Z1270" t="str">
        <v>=</v>
      </c>
      <c r="AA1270">
        <f>IF(AA1273=0,(D1270*N1270+P1270*R1270)*U1270*Y1270,0)</f>
        <v>0</v>
      </c>
    </row>
    <row r="1271">
      <c r="A1271" t="str">
        <f>A1255</f>
        <v>Lantai 1</v>
      </c>
      <c r="B1271">
        <f>B1255</f>
        <v>41</v>
      </c>
      <c r="C1271" t="str">
        <v>Tul Bawah Lapangan</v>
      </c>
      <c r="D1271">
        <f>VLOOKUP(D1255,'Detail Balok'!$C$10:$AU$140,25,FALSE)</f>
        <v>3</v>
      </c>
      <c r="E1271" t="str">
        <v>D</v>
      </c>
      <c r="F1271">
        <f>VLOOKUP(D1255,'Detail Balok'!$C$10:$AU$140,27,FALSE)</f>
        <v>13</v>
      </c>
      <c r="I1271" t="str">
        <v>(</v>
      </c>
      <c r="J1271">
        <f>+J1263</f>
        <v>3.545</v>
      </c>
      <c r="K1271" t="str">
        <v>+</v>
      </c>
      <c r="M1271" t="str">
        <v>=</v>
      </c>
      <c r="N1271">
        <f>J1271+L1271</f>
        <v>3.545</v>
      </c>
      <c r="O1271" t="str">
        <v>+</v>
      </c>
      <c r="P1271">
        <f>MAX(D1271-D1270,D1271-D1272)</f>
        <v>0</v>
      </c>
      <c r="Q1271" t="str">
        <v>x</v>
      </c>
      <c r="R1271">
        <f>IF(P1271&gt;0,2*(1-2*$F$19-1/2)*D1258/1000,0)</f>
        <v>0</v>
      </c>
      <c r="S1271" t="str">
        <v>)</v>
      </c>
      <c r="T1271" t="str">
        <v>x</v>
      </c>
      <c r="U1271">
        <f>0.006165*F1271^2</f>
        <v>1.041885</v>
      </c>
      <c r="X1271" t="str">
        <v>x</v>
      </c>
      <c r="Y1271">
        <f>D1261</f>
        <v>1</v>
      </c>
      <c r="Z1271" t="str">
        <v>=</v>
      </c>
      <c r="AA1271">
        <f>IF(AA1273=0,(D1271*N1271+P1271*R1271)*U1271*Y1271,0)</f>
        <v>0</v>
      </c>
    </row>
    <row r="1272">
      <c r="A1272" t="str">
        <f>A1255</f>
        <v>Lantai 1</v>
      </c>
      <c r="B1272">
        <f>B1255</f>
        <v>41</v>
      </c>
      <c r="C1272" t="str">
        <v>Tul Bawah Tumpuan</v>
      </c>
      <c r="D1272">
        <f>VLOOKUP(D1255,'Detail Balok'!$C$10:$AU$140,28,FALSE)</f>
        <v>3</v>
      </c>
      <c r="E1272" t="str">
        <v>D</v>
      </c>
      <c r="F1272">
        <f>VLOOKUP(D1255,'Detail Balok'!$C$10:$AU$140,30,FALSE)</f>
        <v>13</v>
      </c>
      <c r="I1272" t="str">
        <v>(</v>
      </c>
      <c r="J1272">
        <f>+J1264</f>
        <v>1.7725</v>
      </c>
      <c r="K1272" t="str">
        <v>+</v>
      </c>
      <c r="L1272">
        <f>MAX(VLOOKUP(F1272,N$6:P$15,3,FALSE)/1000,2/3*D1260/1000)+F$16*F1272/1000</f>
        <v>0.156</v>
      </c>
      <c r="M1272" t="str">
        <v>=</v>
      </c>
      <c r="N1272">
        <f>J1272+L1272</f>
        <v>1.9284999999999999</v>
      </c>
      <c r="O1272" t="str">
        <v>+</v>
      </c>
      <c r="P1272">
        <f>D1272-D1271</f>
        <v>0</v>
      </c>
      <c r="Q1272" t="str">
        <v>x</v>
      </c>
      <c r="R1272">
        <f>IF(P1272&gt;0,$F$18*F1272/1000,0)</f>
        <v>0</v>
      </c>
      <c r="S1272" t="str">
        <v>)</v>
      </c>
      <c r="T1272" t="str">
        <v>x</v>
      </c>
      <c r="U1272">
        <f>0.006165*F1272^2</f>
        <v>1.041885</v>
      </c>
      <c r="X1272" t="str">
        <v>x</v>
      </c>
      <c r="Y1272">
        <f>D1261</f>
        <v>1</v>
      </c>
      <c r="Z1272" t="str">
        <v>=</v>
      </c>
      <c r="AA1272">
        <f>IF(AA1273=0,(D1272*N1272+P1272*R1272)*U1272*Y1272,0)</f>
        <v>0</v>
      </c>
    </row>
    <row r="1273">
      <c r="A1273" t="str">
        <f>A1255</f>
        <v>Lantai 1</v>
      </c>
      <c r="B1273">
        <f>B1255</f>
        <v>41</v>
      </c>
      <c r="D1273">
        <f>IF(AND(D1270=D1271,D1271=D1272,D1270=D1272),D1270,0)</f>
        <v>3</v>
      </c>
      <c r="E1273" t="str">
        <v>D</v>
      </c>
      <c r="F1273">
        <f>IF(AND(F1270=F1271,F1270=F1272,F1271=F1272),F1270,0)</f>
        <v>13</v>
      </c>
      <c r="L1273" t="str">
        <v>Total panjang per balok</v>
      </c>
      <c r="M1273" t="str">
        <v>=</v>
      </c>
      <c r="N1273">
        <f>IF(AND(D1270=D1271,D1270=D1272,D1271=D1272,F1270=F1271,F1270=F1272,F1271=F1272),SUM(N1270:N1272),0)</f>
        <v>7.401999999999999</v>
      </c>
      <c r="O1273" t="str">
        <v>+</v>
      </c>
      <c r="P1273">
        <f>IF(N1273&gt;12,ROUNDDOWN(N1273/12,0),0)</f>
        <v>0</v>
      </c>
      <c r="Q1273" t="str">
        <v>x</v>
      </c>
      <c r="R1273">
        <f>IF(P1273&gt;0,MAX(VLOOKUP(F1273,$D$6:$G$15,3,FALSE),600),0)/1000</f>
        <v>0</v>
      </c>
      <c r="T1273" t="str">
        <v>x</v>
      </c>
      <c r="U1273">
        <f>U1272</f>
        <v>1.041885</v>
      </c>
      <c r="V1273" t="str">
        <v>x</v>
      </c>
      <c r="W1273">
        <f>D1273</f>
        <v>3</v>
      </c>
      <c r="X1273" t="str">
        <v>x</v>
      </c>
      <c r="Y1273">
        <f>Y1272</f>
        <v>1</v>
      </c>
      <c r="Z1273" t="str">
        <v>=</v>
      </c>
      <c r="AA1273">
        <f>(N1273+P1273*R1273/1000)*U1273*W1273*Y1273</f>
        <v>23.136098309999994</v>
      </c>
    </row>
    <row r="1275">
      <c r="A1275" t="str">
        <f>A1255</f>
        <v>Lantai 1</v>
      </c>
      <c r="B1275">
        <f>B1255</f>
        <v>41</v>
      </c>
      <c r="C1275" t="str">
        <v>Sengkang Tumpuan</v>
      </c>
      <c r="D1275">
        <f>VLOOKUP(D1255,'Detail Balok'!$C$10:$AU$140,31,FALSE)</f>
        <v>0</v>
      </c>
      <c r="E1275" t="str">
        <v>D</v>
      </c>
      <c r="F1275">
        <f>VLOOKUP(D1255,'Detail Balok'!$C$10:$AU$140,33,FALSE)</f>
        <v>8</v>
      </c>
      <c r="G1275" t="str">
        <v>-</v>
      </c>
      <c r="H1275">
        <f>VLOOKUP(D1255,'Detail Balok'!$C$10:$AU$140,35,FALSE)</f>
        <v>150</v>
      </c>
      <c r="J1275">
        <f>(IF(D1275=0,(2*(D1256+G1256))-(F$5*8),IF(D1275=3,(2*(D1256+G1256))-(F$5*8)+(G1256-2*F$5),IF(D1275=4,(2*(D1256+G1256))-(F$5*8)+2*(G1256-2*F$5)))))/1000</f>
        <v>0.88</v>
      </c>
      <c r="K1275" t="str">
        <v>+</v>
      </c>
      <c r="L1275">
        <f>IF(D1275=0,2*MAX(6*F1275,75),(D1275-1)*2*MAX(6*F1275,75))/1000</f>
        <v>0.15</v>
      </c>
      <c r="M1275" t="str">
        <v>=</v>
      </c>
      <c r="N1275">
        <f>J1275+L1275</f>
        <v>1.03</v>
      </c>
      <c r="T1275" t="str">
        <v>x</v>
      </c>
      <c r="U1275">
        <f>0.006165*F1275^2</f>
        <v>0.39456</v>
      </c>
      <c r="V1275" t="str">
        <v>x</v>
      </c>
      <c r="W1275">
        <f>IF(D1258&gt;4*G1256,ROUND(MAX(D1258/4,2*G1256)/H1275,0)+1,ROUND(D1258/H1275,0)+1)</f>
        <v>13</v>
      </c>
      <c r="X1275" t="str">
        <v>x</v>
      </c>
      <c r="Y1275">
        <f>D1261</f>
        <v>1</v>
      </c>
      <c r="Z1275" t="str">
        <v>=</v>
      </c>
      <c r="AA1275">
        <f>N1275*U1275*W1275*Y1275</f>
        <v>5.2831584000000005</v>
      </c>
    </row>
    <row r="1276">
      <c r="A1276" t="str">
        <f>A1255</f>
        <v>Lantai 1</v>
      </c>
      <c r="B1276">
        <f>B1255</f>
        <v>41</v>
      </c>
      <c r="C1276" t="str">
        <v>Sengkang Lapangan</v>
      </c>
      <c r="D1276">
        <f>VLOOKUP(D1255,'Detail Balok'!$C$10:$AU$140,36,FALSE)</f>
        <v>0</v>
      </c>
      <c r="E1276" t="str">
        <v>D</v>
      </c>
      <c r="F1276">
        <f>VLOOKUP(D1255,'Detail Balok'!$C$10:$AU$140,38,FALSE)</f>
        <v>8</v>
      </c>
      <c r="G1276" t="str">
        <v>-</v>
      </c>
      <c r="H1276">
        <f>VLOOKUP(D1255,'Detail Balok'!$C$10:$AU$140,40,FALSE)</f>
        <v>200</v>
      </c>
      <c r="J1276">
        <f>(IF(D1276=0,(2*(D1256+G1256))-(F$5*8),IF(D1276=3,(2*(D1256+G1256))-(F$5*8)+(G1256-2*F$5),IF(D1276=4,(2*(D1256+G1256))-(F$5*8)+2*(G1256-2*F$5)))))/1000</f>
        <v>0.88</v>
      </c>
      <c r="K1276" t="str">
        <v>+</v>
      </c>
      <c r="L1276">
        <f>IF(D1276=0,2*MAX(6*F1276,75),(D1276-1)*2*MAX(6*F1276,75))/1000</f>
        <v>0.15</v>
      </c>
      <c r="M1276" t="str">
        <v>=</v>
      </c>
      <c r="N1276">
        <f>J1276+L1276</f>
        <v>1.03</v>
      </c>
      <c r="T1276" t="str">
        <v>x</v>
      </c>
      <c r="U1276">
        <f>0.006165*F1276^2</f>
        <v>0.39456</v>
      </c>
      <c r="V1276" t="str">
        <v>x</v>
      </c>
      <c r="W1276">
        <f>IF(D1258-MAX(D1258/4,2*G1256)*2&gt;0,ROUND((D1258-MAX(D1258/4,2*G1256)*2)/H1276,0),0)</f>
        <v>18</v>
      </c>
      <c r="X1276" t="str">
        <v>x</v>
      </c>
      <c r="Y1276">
        <f>D1261</f>
        <v>1</v>
      </c>
      <c r="Z1276" t="str">
        <v>=</v>
      </c>
      <c r="AA1276">
        <f>N1276*U1276*W1276*Y1276</f>
        <v>7.315142400000001</v>
      </c>
    </row>
    <row r="1277">
      <c r="A1277" t="str">
        <f>A1255</f>
        <v>Lantai 1</v>
      </c>
      <c r="B1277">
        <f>B1255</f>
        <v>41</v>
      </c>
      <c r="C1277" t="str">
        <v>Sengkang Tumpuan</v>
      </c>
      <c r="D1277">
        <f>VLOOKUP(D1255,'Detail Balok'!$C$10:$AU$140,41,FALSE)</f>
        <v>0</v>
      </c>
      <c r="E1277" t="str">
        <v>D</v>
      </c>
      <c r="F1277">
        <f>VLOOKUP(D1255,'Detail Balok'!$C$10:$AU$140,43,FALSE)</f>
        <v>8</v>
      </c>
      <c r="G1277" t="str">
        <v>-</v>
      </c>
      <c r="H1277">
        <f>VLOOKUP(D1255,'Detail Balok'!$C$10:$AU$140,45,FALSE)</f>
        <v>150</v>
      </c>
      <c r="J1277">
        <f>(IF(D1277=0,(2*(D1256+G1256))-(F$5*8),IF(D1277=3,(2*(D1256+G1256))-(F$5*8)+(G1256-2*F$5),IF(D1277=4,(2*(D1256+G1256))-(F$5*8)+2*(G1256-2*F$5)))))/1000</f>
        <v>0.88</v>
      </c>
      <c r="K1277" t="str">
        <v>+</v>
      </c>
      <c r="L1277">
        <f>IF(D1277=0,2*MAX(6*F1277,75),(D1277-1)*2*MAX(6*F1277,75))/1000</f>
        <v>0.15</v>
      </c>
      <c r="M1277" t="str">
        <v>=</v>
      </c>
      <c r="N1277">
        <f>J1277+L1277</f>
        <v>1.03</v>
      </c>
      <c r="T1277" t="str">
        <v>x</v>
      </c>
      <c r="U1277">
        <f>0.006165*F1277^2</f>
        <v>0.39456</v>
      </c>
      <c r="V1277" t="str">
        <v>x</v>
      </c>
      <c r="W1277">
        <f>IF(D1258&gt;4*G1256,ROUND(MAX(D1258/4,2*G1256)/H1277,0)+1,0)</f>
        <v>13</v>
      </c>
      <c r="X1277" t="str">
        <v>x</v>
      </c>
      <c r="Y1277">
        <f>D1261</f>
        <v>1</v>
      </c>
      <c r="Z1277" t="str">
        <v>=</v>
      </c>
      <c r="AA1277">
        <f>N1277*U1277*W1277*Y1277</f>
        <v>5.2831584000000005</v>
      </c>
    </row>
    <row r="1279">
      <c r="A1279" t="str">
        <f>A1255</f>
        <v>Lantai 1</v>
      </c>
      <c r="B1279">
        <f>B1255</f>
        <v>41</v>
      </c>
      <c r="C1279" t="str">
        <v>Kait Horizontal Tump.</v>
      </c>
      <c r="D1279">
        <f>VLOOKUP(D1255,'Detail Balok'!$C$10:$BJ$140,46,FALSE)</f>
        <v>0</v>
      </c>
      <c r="E1279" t="str">
        <v>D</v>
      </c>
      <c r="F1279">
        <f>VLOOKUP(D1255,'Detail Balok'!$C$10:$BJ$140,48,FALSE)</f>
        <v>0</v>
      </c>
      <c r="G1279" t="str">
        <v>-</v>
      </c>
      <c r="H1279">
        <f>VLOOKUP(D1255,'Detail Balok'!$C$10:$BJ$140,50,FALSE)</f>
        <v>100</v>
      </c>
      <c r="J1279">
        <f>(D1256-2*F$5)/1000</f>
        <v>0.12</v>
      </c>
      <c r="K1279" t="str">
        <v>+</v>
      </c>
      <c r="L1279">
        <f>IF(D1279=0,2*MAX(6*F1279,75),(D1279-1)*2*MAX(6*F1279,75))/1000</f>
        <v>0.15</v>
      </c>
      <c r="M1279" t="str">
        <v>=</v>
      </c>
      <c r="N1279">
        <f>J1279+L1279</f>
        <v>0.27</v>
      </c>
      <c r="T1279" t="str">
        <v>x</v>
      </c>
      <c r="U1279">
        <f>0.006165*F1279^2</f>
        <v>0</v>
      </c>
      <c r="V1279" t="str">
        <v>x</v>
      </c>
      <c r="W1279">
        <f>W1275</f>
        <v>13</v>
      </c>
      <c r="X1279" t="str">
        <v>x</v>
      </c>
      <c r="Y1279">
        <f>D1265</f>
        <v>3</v>
      </c>
      <c r="Z1279" t="str">
        <v>=</v>
      </c>
      <c r="AA1279">
        <f>N1279*U1279*W1279*Y1279</f>
        <v>0</v>
      </c>
    </row>
    <row r="1280">
      <c r="A1280" t="str">
        <f>A1255</f>
        <v>Lantai 1</v>
      </c>
      <c r="B1280">
        <f>B1255</f>
        <v>41</v>
      </c>
      <c r="C1280" t="str">
        <v>Kait Horizontal Lap.</v>
      </c>
      <c r="D1280">
        <f>VLOOKUP(D1255,'Detail Balok'!$C$10:$BJ$140,51,FALSE)</f>
        <v>0</v>
      </c>
      <c r="E1280" t="str">
        <v>D</v>
      </c>
      <c r="F1280">
        <f>VLOOKUP(D1255,'Detail Balok'!$C$10:$BJ$140,53,FALSE)</f>
        <v>0</v>
      </c>
      <c r="G1280" t="str">
        <v>-</v>
      </c>
      <c r="H1280">
        <f>VLOOKUP(D1255,'Detail Balok'!$C$10:$BJ$140,55,FALSE)</f>
        <v>100</v>
      </c>
      <c r="J1280">
        <f>(D1256-2*F$5)/1000</f>
        <v>0.12</v>
      </c>
      <c r="K1280" t="str">
        <v>+</v>
      </c>
      <c r="L1280">
        <f>IF(D1280=0,2*MAX(6*F1280,75),(D1280-1)*2*MAX(6*F1280,75))/1000</f>
        <v>0.15</v>
      </c>
      <c r="M1280" t="str">
        <v>=</v>
      </c>
      <c r="N1280">
        <f>J1280+L1280</f>
        <v>0.27</v>
      </c>
      <c r="T1280" t="str">
        <v>x</v>
      </c>
      <c r="U1280">
        <f>0.006165*F1280^2</f>
        <v>0</v>
      </c>
      <c r="V1280" t="str">
        <v>x</v>
      </c>
      <c r="W1280">
        <f>W1276</f>
        <v>18</v>
      </c>
      <c r="X1280" t="str">
        <v>x</v>
      </c>
      <c r="Y1280">
        <f>D1265</f>
        <v>3</v>
      </c>
      <c r="Z1280" t="str">
        <v>=</v>
      </c>
      <c r="AA1280">
        <f>N1280*U1280*W1280*Y1280</f>
        <v>0</v>
      </c>
    </row>
    <row r="1281">
      <c r="A1281" t="str">
        <f>A1255</f>
        <v>Lantai 1</v>
      </c>
      <c r="B1281">
        <f>B1255</f>
        <v>41</v>
      </c>
      <c r="C1281" t="str">
        <v>Kait Horizontal Tump.</v>
      </c>
      <c r="D1281">
        <f>VLOOKUP(D1255,'Detail Balok'!$C$10:$BJ$140,56,FALSE)</f>
        <v>0</v>
      </c>
      <c r="E1281" t="str">
        <v>D</v>
      </c>
      <c r="F1281">
        <f>VLOOKUP(D1255,'Detail Balok'!$C$10:$BJ$140,58,FALSE)</f>
        <v>0</v>
      </c>
      <c r="G1281" t="str">
        <v>-</v>
      </c>
      <c r="H1281">
        <f>VLOOKUP(D1255,'Detail Balok'!$C$10:$BJ$140,60,FALSE)</f>
        <v>100</v>
      </c>
      <c r="J1281">
        <f>(D1256-2*F$5)/1000</f>
        <v>0.12</v>
      </c>
      <c r="K1281" t="str">
        <v>+</v>
      </c>
      <c r="L1281">
        <f>IF(D1281=0,2*MAX(6*F1281,75),(D1281-1)*2*MAX(6*F1281,75))/1000</f>
        <v>0.15</v>
      </c>
      <c r="M1281" t="str">
        <v>=</v>
      </c>
      <c r="N1281">
        <f>J1281+L1281</f>
        <v>0.27</v>
      </c>
      <c r="T1281" t="str">
        <v>x</v>
      </c>
      <c r="U1281">
        <f>0.006165*F1281^2</f>
        <v>0</v>
      </c>
      <c r="V1281" t="str">
        <v>x</v>
      </c>
      <c r="W1281">
        <f>W1277</f>
        <v>13</v>
      </c>
      <c r="X1281" t="str">
        <v>x</v>
      </c>
      <c r="Y1281">
        <f>D1265</f>
        <v>3</v>
      </c>
      <c r="Z1281" t="str">
        <v>=</v>
      </c>
      <c r="AA1281">
        <f>N1281*U1281*W1281*Y1281</f>
        <v>0</v>
      </c>
    </row>
    <row r="1285">
      <c r="A1285" t="str">
        <f>A1255</f>
        <v>Lantai 1</v>
      </c>
      <c r="B1285">
        <f>B1255+1</f>
        <v>42</v>
      </c>
      <c r="C1285" t="str">
        <f>CONCATENATE(A1285," no. ",B1285)</f>
        <v>Lantai 1 no. 42</v>
      </c>
      <c r="D1285" t="str">
        <f>VLOOKUP(C1285,'Data Panjang Balok'!$C$9:$N$254,2,FALSE)</f>
        <v>S25-1</v>
      </c>
    </row>
    <row r="1286">
      <c r="C1286" t="str">
        <v>Dimensi</v>
      </c>
      <c r="D1286">
        <f>VLOOKUP(D1285,'Detail Balok'!$C$10:$AU$140,2,FALSE)</f>
        <v>200</v>
      </c>
      <c r="F1286" t="str">
        <v>x</v>
      </c>
      <c r="G1286">
        <f>VLOOKUP(D1285,'Detail Balok'!$C$10:$AU$140,3,FALSE)</f>
        <v>500</v>
      </c>
    </row>
    <row r="1287">
      <c r="C1287" t="str">
        <v>Panjang as ke as</v>
      </c>
      <c r="D1287">
        <f>VLOOKUP(C1285,'Data Panjang Balok'!$C$9:$N$254,4,FALSE)</f>
        <v>5500</v>
      </c>
    </row>
    <row r="1288">
      <c r="C1288" t="str">
        <v>Panjang netto</v>
      </c>
      <c r="D1288">
        <f>VLOOKUP(C1285,'Data Panjang Balok'!$C$9:$N$254,7,FALSE)</f>
        <v>5500</v>
      </c>
    </row>
    <row r="1289">
      <c r="C1289" t="str">
        <v>Kolom / balok kiri</v>
      </c>
      <c r="D1289">
        <f>VLOOKUP(C1285,'Data Panjang Balok'!$C$9:$N$254,9,FALSE)</f>
        <v>0</v>
      </c>
    </row>
    <row r="1290">
      <c r="C1290" t="str">
        <v>Kolom / balok kanan</v>
      </c>
      <c r="D1290">
        <f>VLOOKUP(C1285,'Data Panjang Balok'!$C$9:$N$254,10,FALSE)</f>
        <v>0</v>
      </c>
    </row>
    <row r="1291">
      <c r="C1291" t="str">
        <v>Jumlah</v>
      </c>
      <c r="D1291">
        <f>VLOOKUP(C1285,'Data Panjang Balok'!$C$9:$N$254,3,FALSE)</f>
        <v>1</v>
      </c>
    </row>
    <row r="1292">
      <c r="A1292" t="str">
        <f>A1285</f>
        <v>Lantai 1</v>
      </c>
      <c r="B1292">
        <f>B1285</f>
        <v>42</v>
      </c>
      <c r="C1292" t="str">
        <v>Tul Atas Tumpuan</v>
      </c>
      <c r="D1292">
        <f>VLOOKUP(D1285,'Detail Balok'!$C$10:$AU$140,4,FALSE)</f>
        <v>3</v>
      </c>
      <c r="E1292" t="str">
        <v>D</v>
      </c>
      <c r="F1292">
        <f>VLOOKUP(D1285,'Detail Balok'!$C$10:$AU$140,6,FALSE)</f>
        <v>16</v>
      </c>
      <c r="I1292" t="str">
        <v>(</v>
      </c>
      <c r="J1292">
        <f>+D1287/4/1000</f>
        <v>1.375</v>
      </c>
      <c r="K1292" t="str">
        <v>+</v>
      </c>
      <c r="L1292">
        <f>MAX(VLOOKUP(F1292,N$6:P$15,3,FALSE)/1000,2/3*D1289/1000)+F$16*F1292/1000</f>
        <v>0.192</v>
      </c>
      <c r="M1292" t="str">
        <v>=</v>
      </c>
      <c r="N1292">
        <f>J1292+L1292</f>
        <v>1.567</v>
      </c>
      <c r="O1292" t="str">
        <v>+</v>
      </c>
      <c r="P1292">
        <f>D1292-D1293</f>
        <v>0</v>
      </c>
      <c r="Q1292" t="str">
        <v>x</v>
      </c>
      <c r="R1292">
        <f>IF(P1292&gt;0,$F$18*F1292/1000,0)</f>
        <v>0</v>
      </c>
      <c r="S1292" t="str">
        <v>)</v>
      </c>
      <c r="T1292" t="str">
        <v>x</v>
      </c>
      <c r="U1292">
        <f>0.006165*F1292^2</f>
        <v>1.57824</v>
      </c>
      <c r="X1292" t="str">
        <v>x</v>
      </c>
      <c r="Y1292">
        <f>D1291</f>
        <v>1</v>
      </c>
      <c r="Z1292" t="str">
        <v>=</v>
      </c>
      <c r="AA1292">
        <f>IF(AA1295=0,(D1292*N1292+P1292*R1292)*U1292*Y1292,0)</f>
        <v>0</v>
      </c>
    </row>
    <row r="1293">
      <c r="A1293" t="str">
        <f>A1285</f>
        <v>Lantai 1</v>
      </c>
      <c r="B1293">
        <f>B1285</f>
        <v>42</v>
      </c>
      <c r="C1293" t="str">
        <v>Tul Atas Lapangan</v>
      </c>
      <c r="D1293">
        <f>VLOOKUP(D1285,'Detail Balok'!$C$10:$AU$140,7,FALSE)</f>
        <v>3</v>
      </c>
      <c r="E1293" t="str">
        <v>D</v>
      </c>
      <c r="F1293">
        <f>VLOOKUP(D1285,'Detail Balok'!$C$10:$AU$140,9,FALSE)</f>
        <v>16</v>
      </c>
      <c r="I1293" t="str">
        <v>(</v>
      </c>
      <c r="J1293">
        <f>+D1287/2/1000</f>
        <v>2.75</v>
      </c>
      <c r="K1293" t="str">
        <v>+</v>
      </c>
      <c r="M1293" t="str">
        <v>=</v>
      </c>
      <c r="N1293">
        <f>J1293+L1293</f>
        <v>2.75</v>
      </c>
      <c r="O1293" t="str">
        <v>+</v>
      </c>
      <c r="P1293">
        <f>MAX(D1293-D1292,D1293-D1294)</f>
        <v>0</v>
      </c>
      <c r="Q1293" t="str">
        <v>x</v>
      </c>
      <c r="R1293">
        <f>IF(P1293&gt;0,2*(1-2*$F$19-1/2)*D1288/1000,0)</f>
        <v>0</v>
      </c>
      <c r="S1293" t="str">
        <v>)</v>
      </c>
      <c r="T1293" t="str">
        <v>x</v>
      </c>
      <c r="U1293">
        <f>0.006165*F1293^2</f>
        <v>1.57824</v>
      </c>
      <c r="X1293" t="str">
        <v>x</v>
      </c>
      <c r="Y1293">
        <f>D1291</f>
        <v>1</v>
      </c>
      <c r="Z1293" t="str">
        <v>=</v>
      </c>
      <c r="AA1293">
        <f>IF(AA1295=0,(D1293*N1293+P1293*R1293)*U1293*Y1293,0)</f>
        <v>0</v>
      </c>
    </row>
    <row r="1294">
      <c r="A1294" t="str">
        <f>A1285</f>
        <v>Lantai 1</v>
      </c>
      <c r="B1294">
        <f>B1285</f>
        <v>42</v>
      </c>
      <c r="C1294" t="str">
        <v>Tul Atas Tumpuan</v>
      </c>
      <c r="D1294">
        <f>VLOOKUP(D1285,'Detail Balok'!$C$10:$AU$140,10,FALSE)</f>
        <v>3</v>
      </c>
      <c r="E1294" t="str">
        <v>D</v>
      </c>
      <c r="F1294">
        <f>VLOOKUP(D1285,'Detail Balok'!$C$10:$AU$140,12,FALSE)</f>
        <v>16</v>
      </c>
      <c r="I1294" t="str">
        <v>(</v>
      </c>
      <c r="J1294">
        <f>+D1287/4/1000</f>
        <v>1.375</v>
      </c>
      <c r="K1294" t="str">
        <v>+</v>
      </c>
      <c r="L1294">
        <f>MAX(VLOOKUP(F1294,N$6:P$15,3,FALSE)/1000,2/3*D1289/1000)+F$16*F1294/1000</f>
        <v>0.192</v>
      </c>
      <c r="M1294" t="str">
        <v>=</v>
      </c>
      <c r="N1294">
        <f>J1294+L1294</f>
        <v>1.567</v>
      </c>
      <c r="O1294" t="str">
        <v>+</v>
      </c>
      <c r="P1294">
        <f>D1294-D1293</f>
        <v>0</v>
      </c>
      <c r="Q1294" t="str">
        <v>x</v>
      </c>
      <c r="R1294">
        <f>IF(P1294&gt;0,$F$18*F1294/1000,0)</f>
        <v>0</v>
      </c>
      <c r="S1294" t="str">
        <v>)</v>
      </c>
      <c r="T1294" t="str">
        <v>x</v>
      </c>
      <c r="U1294">
        <f>0.006165*F1294^2</f>
        <v>1.57824</v>
      </c>
      <c r="X1294" t="str">
        <v>x</v>
      </c>
      <c r="Y1294">
        <f>D1291</f>
        <v>1</v>
      </c>
      <c r="Z1294" t="str">
        <v>=</v>
      </c>
      <c r="AA1294">
        <f>IF(AA1295=0,(D1294*N1294+P1294*R1294)*U1294*Y1294,0)</f>
        <v>0</v>
      </c>
    </row>
    <row r="1295">
      <c r="A1295" t="str">
        <f>A1285</f>
        <v>Lantai 1</v>
      </c>
      <c r="B1295">
        <f>B1285</f>
        <v>42</v>
      </c>
      <c r="D1295">
        <f>IF(AND(D1292=D1293,D1293=D1294,D1292=D1294),D1292,0)</f>
        <v>3</v>
      </c>
      <c r="E1295" t="str">
        <v>D</v>
      </c>
      <c r="F1295">
        <f>IF(AND(F1292=F1293,F1292=F1294,F1293=F1294),F1292,0)</f>
        <v>16</v>
      </c>
      <c r="L1295" t="str">
        <v>Total panjang per balok</v>
      </c>
      <c r="M1295" t="str">
        <v>=</v>
      </c>
      <c r="N1295">
        <f>IF(AND(D1292=D1293,D1292=D1294,D1293=D1294,F1292=F1293,F1292=F1294,F1293=F1294),SUM(N1292:N1294),0)</f>
        <v>5.884</v>
      </c>
      <c r="O1295" t="str">
        <v>+</v>
      </c>
      <c r="P1295">
        <f>IF(N1295&gt;12,ROUNDDOWN(N1295/12,0),0)</f>
        <v>0</v>
      </c>
      <c r="Q1295" t="str">
        <v>x</v>
      </c>
      <c r="R1295">
        <f>IF(P1295&gt;0,MAX(VLOOKUP(F1295,$D$6:$G$15,3,FALSE),600),0)/1000</f>
        <v>0</v>
      </c>
      <c r="T1295" t="str">
        <v>x</v>
      </c>
      <c r="U1295">
        <f>U1294</f>
        <v>1.57824</v>
      </c>
      <c r="V1295" t="str">
        <v>x</v>
      </c>
      <c r="W1295">
        <f>D1295</f>
        <v>3</v>
      </c>
      <c r="X1295" t="str">
        <v>x</v>
      </c>
      <c r="Y1295">
        <f>Y1294</f>
        <v>1</v>
      </c>
      <c r="Z1295" t="str">
        <v>=</v>
      </c>
      <c r="AA1295">
        <f>(N1295+P1295*R1295/1000)*U1295*W1295*Y1295</f>
        <v>27.859092480000005</v>
      </c>
    </row>
    <row r="1297">
      <c r="A1297" t="str">
        <f>A1285</f>
        <v>Lantai 1</v>
      </c>
      <c r="B1297">
        <f>B1285</f>
        <v>42</v>
      </c>
      <c r="C1297" t="str">
        <v>Tul Peminggang</v>
      </c>
      <c r="D1297">
        <f>VLOOKUP(D1285,'Detail Balok'!$C$10:$AU$140,13,FALSE)</f>
        <v>2</v>
      </c>
      <c r="E1297" t="str">
        <v>D</v>
      </c>
      <c r="F1297">
        <f>VLOOKUP(D1285,'Detail Balok'!$C$10:$AU$140,15,FALSE)</f>
        <v>10</v>
      </c>
      <c r="J1297">
        <f>+D1287/1000</f>
        <v>5.5</v>
      </c>
      <c r="K1297" t="str">
        <v>+</v>
      </c>
      <c r="L1297">
        <f>2*$F$16*F1297/1000</f>
        <v>0.24</v>
      </c>
      <c r="M1297" t="str">
        <v>=</v>
      </c>
      <c r="N1297">
        <f>J1297+L1297</f>
        <v>5.74</v>
      </c>
      <c r="O1297" t="str">
        <v>+</v>
      </c>
      <c r="P1297">
        <f>IF(N1297&gt;12,ROUNDDOWN(N1297/12,0),0)</f>
        <v>0</v>
      </c>
      <c r="Q1297" t="str">
        <v>x</v>
      </c>
      <c r="R1297">
        <f>IF(P1297&gt;0,MAX(VLOOKUP(F1297,$D$6:$G$15,3,FALSE),600),0)/1000</f>
        <v>0</v>
      </c>
      <c r="T1297" t="str">
        <v>x</v>
      </c>
      <c r="U1297">
        <f>0.006165*F1297^2</f>
        <v>0.6165</v>
      </c>
      <c r="V1297" t="str">
        <v>x</v>
      </c>
      <c r="W1297">
        <f>+D1297</f>
        <v>2</v>
      </c>
      <c r="X1297" t="str">
        <v>x</v>
      </c>
      <c r="Y1297">
        <f>D1291</f>
        <v>1</v>
      </c>
      <c r="Z1297" t="str">
        <v>=</v>
      </c>
      <c r="AA1297">
        <f>(N1297+P1297*R1297/1000)*U1297*W1297*Y1297</f>
        <v>7.077420000000001</v>
      </c>
    </row>
    <row r="1300">
      <c r="A1300" t="str">
        <f>A1285</f>
        <v>Lantai 1</v>
      </c>
      <c r="B1300">
        <f>B1285</f>
        <v>42</v>
      </c>
      <c r="C1300" t="str">
        <v>Tul Bawah Tumpuan</v>
      </c>
      <c r="D1300">
        <f>VLOOKUP(D1285,'Detail Balok'!$C$10:$AU$140,22,FALSE)</f>
        <v>3</v>
      </c>
      <c r="E1300" t="str">
        <v>D</v>
      </c>
      <c r="F1300">
        <f>VLOOKUP(D1285,'Detail Balok'!$C$10:$AU$140,24,FALSE)</f>
        <v>16</v>
      </c>
      <c r="I1300" t="str">
        <v>(</v>
      </c>
      <c r="J1300">
        <f>+J1292</f>
        <v>1.375</v>
      </c>
      <c r="K1300" t="str">
        <v>+</v>
      </c>
      <c r="L1300">
        <f>MAX(VLOOKUP(F1300,N$6:P$15,3,FALSE)/1000,2/3*D1290/1000)+F$16*F1300/1000</f>
        <v>0.192</v>
      </c>
      <c r="M1300" t="str">
        <v>=</v>
      </c>
      <c r="N1300">
        <f>J1300+L1300</f>
        <v>1.567</v>
      </c>
      <c r="O1300" t="str">
        <v>+</v>
      </c>
      <c r="P1300">
        <f>D1300-D1301</f>
        <v>0</v>
      </c>
      <c r="Q1300" t="str">
        <v>x</v>
      </c>
      <c r="R1300">
        <f>IF(P1300&gt;0,$F$18*F1300/1000,0)</f>
        <v>0</v>
      </c>
      <c r="S1300" t="str">
        <v>)</v>
      </c>
      <c r="T1300" t="str">
        <v>x</v>
      </c>
      <c r="U1300">
        <f>0.006165*F1300^2</f>
        <v>1.57824</v>
      </c>
      <c r="X1300" t="str">
        <v>x</v>
      </c>
      <c r="Y1300">
        <f>D1291</f>
        <v>1</v>
      </c>
      <c r="Z1300" t="str">
        <v>=</v>
      </c>
      <c r="AA1300">
        <f>IF(AA1303=0,(D1300*N1300+P1300*R1300)*U1300*Y1300,0)</f>
        <v>0</v>
      </c>
    </row>
    <row r="1301">
      <c r="A1301" t="str">
        <f>A1285</f>
        <v>Lantai 1</v>
      </c>
      <c r="B1301">
        <f>B1285</f>
        <v>42</v>
      </c>
      <c r="C1301" t="str">
        <v>Tul Bawah Lapangan</v>
      </c>
      <c r="D1301">
        <f>VLOOKUP(D1285,'Detail Balok'!$C$10:$AU$140,25,FALSE)</f>
        <v>3</v>
      </c>
      <c r="E1301" t="str">
        <v>D</v>
      </c>
      <c r="F1301">
        <f>VLOOKUP(D1285,'Detail Balok'!$C$10:$AU$140,27,FALSE)</f>
        <v>16</v>
      </c>
      <c r="I1301" t="str">
        <v>(</v>
      </c>
      <c r="J1301">
        <f>+J1293</f>
        <v>2.75</v>
      </c>
      <c r="K1301" t="str">
        <v>+</v>
      </c>
      <c r="M1301" t="str">
        <v>=</v>
      </c>
      <c r="N1301">
        <f>J1301+L1301</f>
        <v>2.75</v>
      </c>
      <c r="O1301" t="str">
        <v>+</v>
      </c>
      <c r="P1301">
        <f>MAX(D1301-D1300,D1301-D1302)</f>
        <v>0</v>
      </c>
      <c r="Q1301" t="str">
        <v>x</v>
      </c>
      <c r="R1301">
        <f>IF(P1301&gt;0,2*(1-2*$F$19-1/2)*D1288/1000,0)</f>
        <v>0</v>
      </c>
      <c r="S1301" t="str">
        <v>)</v>
      </c>
      <c r="T1301" t="str">
        <v>x</v>
      </c>
      <c r="U1301">
        <f>0.006165*F1301^2</f>
        <v>1.57824</v>
      </c>
      <c r="X1301" t="str">
        <v>x</v>
      </c>
      <c r="Y1301">
        <f>D1291</f>
        <v>1</v>
      </c>
      <c r="Z1301" t="str">
        <v>=</v>
      </c>
      <c r="AA1301">
        <f>IF(AA1303=0,(D1301*N1301+P1301*R1301)*U1301*Y1301,0)</f>
        <v>0</v>
      </c>
    </row>
    <row r="1302">
      <c r="A1302" t="str">
        <f>A1285</f>
        <v>Lantai 1</v>
      </c>
      <c r="B1302">
        <f>B1285</f>
        <v>42</v>
      </c>
      <c r="C1302" t="str">
        <v>Tul Bawah Tumpuan</v>
      </c>
      <c r="D1302">
        <f>VLOOKUP(D1285,'Detail Balok'!$C$10:$AU$140,28,FALSE)</f>
        <v>3</v>
      </c>
      <c r="E1302" t="str">
        <v>D</v>
      </c>
      <c r="F1302">
        <f>VLOOKUP(D1285,'Detail Balok'!$C$10:$AU$140,30,FALSE)</f>
        <v>16</v>
      </c>
      <c r="I1302" t="str">
        <v>(</v>
      </c>
      <c r="J1302">
        <f>+J1294</f>
        <v>1.375</v>
      </c>
      <c r="K1302" t="str">
        <v>+</v>
      </c>
      <c r="L1302">
        <f>MAX(VLOOKUP(F1302,N$6:P$15,3,FALSE)/1000,2/3*D1290/1000)+F$16*F1302/1000</f>
        <v>0.192</v>
      </c>
      <c r="M1302" t="str">
        <v>=</v>
      </c>
      <c r="N1302">
        <f>J1302+L1302</f>
        <v>1.567</v>
      </c>
      <c r="O1302" t="str">
        <v>+</v>
      </c>
      <c r="P1302">
        <f>D1302-D1301</f>
        <v>0</v>
      </c>
      <c r="Q1302" t="str">
        <v>x</v>
      </c>
      <c r="R1302">
        <f>IF(P1302&gt;0,$F$18*F1302/1000,0)</f>
        <v>0</v>
      </c>
      <c r="S1302" t="str">
        <v>)</v>
      </c>
      <c r="T1302" t="str">
        <v>x</v>
      </c>
      <c r="U1302">
        <f>0.006165*F1302^2</f>
        <v>1.57824</v>
      </c>
      <c r="X1302" t="str">
        <v>x</v>
      </c>
      <c r="Y1302">
        <f>D1291</f>
        <v>1</v>
      </c>
      <c r="Z1302" t="str">
        <v>=</v>
      </c>
      <c r="AA1302">
        <f>IF(AA1303=0,(D1302*N1302+P1302*R1302)*U1302*Y1302,0)</f>
        <v>0</v>
      </c>
    </row>
    <row r="1303">
      <c r="A1303" t="str">
        <f>A1285</f>
        <v>Lantai 1</v>
      </c>
      <c r="B1303">
        <f>B1285</f>
        <v>42</v>
      </c>
      <c r="D1303">
        <f>IF(AND(D1300=D1301,D1301=D1302,D1300=D1302),D1300,0)</f>
        <v>3</v>
      </c>
      <c r="E1303" t="str">
        <v>D</v>
      </c>
      <c r="F1303">
        <f>IF(AND(F1300=F1301,F1300=F1302,F1301=F1302),F1300,0)</f>
        <v>16</v>
      </c>
      <c r="L1303" t="str">
        <v>Total panjang per balok</v>
      </c>
      <c r="M1303" t="str">
        <v>=</v>
      </c>
      <c r="N1303">
        <f>IF(AND(D1300=D1301,D1300=D1302,D1301=D1302,F1300=F1301,F1300=F1302,F1301=F1302),SUM(N1300:N1302),0)</f>
        <v>5.884</v>
      </c>
      <c r="O1303" t="str">
        <v>+</v>
      </c>
      <c r="P1303">
        <f>IF(N1303&gt;12,ROUNDDOWN(N1303/12,0),0)</f>
        <v>0</v>
      </c>
      <c r="Q1303" t="str">
        <v>x</v>
      </c>
      <c r="R1303">
        <f>IF(P1303&gt;0,MAX(VLOOKUP(F1303,$D$6:$G$15,3,FALSE),600),0)/1000</f>
        <v>0</v>
      </c>
      <c r="T1303" t="str">
        <v>x</v>
      </c>
      <c r="U1303">
        <f>U1302</f>
        <v>1.57824</v>
      </c>
      <c r="V1303" t="str">
        <v>x</v>
      </c>
      <c r="W1303">
        <f>D1303</f>
        <v>3</v>
      </c>
      <c r="X1303" t="str">
        <v>x</v>
      </c>
      <c r="Y1303">
        <f>Y1302</f>
        <v>1</v>
      </c>
      <c r="Z1303" t="str">
        <v>=</v>
      </c>
      <c r="AA1303">
        <f>(N1303+P1303*R1303/1000)*U1303*W1303*Y1303</f>
        <v>27.859092480000005</v>
      </c>
    </row>
    <row r="1305">
      <c r="A1305" t="str">
        <f>A1285</f>
        <v>Lantai 1</v>
      </c>
      <c r="B1305">
        <f>B1285</f>
        <v>42</v>
      </c>
      <c r="C1305" t="str">
        <v>Sengkang Tumpuan</v>
      </c>
      <c r="D1305">
        <f>VLOOKUP(D1285,'Detail Balok'!$C$10:$AU$140,31,FALSE)</f>
        <v>0</v>
      </c>
      <c r="E1305" t="str">
        <v>D</v>
      </c>
      <c r="F1305">
        <f>VLOOKUP(D1285,'Detail Balok'!$C$10:$AU$140,33,FALSE)</f>
        <v>8</v>
      </c>
      <c r="G1305" t="str">
        <v>-</v>
      </c>
      <c r="H1305">
        <f>VLOOKUP(D1285,'Detail Balok'!$C$10:$AU$140,35,FALSE)</f>
        <v>150</v>
      </c>
      <c r="J1305">
        <f>(IF(D1305=0,(2*(D1286+G1286))-(F$5*8),IF(D1305=3,(2*(D1286+G1286))-(F$5*8)+(G1286-2*F$5),IF(D1305=4,(2*(D1286+G1286))-(F$5*8)+2*(G1286-2*F$5)))))/1000</f>
        <v>1.08</v>
      </c>
      <c r="K1305" t="str">
        <v>+</v>
      </c>
      <c r="L1305">
        <f>IF(D1305=0,2*MAX(6*F1305,75),(D1305-1)*2*MAX(6*F1305,75))/1000</f>
        <v>0.15</v>
      </c>
      <c r="M1305" t="str">
        <v>=</v>
      </c>
      <c r="N1305">
        <f>J1305+L1305</f>
        <v>1.23</v>
      </c>
      <c r="T1305" t="str">
        <v>x</v>
      </c>
      <c r="U1305">
        <f>0.006165*F1305^2</f>
        <v>0.39456</v>
      </c>
      <c r="V1305" t="str">
        <v>x</v>
      </c>
      <c r="W1305">
        <f>IF(D1288&gt;4*G1286,ROUND(MAX(D1288/4,2*G1286)/H1305,0)+1,ROUND(D1288/H1305,0)+1)</f>
        <v>10</v>
      </c>
      <c r="X1305" t="str">
        <v>x</v>
      </c>
      <c r="Y1305">
        <f>D1291</f>
        <v>1</v>
      </c>
      <c r="Z1305" t="str">
        <v>=</v>
      </c>
      <c r="AA1305">
        <f>N1305*U1305*W1305*Y1305</f>
        <v>4.8530880000000005</v>
      </c>
    </row>
    <row r="1306">
      <c r="A1306" t="str">
        <f>A1285</f>
        <v>Lantai 1</v>
      </c>
      <c r="B1306">
        <f>B1285</f>
        <v>42</v>
      </c>
      <c r="C1306" t="str">
        <v>Sengkang Lapangan</v>
      </c>
      <c r="D1306">
        <f>VLOOKUP(D1285,'Detail Balok'!$C$10:$AU$140,36,FALSE)</f>
        <v>0</v>
      </c>
      <c r="E1306" t="str">
        <v>D</v>
      </c>
      <c r="F1306">
        <f>VLOOKUP(D1285,'Detail Balok'!$C$10:$AU$140,38,FALSE)</f>
        <v>8</v>
      </c>
      <c r="G1306" t="str">
        <v>-</v>
      </c>
      <c r="H1306">
        <f>VLOOKUP(D1285,'Detail Balok'!$C$10:$AU$140,40,FALSE)</f>
        <v>200</v>
      </c>
      <c r="J1306">
        <f>(IF(D1306=0,(2*(D1286+G1286))-(F$5*8),IF(D1306=3,(2*(D1286+G1286))-(F$5*8)+(G1286-2*F$5),IF(D1306=4,(2*(D1286+G1286))-(F$5*8)+2*(G1286-2*F$5)))))/1000</f>
        <v>1.08</v>
      </c>
      <c r="K1306" t="str">
        <v>+</v>
      </c>
      <c r="L1306">
        <f>IF(D1306=0,2*MAX(6*F1306,75),(D1306-1)*2*MAX(6*F1306,75))/1000</f>
        <v>0.15</v>
      </c>
      <c r="M1306" t="str">
        <v>=</v>
      </c>
      <c r="N1306">
        <f>J1306+L1306</f>
        <v>1.23</v>
      </c>
      <c r="T1306" t="str">
        <v>x</v>
      </c>
      <c r="U1306">
        <f>0.006165*F1306^2</f>
        <v>0.39456</v>
      </c>
      <c r="V1306" t="str">
        <v>x</v>
      </c>
      <c r="W1306">
        <f>IF(D1288-MAX(D1288/4,2*G1286)*2&gt;0,ROUND((D1288-MAX(D1288/4,2*G1286)*2)/H1306,0),0)</f>
        <v>14</v>
      </c>
      <c r="X1306" t="str">
        <v>x</v>
      </c>
      <c r="Y1306">
        <f>D1291</f>
        <v>1</v>
      </c>
      <c r="Z1306" t="str">
        <v>=</v>
      </c>
      <c r="AA1306">
        <f>N1306*U1306*W1306*Y1306</f>
        <v>6.794323200000001</v>
      </c>
    </row>
    <row r="1307">
      <c r="A1307" t="str">
        <f>A1285</f>
        <v>Lantai 1</v>
      </c>
      <c r="B1307">
        <f>B1285</f>
        <v>42</v>
      </c>
      <c r="C1307" t="str">
        <v>Sengkang Tumpuan</v>
      </c>
      <c r="D1307">
        <f>VLOOKUP(D1285,'Detail Balok'!$C$10:$AU$140,41,FALSE)</f>
        <v>0</v>
      </c>
      <c r="E1307" t="str">
        <v>D</v>
      </c>
      <c r="F1307">
        <f>VLOOKUP(D1285,'Detail Balok'!$C$10:$AU$140,43,FALSE)</f>
        <v>8</v>
      </c>
      <c r="G1307" t="str">
        <v>-</v>
      </c>
      <c r="H1307">
        <f>VLOOKUP(D1285,'Detail Balok'!$C$10:$AU$140,45,FALSE)</f>
        <v>150</v>
      </c>
      <c r="J1307">
        <f>(IF(D1307=0,(2*(D1286+G1286))-(F$5*8),IF(D1307=3,(2*(D1286+G1286))-(F$5*8)+(G1286-2*F$5),IF(D1307=4,(2*(D1286+G1286))-(F$5*8)+2*(G1286-2*F$5)))))/1000</f>
        <v>1.08</v>
      </c>
      <c r="K1307" t="str">
        <v>+</v>
      </c>
      <c r="L1307">
        <f>IF(D1307=0,2*MAX(6*F1307,75),(D1307-1)*2*MAX(6*F1307,75))/1000</f>
        <v>0.15</v>
      </c>
      <c r="M1307" t="str">
        <v>=</v>
      </c>
      <c r="N1307">
        <f>J1307+L1307</f>
        <v>1.23</v>
      </c>
      <c r="T1307" t="str">
        <v>x</v>
      </c>
      <c r="U1307">
        <f>0.006165*F1307^2</f>
        <v>0.39456</v>
      </c>
      <c r="V1307" t="str">
        <v>x</v>
      </c>
      <c r="W1307">
        <f>IF(D1288&gt;4*G1286,ROUND(MAX(D1288/4,2*G1286)/H1307,0)+1,0)</f>
        <v>10</v>
      </c>
      <c r="X1307" t="str">
        <v>x</v>
      </c>
      <c r="Y1307">
        <f>D1291</f>
        <v>1</v>
      </c>
      <c r="Z1307" t="str">
        <v>=</v>
      </c>
      <c r="AA1307">
        <f>N1307*U1307*W1307*Y1307</f>
        <v>4.8530880000000005</v>
      </c>
    </row>
    <row r="1309">
      <c r="A1309" t="str">
        <f>A1285</f>
        <v>Lantai 1</v>
      </c>
      <c r="B1309">
        <f>B1285</f>
        <v>42</v>
      </c>
      <c r="C1309" t="str">
        <v>Kait Horizontal Tump.</v>
      </c>
      <c r="D1309">
        <f>VLOOKUP(D1285,'Detail Balok'!$C$10:$BJ$140,46,FALSE)</f>
        <v>0</v>
      </c>
      <c r="E1309" t="str">
        <v>D</v>
      </c>
      <c r="F1309">
        <f>VLOOKUP(D1285,'Detail Balok'!$C$10:$BJ$140,48,FALSE)</f>
        <v>0</v>
      </c>
      <c r="G1309" t="str">
        <v>-</v>
      </c>
      <c r="H1309">
        <f>VLOOKUP(D1285,'Detail Balok'!$C$10:$BJ$140,50,FALSE)</f>
        <v>100</v>
      </c>
      <c r="J1309">
        <f>(D1286-2*F$5)/1000</f>
        <v>0.12</v>
      </c>
      <c r="K1309" t="str">
        <v>+</v>
      </c>
      <c r="L1309">
        <f>IF(D1309=0,2*MAX(6*F1309,75),(D1309-1)*2*MAX(6*F1309,75))/1000</f>
        <v>0.15</v>
      </c>
      <c r="M1309" t="str">
        <v>=</v>
      </c>
      <c r="N1309">
        <f>J1309+L1309</f>
        <v>0.27</v>
      </c>
      <c r="T1309" t="str">
        <v>x</v>
      </c>
      <c r="U1309">
        <f>0.006165*F1309^2</f>
        <v>0</v>
      </c>
      <c r="V1309" t="str">
        <v>x</v>
      </c>
      <c r="W1309">
        <f>W1305</f>
        <v>10</v>
      </c>
      <c r="X1309" t="str">
        <v>x</v>
      </c>
      <c r="Y1309">
        <f>D1295</f>
        <v>3</v>
      </c>
      <c r="Z1309" t="str">
        <v>=</v>
      </c>
      <c r="AA1309">
        <f>N1309*U1309*W1309*Y1309</f>
        <v>0</v>
      </c>
    </row>
    <row r="1310">
      <c r="A1310" t="str">
        <f>A1285</f>
        <v>Lantai 1</v>
      </c>
      <c r="B1310">
        <f>B1285</f>
        <v>42</v>
      </c>
      <c r="C1310" t="str">
        <v>Kait Horizontal Lap.</v>
      </c>
      <c r="D1310">
        <f>VLOOKUP(D1285,'Detail Balok'!$C$10:$BJ$140,51,FALSE)</f>
        <v>0</v>
      </c>
      <c r="E1310" t="str">
        <v>D</v>
      </c>
      <c r="F1310">
        <f>VLOOKUP(D1285,'Detail Balok'!$C$10:$BJ$140,53,FALSE)</f>
        <v>0</v>
      </c>
      <c r="G1310" t="str">
        <v>-</v>
      </c>
      <c r="H1310">
        <f>VLOOKUP(D1285,'Detail Balok'!$C$10:$BJ$140,55,FALSE)</f>
        <v>100</v>
      </c>
      <c r="J1310">
        <f>(D1286-2*F$5)/1000</f>
        <v>0.12</v>
      </c>
      <c r="K1310" t="str">
        <v>+</v>
      </c>
      <c r="L1310">
        <f>IF(D1310=0,2*MAX(6*F1310,75),(D1310-1)*2*MAX(6*F1310,75))/1000</f>
        <v>0.15</v>
      </c>
      <c r="M1310" t="str">
        <v>=</v>
      </c>
      <c r="N1310">
        <f>J1310+L1310</f>
        <v>0.27</v>
      </c>
      <c r="T1310" t="str">
        <v>x</v>
      </c>
      <c r="U1310">
        <f>0.006165*F1310^2</f>
        <v>0</v>
      </c>
      <c r="V1310" t="str">
        <v>x</v>
      </c>
      <c r="W1310">
        <f>W1306</f>
        <v>14</v>
      </c>
      <c r="X1310" t="str">
        <v>x</v>
      </c>
      <c r="Y1310">
        <f>D1295</f>
        <v>3</v>
      </c>
      <c r="Z1310" t="str">
        <v>=</v>
      </c>
      <c r="AA1310">
        <f>N1310*U1310*W1310*Y1310</f>
        <v>0</v>
      </c>
    </row>
    <row r="1311">
      <c r="A1311" t="str">
        <f>A1285</f>
        <v>Lantai 1</v>
      </c>
      <c r="B1311">
        <f>B1285</f>
        <v>42</v>
      </c>
      <c r="C1311" t="str">
        <v>Kait Horizontal Tump.</v>
      </c>
      <c r="D1311">
        <f>VLOOKUP(D1285,'Detail Balok'!$C$10:$BJ$140,56,FALSE)</f>
        <v>0</v>
      </c>
      <c r="E1311" t="str">
        <v>D</v>
      </c>
      <c r="F1311">
        <f>VLOOKUP(D1285,'Detail Balok'!$C$10:$BJ$140,58,FALSE)</f>
        <v>0</v>
      </c>
      <c r="G1311" t="str">
        <v>-</v>
      </c>
      <c r="H1311">
        <f>VLOOKUP(D1285,'Detail Balok'!$C$10:$BJ$140,60,FALSE)</f>
        <v>100</v>
      </c>
      <c r="J1311">
        <f>(D1286-2*F$5)/1000</f>
        <v>0.12</v>
      </c>
      <c r="K1311" t="str">
        <v>+</v>
      </c>
      <c r="L1311">
        <f>IF(D1311=0,2*MAX(6*F1311,75),(D1311-1)*2*MAX(6*F1311,75))/1000</f>
        <v>0.15</v>
      </c>
      <c r="M1311" t="str">
        <v>=</v>
      </c>
      <c r="N1311">
        <f>J1311+L1311</f>
        <v>0.27</v>
      </c>
      <c r="T1311" t="str">
        <v>x</v>
      </c>
      <c r="U1311">
        <f>0.006165*F1311^2</f>
        <v>0</v>
      </c>
      <c r="V1311" t="str">
        <v>x</v>
      </c>
      <c r="W1311">
        <f>W1307</f>
        <v>10</v>
      </c>
      <c r="X1311" t="str">
        <v>x</v>
      </c>
      <c r="Y1311">
        <f>D1295</f>
        <v>3</v>
      </c>
      <c r="Z1311" t="str">
        <v>=</v>
      </c>
      <c r="AA1311">
        <f>N1311*U1311*W1311*Y1311</f>
        <v>0</v>
      </c>
    </row>
    <row r="1315">
      <c r="A1315" t="str">
        <f>A1285</f>
        <v>Lantai 1</v>
      </c>
      <c r="B1315">
        <f>B1285+1</f>
        <v>43</v>
      </c>
      <c r="C1315" t="str">
        <f>CONCATENATE(A1315," no. ",B1315)</f>
        <v>Lantai 1 no. 43</v>
      </c>
      <c r="D1315" t="str">
        <f>VLOOKUP(C1315,'Data Panjang Balok'!$C$9:$N$254,2,FALSE)</f>
        <v>S25-1</v>
      </c>
    </row>
    <row r="1316">
      <c r="C1316" t="str">
        <v>Dimensi</v>
      </c>
      <c r="D1316">
        <f>VLOOKUP(D1315,'Detail Balok'!$C$10:$AU$140,2,FALSE)</f>
        <v>200</v>
      </c>
      <c r="F1316" t="str">
        <v>x</v>
      </c>
      <c r="G1316">
        <f>VLOOKUP(D1315,'Detail Balok'!$C$10:$AU$140,3,FALSE)</f>
        <v>500</v>
      </c>
    </row>
    <row r="1317">
      <c r="C1317" t="str">
        <v>Panjang as ke as</v>
      </c>
      <c r="D1317">
        <f>VLOOKUP(C1315,'Data Panjang Balok'!$C$9:$N$254,4,FALSE)</f>
        <v>5575</v>
      </c>
    </row>
    <row r="1318">
      <c r="C1318" t="str">
        <v>Panjang netto</v>
      </c>
      <c r="D1318">
        <f>VLOOKUP(C1315,'Data Panjang Balok'!$C$9:$N$254,7,FALSE)</f>
        <v>5575</v>
      </c>
    </row>
    <row r="1319">
      <c r="C1319" t="str">
        <v>Kolom / balok kiri</v>
      </c>
      <c r="D1319">
        <f>VLOOKUP(C1315,'Data Panjang Balok'!$C$9:$N$254,9,FALSE)</f>
        <v>0</v>
      </c>
    </row>
    <row r="1320">
      <c r="C1320" t="str">
        <v>Kolom / balok kanan</v>
      </c>
      <c r="D1320">
        <f>VLOOKUP(C1315,'Data Panjang Balok'!$C$9:$N$254,10,FALSE)</f>
        <v>0</v>
      </c>
    </row>
    <row r="1321">
      <c r="C1321" t="str">
        <v>Jumlah</v>
      </c>
      <c r="D1321">
        <f>VLOOKUP(C1315,'Data Panjang Balok'!$C$9:$N$254,3,FALSE)</f>
        <v>1</v>
      </c>
    </row>
    <row r="1322">
      <c r="A1322" t="str">
        <f>A1315</f>
        <v>Lantai 1</v>
      </c>
      <c r="B1322">
        <f>B1315</f>
        <v>43</v>
      </c>
      <c r="C1322" t="str">
        <v>Tul Atas Tumpuan</v>
      </c>
      <c r="D1322">
        <f>VLOOKUP(D1315,'Detail Balok'!$C$10:$AU$140,4,FALSE)</f>
        <v>3</v>
      </c>
      <c r="E1322" t="str">
        <v>D</v>
      </c>
      <c r="F1322">
        <f>VLOOKUP(D1315,'Detail Balok'!$C$10:$AU$140,6,FALSE)</f>
        <v>16</v>
      </c>
      <c r="I1322" t="str">
        <v>(</v>
      </c>
      <c r="J1322">
        <f>+D1317/4/1000</f>
        <v>1.39375</v>
      </c>
      <c r="K1322" t="str">
        <v>+</v>
      </c>
      <c r="L1322">
        <f>MAX(VLOOKUP(F1322,N$6:P$15,3,FALSE)/1000,2/3*D1319/1000)+F$16*F1322/1000</f>
        <v>0.192</v>
      </c>
      <c r="M1322" t="str">
        <v>=</v>
      </c>
      <c r="N1322">
        <f>J1322+L1322</f>
        <v>1.58575</v>
      </c>
      <c r="O1322" t="str">
        <v>+</v>
      </c>
      <c r="P1322">
        <f>D1322-D1323</f>
        <v>0</v>
      </c>
      <c r="Q1322" t="str">
        <v>x</v>
      </c>
      <c r="R1322">
        <f>IF(P1322&gt;0,$F$18*F1322/1000,0)</f>
        <v>0</v>
      </c>
      <c r="S1322" t="str">
        <v>)</v>
      </c>
      <c r="T1322" t="str">
        <v>x</v>
      </c>
      <c r="U1322">
        <f>0.006165*F1322^2</f>
        <v>1.57824</v>
      </c>
      <c r="X1322" t="str">
        <v>x</v>
      </c>
      <c r="Y1322">
        <f>D1321</f>
        <v>1</v>
      </c>
      <c r="Z1322" t="str">
        <v>=</v>
      </c>
      <c r="AA1322">
        <f>IF(AA1325=0,(D1322*N1322+P1322*R1322)*U1322*Y1322,0)</f>
        <v>0</v>
      </c>
    </row>
    <row r="1323">
      <c r="A1323" t="str">
        <f>A1315</f>
        <v>Lantai 1</v>
      </c>
      <c r="B1323">
        <f>B1315</f>
        <v>43</v>
      </c>
      <c r="C1323" t="str">
        <v>Tul Atas Lapangan</v>
      </c>
      <c r="D1323">
        <f>VLOOKUP(D1315,'Detail Balok'!$C$10:$AU$140,7,FALSE)</f>
        <v>3</v>
      </c>
      <c r="E1323" t="str">
        <v>D</v>
      </c>
      <c r="F1323">
        <f>VLOOKUP(D1315,'Detail Balok'!$C$10:$AU$140,9,FALSE)</f>
        <v>16</v>
      </c>
      <c r="I1323" t="str">
        <v>(</v>
      </c>
      <c r="J1323">
        <f>+D1317/2/1000</f>
        <v>2.7875</v>
      </c>
      <c r="K1323" t="str">
        <v>+</v>
      </c>
      <c r="M1323" t="str">
        <v>=</v>
      </c>
      <c r="N1323">
        <f>J1323+L1323</f>
        <v>2.7875</v>
      </c>
      <c r="O1323" t="str">
        <v>+</v>
      </c>
      <c r="P1323">
        <f>MAX(D1323-D1322,D1323-D1324)</f>
        <v>0</v>
      </c>
      <c r="Q1323" t="str">
        <v>x</v>
      </c>
      <c r="R1323">
        <f>IF(P1323&gt;0,2*(1-2*$F$19-1/2)*D1318/1000,0)</f>
        <v>0</v>
      </c>
      <c r="S1323" t="str">
        <v>)</v>
      </c>
      <c r="T1323" t="str">
        <v>x</v>
      </c>
      <c r="U1323">
        <f>0.006165*F1323^2</f>
        <v>1.57824</v>
      </c>
      <c r="X1323" t="str">
        <v>x</v>
      </c>
      <c r="Y1323">
        <f>D1321</f>
        <v>1</v>
      </c>
      <c r="Z1323" t="str">
        <v>=</v>
      </c>
      <c r="AA1323">
        <f>IF(AA1325=0,(D1323*N1323+P1323*R1323)*U1323*Y1323,0)</f>
        <v>0</v>
      </c>
    </row>
    <row r="1324">
      <c r="A1324" t="str">
        <f>A1315</f>
        <v>Lantai 1</v>
      </c>
      <c r="B1324">
        <f>B1315</f>
        <v>43</v>
      </c>
      <c r="C1324" t="str">
        <v>Tul Atas Tumpuan</v>
      </c>
      <c r="D1324">
        <f>VLOOKUP(D1315,'Detail Balok'!$C$10:$AU$140,10,FALSE)</f>
        <v>3</v>
      </c>
      <c r="E1324" t="str">
        <v>D</v>
      </c>
      <c r="F1324">
        <f>VLOOKUP(D1315,'Detail Balok'!$C$10:$AU$140,12,FALSE)</f>
        <v>16</v>
      </c>
      <c r="I1324" t="str">
        <v>(</v>
      </c>
      <c r="J1324">
        <f>+D1317/4/1000</f>
        <v>1.39375</v>
      </c>
      <c r="K1324" t="str">
        <v>+</v>
      </c>
      <c r="L1324">
        <f>MAX(VLOOKUP(F1324,N$6:P$15,3,FALSE)/1000,2/3*D1319/1000)+F$16*F1324/1000</f>
        <v>0.192</v>
      </c>
      <c r="M1324" t="str">
        <v>=</v>
      </c>
      <c r="N1324">
        <f>J1324+L1324</f>
        <v>1.58575</v>
      </c>
      <c r="O1324" t="str">
        <v>+</v>
      </c>
      <c r="P1324">
        <f>D1324-D1323</f>
        <v>0</v>
      </c>
      <c r="Q1324" t="str">
        <v>x</v>
      </c>
      <c r="R1324">
        <f>IF(P1324&gt;0,$F$18*F1324/1000,0)</f>
        <v>0</v>
      </c>
      <c r="S1324" t="str">
        <v>)</v>
      </c>
      <c r="T1324" t="str">
        <v>x</v>
      </c>
      <c r="U1324">
        <f>0.006165*F1324^2</f>
        <v>1.57824</v>
      </c>
      <c r="X1324" t="str">
        <v>x</v>
      </c>
      <c r="Y1324">
        <f>D1321</f>
        <v>1</v>
      </c>
      <c r="Z1324" t="str">
        <v>=</v>
      </c>
      <c r="AA1324">
        <f>IF(AA1325=0,(D1324*N1324+P1324*R1324)*U1324*Y1324,0)</f>
        <v>0</v>
      </c>
    </row>
    <row r="1325">
      <c r="A1325" t="str">
        <f>A1315</f>
        <v>Lantai 1</v>
      </c>
      <c r="B1325">
        <f>B1315</f>
        <v>43</v>
      </c>
      <c r="D1325">
        <f>IF(AND(D1322=D1323,D1323=D1324,D1322=D1324),D1322,0)</f>
        <v>3</v>
      </c>
      <c r="E1325" t="str">
        <v>D</v>
      </c>
      <c r="F1325">
        <f>IF(AND(F1322=F1323,F1322=F1324,F1323=F1324),F1322,0)</f>
        <v>16</v>
      </c>
      <c r="L1325" t="str">
        <v>Total panjang per balok</v>
      </c>
      <c r="M1325" t="str">
        <v>=</v>
      </c>
      <c r="N1325">
        <f>IF(AND(D1322=D1323,D1322=D1324,D1323=D1324,F1322=F1323,F1322=F1324,F1323=F1324),SUM(N1322:N1324),0)</f>
        <v>5.9590000000000005</v>
      </c>
      <c r="O1325" t="str">
        <v>+</v>
      </c>
      <c r="P1325">
        <f>IF(N1325&gt;12,ROUNDDOWN(N1325/12,0),0)</f>
        <v>0</v>
      </c>
      <c r="Q1325" t="str">
        <v>x</v>
      </c>
      <c r="R1325">
        <f>IF(P1325&gt;0,MAX(VLOOKUP(F1325,$D$6:$G$15,3,FALSE),600),0)/1000</f>
        <v>0</v>
      </c>
      <c r="T1325" t="str">
        <v>x</v>
      </c>
      <c r="U1325">
        <f>U1324</f>
        <v>1.57824</v>
      </c>
      <c r="V1325" t="str">
        <v>x</v>
      </c>
      <c r="W1325">
        <f>D1325</f>
        <v>3</v>
      </c>
      <c r="X1325" t="str">
        <v>x</v>
      </c>
      <c r="Y1325">
        <f>Y1324</f>
        <v>1</v>
      </c>
      <c r="Z1325" t="str">
        <v>=</v>
      </c>
      <c r="AA1325">
        <f>(N1325+P1325*R1325/1000)*U1325*W1325*Y1325</f>
        <v>28.214196480000005</v>
      </c>
    </row>
    <row r="1327">
      <c r="A1327" t="str">
        <f>A1315</f>
        <v>Lantai 1</v>
      </c>
      <c r="B1327">
        <f>B1315</f>
        <v>43</v>
      </c>
      <c r="C1327" t="str">
        <v>Tul Peminggang</v>
      </c>
      <c r="D1327">
        <f>VLOOKUP(D1315,'Detail Balok'!$C$10:$AU$140,13,FALSE)</f>
        <v>2</v>
      </c>
      <c r="E1327" t="str">
        <v>D</v>
      </c>
      <c r="F1327">
        <f>VLOOKUP(D1315,'Detail Balok'!$C$10:$AU$140,15,FALSE)</f>
        <v>10</v>
      </c>
      <c r="J1327">
        <f>+D1317/1000</f>
        <v>5.575</v>
      </c>
      <c r="K1327" t="str">
        <v>+</v>
      </c>
      <c r="L1327">
        <f>2*$F$16*F1327/1000</f>
        <v>0.24</v>
      </c>
      <c r="M1327" t="str">
        <v>=</v>
      </c>
      <c r="N1327">
        <f>J1327+L1327</f>
        <v>5.815</v>
      </c>
      <c r="O1327" t="str">
        <v>+</v>
      </c>
      <c r="P1327">
        <f>IF(N1327&gt;12,ROUNDDOWN(N1327/12,0),0)</f>
        <v>0</v>
      </c>
      <c r="Q1327" t="str">
        <v>x</v>
      </c>
      <c r="R1327">
        <f>IF(P1327&gt;0,MAX(VLOOKUP(F1327,$D$6:$G$15,3,FALSE),600),0)/1000</f>
        <v>0</v>
      </c>
      <c r="T1327" t="str">
        <v>x</v>
      </c>
      <c r="U1327">
        <f>0.006165*F1327^2</f>
        <v>0.6165</v>
      </c>
      <c r="V1327" t="str">
        <v>x</v>
      </c>
      <c r="W1327">
        <f>+D1327</f>
        <v>2</v>
      </c>
      <c r="X1327" t="str">
        <v>x</v>
      </c>
      <c r="Y1327">
        <f>D1321</f>
        <v>1</v>
      </c>
      <c r="Z1327" t="str">
        <v>=</v>
      </c>
      <c r="AA1327">
        <f>(N1327+P1327*R1327/1000)*U1327*W1327*Y1327</f>
        <v>7.169895000000001</v>
      </c>
    </row>
    <row r="1330">
      <c r="A1330" t="str">
        <f>A1315</f>
        <v>Lantai 1</v>
      </c>
      <c r="B1330">
        <f>B1315</f>
        <v>43</v>
      </c>
      <c r="C1330" t="str">
        <v>Tul Bawah Tumpuan</v>
      </c>
      <c r="D1330">
        <f>VLOOKUP(D1315,'Detail Balok'!$C$10:$AU$140,22,FALSE)</f>
        <v>3</v>
      </c>
      <c r="E1330" t="str">
        <v>D</v>
      </c>
      <c r="F1330">
        <f>VLOOKUP(D1315,'Detail Balok'!$C$10:$AU$140,24,FALSE)</f>
        <v>16</v>
      </c>
      <c r="I1330" t="str">
        <v>(</v>
      </c>
      <c r="J1330">
        <f>+J1322</f>
        <v>1.39375</v>
      </c>
      <c r="K1330" t="str">
        <v>+</v>
      </c>
      <c r="L1330">
        <f>MAX(VLOOKUP(F1330,N$6:P$15,3,FALSE)/1000,2/3*D1320/1000)+F$16*F1330/1000</f>
        <v>0.192</v>
      </c>
      <c r="M1330" t="str">
        <v>=</v>
      </c>
      <c r="N1330">
        <f>J1330+L1330</f>
        <v>1.58575</v>
      </c>
      <c r="O1330" t="str">
        <v>+</v>
      </c>
      <c r="P1330">
        <f>D1330-D1331</f>
        <v>0</v>
      </c>
      <c r="Q1330" t="str">
        <v>x</v>
      </c>
      <c r="R1330">
        <f>IF(P1330&gt;0,$F$18*F1330/1000,0)</f>
        <v>0</v>
      </c>
      <c r="S1330" t="str">
        <v>)</v>
      </c>
      <c r="T1330" t="str">
        <v>x</v>
      </c>
      <c r="U1330">
        <f>0.006165*F1330^2</f>
        <v>1.57824</v>
      </c>
      <c r="X1330" t="str">
        <v>x</v>
      </c>
      <c r="Y1330">
        <f>D1321</f>
        <v>1</v>
      </c>
      <c r="Z1330" t="str">
        <v>=</v>
      </c>
      <c r="AA1330">
        <f>IF(AA1333=0,(D1330*N1330+P1330*R1330)*U1330*Y1330,0)</f>
        <v>0</v>
      </c>
    </row>
    <row r="1331">
      <c r="A1331" t="str">
        <f>A1315</f>
        <v>Lantai 1</v>
      </c>
      <c r="B1331">
        <f>B1315</f>
        <v>43</v>
      </c>
      <c r="C1331" t="str">
        <v>Tul Bawah Lapangan</v>
      </c>
      <c r="D1331">
        <f>VLOOKUP(D1315,'Detail Balok'!$C$10:$AU$140,25,FALSE)</f>
        <v>3</v>
      </c>
      <c r="E1331" t="str">
        <v>D</v>
      </c>
      <c r="F1331">
        <f>VLOOKUP(D1315,'Detail Balok'!$C$10:$AU$140,27,FALSE)</f>
        <v>16</v>
      </c>
      <c r="I1331" t="str">
        <v>(</v>
      </c>
      <c r="J1331">
        <f>+J1323</f>
        <v>2.7875</v>
      </c>
      <c r="K1331" t="str">
        <v>+</v>
      </c>
      <c r="M1331" t="str">
        <v>=</v>
      </c>
      <c r="N1331">
        <f>J1331+L1331</f>
        <v>2.7875</v>
      </c>
      <c r="O1331" t="str">
        <v>+</v>
      </c>
      <c r="P1331">
        <f>MAX(D1331-D1330,D1331-D1332)</f>
        <v>0</v>
      </c>
      <c r="Q1331" t="str">
        <v>x</v>
      </c>
      <c r="R1331">
        <f>IF(P1331&gt;0,2*(1-2*$F$19-1/2)*D1318/1000,0)</f>
        <v>0</v>
      </c>
      <c r="S1331" t="str">
        <v>)</v>
      </c>
      <c r="T1331" t="str">
        <v>x</v>
      </c>
      <c r="U1331">
        <f>0.006165*F1331^2</f>
        <v>1.57824</v>
      </c>
      <c r="X1331" t="str">
        <v>x</v>
      </c>
      <c r="Y1331">
        <f>D1321</f>
        <v>1</v>
      </c>
      <c r="Z1331" t="str">
        <v>=</v>
      </c>
      <c r="AA1331">
        <f>IF(AA1333=0,(D1331*N1331+P1331*R1331)*U1331*Y1331,0)</f>
        <v>0</v>
      </c>
    </row>
    <row r="1332">
      <c r="A1332" t="str">
        <f>A1315</f>
        <v>Lantai 1</v>
      </c>
      <c r="B1332">
        <f>B1315</f>
        <v>43</v>
      </c>
      <c r="C1332" t="str">
        <v>Tul Bawah Tumpuan</v>
      </c>
      <c r="D1332">
        <f>VLOOKUP(D1315,'Detail Balok'!$C$10:$AU$140,28,FALSE)</f>
        <v>3</v>
      </c>
      <c r="E1332" t="str">
        <v>D</v>
      </c>
      <c r="F1332">
        <f>VLOOKUP(D1315,'Detail Balok'!$C$10:$AU$140,30,FALSE)</f>
        <v>16</v>
      </c>
      <c r="I1332" t="str">
        <v>(</v>
      </c>
      <c r="J1332">
        <f>+J1324</f>
        <v>1.39375</v>
      </c>
      <c r="K1332" t="str">
        <v>+</v>
      </c>
      <c r="L1332">
        <f>MAX(VLOOKUP(F1332,N$6:P$15,3,FALSE)/1000,2/3*D1320/1000)+F$16*F1332/1000</f>
        <v>0.192</v>
      </c>
      <c r="M1332" t="str">
        <v>=</v>
      </c>
      <c r="N1332">
        <f>J1332+L1332</f>
        <v>1.58575</v>
      </c>
      <c r="O1332" t="str">
        <v>+</v>
      </c>
      <c r="P1332">
        <f>D1332-D1331</f>
        <v>0</v>
      </c>
      <c r="Q1332" t="str">
        <v>x</v>
      </c>
      <c r="R1332">
        <f>IF(P1332&gt;0,$F$18*F1332/1000,0)</f>
        <v>0</v>
      </c>
      <c r="S1332" t="str">
        <v>)</v>
      </c>
      <c r="T1332" t="str">
        <v>x</v>
      </c>
      <c r="U1332">
        <f>0.006165*F1332^2</f>
        <v>1.57824</v>
      </c>
      <c r="X1332" t="str">
        <v>x</v>
      </c>
      <c r="Y1332">
        <f>D1321</f>
        <v>1</v>
      </c>
      <c r="Z1332" t="str">
        <v>=</v>
      </c>
      <c r="AA1332">
        <f>IF(AA1333=0,(D1332*N1332+P1332*R1332)*U1332*Y1332,0)</f>
        <v>0</v>
      </c>
    </row>
    <row r="1333">
      <c r="A1333" t="str">
        <f>A1315</f>
        <v>Lantai 1</v>
      </c>
      <c r="B1333">
        <f>B1315</f>
        <v>43</v>
      </c>
      <c r="D1333">
        <f>IF(AND(D1330=D1331,D1331=D1332,D1330=D1332),D1330,0)</f>
        <v>3</v>
      </c>
      <c r="E1333" t="str">
        <v>D</v>
      </c>
      <c r="F1333">
        <f>IF(AND(F1330=F1331,F1330=F1332,F1331=F1332),F1330,0)</f>
        <v>16</v>
      </c>
      <c r="L1333" t="str">
        <v>Total panjang per balok</v>
      </c>
      <c r="M1333" t="str">
        <v>=</v>
      </c>
      <c r="N1333">
        <f>IF(AND(D1330=D1331,D1330=D1332,D1331=D1332,F1330=F1331,F1330=F1332,F1331=F1332),SUM(N1330:N1332),0)</f>
        <v>5.9590000000000005</v>
      </c>
      <c r="O1333" t="str">
        <v>+</v>
      </c>
      <c r="P1333">
        <f>IF(N1333&gt;12,ROUNDDOWN(N1333/12,0),0)</f>
        <v>0</v>
      </c>
      <c r="Q1333" t="str">
        <v>x</v>
      </c>
      <c r="R1333">
        <f>IF(P1333&gt;0,MAX(VLOOKUP(F1333,$D$6:$G$15,3,FALSE),600),0)/1000</f>
        <v>0</v>
      </c>
      <c r="T1333" t="str">
        <v>x</v>
      </c>
      <c r="U1333">
        <f>U1332</f>
        <v>1.57824</v>
      </c>
      <c r="V1333" t="str">
        <v>x</v>
      </c>
      <c r="W1333">
        <f>D1333</f>
        <v>3</v>
      </c>
      <c r="X1333" t="str">
        <v>x</v>
      </c>
      <c r="Y1333">
        <f>Y1332</f>
        <v>1</v>
      </c>
      <c r="Z1333" t="str">
        <v>=</v>
      </c>
      <c r="AA1333">
        <f>(N1333+P1333*R1333/1000)*U1333*W1333*Y1333</f>
        <v>28.214196480000005</v>
      </c>
    </row>
    <row r="1335">
      <c r="A1335" t="str">
        <f>A1315</f>
        <v>Lantai 1</v>
      </c>
      <c r="B1335">
        <f>B1315</f>
        <v>43</v>
      </c>
      <c r="C1335" t="str">
        <v>Sengkang Tumpuan</v>
      </c>
      <c r="D1335">
        <f>VLOOKUP(D1315,'Detail Balok'!$C$10:$AU$140,31,FALSE)</f>
        <v>0</v>
      </c>
      <c r="E1335" t="str">
        <v>D</v>
      </c>
      <c r="F1335">
        <f>VLOOKUP(D1315,'Detail Balok'!$C$10:$AU$140,33,FALSE)</f>
        <v>8</v>
      </c>
      <c r="G1335" t="str">
        <v>-</v>
      </c>
      <c r="H1335">
        <f>VLOOKUP(D1315,'Detail Balok'!$C$10:$AU$140,35,FALSE)</f>
        <v>150</v>
      </c>
      <c r="J1335">
        <f>(IF(D1335=0,(2*(D1316+G1316))-(F$5*8),IF(D1335=3,(2*(D1316+G1316))-(F$5*8)+(G1316-2*F$5),IF(D1335=4,(2*(D1316+G1316))-(F$5*8)+2*(G1316-2*F$5)))))/1000</f>
        <v>1.08</v>
      </c>
      <c r="K1335" t="str">
        <v>+</v>
      </c>
      <c r="L1335">
        <f>IF(D1335=0,2*MAX(6*F1335,75),(D1335-1)*2*MAX(6*F1335,75))/1000</f>
        <v>0.15</v>
      </c>
      <c r="M1335" t="str">
        <v>=</v>
      </c>
      <c r="N1335">
        <f>J1335+L1335</f>
        <v>1.23</v>
      </c>
      <c r="T1335" t="str">
        <v>x</v>
      </c>
      <c r="U1335">
        <f>0.006165*F1335^2</f>
        <v>0.39456</v>
      </c>
      <c r="V1335" t="str">
        <v>x</v>
      </c>
      <c r="W1335">
        <f>IF(D1318&gt;4*G1316,ROUND(MAX(D1318/4,2*G1316)/H1335,0)+1,ROUND(D1318/H1335,0)+1)</f>
        <v>10</v>
      </c>
      <c r="X1335" t="str">
        <v>x</v>
      </c>
      <c r="Y1335">
        <f>D1321</f>
        <v>1</v>
      </c>
      <c r="Z1335" t="str">
        <v>=</v>
      </c>
      <c r="AA1335">
        <f>N1335*U1335*W1335*Y1335</f>
        <v>4.8530880000000005</v>
      </c>
    </row>
    <row r="1336">
      <c r="A1336" t="str">
        <f>A1315</f>
        <v>Lantai 1</v>
      </c>
      <c r="B1336">
        <f>B1315</f>
        <v>43</v>
      </c>
      <c r="C1336" t="str">
        <v>Sengkang Lapangan</v>
      </c>
      <c r="D1336">
        <f>VLOOKUP(D1315,'Detail Balok'!$C$10:$AU$140,36,FALSE)</f>
        <v>0</v>
      </c>
      <c r="E1336" t="str">
        <v>D</v>
      </c>
      <c r="F1336">
        <f>VLOOKUP(D1315,'Detail Balok'!$C$10:$AU$140,38,FALSE)</f>
        <v>8</v>
      </c>
      <c r="G1336" t="str">
        <v>-</v>
      </c>
      <c r="H1336">
        <f>VLOOKUP(D1315,'Detail Balok'!$C$10:$AU$140,40,FALSE)</f>
        <v>200</v>
      </c>
      <c r="J1336">
        <f>(IF(D1336=0,(2*(D1316+G1316))-(F$5*8),IF(D1336=3,(2*(D1316+G1316))-(F$5*8)+(G1316-2*F$5),IF(D1336=4,(2*(D1316+G1316))-(F$5*8)+2*(G1316-2*F$5)))))/1000</f>
        <v>1.08</v>
      </c>
      <c r="K1336" t="str">
        <v>+</v>
      </c>
      <c r="L1336">
        <f>IF(D1336=0,2*MAX(6*F1336,75),(D1336-1)*2*MAX(6*F1336,75))/1000</f>
        <v>0.15</v>
      </c>
      <c r="M1336" t="str">
        <v>=</v>
      </c>
      <c r="N1336">
        <f>J1336+L1336</f>
        <v>1.23</v>
      </c>
      <c r="T1336" t="str">
        <v>x</v>
      </c>
      <c r="U1336">
        <f>0.006165*F1336^2</f>
        <v>0.39456</v>
      </c>
      <c r="V1336" t="str">
        <v>x</v>
      </c>
      <c r="W1336">
        <f>IF(D1318-MAX(D1318/4,2*G1316)*2&gt;0,ROUND((D1318-MAX(D1318/4,2*G1316)*2)/H1336,0),0)</f>
        <v>14</v>
      </c>
      <c r="X1336" t="str">
        <v>x</v>
      </c>
      <c r="Y1336">
        <f>D1321</f>
        <v>1</v>
      </c>
      <c r="Z1336" t="str">
        <v>=</v>
      </c>
      <c r="AA1336">
        <f>N1336*U1336*W1336*Y1336</f>
        <v>6.794323200000001</v>
      </c>
    </row>
    <row r="1337">
      <c r="A1337" t="str">
        <f>A1315</f>
        <v>Lantai 1</v>
      </c>
      <c r="B1337">
        <f>B1315</f>
        <v>43</v>
      </c>
      <c r="C1337" t="str">
        <v>Sengkang Tumpuan</v>
      </c>
      <c r="D1337">
        <f>VLOOKUP(D1315,'Detail Balok'!$C$10:$AU$140,41,FALSE)</f>
        <v>0</v>
      </c>
      <c r="E1337" t="str">
        <v>D</v>
      </c>
      <c r="F1337">
        <f>VLOOKUP(D1315,'Detail Balok'!$C$10:$AU$140,43,FALSE)</f>
        <v>8</v>
      </c>
      <c r="G1337" t="str">
        <v>-</v>
      </c>
      <c r="H1337">
        <f>VLOOKUP(D1315,'Detail Balok'!$C$10:$AU$140,45,FALSE)</f>
        <v>150</v>
      </c>
      <c r="J1337">
        <f>(IF(D1337=0,(2*(D1316+G1316))-(F$5*8),IF(D1337=3,(2*(D1316+G1316))-(F$5*8)+(G1316-2*F$5),IF(D1337=4,(2*(D1316+G1316))-(F$5*8)+2*(G1316-2*F$5)))))/1000</f>
        <v>1.08</v>
      </c>
      <c r="K1337" t="str">
        <v>+</v>
      </c>
      <c r="L1337">
        <f>IF(D1337=0,2*MAX(6*F1337,75),(D1337-1)*2*MAX(6*F1337,75))/1000</f>
        <v>0.15</v>
      </c>
      <c r="M1337" t="str">
        <v>=</v>
      </c>
      <c r="N1337">
        <f>J1337+L1337</f>
        <v>1.23</v>
      </c>
      <c r="T1337" t="str">
        <v>x</v>
      </c>
      <c r="U1337">
        <f>0.006165*F1337^2</f>
        <v>0.39456</v>
      </c>
      <c r="V1337" t="str">
        <v>x</v>
      </c>
      <c r="W1337">
        <f>IF(D1318&gt;4*G1316,ROUND(MAX(D1318/4,2*G1316)/H1337,0)+1,0)</f>
        <v>10</v>
      </c>
      <c r="X1337" t="str">
        <v>x</v>
      </c>
      <c r="Y1337">
        <f>D1321</f>
        <v>1</v>
      </c>
      <c r="Z1337" t="str">
        <v>=</v>
      </c>
      <c r="AA1337">
        <f>N1337*U1337*W1337*Y1337</f>
        <v>4.8530880000000005</v>
      </c>
    </row>
    <row r="1339">
      <c r="A1339" t="str">
        <f>A1315</f>
        <v>Lantai 1</v>
      </c>
      <c r="B1339">
        <f>B1315</f>
        <v>43</v>
      </c>
      <c r="C1339" t="str">
        <v>Kait Horizontal Tump.</v>
      </c>
      <c r="D1339">
        <f>VLOOKUP(D1315,'Detail Balok'!$C$10:$BJ$140,46,FALSE)</f>
        <v>0</v>
      </c>
      <c r="E1339" t="str">
        <v>D</v>
      </c>
      <c r="F1339">
        <f>VLOOKUP(D1315,'Detail Balok'!$C$10:$BJ$140,48,FALSE)</f>
        <v>0</v>
      </c>
      <c r="G1339" t="str">
        <v>-</v>
      </c>
      <c r="H1339">
        <f>VLOOKUP(D1315,'Detail Balok'!$C$10:$BJ$140,50,FALSE)</f>
        <v>100</v>
      </c>
      <c r="J1339">
        <f>(D1316-2*F$5)/1000</f>
        <v>0.12</v>
      </c>
      <c r="K1339" t="str">
        <v>+</v>
      </c>
      <c r="L1339">
        <f>IF(D1339=0,2*MAX(6*F1339,75),(D1339-1)*2*MAX(6*F1339,75))/1000</f>
        <v>0.15</v>
      </c>
      <c r="M1339" t="str">
        <v>=</v>
      </c>
      <c r="N1339">
        <f>J1339+L1339</f>
        <v>0.27</v>
      </c>
      <c r="T1339" t="str">
        <v>x</v>
      </c>
      <c r="U1339">
        <f>0.006165*F1339^2</f>
        <v>0</v>
      </c>
      <c r="V1339" t="str">
        <v>x</v>
      </c>
      <c r="W1339">
        <f>W1335</f>
        <v>10</v>
      </c>
      <c r="X1339" t="str">
        <v>x</v>
      </c>
      <c r="Y1339">
        <f>D1325</f>
        <v>3</v>
      </c>
      <c r="Z1339" t="str">
        <v>=</v>
      </c>
      <c r="AA1339">
        <f>N1339*U1339*W1339*Y1339</f>
        <v>0</v>
      </c>
    </row>
    <row r="1340">
      <c r="A1340" t="str">
        <f>A1315</f>
        <v>Lantai 1</v>
      </c>
      <c r="B1340">
        <f>B1315</f>
        <v>43</v>
      </c>
      <c r="C1340" t="str">
        <v>Kait Horizontal Lap.</v>
      </c>
      <c r="D1340">
        <f>VLOOKUP(D1315,'Detail Balok'!$C$10:$BJ$140,51,FALSE)</f>
        <v>0</v>
      </c>
      <c r="E1340" t="str">
        <v>D</v>
      </c>
      <c r="F1340">
        <f>VLOOKUP(D1315,'Detail Balok'!$C$10:$BJ$140,53,FALSE)</f>
        <v>0</v>
      </c>
      <c r="G1340" t="str">
        <v>-</v>
      </c>
      <c r="H1340">
        <f>VLOOKUP(D1315,'Detail Balok'!$C$10:$BJ$140,55,FALSE)</f>
        <v>100</v>
      </c>
      <c r="J1340">
        <f>(D1316-2*F$5)/1000</f>
        <v>0.12</v>
      </c>
      <c r="K1340" t="str">
        <v>+</v>
      </c>
      <c r="L1340">
        <f>IF(D1340=0,2*MAX(6*F1340,75),(D1340-1)*2*MAX(6*F1340,75))/1000</f>
        <v>0.15</v>
      </c>
      <c r="M1340" t="str">
        <v>=</v>
      </c>
      <c r="N1340">
        <f>J1340+L1340</f>
        <v>0.27</v>
      </c>
      <c r="T1340" t="str">
        <v>x</v>
      </c>
      <c r="U1340">
        <f>0.006165*F1340^2</f>
        <v>0</v>
      </c>
      <c r="V1340" t="str">
        <v>x</v>
      </c>
      <c r="W1340">
        <f>W1336</f>
        <v>14</v>
      </c>
      <c r="X1340" t="str">
        <v>x</v>
      </c>
      <c r="Y1340">
        <f>D1325</f>
        <v>3</v>
      </c>
      <c r="Z1340" t="str">
        <v>=</v>
      </c>
      <c r="AA1340">
        <f>N1340*U1340*W1340*Y1340</f>
        <v>0</v>
      </c>
    </row>
    <row r="1341">
      <c r="A1341" t="str">
        <f>A1315</f>
        <v>Lantai 1</v>
      </c>
      <c r="B1341">
        <f>B1315</f>
        <v>43</v>
      </c>
      <c r="C1341" t="str">
        <v>Kait Horizontal Tump.</v>
      </c>
      <c r="D1341">
        <f>VLOOKUP(D1315,'Detail Balok'!$C$10:$BJ$140,56,FALSE)</f>
        <v>0</v>
      </c>
      <c r="E1341" t="str">
        <v>D</v>
      </c>
      <c r="F1341">
        <f>VLOOKUP(D1315,'Detail Balok'!$C$10:$BJ$140,58,FALSE)</f>
        <v>0</v>
      </c>
      <c r="G1341" t="str">
        <v>-</v>
      </c>
      <c r="H1341">
        <f>VLOOKUP(D1315,'Detail Balok'!$C$10:$BJ$140,60,FALSE)</f>
        <v>100</v>
      </c>
      <c r="J1341">
        <f>(D1316-2*F$5)/1000</f>
        <v>0.12</v>
      </c>
      <c r="K1341" t="str">
        <v>+</v>
      </c>
      <c r="L1341">
        <f>IF(D1341=0,2*MAX(6*F1341,75),(D1341-1)*2*MAX(6*F1341,75))/1000</f>
        <v>0.15</v>
      </c>
      <c r="M1341" t="str">
        <v>=</v>
      </c>
      <c r="N1341">
        <f>J1341+L1341</f>
        <v>0.27</v>
      </c>
      <c r="T1341" t="str">
        <v>x</v>
      </c>
      <c r="U1341">
        <f>0.006165*F1341^2</f>
        <v>0</v>
      </c>
      <c r="V1341" t="str">
        <v>x</v>
      </c>
      <c r="W1341">
        <f>W1337</f>
        <v>10</v>
      </c>
      <c r="X1341" t="str">
        <v>x</v>
      </c>
      <c r="Y1341">
        <f>D1325</f>
        <v>3</v>
      </c>
      <c r="Z1341" t="str">
        <v>=</v>
      </c>
      <c r="AA1341">
        <f>N1341*U1341*W1341*Y1341</f>
        <v>0</v>
      </c>
    </row>
    <row r="1345">
      <c r="A1345" t="str">
        <f>A1315</f>
        <v>Lantai 1</v>
      </c>
      <c r="B1345">
        <f>B1315+1</f>
        <v>44</v>
      </c>
      <c r="C1345" t="str">
        <f>CONCATENATE(A1345," no. ",B1345)</f>
        <v>Lantai 1 no. 44</v>
      </c>
      <c r="D1345" t="str">
        <f>VLOOKUP(C1345,'Data Panjang Balok'!$C$9:$N$254,2,FALSE)</f>
        <v>S36-1</v>
      </c>
    </row>
    <row r="1346">
      <c r="C1346" t="str">
        <v>Dimensi</v>
      </c>
      <c r="D1346">
        <f>VLOOKUP(D1345,'Detail Balok'!$C$10:$AU$140,2,FALSE)</f>
        <v>300</v>
      </c>
      <c r="F1346" t="str">
        <v>x</v>
      </c>
      <c r="G1346">
        <f>VLOOKUP(D1345,'Detail Balok'!$C$10:$AU$140,3,FALSE)</f>
        <v>600</v>
      </c>
    </row>
    <row r="1347">
      <c r="C1347" t="str">
        <v>Panjang as ke as</v>
      </c>
      <c r="D1347">
        <f>VLOOKUP(C1345,'Data Panjang Balok'!$C$9:$N$254,4,FALSE)</f>
        <v>5585</v>
      </c>
    </row>
    <row r="1348">
      <c r="C1348" t="str">
        <v>Panjang netto</v>
      </c>
      <c r="D1348">
        <f>VLOOKUP(C1345,'Data Panjang Balok'!$C$9:$N$254,7,FALSE)</f>
        <v>5585</v>
      </c>
    </row>
    <row r="1349">
      <c r="C1349" t="str">
        <v>Kolom / balok kiri</v>
      </c>
      <c r="D1349">
        <f>VLOOKUP(C1345,'Data Panjang Balok'!$C$9:$N$254,9,FALSE)</f>
        <v>0</v>
      </c>
    </row>
    <row r="1350">
      <c r="C1350" t="str">
        <v>Kolom / balok kanan</v>
      </c>
      <c r="D1350">
        <f>VLOOKUP(C1345,'Data Panjang Balok'!$C$9:$N$254,10,FALSE)</f>
        <v>0</v>
      </c>
    </row>
    <row r="1351">
      <c r="C1351" t="str">
        <v>Jumlah</v>
      </c>
      <c r="D1351">
        <f>VLOOKUP(C1345,'Data Panjang Balok'!$C$9:$N$254,3,FALSE)</f>
        <v>1</v>
      </c>
    </row>
    <row r="1352">
      <c r="A1352" t="str">
        <f>A1345</f>
        <v>Lantai 1</v>
      </c>
      <c r="B1352">
        <f>B1345</f>
        <v>44</v>
      </c>
      <c r="C1352" t="str">
        <v>Tul Atas Tumpuan</v>
      </c>
      <c r="D1352">
        <f>VLOOKUP(D1345,'Detail Balok'!$C$10:$AU$140,4,FALSE)</f>
        <v>4</v>
      </c>
      <c r="E1352" t="str">
        <v>D</v>
      </c>
      <c r="F1352">
        <f>VLOOKUP(D1345,'Detail Balok'!$C$10:$AU$140,6,FALSE)</f>
        <v>16</v>
      </c>
      <c r="I1352" t="str">
        <v>(</v>
      </c>
      <c r="J1352">
        <f>+D1347/4/1000</f>
        <v>1.39625</v>
      </c>
      <c r="K1352" t="str">
        <v>+</v>
      </c>
      <c r="L1352">
        <f>MAX(VLOOKUP(F1352,N$6:P$15,3,FALSE)/1000,2/3*D1349/1000)+F$16*F1352/1000</f>
        <v>0.192</v>
      </c>
      <c r="M1352" t="str">
        <v>=</v>
      </c>
      <c r="N1352">
        <f>J1352+L1352</f>
        <v>1.58825</v>
      </c>
      <c r="O1352" t="str">
        <v>+</v>
      </c>
      <c r="P1352">
        <f>D1352-D1353</f>
        <v>0</v>
      </c>
      <c r="Q1352" t="str">
        <v>x</v>
      </c>
      <c r="R1352">
        <f>IF(P1352&gt;0,$F$18*F1352/1000,0)</f>
        <v>0</v>
      </c>
      <c r="S1352" t="str">
        <v>)</v>
      </c>
      <c r="T1352" t="str">
        <v>x</v>
      </c>
      <c r="U1352">
        <f>0.006165*F1352^2</f>
        <v>1.57824</v>
      </c>
      <c r="X1352" t="str">
        <v>x</v>
      </c>
      <c r="Y1352">
        <f>D1351</f>
        <v>1</v>
      </c>
      <c r="Z1352" t="str">
        <v>=</v>
      </c>
      <c r="AA1352">
        <f>IF(AA1355=0,(D1352*N1352+P1352*R1352)*U1352*Y1352,0)</f>
        <v>0</v>
      </c>
    </row>
    <row r="1353">
      <c r="A1353" t="str">
        <f>A1345</f>
        <v>Lantai 1</v>
      </c>
      <c r="B1353">
        <f>B1345</f>
        <v>44</v>
      </c>
      <c r="C1353" t="str">
        <v>Tul Atas Lapangan</v>
      </c>
      <c r="D1353">
        <f>VLOOKUP(D1345,'Detail Balok'!$C$10:$AU$140,7,FALSE)</f>
        <v>4</v>
      </c>
      <c r="E1353" t="str">
        <v>D</v>
      </c>
      <c r="F1353">
        <f>VLOOKUP(D1345,'Detail Balok'!$C$10:$AU$140,9,FALSE)</f>
        <v>16</v>
      </c>
      <c r="I1353" t="str">
        <v>(</v>
      </c>
      <c r="J1353">
        <f>+D1347/2/1000</f>
        <v>2.7925</v>
      </c>
      <c r="K1353" t="str">
        <v>+</v>
      </c>
      <c r="M1353" t="str">
        <v>=</v>
      </c>
      <c r="N1353">
        <f>J1353+L1353</f>
        <v>2.7925</v>
      </c>
      <c r="O1353" t="str">
        <v>+</v>
      </c>
      <c r="P1353">
        <f>MAX(D1353-D1352,D1353-D1354)</f>
        <v>0</v>
      </c>
      <c r="Q1353" t="str">
        <v>x</v>
      </c>
      <c r="R1353">
        <f>IF(P1353&gt;0,2*(1-2*$F$19-1/2)*D1348/1000,0)</f>
        <v>0</v>
      </c>
      <c r="S1353" t="str">
        <v>)</v>
      </c>
      <c r="T1353" t="str">
        <v>x</v>
      </c>
      <c r="U1353">
        <f>0.006165*F1353^2</f>
        <v>1.57824</v>
      </c>
      <c r="X1353" t="str">
        <v>x</v>
      </c>
      <c r="Y1353">
        <f>D1351</f>
        <v>1</v>
      </c>
      <c r="Z1353" t="str">
        <v>=</v>
      </c>
      <c r="AA1353">
        <f>IF(AA1355=0,(D1353*N1353+P1353*R1353)*U1353*Y1353,0)</f>
        <v>0</v>
      </c>
    </row>
    <row r="1354">
      <c r="A1354" t="str">
        <f>A1345</f>
        <v>Lantai 1</v>
      </c>
      <c r="B1354">
        <f>B1345</f>
        <v>44</v>
      </c>
      <c r="C1354" t="str">
        <v>Tul Atas Tumpuan</v>
      </c>
      <c r="D1354">
        <f>VLOOKUP(D1345,'Detail Balok'!$C$10:$AU$140,10,FALSE)</f>
        <v>4</v>
      </c>
      <c r="E1354" t="str">
        <v>D</v>
      </c>
      <c r="F1354">
        <f>VLOOKUP(D1345,'Detail Balok'!$C$10:$AU$140,12,FALSE)</f>
        <v>16</v>
      </c>
      <c r="I1354" t="str">
        <v>(</v>
      </c>
      <c r="J1354">
        <f>+D1347/4/1000</f>
        <v>1.39625</v>
      </c>
      <c r="K1354" t="str">
        <v>+</v>
      </c>
      <c r="L1354">
        <f>MAX(VLOOKUP(F1354,N$6:P$15,3,FALSE)/1000,2/3*D1349/1000)+F$16*F1354/1000</f>
        <v>0.192</v>
      </c>
      <c r="M1354" t="str">
        <v>=</v>
      </c>
      <c r="N1354">
        <f>J1354+L1354</f>
        <v>1.58825</v>
      </c>
      <c r="O1354" t="str">
        <v>+</v>
      </c>
      <c r="P1354">
        <f>D1354-D1353</f>
        <v>0</v>
      </c>
      <c r="Q1354" t="str">
        <v>x</v>
      </c>
      <c r="R1354">
        <f>IF(P1354&gt;0,$F$18*F1354/1000,0)</f>
        <v>0</v>
      </c>
      <c r="S1354" t="str">
        <v>)</v>
      </c>
      <c r="T1354" t="str">
        <v>x</v>
      </c>
      <c r="U1354">
        <f>0.006165*F1354^2</f>
        <v>1.57824</v>
      </c>
      <c r="X1354" t="str">
        <v>x</v>
      </c>
      <c r="Y1354">
        <f>D1351</f>
        <v>1</v>
      </c>
      <c r="Z1354" t="str">
        <v>=</v>
      </c>
      <c r="AA1354">
        <f>IF(AA1355=0,(D1354*N1354+P1354*R1354)*U1354*Y1354,0)</f>
        <v>0</v>
      </c>
    </row>
    <row r="1355">
      <c r="A1355" t="str">
        <f>A1345</f>
        <v>Lantai 1</v>
      </c>
      <c r="B1355">
        <f>B1345</f>
        <v>44</v>
      </c>
      <c r="D1355">
        <f>IF(AND(D1352=D1353,D1353=D1354,D1352=D1354),D1352,0)</f>
        <v>4</v>
      </c>
      <c r="E1355" t="str">
        <v>D</v>
      </c>
      <c r="F1355">
        <f>IF(AND(F1352=F1353,F1352=F1354,F1353=F1354),F1352,0)</f>
        <v>16</v>
      </c>
      <c r="L1355" t="str">
        <v>Total panjang per balok</v>
      </c>
      <c r="M1355" t="str">
        <v>=</v>
      </c>
      <c r="N1355">
        <f>IF(AND(D1352=D1353,D1352=D1354,D1353=D1354,F1352=F1353,F1352=F1354,F1353=F1354),SUM(N1352:N1354),0)</f>
        <v>5.968999999999999</v>
      </c>
      <c r="O1355" t="str">
        <v>+</v>
      </c>
      <c r="P1355">
        <f>IF(N1355&gt;12,ROUNDDOWN(N1355/12,0),0)</f>
        <v>0</v>
      </c>
      <c r="Q1355" t="str">
        <v>x</v>
      </c>
      <c r="R1355">
        <f>IF(P1355&gt;0,MAX(VLOOKUP(F1355,$D$6:$G$15,3,FALSE),600),0)/1000</f>
        <v>0</v>
      </c>
      <c r="T1355" t="str">
        <v>x</v>
      </c>
      <c r="U1355">
        <f>U1354</f>
        <v>1.57824</v>
      </c>
      <c r="V1355" t="str">
        <v>x</v>
      </c>
      <c r="W1355">
        <f>D1355</f>
        <v>4</v>
      </c>
      <c r="X1355" t="str">
        <v>x</v>
      </c>
      <c r="Y1355">
        <f>Y1354</f>
        <v>1</v>
      </c>
      <c r="Z1355" t="str">
        <v>=</v>
      </c>
      <c r="AA1355">
        <f>(N1355+P1355*R1355/1000)*U1355*W1355*Y1355</f>
        <v>37.682058239999996</v>
      </c>
    </row>
    <row r="1357">
      <c r="A1357" t="str">
        <f>A1345</f>
        <v>Lantai 1</v>
      </c>
      <c r="B1357">
        <f>B1345</f>
        <v>44</v>
      </c>
      <c r="C1357" t="str">
        <v>Tul Peminggang</v>
      </c>
      <c r="D1357">
        <f>VLOOKUP(D1345,'Detail Balok'!$C$10:$AU$140,13,FALSE)</f>
        <v>2</v>
      </c>
      <c r="E1357" t="str">
        <v>D</v>
      </c>
      <c r="F1357">
        <f>VLOOKUP(D1345,'Detail Balok'!$C$10:$AU$140,15,FALSE)</f>
        <v>10</v>
      </c>
      <c r="J1357">
        <f>+D1347/1000</f>
        <v>5.585</v>
      </c>
      <c r="K1357" t="str">
        <v>+</v>
      </c>
      <c r="L1357">
        <f>2*$F$16*F1357/1000</f>
        <v>0.24</v>
      </c>
      <c r="M1357" t="str">
        <v>=</v>
      </c>
      <c r="N1357">
        <f>J1357+L1357</f>
        <v>5.825</v>
      </c>
      <c r="O1357" t="str">
        <v>+</v>
      </c>
      <c r="P1357">
        <f>IF(N1357&gt;12,ROUNDDOWN(N1357/12,0),0)</f>
        <v>0</v>
      </c>
      <c r="Q1357" t="str">
        <v>x</v>
      </c>
      <c r="R1357">
        <f>IF(P1357&gt;0,MAX(VLOOKUP(F1357,$D$6:$G$15,3,FALSE),600),0)/1000</f>
        <v>0</v>
      </c>
      <c r="T1357" t="str">
        <v>x</v>
      </c>
      <c r="U1357">
        <f>0.006165*F1357^2</f>
        <v>0.6165</v>
      </c>
      <c r="V1357" t="str">
        <v>x</v>
      </c>
      <c r="W1357">
        <f>+D1357</f>
        <v>2</v>
      </c>
      <c r="X1357" t="str">
        <v>x</v>
      </c>
      <c r="Y1357">
        <f>D1351</f>
        <v>1</v>
      </c>
      <c r="Z1357" t="str">
        <v>=</v>
      </c>
      <c r="AA1357">
        <f>(N1357+P1357*R1357/1000)*U1357*W1357*Y1357</f>
        <v>7.182225000000001</v>
      </c>
    </row>
    <row r="1360">
      <c r="A1360" t="str">
        <f>A1345</f>
        <v>Lantai 1</v>
      </c>
      <c r="B1360">
        <f>B1345</f>
        <v>44</v>
      </c>
      <c r="C1360" t="str">
        <v>Tul Bawah Tumpuan</v>
      </c>
      <c r="D1360">
        <f>VLOOKUP(D1345,'Detail Balok'!$C$10:$AU$140,22,FALSE)</f>
        <v>4</v>
      </c>
      <c r="E1360" t="str">
        <v>D</v>
      </c>
      <c r="F1360">
        <f>VLOOKUP(D1345,'Detail Balok'!$C$10:$AU$140,24,FALSE)</f>
        <v>16</v>
      </c>
      <c r="I1360" t="str">
        <v>(</v>
      </c>
      <c r="J1360">
        <f>+J1352</f>
        <v>1.39625</v>
      </c>
      <c r="K1360" t="str">
        <v>+</v>
      </c>
      <c r="L1360">
        <f>MAX(VLOOKUP(F1360,N$6:P$15,3,FALSE)/1000,2/3*D1350/1000)+F$16*F1360/1000</f>
        <v>0.192</v>
      </c>
      <c r="M1360" t="str">
        <v>=</v>
      </c>
      <c r="N1360">
        <f>J1360+L1360</f>
        <v>1.58825</v>
      </c>
      <c r="O1360" t="str">
        <v>+</v>
      </c>
      <c r="P1360">
        <f>D1360-D1361</f>
        <v>0</v>
      </c>
      <c r="Q1360" t="str">
        <v>x</v>
      </c>
      <c r="R1360">
        <f>IF(P1360&gt;0,$F$18*F1360/1000,0)</f>
        <v>0</v>
      </c>
      <c r="S1360" t="str">
        <v>)</v>
      </c>
      <c r="T1360" t="str">
        <v>x</v>
      </c>
      <c r="U1360">
        <f>0.006165*F1360^2</f>
        <v>1.57824</v>
      </c>
      <c r="X1360" t="str">
        <v>x</v>
      </c>
      <c r="Y1360">
        <f>D1351</f>
        <v>1</v>
      </c>
      <c r="Z1360" t="str">
        <v>=</v>
      </c>
      <c r="AA1360">
        <f>IF(AA1363=0,(D1360*N1360+P1360*R1360)*U1360*Y1360,0)</f>
        <v>0</v>
      </c>
    </row>
    <row r="1361">
      <c r="A1361" t="str">
        <f>A1345</f>
        <v>Lantai 1</v>
      </c>
      <c r="B1361">
        <f>B1345</f>
        <v>44</v>
      </c>
      <c r="C1361" t="str">
        <v>Tul Bawah Lapangan</v>
      </c>
      <c r="D1361">
        <f>VLOOKUP(D1345,'Detail Balok'!$C$10:$AU$140,25,FALSE)</f>
        <v>4</v>
      </c>
      <c r="E1361" t="str">
        <v>D</v>
      </c>
      <c r="F1361">
        <f>VLOOKUP(D1345,'Detail Balok'!$C$10:$AU$140,27,FALSE)</f>
        <v>16</v>
      </c>
      <c r="I1361" t="str">
        <v>(</v>
      </c>
      <c r="J1361">
        <f>+J1353</f>
        <v>2.7925</v>
      </c>
      <c r="K1361" t="str">
        <v>+</v>
      </c>
      <c r="M1361" t="str">
        <v>=</v>
      </c>
      <c r="N1361">
        <f>J1361+L1361</f>
        <v>2.7925</v>
      </c>
      <c r="O1361" t="str">
        <v>+</v>
      </c>
      <c r="P1361">
        <f>MAX(D1361-D1360,D1361-D1362)</f>
        <v>0</v>
      </c>
      <c r="Q1361" t="str">
        <v>x</v>
      </c>
      <c r="R1361">
        <f>IF(P1361&gt;0,2*(1-2*$F$19-1/2)*D1348/1000,0)</f>
        <v>0</v>
      </c>
      <c r="S1361" t="str">
        <v>)</v>
      </c>
      <c r="T1361" t="str">
        <v>x</v>
      </c>
      <c r="U1361">
        <f>0.006165*F1361^2</f>
        <v>1.57824</v>
      </c>
      <c r="X1361" t="str">
        <v>x</v>
      </c>
      <c r="Y1361">
        <f>D1351</f>
        <v>1</v>
      </c>
      <c r="Z1361" t="str">
        <v>=</v>
      </c>
      <c r="AA1361">
        <f>IF(AA1363=0,(D1361*N1361+P1361*R1361)*U1361*Y1361,0)</f>
        <v>0</v>
      </c>
    </row>
    <row r="1362">
      <c r="A1362" t="str">
        <f>A1345</f>
        <v>Lantai 1</v>
      </c>
      <c r="B1362">
        <f>B1345</f>
        <v>44</v>
      </c>
      <c r="C1362" t="str">
        <v>Tul Bawah Tumpuan</v>
      </c>
      <c r="D1362">
        <f>VLOOKUP(D1345,'Detail Balok'!$C$10:$AU$140,28,FALSE)</f>
        <v>4</v>
      </c>
      <c r="E1362" t="str">
        <v>D</v>
      </c>
      <c r="F1362">
        <f>VLOOKUP(D1345,'Detail Balok'!$C$10:$AU$140,30,FALSE)</f>
        <v>16</v>
      </c>
      <c r="I1362" t="str">
        <v>(</v>
      </c>
      <c r="J1362">
        <f>+J1354</f>
        <v>1.39625</v>
      </c>
      <c r="K1362" t="str">
        <v>+</v>
      </c>
      <c r="L1362">
        <f>MAX(VLOOKUP(F1362,N$6:P$15,3,FALSE)/1000,2/3*D1350/1000)+F$16*F1362/1000</f>
        <v>0.192</v>
      </c>
      <c r="M1362" t="str">
        <v>=</v>
      </c>
      <c r="N1362">
        <f>J1362+L1362</f>
        <v>1.58825</v>
      </c>
      <c r="O1362" t="str">
        <v>+</v>
      </c>
      <c r="P1362">
        <f>D1362-D1361</f>
        <v>0</v>
      </c>
      <c r="Q1362" t="str">
        <v>x</v>
      </c>
      <c r="R1362">
        <f>IF(P1362&gt;0,$F$18*F1362/1000,0)</f>
        <v>0</v>
      </c>
      <c r="S1362" t="str">
        <v>)</v>
      </c>
      <c r="T1362" t="str">
        <v>x</v>
      </c>
      <c r="U1362">
        <f>0.006165*F1362^2</f>
        <v>1.57824</v>
      </c>
      <c r="X1362" t="str">
        <v>x</v>
      </c>
      <c r="Y1362">
        <f>D1351</f>
        <v>1</v>
      </c>
      <c r="Z1362" t="str">
        <v>=</v>
      </c>
      <c r="AA1362">
        <f>IF(AA1363=0,(D1362*N1362+P1362*R1362)*U1362*Y1362,0)</f>
        <v>0</v>
      </c>
    </row>
    <row r="1363">
      <c r="A1363" t="str">
        <f>A1345</f>
        <v>Lantai 1</v>
      </c>
      <c r="B1363">
        <f>B1345</f>
        <v>44</v>
      </c>
      <c r="D1363">
        <f>IF(AND(D1360=D1361,D1361=D1362,D1360=D1362),D1360,0)</f>
        <v>4</v>
      </c>
      <c r="E1363" t="str">
        <v>D</v>
      </c>
      <c r="F1363">
        <f>IF(AND(F1360=F1361,F1360=F1362,F1361=F1362),F1360,0)</f>
        <v>16</v>
      </c>
      <c r="L1363" t="str">
        <v>Total panjang per balok</v>
      </c>
      <c r="M1363" t="str">
        <v>=</v>
      </c>
      <c r="N1363">
        <f>IF(AND(D1360=D1361,D1360=D1362,D1361=D1362,F1360=F1361,F1360=F1362,F1361=F1362),SUM(N1360:N1362),0)</f>
        <v>5.968999999999999</v>
      </c>
      <c r="O1363" t="str">
        <v>+</v>
      </c>
      <c r="P1363">
        <f>IF(N1363&gt;12,ROUNDDOWN(N1363/12,0),0)</f>
        <v>0</v>
      </c>
      <c r="Q1363" t="str">
        <v>x</v>
      </c>
      <c r="R1363">
        <f>IF(P1363&gt;0,MAX(VLOOKUP(F1363,$D$6:$G$15,3,FALSE),600),0)/1000</f>
        <v>0</v>
      </c>
      <c r="T1363" t="str">
        <v>x</v>
      </c>
      <c r="U1363">
        <f>U1362</f>
        <v>1.57824</v>
      </c>
      <c r="V1363" t="str">
        <v>x</v>
      </c>
      <c r="W1363">
        <f>D1363</f>
        <v>4</v>
      </c>
      <c r="X1363" t="str">
        <v>x</v>
      </c>
      <c r="Y1363">
        <f>Y1362</f>
        <v>1</v>
      </c>
      <c r="Z1363" t="str">
        <v>=</v>
      </c>
      <c r="AA1363">
        <f>(N1363+P1363*R1363/1000)*U1363*W1363*Y1363</f>
        <v>37.682058239999996</v>
      </c>
    </row>
    <row r="1365">
      <c r="A1365" t="str">
        <f>A1345</f>
        <v>Lantai 1</v>
      </c>
      <c r="B1365">
        <f>B1345</f>
        <v>44</v>
      </c>
      <c r="C1365" t="str">
        <v>Sengkang Tumpuan</v>
      </c>
      <c r="D1365">
        <f>VLOOKUP(D1345,'Detail Balok'!$C$10:$AU$140,31,FALSE)</f>
        <v>0</v>
      </c>
      <c r="E1365" t="str">
        <v>D</v>
      </c>
      <c r="F1365">
        <f>VLOOKUP(D1345,'Detail Balok'!$C$10:$AU$140,33,FALSE)</f>
        <v>8</v>
      </c>
      <c r="G1365" t="str">
        <v>-</v>
      </c>
      <c r="H1365">
        <f>VLOOKUP(D1345,'Detail Balok'!$C$10:$AU$140,35,FALSE)</f>
        <v>150</v>
      </c>
      <c r="J1365">
        <f>(IF(D1365=0,(2*(D1346+G1346))-(F$5*8),IF(D1365=3,(2*(D1346+G1346))-(F$5*8)+(G1346-2*F$5),IF(D1365=4,(2*(D1346+G1346))-(F$5*8)+2*(G1346-2*F$5)))))/1000</f>
        <v>1.48</v>
      </c>
      <c r="K1365" t="str">
        <v>+</v>
      </c>
      <c r="L1365">
        <f>IF(D1365=0,2*MAX(6*F1365,75),(D1365-1)*2*MAX(6*F1365,75))/1000</f>
        <v>0.15</v>
      </c>
      <c r="M1365" t="str">
        <v>=</v>
      </c>
      <c r="N1365">
        <f>J1365+L1365</f>
        <v>1.63</v>
      </c>
      <c r="T1365" t="str">
        <v>x</v>
      </c>
      <c r="U1365">
        <f>0.006165*F1365^2</f>
        <v>0.39456</v>
      </c>
      <c r="V1365" t="str">
        <v>x</v>
      </c>
      <c r="W1365">
        <f>IF(D1348&gt;4*G1346,ROUND(MAX(D1348/4,2*G1346)/H1365,0)+1,ROUND(D1348/H1365,0)+1)</f>
        <v>10</v>
      </c>
      <c r="X1365" t="str">
        <v>x</v>
      </c>
      <c r="Y1365">
        <f>D1351</f>
        <v>1</v>
      </c>
      <c r="Z1365" t="str">
        <v>=</v>
      </c>
      <c r="AA1365">
        <f>N1365*U1365*W1365*Y1365</f>
        <v>6.431328</v>
      </c>
    </row>
    <row r="1366">
      <c r="A1366" t="str">
        <f>A1345</f>
        <v>Lantai 1</v>
      </c>
      <c r="B1366">
        <f>B1345</f>
        <v>44</v>
      </c>
      <c r="C1366" t="str">
        <v>Sengkang Lapangan</v>
      </c>
      <c r="D1366">
        <f>VLOOKUP(D1345,'Detail Balok'!$C$10:$AU$140,36,FALSE)</f>
        <v>0</v>
      </c>
      <c r="E1366" t="str">
        <v>D</v>
      </c>
      <c r="F1366">
        <f>VLOOKUP(D1345,'Detail Balok'!$C$10:$AU$140,38,FALSE)</f>
        <v>8</v>
      </c>
      <c r="G1366" t="str">
        <v>-</v>
      </c>
      <c r="H1366">
        <f>VLOOKUP(D1345,'Detail Balok'!$C$10:$AU$140,40,FALSE)</f>
        <v>200</v>
      </c>
      <c r="J1366">
        <f>(IF(D1366=0,(2*(D1346+G1346))-(F$5*8),IF(D1366=3,(2*(D1346+G1346))-(F$5*8)+(G1346-2*F$5),IF(D1366=4,(2*(D1346+G1346))-(F$5*8)+2*(G1346-2*F$5)))))/1000</f>
        <v>1.48</v>
      </c>
      <c r="K1366" t="str">
        <v>+</v>
      </c>
      <c r="L1366">
        <f>IF(D1366=0,2*MAX(6*F1366,75),(D1366-1)*2*MAX(6*F1366,75))/1000</f>
        <v>0.15</v>
      </c>
      <c r="M1366" t="str">
        <v>=</v>
      </c>
      <c r="N1366">
        <f>J1366+L1366</f>
        <v>1.63</v>
      </c>
      <c r="T1366" t="str">
        <v>x</v>
      </c>
      <c r="U1366">
        <f>0.006165*F1366^2</f>
        <v>0.39456</v>
      </c>
      <c r="V1366" t="str">
        <v>x</v>
      </c>
      <c r="W1366">
        <f>IF(D1348-MAX(D1348/4,2*G1346)*2&gt;0,ROUND((D1348-MAX(D1348/4,2*G1346)*2)/H1366,0),0)</f>
        <v>14</v>
      </c>
      <c r="X1366" t="str">
        <v>x</v>
      </c>
      <c r="Y1366">
        <f>D1351</f>
        <v>1</v>
      </c>
      <c r="Z1366" t="str">
        <v>=</v>
      </c>
      <c r="AA1366">
        <f>N1366*U1366*W1366*Y1366</f>
        <v>9.003859199999999</v>
      </c>
    </row>
    <row r="1367">
      <c r="A1367" t="str">
        <f>A1345</f>
        <v>Lantai 1</v>
      </c>
      <c r="B1367">
        <f>B1345</f>
        <v>44</v>
      </c>
      <c r="C1367" t="str">
        <v>Sengkang Tumpuan</v>
      </c>
      <c r="D1367">
        <f>VLOOKUP(D1345,'Detail Balok'!$C$10:$AU$140,41,FALSE)</f>
        <v>0</v>
      </c>
      <c r="E1367" t="str">
        <v>D</v>
      </c>
      <c r="F1367">
        <f>VLOOKUP(D1345,'Detail Balok'!$C$10:$AU$140,43,FALSE)</f>
        <v>8</v>
      </c>
      <c r="G1367" t="str">
        <v>-</v>
      </c>
      <c r="H1367">
        <f>VLOOKUP(D1345,'Detail Balok'!$C$10:$AU$140,45,FALSE)</f>
        <v>150</v>
      </c>
      <c r="J1367">
        <f>(IF(D1367=0,(2*(D1346+G1346))-(F$5*8),IF(D1367=3,(2*(D1346+G1346))-(F$5*8)+(G1346-2*F$5),IF(D1367=4,(2*(D1346+G1346))-(F$5*8)+2*(G1346-2*F$5)))))/1000</f>
        <v>1.48</v>
      </c>
      <c r="K1367" t="str">
        <v>+</v>
      </c>
      <c r="L1367">
        <f>IF(D1367=0,2*MAX(6*F1367,75),(D1367-1)*2*MAX(6*F1367,75))/1000</f>
        <v>0.15</v>
      </c>
      <c r="M1367" t="str">
        <v>=</v>
      </c>
      <c r="N1367">
        <f>J1367+L1367</f>
        <v>1.63</v>
      </c>
      <c r="T1367" t="str">
        <v>x</v>
      </c>
      <c r="U1367">
        <f>0.006165*F1367^2</f>
        <v>0.39456</v>
      </c>
      <c r="V1367" t="str">
        <v>x</v>
      </c>
      <c r="W1367">
        <f>IF(D1348&gt;4*G1346,ROUND(MAX(D1348/4,2*G1346)/H1367,0)+1,0)</f>
        <v>10</v>
      </c>
      <c r="X1367" t="str">
        <v>x</v>
      </c>
      <c r="Y1367">
        <f>D1351</f>
        <v>1</v>
      </c>
      <c r="Z1367" t="str">
        <v>=</v>
      </c>
      <c r="AA1367">
        <f>N1367*U1367*W1367*Y1367</f>
        <v>6.431328</v>
      </c>
    </row>
    <row r="1369">
      <c r="A1369" t="str">
        <f>A1345</f>
        <v>Lantai 1</v>
      </c>
      <c r="B1369">
        <f>B1345</f>
        <v>44</v>
      </c>
      <c r="C1369" t="str">
        <v>Kait Horizontal Tump.</v>
      </c>
      <c r="D1369">
        <f>VLOOKUP(D1345,'Detail Balok'!$C$10:$BJ$140,46,FALSE)</f>
        <v>0</v>
      </c>
      <c r="E1369" t="str">
        <v>D</v>
      </c>
      <c r="F1369">
        <f>VLOOKUP(D1345,'Detail Balok'!$C$10:$BJ$140,48,FALSE)</f>
        <v>0</v>
      </c>
      <c r="G1369" t="str">
        <v>-</v>
      </c>
      <c r="H1369">
        <f>VLOOKUP(D1345,'Detail Balok'!$C$10:$BJ$140,50,FALSE)</f>
        <v>100</v>
      </c>
      <c r="J1369">
        <f>(D1346-2*F$5)/1000</f>
        <v>0.22</v>
      </c>
      <c r="K1369" t="str">
        <v>+</v>
      </c>
      <c r="L1369">
        <f>IF(D1369=0,2*MAX(6*F1369,75),(D1369-1)*2*MAX(6*F1369,75))/1000</f>
        <v>0.15</v>
      </c>
      <c r="M1369" t="str">
        <v>=</v>
      </c>
      <c r="N1369">
        <f>J1369+L1369</f>
        <v>0.37</v>
      </c>
      <c r="T1369" t="str">
        <v>x</v>
      </c>
      <c r="U1369">
        <f>0.006165*F1369^2</f>
        <v>0</v>
      </c>
      <c r="V1369" t="str">
        <v>x</v>
      </c>
      <c r="W1369">
        <f>W1365</f>
        <v>10</v>
      </c>
      <c r="X1369" t="str">
        <v>x</v>
      </c>
      <c r="Y1369">
        <f>D1355</f>
        <v>4</v>
      </c>
      <c r="Z1369" t="str">
        <v>=</v>
      </c>
      <c r="AA1369">
        <f>N1369*U1369*W1369*Y1369</f>
        <v>0</v>
      </c>
    </row>
    <row r="1370">
      <c r="A1370" t="str">
        <f>A1345</f>
        <v>Lantai 1</v>
      </c>
      <c r="B1370">
        <f>B1345</f>
        <v>44</v>
      </c>
      <c r="C1370" t="str">
        <v>Kait Horizontal Lap.</v>
      </c>
      <c r="D1370">
        <f>VLOOKUP(D1345,'Detail Balok'!$C$10:$BJ$140,51,FALSE)</f>
        <v>0</v>
      </c>
      <c r="E1370" t="str">
        <v>D</v>
      </c>
      <c r="F1370">
        <f>VLOOKUP(D1345,'Detail Balok'!$C$10:$BJ$140,53,FALSE)</f>
        <v>0</v>
      </c>
      <c r="G1370" t="str">
        <v>-</v>
      </c>
      <c r="H1370">
        <f>VLOOKUP(D1345,'Detail Balok'!$C$10:$BJ$140,55,FALSE)</f>
        <v>100</v>
      </c>
      <c r="J1370">
        <f>(D1346-2*F$5)/1000</f>
        <v>0.22</v>
      </c>
      <c r="K1370" t="str">
        <v>+</v>
      </c>
      <c r="L1370">
        <f>IF(D1370=0,2*MAX(6*F1370,75),(D1370-1)*2*MAX(6*F1370,75))/1000</f>
        <v>0.15</v>
      </c>
      <c r="M1370" t="str">
        <v>=</v>
      </c>
      <c r="N1370">
        <f>J1370+L1370</f>
        <v>0.37</v>
      </c>
      <c r="T1370" t="str">
        <v>x</v>
      </c>
      <c r="U1370">
        <f>0.006165*F1370^2</f>
        <v>0</v>
      </c>
      <c r="V1370" t="str">
        <v>x</v>
      </c>
      <c r="W1370">
        <f>W1366</f>
        <v>14</v>
      </c>
      <c r="X1370" t="str">
        <v>x</v>
      </c>
      <c r="Y1370">
        <f>D1355</f>
        <v>4</v>
      </c>
      <c r="Z1370" t="str">
        <v>=</v>
      </c>
      <c r="AA1370">
        <f>N1370*U1370*W1370*Y1370</f>
        <v>0</v>
      </c>
    </row>
    <row r="1371">
      <c r="A1371" t="str">
        <f>A1345</f>
        <v>Lantai 1</v>
      </c>
      <c r="B1371">
        <f>B1345</f>
        <v>44</v>
      </c>
      <c r="C1371" t="str">
        <v>Kait Horizontal Tump.</v>
      </c>
      <c r="D1371">
        <f>VLOOKUP(D1345,'Detail Balok'!$C$10:$BJ$140,56,FALSE)</f>
        <v>0</v>
      </c>
      <c r="E1371" t="str">
        <v>D</v>
      </c>
      <c r="F1371">
        <f>VLOOKUP(D1345,'Detail Balok'!$C$10:$BJ$140,58,FALSE)</f>
        <v>0</v>
      </c>
      <c r="G1371" t="str">
        <v>-</v>
      </c>
      <c r="H1371">
        <f>VLOOKUP(D1345,'Detail Balok'!$C$10:$BJ$140,60,FALSE)</f>
        <v>100</v>
      </c>
      <c r="J1371">
        <f>(D1346-2*F$5)/1000</f>
        <v>0.22</v>
      </c>
      <c r="K1371" t="str">
        <v>+</v>
      </c>
      <c r="L1371">
        <f>IF(D1371=0,2*MAX(6*F1371,75),(D1371-1)*2*MAX(6*F1371,75))/1000</f>
        <v>0.15</v>
      </c>
      <c r="M1371" t="str">
        <v>=</v>
      </c>
      <c r="N1371">
        <f>J1371+L1371</f>
        <v>0.37</v>
      </c>
      <c r="T1371" t="str">
        <v>x</v>
      </c>
      <c r="U1371">
        <f>0.006165*F1371^2</f>
        <v>0</v>
      </c>
      <c r="V1371" t="str">
        <v>x</v>
      </c>
      <c r="W1371">
        <f>W1367</f>
        <v>10</v>
      </c>
      <c r="X1371" t="str">
        <v>x</v>
      </c>
      <c r="Y1371">
        <f>D1355</f>
        <v>4</v>
      </c>
      <c r="Z1371" t="str">
        <v>=</v>
      </c>
      <c r="AA1371">
        <f>N1371*U1371*W1371*Y1371</f>
        <v>0</v>
      </c>
    </row>
    <row r="1375">
      <c r="A1375" t="str">
        <f>A1345</f>
        <v>Lantai 1</v>
      </c>
      <c r="B1375">
        <f>B1345+1</f>
        <v>45</v>
      </c>
      <c r="C1375" t="str">
        <f>CONCATENATE(A1375," no. ",B1375)</f>
        <v>Lantai 1 no. 45</v>
      </c>
      <c r="D1375" t="str">
        <f>VLOOKUP(C1375,'Data Panjang Balok'!$C$9:$N$254,2,FALSE)</f>
        <v>S25-1</v>
      </c>
    </row>
    <row r="1376">
      <c r="C1376" t="str">
        <v>Dimensi</v>
      </c>
      <c r="D1376">
        <f>VLOOKUP(D1375,'Detail Balok'!$C$10:$AU$140,2,FALSE)</f>
        <v>200</v>
      </c>
      <c r="F1376" t="str">
        <v>x</v>
      </c>
      <c r="G1376">
        <f>VLOOKUP(D1375,'Detail Balok'!$C$10:$AU$140,3,FALSE)</f>
        <v>500</v>
      </c>
    </row>
    <row r="1377">
      <c r="C1377" t="str">
        <v>Panjang as ke as</v>
      </c>
      <c r="D1377">
        <f>VLOOKUP(C1375,'Data Panjang Balok'!$C$9:$N$254,4,FALSE)</f>
        <v>5575</v>
      </c>
    </row>
    <row r="1378">
      <c r="C1378" t="str">
        <v>Panjang netto</v>
      </c>
      <c r="D1378">
        <f>VLOOKUP(C1375,'Data Panjang Balok'!$C$9:$N$254,7,FALSE)</f>
        <v>5575</v>
      </c>
    </row>
    <row r="1379">
      <c r="C1379" t="str">
        <v>Kolom / balok kiri</v>
      </c>
      <c r="D1379">
        <f>VLOOKUP(C1375,'Data Panjang Balok'!$C$9:$N$254,9,FALSE)</f>
        <v>0</v>
      </c>
    </row>
    <row r="1380">
      <c r="C1380" t="str">
        <v>Kolom / balok kanan</v>
      </c>
      <c r="D1380">
        <f>VLOOKUP(C1375,'Data Panjang Balok'!$C$9:$N$254,10,FALSE)</f>
        <v>0</v>
      </c>
    </row>
    <row r="1381">
      <c r="C1381" t="str">
        <v>Jumlah</v>
      </c>
      <c r="D1381">
        <f>VLOOKUP(C1375,'Data Panjang Balok'!$C$9:$N$254,3,FALSE)</f>
        <v>1</v>
      </c>
    </row>
    <row r="1382">
      <c r="A1382" t="str">
        <f>A1375</f>
        <v>Lantai 1</v>
      </c>
      <c r="B1382">
        <f>B1375</f>
        <v>45</v>
      </c>
      <c r="C1382" t="str">
        <v>Tul Atas Tumpuan</v>
      </c>
      <c r="D1382">
        <f>VLOOKUP(D1375,'Detail Balok'!$C$10:$AU$140,4,FALSE)</f>
        <v>3</v>
      </c>
      <c r="E1382" t="str">
        <v>D</v>
      </c>
      <c r="F1382">
        <f>VLOOKUP(D1375,'Detail Balok'!$C$10:$AU$140,6,FALSE)</f>
        <v>16</v>
      </c>
      <c r="I1382" t="str">
        <v>(</v>
      </c>
      <c r="J1382">
        <f>+D1377/4/1000</f>
        <v>1.39375</v>
      </c>
      <c r="K1382" t="str">
        <v>+</v>
      </c>
      <c r="L1382">
        <f>MAX(VLOOKUP(F1382,N$6:P$15,3,FALSE)/1000,2/3*D1379/1000)+F$16*F1382/1000</f>
        <v>0.192</v>
      </c>
      <c r="M1382" t="str">
        <v>=</v>
      </c>
      <c r="N1382">
        <f>J1382+L1382</f>
        <v>1.58575</v>
      </c>
      <c r="O1382" t="str">
        <v>+</v>
      </c>
      <c r="P1382">
        <f>D1382-D1383</f>
        <v>0</v>
      </c>
      <c r="Q1382" t="str">
        <v>x</v>
      </c>
      <c r="R1382">
        <f>IF(P1382&gt;0,$F$18*F1382/1000,0)</f>
        <v>0</v>
      </c>
      <c r="S1382" t="str">
        <v>)</v>
      </c>
      <c r="T1382" t="str">
        <v>x</v>
      </c>
      <c r="U1382">
        <f>0.006165*F1382^2</f>
        <v>1.57824</v>
      </c>
      <c r="X1382" t="str">
        <v>x</v>
      </c>
      <c r="Y1382">
        <f>D1381</f>
        <v>1</v>
      </c>
      <c r="Z1382" t="str">
        <v>=</v>
      </c>
      <c r="AA1382">
        <f>IF(AA1385=0,(D1382*N1382+P1382*R1382)*U1382*Y1382,0)</f>
        <v>0</v>
      </c>
    </row>
    <row r="1383">
      <c r="A1383" t="str">
        <f>A1375</f>
        <v>Lantai 1</v>
      </c>
      <c r="B1383">
        <f>B1375</f>
        <v>45</v>
      </c>
      <c r="C1383" t="str">
        <v>Tul Atas Lapangan</v>
      </c>
      <c r="D1383">
        <f>VLOOKUP(D1375,'Detail Balok'!$C$10:$AU$140,7,FALSE)</f>
        <v>3</v>
      </c>
      <c r="E1383" t="str">
        <v>D</v>
      </c>
      <c r="F1383">
        <f>VLOOKUP(D1375,'Detail Balok'!$C$10:$AU$140,9,FALSE)</f>
        <v>16</v>
      </c>
      <c r="I1383" t="str">
        <v>(</v>
      </c>
      <c r="J1383">
        <f>+D1377/2/1000</f>
        <v>2.7875</v>
      </c>
      <c r="K1383" t="str">
        <v>+</v>
      </c>
      <c r="M1383" t="str">
        <v>=</v>
      </c>
      <c r="N1383">
        <f>J1383+L1383</f>
        <v>2.7875</v>
      </c>
      <c r="O1383" t="str">
        <v>+</v>
      </c>
      <c r="P1383">
        <f>MAX(D1383-D1382,D1383-D1384)</f>
        <v>0</v>
      </c>
      <c r="Q1383" t="str">
        <v>x</v>
      </c>
      <c r="R1383">
        <f>IF(P1383&gt;0,2*(1-2*$F$19-1/2)*D1378/1000,0)</f>
        <v>0</v>
      </c>
      <c r="S1383" t="str">
        <v>)</v>
      </c>
      <c r="T1383" t="str">
        <v>x</v>
      </c>
      <c r="U1383">
        <f>0.006165*F1383^2</f>
        <v>1.57824</v>
      </c>
      <c r="X1383" t="str">
        <v>x</v>
      </c>
      <c r="Y1383">
        <f>D1381</f>
        <v>1</v>
      </c>
      <c r="Z1383" t="str">
        <v>=</v>
      </c>
      <c r="AA1383">
        <f>IF(AA1385=0,(D1383*N1383+P1383*R1383)*U1383*Y1383,0)</f>
        <v>0</v>
      </c>
    </row>
    <row r="1384">
      <c r="A1384" t="str">
        <f>A1375</f>
        <v>Lantai 1</v>
      </c>
      <c r="B1384">
        <f>B1375</f>
        <v>45</v>
      </c>
      <c r="C1384" t="str">
        <v>Tul Atas Tumpuan</v>
      </c>
      <c r="D1384">
        <f>VLOOKUP(D1375,'Detail Balok'!$C$10:$AU$140,10,FALSE)</f>
        <v>3</v>
      </c>
      <c r="E1384" t="str">
        <v>D</v>
      </c>
      <c r="F1384">
        <f>VLOOKUP(D1375,'Detail Balok'!$C$10:$AU$140,12,FALSE)</f>
        <v>16</v>
      </c>
      <c r="I1384" t="str">
        <v>(</v>
      </c>
      <c r="J1384">
        <f>+D1377/4/1000</f>
        <v>1.39375</v>
      </c>
      <c r="K1384" t="str">
        <v>+</v>
      </c>
      <c r="L1384">
        <f>MAX(VLOOKUP(F1384,N$6:P$15,3,FALSE)/1000,2/3*D1379/1000)+F$16*F1384/1000</f>
        <v>0.192</v>
      </c>
      <c r="M1384" t="str">
        <v>=</v>
      </c>
      <c r="N1384">
        <f>J1384+L1384</f>
        <v>1.58575</v>
      </c>
      <c r="O1384" t="str">
        <v>+</v>
      </c>
      <c r="P1384">
        <f>D1384-D1383</f>
        <v>0</v>
      </c>
      <c r="Q1384" t="str">
        <v>x</v>
      </c>
      <c r="R1384">
        <f>IF(P1384&gt;0,$F$18*F1384/1000,0)</f>
        <v>0</v>
      </c>
      <c r="S1384" t="str">
        <v>)</v>
      </c>
      <c r="T1384" t="str">
        <v>x</v>
      </c>
      <c r="U1384">
        <f>0.006165*F1384^2</f>
        <v>1.57824</v>
      </c>
      <c r="X1384" t="str">
        <v>x</v>
      </c>
      <c r="Y1384">
        <f>D1381</f>
        <v>1</v>
      </c>
      <c r="Z1384" t="str">
        <v>=</v>
      </c>
      <c r="AA1384">
        <f>IF(AA1385=0,(D1384*N1384+P1384*R1384)*U1384*Y1384,0)</f>
        <v>0</v>
      </c>
    </row>
    <row r="1385">
      <c r="A1385" t="str">
        <f>A1375</f>
        <v>Lantai 1</v>
      </c>
      <c r="B1385">
        <f>B1375</f>
        <v>45</v>
      </c>
      <c r="D1385">
        <f>IF(AND(D1382=D1383,D1383=D1384,D1382=D1384),D1382,0)</f>
        <v>3</v>
      </c>
      <c r="E1385" t="str">
        <v>D</v>
      </c>
      <c r="F1385">
        <f>IF(AND(F1382=F1383,F1382=F1384,F1383=F1384),F1382,0)</f>
        <v>16</v>
      </c>
      <c r="L1385" t="str">
        <v>Total panjang per balok</v>
      </c>
      <c r="M1385" t="str">
        <v>=</v>
      </c>
      <c r="N1385">
        <f>IF(AND(D1382=D1383,D1382=D1384,D1383=D1384,F1382=F1383,F1382=F1384,F1383=F1384),SUM(N1382:N1384),0)</f>
        <v>5.9590000000000005</v>
      </c>
      <c r="O1385" t="str">
        <v>+</v>
      </c>
      <c r="P1385">
        <f>IF(N1385&gt;12,ROUNDDOWN(N1385/12,0),0)</f>
        <v>0</v>
      </c>
      <c r="Q1385" t="str">
        <v>x</v>
      </c>
      <c r="R1385">
        <f>IF(P1385&gt;0,MAX(VLOOKUP(F1385,$D$6:$G$15,3,FALSE),600),0)/1000</f>
        <v>0</v>
      </c>
      <c r="T1385" t="str">
        <v>x</v>
      </c>
      <c r="U1385">
        <f>U1384</f>
        <v>1.57824</v>
      </c>
      <c r="V1385" t="str">
        <v>x</v>
      </c>
      <c r="W1385">
        <f>D1385</f>
        <v>3</v>
      </c>
      <c r="X1385" t="str">
        <v>x</v>
      </c>
      <c r="Y1385">
        <f>Y1384</f>
        <v>1</v>
      </c>
      <c r="Z1385" t="str">
        <v>=</v>
      </c>
      <c r="AA1385">
        <f>(N1385+P1385*R1385/1000)*U1385*W1385*Y1385</f>
        <v>28.214196480000005</v>
      </c>
    </row>
    <row r="1387">
      <c r="A1387" t="str">
        <f>A1375</f>
        <v>Lantai 1</v>
      </c>
      <c r="B1387">
        <f>B1375</f>
        <v>45</v>
      </c>
      <c r="C1387" t="str">
        <v>Tul Peminggang</v>
      </c>
      <c r="D1387">
        <f>VLOOKUP(D1375,'Detail Balok'!$C$10:$AU$140,13,FALSE)</f>
        <v>2</v>
      </c>
      <c r="E1387" t="str">
        <v>D</v>
      </c>
      <c r="F1387">
        <f>VLOOKUP(D1375,'Detail Balok'!$C$10:$AU$140,15,FALSE)</f>
        <v>10</v>
      </c>
      <c r="J1387">
        <f>+D1377/1000</f>
        <v>5.575</v>
      </c>
      <c r="K1387" t="str">
        <v>+</v>
      </c>
      <c r="L1387">
        <f>2*$F$16*F1387/1000</f>
        <v>0.24</v>
      </c>
      <c r="M1387" t="str">
        <v>=</v>
      </c>
      <c r="N1387">
        <f>J1387+L1387</f>
        <v>5.815</v>
      </c>
      <c r="O1387" t="str">
        <v>+</v>
      </c>
      <c r="P1387">
        <f>IF(N1387&gt;12,ROUNDDOWN(N1387/12,0),0)</f>
        <v>0</v>
      </c>
      <c r="Q1387" t="str">
        <v>x</v>
      </c>
      <c r="R1387">
        <f>IF(P1387&gt;0,MAX(VLOOKUP(F1387,$D$6:$G$15,3,FALSE),600),0)/1000</f>
        <v>0</v>
      </c>
      <c r="T1387" t="str">
        <v>x</v>
      </c>
      <c r="U1387">
        <f>0.006165*F1387^2</f>
        <v>0.6165</v>
      </c>
      <c r="V1387" t="str">
        <v>x</v>
      </c>
      <c r="W1387">
        <f>+D1387</f>
        <v>2</v>
      </c>
      <c r="X1387" t="str">
        <v>x</v>
      </c>
      <c r="Y1387">
        <f>D1381</f>
        <v>1</v>
      </c>
      <c r="Z1387" t="str">
        <v>=</v>
      </c>
      <c r="AA1387">
        <f>(N1387+P1387*R1387/1000)*U1387*W1387*Y1387</f>
        <v>7.169895000000001</v>
      </c>
    </row>
    <row r="1390">
      <c r="A1390" t="str">
        <f>A1375</f>
        <v>Lantai 1</v>
      </c>
      <c r="B1390">
        <f>B1375</f>
        <v>45</v>
      </c>
      <c r="C1390" t="str">
        <v>Tul Bawah Tumpuan</v>
      </c>
      <c r="D1390">
        <f>VLOOKUP(D1375,'Detail Balok'!$C$10:$AU$140,22,FALSE)</f>
        <v>3</v>
      </c>
      <c r="E1390" t="str">
        <v>D</v>
      </c>
      <c r="F1390">
        <f>VLOOKUP(D1375,'Detail Balok'!$C$10:$AU$140,24,FALSE)</f>
        <v>16</v>
      </c>
      <c r="I1390" t="str">
        <v>(</v>
      </c>
      <c r="J1390">
        <f>+J1382</f>
        <v>1.39375</v>
      </c>
      <c r="K1390" t="str">
        <v>+</v>
      </c>
      <c r="L1390">
        <f>MAX(VLOOKUP(F1390,N$6:P$15,3,FALSE)/1000,2/3*D1380/1000)+F$16*F1390/1000</f>
        <v>0.192</v>
      </c>
      <c r="M1390" t="str">
        <v>=</v>
      </c>
      <c r="N1390">
        <f>J1390+L1390</f>
        <v>1.58575</v>
      </c>
      <c r="O1390" t="str">
        <v>+</v>
      </c>
      <c r="P1390">
        <f>D1390-D1391</f>
        <v>0</v>
      </c>
      <c r="Q1390" t="str">
        <v>x</v>
      </c>
      <c r="R1390">
        <f>IF(P1390&gt;0,$F$18*F1390/1000,0)</f>
        <v>0</v>
      </c>
      <c r="S1390" t="str">
        <v>)</v>
      </c>
      <c r="T1390" t="str">
        <v>x</v>
      </c>
      <c r="U1390">
        <f>0.006165*F1390^2</f>
        <v>1.57824</v>
      </c>
      <c r="X1390" t="str">
        <v>x</v>
      </c>
      <c r="Y1390">
        <f>D1381</f>
        <v>1</v>
      </c>
      <c r="Z1390" t="str">
        <v>=</v>
      </c>
      <c r="AA1390">
        <f>IF(AA1393=0,(D1390*N1390+P1390*R1390)*U1390*Y1390,0)</f>
        <v>0</v>
      </c>
    </row>
    <row r="1391">
      <c r="A1391" t="str">
        <f>A1375</f>
        <v>Lantai 1</v>
      </c>
      <c r="B1391">
        <f>B1375</f>
        <v>45</v>
      </c>
      <c r="C1391" t="str">
        <v>Tul Bawah Lapangan</v>
      </c>
      <c r="D1391">
        <f>VLOOKUP(D1375,'Detail Balok'!$C$10:$AU$140,25,FALSE)</f>
        <v>3</v>
      </c>
      <c r="E1391" t="str">
        <v>D</v>
      </c>
      <c r="F1391">
        <f>VLOOKUP(D1375,'Detail Balok'!$C$10:$AU$140,27,FALSE)</f>
        <v>16</v>
      </c>
      <c r="I1391" t="str">
        <v>(</v>
      </c>
      <c r="J1391">
        <f>+J1383</f>
        <v>2.7875</v>
      </c>
      <c r="K1391" t="str">
        <v>+</v>
      </c>
      <c r="M1391" t="str">
        <v>=</v>
      </c>
      <c r="N1391">
        <f>J1391+L1391</f>
        <v>2.7875</v>
      </c>
      <c r="O1391" t="str">
        <v>+</v>
      </c>
      <c r="P1391">
        <f>MAX(D1391-D1390,D1391-D1392)</f>
        <v>0</v>
      </c>
      <c r="Q1391" t="str">
        <v>x</v>
      </c>
      <c r="R1391">
        <f>IF(P1391&gt;0,2*(1-2*$F$19-1/2)*D1378/1000,0)</f>
        <v>0</v>
      </c>
      <c r="S1391" t="str">
        <v>)</v>
      </c>
      <c r="T1391" t="str">
        <v>x</v>
      </c>
      <c r="U1391">
        <f>0.006165*F1391^2</f>
        <v>1.57824</v>
      </c>
      <c r="X1391" t="str">
        <v>x</v>
      </c>
      <c r="Y1391">
        <f>D1381</f>
        <v>1</v>
      </c>
      <c r="Z1391" t="str">
        <v>=</v>
      </c>
      <c r="AA1391">
        <f>IF(AA1393=0,(D1391*N1391+P1391*R1391)*U1391*Y1391,0)</f>
        <v>0</v>
      </c>
    </row>
    <row r="1392">
      <c r="A1392" t="str">
        <f>A1375</f>
        <v>Lantai 1</v>
      </c>
      <c r="B1392">
        <f>B1375</f>
        <v>45</v>
      </c>
      <c r="C1392" t="str">
        <v>Tul Bawah Tumpuan</v>
      </c>
      <c r="D1392">
        <f>VLOOKUP(D1375,'Detail Balok'!$C$10:$AU$140,28,FALSE)</f>
        <v>3</v>
      </c>
      <c r="E1392" t="str">
        <v>D</v>
      </c>
      <c r="F1392">
        <f>VLOOKUP(D1375,'Detail Balok'!$C$10:$AU$140,30,FALSE)</f>
        <v>16</v>
      </c>
      <c r="I1392" t="str">
        <v>(</v>
      </c>
      <c r="J1392">
        <f>+J1384</f>
        <v>1.39375</v>
      </c>
      <c r="K1392" t="str">
        <v>+</v>
      </c>
      <c r="L1392">
        <f>MAX(VLOOKUP(F1392,N$6:P$15,3,FALSE)/1000,2/3*D1380/1000)+F$16*F1392/1000</f>
        <v>0.192</v>
      </c>
      <c r="M1392" t="str">
        <v>=</v>
      </c>
      <c r="N1392">
        <f>J1392+L1392</f>
        <v>1.58575</v>
      </c>
      <c r="O1392" t="str">
        <v>+</v>
      </c>
      <c r="P1392">
        <f>D1392-D1391</f>
        <v>0</v>
      </c>
      <c r="Q1392" t="str">
        <v>x</v>
      </c>
      <c r="R1392">
        <f>IF(P1392&gt;0,$F$18*F1392/1000,0)</f>
        <v>0</v>
      </c>
      <c r="S1392" t="str">
        <v>)</v>
      </c>
      <c r="T1392" t="str">
        <v>x</v>
      </c>
      <c r="U1392">
        <f>0.006165*F1392^2</f>
        <v>1.57824</v>
      </c>
      <c r="X1392" t="str">
        <v>x</v>
      </c>
      <c r="Y1392">
        <f>D1381</f>
        <v>1</v>
      </c>
      <c r="Z1392" t="str">
        <v>=</v>
      </c>
      <c r="AA1392">
        <f>IF(AA1393=0,(D1392*N1392+P1392*R1392)*U1392*Y1392,0)</f>
        <v>0</v>
      </c>
    </row>
    <row r="1393">
      <c r="A1393" t="str">
        <f>A1375</f>
        <v>Lantai 1</v>
      </c>
      <c r="B1393">
        <f>B1375</f>
        <v>45</v>
      </c>
      <c r="D1393">
        <f>IF(AND(D1390=D1391,D1391=D1392,D1390=D1392),D1390,0)</f>
        <v>3</v>
      </c>
      <c r="E1393" t="str">
        <v>D</v>
      </c>
      <c r="F1393">
        <f>IF(AND(F1390=F1391,F1390=F1392,F1391=F1392),F1390,0)</f>
        <v>16</v>
      </c>
      <c r="L1393" t="str">
        <v>Total panjang per balok</v>
      </c>
      <c r="M1393" t="str">
        <v>=</v>
      </c>
      <c r="N1393">
        <f>IF(AND(D1390=D1391,D1390=D1392,D1391=D1392,F1390=F1391,F1390=F1392,F1391=F1392),SUM(N1390:N1392),0)</f>
        <v>5.9590000000000005</v>
      </c>
      <c r="O1393" t="str">
        <v>+</v>
      </c>
      <c r="P1393">
        <f>IF(N1393&gt;12,ROUNDDOWN(N1393/12,0),0)</f>
        <v>0</v>
      </c>
      <c r="Q1393" t="str">
        <v>x</v>
      </c>
      <c r="R1393">
        <f>IF(P1393&gt;0,MAX(VLOOKUP(F1393,$D$6:$G$15,3,FALSE),600),0)/1000</f>
        <v>0</v>
      </c>
      <c r="T1393" t="str">
        <v>x</v>
      </c>
      <c r="U1393">
        <f>U1392</f>
        <v>1.57824</v>
      </c>
      <c r="V1393" t="str">
        <v>x</v>
      </c>
      <c r="W1393">
        <f>D1393</f>
        <v>3</v>
      </c>
      <c r="X1393" t="str">
        <v>x</v>
      </c>
      <c r="Y1393">
        <f>Y1392</f>
        <v>1</v>
      </c>
      <c r="Z1393" t="str">
        <v>=</v>
      </c>
      <c r="AA1393">
        <f>(N1393+P1393*R1393/1000)*U1393*W1393*Y1393</f>
        <v>28.214196480000005</v>
      </c>
    </row>
    <row r="1395">
      <c r="A1395" t="str">
        <f>A1375</f>
        <v>Lantai 1</v>
      </c>
      <c r="B1395">
        <f>B1375</f>
        <v>45</v>
      </c>
      <c r="C1395" t="str">
        <v>Sengkang Tumpuan</v>
      </c>
      <c r="D1395">
        <f>VLOOKUP(D1375,'Detail Balok'!$C$10:$AU$140,31,FALSE)</f>
        <v>0</v>
      </c>
      <c r="E1395" t="str">
        <v>D</v>
      </c>
      <c r="F1395">
        <f>VLOOKUP(D1375,'Detail Balok'!$C$10:$AU$140,33,FALSE)</f>
        <v>8</v>
      </c>
      <c r="G1395" t="str">
        <v>-</v>
      </c>
      <c r="H1395">
        <f>VLOOKUP(D1375,'Detail Balok'!$C$10:$AU$140,35,FALSE)</f>
        <v>150</v>
      </c>
      <c r="J1395">
        <f>(IF(D1395=0,(2*(D1376+G1376))-(F$5*8),IF(D1395=3,(2*(D1376+G1376))-(F$5*8)+(G1376-2*F$5),IF(D1395=4,(2*(D1376+G1376))-(F$5*8)+2*(G1376-2*F$5)))))/1000</f>
        <v>1.08</v>
      </c>
      <c r="K1395" t="str">
        <v>+</v>
      </c>
      <c r="L1395">
        <f>IF(D1395=0,2*MAX(6*F1395,75),(D1395-1)*2*MAX(6*F1395,75))/1000</f>
        <v>0.15</v>
      </c>
      <c r="M1395" t="str">
        <v>=</v>
      </c>
      <c r="N1395">
        <f>J1395+L1395</f>
        <v>1.23</v>
      </c>
      <c r="T1395" t="str">
        <v>x</v>
      </c>
      <c r="U1395">
        <f>0.006165*F1395^2</f>
        <v>0.39456</v>
      </c>
      <c r="V1395" t="str">
        <v>x</v>
      </c>
      <c r="W1395">
        <f>IF(D1378&gt;4*G1376,ROUND(MAX(D1378/4,2*G1376)/H1395,0)+1,ROUND(D1378/H1395,0)+1)</f>
        <v>10</v>
      </c>
      <c r="X1395" t="str">
        <v>x</v>
      </c>
      <c r="Y1395">
        <f>D1381</f>
        <v>1</v>
      </c>
      <c r="Z1395" t="str">
        <v>=</v>
      </c>
      <c r="AA1395">
        <f>N1395*U1395*W1395*Y1395</f>
        <v>4.8530880000000005</v>
      </c>
    </row>
    <row r="1396">
      <c r="A1396" t="str">
        <f>A1375</f>
        <v>Lantai 1</v>
      </c>
      <c r="B1396">
        <f>B1375</f>
        <v>45</v>
      </c>
      <c r="C1396" t="str">
        <v>Sengkang Lapangan</v>
      </c>
      <c r="D1396">
        <f>VLOOKUP(D1375,'Detail Balok'!$C$10:$AU$140,36,FALSE)</f>
        <v>0</v>
      </c>
      <c r="E1396" t="str">
        <v>D</v>
      </c>
      <c r="F1396">
        <f>VLOOKUP(D1375,'Detail Balok'!$C$10:$AU$140,38,FALSE)</f>
        <v>8</v>
      </c>
      <c r="G1396" t="str">
        <v>-</v>
      </c>
      <c r="H1396">
        <f>VLOOKUP(D1375,'Detail Balok'!$C$10:$AU$140,40,FALSE)</f>
        <v>200</v>
      </c>
      <c r="J1396">
        <f>(IF(D1396=0,(2*(D1376+G1376))-(F$5*8),IF(D1396=3,(2*(D1376+G1376))-(F$5*8)+(G1376-2*F$5),IF(D1396=4,(2*(D1376+G1376))-(F$5*8)+2*(G1376-2*F$5)))))/1000</f>
        <v>1.08</v>
      </c>
      <c r="K1396" t="str">
        <v>+</v>
      </c>
      <c r="L1396">
        <f>IF(D1396=0,2*MAX(6*F1396,75),(D1396-1)*2*MAX(6*F1396,75))/1000</f>
        <v>0.15</v>
      </c>
      <c r="M1396" t="str">
        <v>=</v>
      </c>
      <c r="N1396">
        <f>J1396+L1396</f>
        <v>1.23</v>
      </c>
      <c r="T1396" t="str">
        <v>x</v>
      </c>
      <c r="U1396">
        <f>0.006165*F1396^2</f>
        <v>0.39456</v>
      </c>
      <c r="V1396" t="str">
        <v>x</v>
      </c>
      <c r="W1396">
        <f>IF(D1378-MAX(D1378/4,2*G1376)*2&gt;0,ROUND((D1378-MAX(D1378/4,2*G1376)*2)/H1396,0),0)</f>
        <v>14</v>
      </c>
      <c r="X1396" t="str">
        <v>x</v>
      </c>
      <c r="Y1396">
        <f>D1381</f>
        <v>1</v>
      </c>
      <c r="Z1396" t="str">
        <v>=</v>
      </c>
      <c r="AA1396">
        <f>N1396*U1396*W1396*Y1396</f>
        <v>6.794323200000001</v>
      </c>
    </row>
    <row r="1397">
      <c r="A1397" t="str">
        <f>A1375</f>
        <v>Lantai 1</v>
      </c>
      <c r="B1397">
        <f>B1375</f>
        <v>45</v>
      </c>
      <c r="C1397" t="str">
        <v>Sengkang Tumpuan</v>
      </c>
      <c r="D1397">
        <f>VLOOKUP(D1375,'Detail Balok'!$C$10:$AU$140,41,FALSE)</f>
        <v>0</v>
      </c>
      <c r="E1397" t="str">
        <v>D</v>
      </c>
      <c r="F1397">
        <f>VLOOKUP(D1375,'Detail Balok'!$C$10:$AU$140,43,FALSE)</f>
        <v>8</v>
      </c>
      <c r="G1397" t="str">
        <v>-</v>
      </c>
      <c r="H1397">
        <f>VLOOKUP(D1375,'Detail Balok'!$C$10:$AU$140,45,FALSE)</f>
        <v>150</v>
      </c>
      <c r="J1397">
        <f>(IF(D1397=0,(2*(D1376+G1376))-(F$5*8),IF(D1397=3,(2*(D1376+G1376))-(F$5*8)+(G1376-2*F$5),IF(D1397=4,(2*(D1376+G1376))-(F$5*8)+2*(G1376-2*F$5)))))/1000</f>
        <v>1.08</v>
      </c>
      <c r="K1397" t="str">
        <v>+</v>
      </c>
      <c r="L1397">
        <f>IF(D1397=0,2*MAX(6*F1397,75),(D1397-1)*2*MAX(6*F1397,75))/1000</f>
        <v>0.15</v>
      </c>
      <c r="M1397" t="str">
        <v>=</v>
      </c>
      <c r="N1397">
        <f>J1397+L1397</f>
        <v>1.23</v>
      </c>
      <c r="T1397" t="str">
        <v>x</v>
      </c>
      <c r="U1397">
        <f>0.006165*F1397^2</f>
        <v>0.39456</v>
      </c>
      <c r="V1397" t="str">
        <v>x</v>
      </c>
      <c r="W1397">
        <f>IF(D1378&gt;4*G1376,ROUND(MAX(D1378/4,2*G1376)/H1397,0)+1,0)</f>
        <v>10</v>
      </c>
      <c r="X1397" t="str">
        <v>x</v>
      </c>
      <c r="Y1397">
        <f>D1381</f>
        <v>1</v>
      </c>
      <c r="Z1397" t="str">
        <v>=</v>
      </c>
      <c r="AA1397">
        <f>N1397*U1397*W1397*Y1397</f>
        <v>4.8530880000000005</v>
      </c>
    </row>
    <row r="1399">
      <c r="A1399" t="str">
        <f>A1375</f>
        <v>Lantai 1</v>
      </c>
      <c r="B1399">
        <f>B1375</f>
        <v>45</v>
      </c>
      <c r="C1399" t="str">
        <v>Kait Horizontal Tump.</v>
      </c>
      <c r="D1399">
        <f>VLOOKUP(D1375,'Detail Balok'!$C$10:$BJ$140,46,FALSE)</f>
        <v>0</v>
      </c>
      <c r="E1399" t="str">
        <v>D</v>
      </c>
      <c r="F1399">
        <f>VLOOKUP(D1375,'Detail Balok'!$C$10:$BJ$140,48,FALSE)</f>
        <v>0</v>
      </c>
      <c r="G1399" t="str">
        <v>-</v>
      </c>
      <c r="H1399">
        <f>VLOOKUP(D1375,'Detail Balok'!$C$10:$BJ$140,50,FALSE)</f>
        <v>100</v>
      </c>
      <c r="J1399">
        <f>(D1376-2*F$5)/1000</f>
        <v>0.12</v>
      </c>
      <c r="K1399" t="str">
        <v>+</v>
      </c>
      <c r="L1399">
        <f>IF(D1399=0,2*MAX(6*F1399,75),(D1399-1)*2*MAX(6*F1399,75))/1000</f>
        <v>0.15</v>
      </c>
      <c r="M1399" t="str">
        <v>=</v>
      </c>
      <c r="N1399">
        <f>J1399+L1399</f>
        <v>0.27</v>
      </c>
      <c r="T1399" t="str">
        <v>x</v>
      </c>
      <c r="U1399">
        <f>0.006165*F1399^2</f>
        <v>0</v>
      </c>
      <c r="V1399" t="str">
        <v>x</v>
      </c>
      <c r="W1399">
        <f>W1395</f>
        <v>10</v>
      </c>
      <c r="X1399" t="str">
        <v>x</v>
      </c>
      <c r="Y1399">
        <f>D1385</f>
        <v>3</v>
      </c>
      <c r="Z1399" t="str">
        <v>=</v>
      </c>
      <c r="AA1399">
        <f>N1399*U1399*W1399*Y1399</f>
        <v>0</v>
      </c>
    </row>
    <row r="1400">
      <c r="A1400" t="str">
        <f>A1375</f>
        <v>Lantai 1</v>
      </c>
      <c r="B1400">
        <f>B1375</f>
        <v>45</v>
      </c>
      <c r="C1400" t="str">
        <v>Kait Horizontal Lap.</v>
      </c>
      <c r="D1400">
        <f>VLOOKUP(D1375,'Detail Balok'!$C$10:$BJ$140,51,FALSE)</f>
        <v>0</v>
      </c>
      <c r="E1400" t="str">
        <v>D</v>
      </c>
      <c r="F1400">
        <f>VLOOKUP(D1375,'Detail Balok'!$C$10:$BJ$140,53,FALSE)</f>
        <v>0</v>
      </c>
      <c r="G1400" t="str">
        <v>-</v>
      </c>
      <c r="H1400">
        <f>VLOOKUP(D1375,'Detail Balok'!$C$10:$BJ$140,55,FALSE)</f>
        <v>100</v>
      </c>
      <c r="J1400">
        <f>(D1376-2*F$5)/1000</f>
        <v>0.12</v>
      </c>
      <c r="K1400" t="str">
        <v>+</v>
      </c>
      <c r="L1400">
        <f>IF(D1400=0,2*MAX(6*F1400,75),(D1400-1)*2*MAX(6*F1400,75))/1000</f>
        <v>0.15</v>
      </c>
      <c r="M1400" t="str">
        <v>=</v>
      </c>
      <c r="N1400">
        <f>J1400+L1400</f>
        <v>0.27</v>
      </c>
      <c r="T1400" t="str">
        <v>x</v>
      </c>
      <c r="U1400">
        <f>0.006165*F1400^2</f>
        <v>0</v>
      </c>
      <c r="V1400" t="str">
        <v>x</v>
      </c>
      <c r="W1400">
        <f>W1396</f>
        <v>14</v>
      </c>
      <c r="X1400" t="str">
        <v>x</v>
      </c>
      <c r="Y1400">
        <f>D1385</f>
        <v>3</v>
      </c>
      <c r="Z1400" t="str">
        <v>=</v>
      </c>
      <c r="AA1400">
        <f>N1400*U1400*W1400*Y1400</f>
        <v>0</v>
      </c>
    </row>
    <row r="1401">
      <c r="A1401" t="str">
        <f>A1375</f>
        <v>Lantai 1</v>
      </c>
      <c r="B1401">
        <f>B1375</f>
        <v>45</v>
      </c>
      <c r="C1401" t="str">
        <v>Kait Horizontal Tump.</v>
      </c>
      <c r="D1401">
        <f>VLOOKUP(D1375,'Detail Balok'!$C$10:$BJ$140,56,FALSE)</f>
        <v>0</v>
      </c>
      <c r="E1401" t="str">
        <v>D</v>
      </c>
      <c r="F1401">
        <f>VLOOKUP(D1375,'Detail Balok'!$C$10:$BJ$140,58,FALSE)</f>
        <v>0</v>
      </c>
      <c r="G1401" t="str">
        <v>-</v>
      </c>
      <c r="H1401">
        <f>VLOOKUP(D1375,'Detail Balok'!$C$10:$BJ$140,60,FALSE)</f>
        <v>100</v>
      </c>
      <c r="J1401">
        <f>(D1376-2*F$5)/1000</f>
        <v>0.12</v>
      </c>
      <c r="K1401" t="str">
        <v>+</v>
      </c>
      <c r="L1401">
        <f>IF(D1401=0,2*MAX(6*F1401,75),(D1401-1)*2*MAX(6*F1401,75))/1000</f>
        <v>0.15</v>
      </c>
      <c r="M1401" t="str">
        <v>=</v>
      </c>
      <c r="N1401">
        <f>J1401+L1401</f>
        <v>0.27</v>
      </c>
      <c r="T1401" t="str">
        <v>x</v>
      </c>
      <c r="U1401">
        <f>0.006165*F1401^2</f>
        <v>0</v>
      </c>
      <c r="V1401" t="str">
        <v>x</v>
      </c>
      <c r="W1401">
        <f>W1397</f>
        <v>10</v>
      </c>
      <c r="X1401" t="str">
        <v>x</v>
      </c>
      <c r="Y1401">
        <f>D1385</f>
        <v>3</v>
      </c>
      <c r="Z1401" t="str">
        <v>=</v>
      </c>
      <c r="AA1401">
        <f>N1401*U1401*W1401*Y1401</f>
        <v>0</v>
      </c>
    </row>
    <row r="1405">
      <c r="A1405" t="str">
        <f>A1375</f>
        <v>Lantai 1</v>
      </c>
      <c r="B1405">
        <f>B1375+1</f>
        <v>46</v>
      </c>
      <c r="C1405" t="str">
        <f>CONCATENATE(A1405," no. ",B1405)</f>
        <v>Lantai 1 no. 46</v>
      </c>
      <c r="D1405" t="str">
        <f>VLOOKUP(C1405,'Data Panjang Balok'!$C$9:$N$254,2,FALSE)</f>
        <v>S25-1</v>
      </c>
    </row>
    <row r="1406">
      <c r="C1406" t="str">
        <v>Dimensi</v>
      </c>
      <c r="D1406">
        <f>VLOOKUP(D1405,'Detail Balok'!$C$10:$AU$140,2,FALSE)</f>
        <v>200</v>
      </c>
      <c r="F1406" t="str">
        <v>x</v>
      </c>
      <c r="G1406">
        <f>VLOOKUP(D1405,'Detail Balok'!$C$10:$AU$140,3,FALSE)</f>
        <v>500</v>
      </c>
    </row>
    <row r="1407">
      <c r="C1407" t="str">
        <v>Panjang as ke as</v>
      </c>
      <c r="D1407">
        <f>VLOOKUP(C1405,'Data Panjang Balok'!$C$9:$N$254,4,FALSE)</f>
        <v>5575</v>
      </c>
    </row>
    <row r="1408">
      <c r="C1408" t="str">
        <v>Panjang netto</v>
      </c>
      <c r="D1408">
        <f>VLOOKUP(C1405,'Data Panjang Balok'!$C$9:$N$254,7,FALSE)</f>
        <v>5575</v>
      </c>
    </row>
    <row r="1409">
      <c r="C1409" t="str">
        <v>Kolom / balok kiri</v>
      </c>
      <c r="D1409">
        <f>VLOOKUP(C1405,'Data Panjang Balok'!$C$9:$N$254,9,FALSE)</f>
        <v>0</v>
      </c>
    </row>
    <row r="1410">
      <c r="C1410" t="str">
        <v>Kolom / balok kanan</v>
      </c>
      <c r="D1410">
        <f>VLOOKUP(C1405,'Data Panjang Balok'!$C$9:$N$254,10,FALSE)</f>
        <v>0</v>
      </c>
    </row>
    <row r="1411">
      <c r="C1411" t="str">
        <v>Jumlah</v>
      </c>
      <c r="D1411">
        <f>VLOOKUP(C1405,'Data Panjang Balok'!$C$9:$N$254,3,FALSE)</f>
        <v>2</v>
      </c>
    </row>
    <row r="1412">
      <c r="A1412" t="str">
        <f>A1405</f>
        <v>Lantai 1</v>
      </c>
      <c r="B1412">
        <f>B1405</f>
        <v>46</v>
      </c>
      <c r="C1412" t="str">
        <v>Tul Atas Tumpuan</v>
      </c>
      <c r="D1412">
        <f>VLOOKUP(D1405,'Detail Balok'!$C$10:$AU$140,4,FALSE)</f>
        <v>3</v>
      </c>
      <c r="E1412" t="str">
        <v>D</v>
      </c>
      <c r="F1412">
        <f>VLOOKUP(D1405,'Detail Balok'!$C$10:$AU$140,6,FALSE)</f>
        <v>16</v>
      </c>
      <c r="I1412" t="str">
        <v>(</v>
      </c>
      <c r="J1412">
        <f>+D1407/4/1000</f>
        <v>1.39375</v>
      </c>
      <c r="K1412" t="str">
        <v>+</v>
      </c>
      <c r="L1412">
        <f>MAX(VLOOKUP(F1412,N$6:P$15,3,FALSE)/1000,2/3*D1409/1000)+F$16*F1412/1000</f>
        <v>0.192</v>
      </c>
      <c r="M1412" t="str">
        <v>=</v>
      </c>
      <c r="N1412">
        <f>J1412+L1412</f>
        <v>1.58575</v>
      </c>
      <c r="O1412" t="str">
        <v>+</v>
      </c>
      <c r="P1412">
        <f>D1412-D1413</f>
        <v>0</v>
      </c>
      <c r="Q1412" t="str">
        <v>x</v>
      </c>
      <c r="R1412">
        <f>IF(P1412&gt;0,$F$18*F1412/1000,0)</f>
        <v>0</v>
      </c>
      <c r="S1412" t="str">
        <v>)</v>
      </c>
      <c r="T1412" t="str">
        <v>x</v>
      </c>
      <c r="U1412">
        <f>0.006165*F1412^2</f>
        <v>1.57824</v>
      </c>
      <c r="X1412" t="str">
        <v>x</v>
      </c>
      <c r="Y1412">
        <f>D1411</f>
        <v>2</v>
      </c>
      <c r="Z1412" t="str">
        <v>=</v>
      </c>
      <c r="AA1412">
        <f>IF(AA1415=0,(D1412*N1412+P1412*R1412)*U1412*Y1412,0)</f>
        <v>0</v>
      </c>
    </row>
    <row r="1413">
      <c r="A1413" t="str">
        <f>A1405</f>
        <v>Lantai 1</v>
      </c>
      <c r="B1413">
        <f>B1405</f>
        <v>46</v>
      </c>
      <c r="C1413" t="str">
        <v>Tul Atas Lapangan</v>
      </c>
      <c r="D1413">
        <f>VLOOKUP(D1405,'Detail Balok'!$C$10:$AU$140,7,FALSE)</f>
        <v>3</v>
      </c>
      <c r="E1413" t="str">
        <v>D</v>
      </c>
      <c r="F1413">
        <f>VLOOKUP(D1405,'Detail Balok'!$C$10:$AU$140,9,FALSE)</f>
        <v>16</v>
      </c>
      <c r="I1413" t="str">
        <v>(</v>
      </c>
      <c r="J1413">
        <f>+D1407/2/1000</f>
        <v>2.7875</v>
      </c>
      <c r="K1413" t="str">
        <v>+</v>
      </c>
      <c r="M1413" t="str">
        <v>=</v>
      </c>
      <c r="N1413">
        <f>J1413+L1413</f>
        <v>2.7875</v>
      </c>
      <c r="O1413" t="str">
        <v>+</v>
      </c>
      <c r="P1413">
        <f>MAX(D1413-D1412,D1413-D1414)</f>
        <v>0</v>
      </c>
      <c r="Q1413" t="str">
        <v>x</v>
      </c>
      <c r="R1413">
        <f>IF(P1413&gt;0,2*(1-2*$F$19-1/2)*D1408/1000,0)</f>
        <v>0</v>
      </c>
      <c r="S1413" t="str">
        <v>)</v>
      </c>
      <c r="T1413" t="str">
        <v>x</v>
      </c>
      <c r="U1413">
        <f>0.006165*F1413^2</f>
        <v>1.57824</v>
      </c>
      <c r="X1413" t="str">
        <v>x</v>
      </c>
      <c r="Y1413">
        <f>D1411</f>
        <v>2</v>
      </c>
      <c r="Z1413" t="str">
        <v>=</v>
      </c>
      <c r="AA1413">
        <f>IF(AA1415=0,(D1413*N1413+P1413*R1413)*U1413*Y1413,0)</f>
        <v>0</v>
      </c>
    </row>
    <row r="1414">
      <c r="A1414" t="str">
        <f>A1405</f>
        <v>Lantai 1</v>
      </c>
      <c r="B1414">
        <f>B1405</f>
        <v>46</v>
      </c>
      <c r="C1414" t="str">
        <v>Tul Atas Tumpuan</v>
      </c>
      <c r="D1414">
        <f>VLOOKUP(D1405,'Detail Balok'!$C$10:$AU$140,10,FALSE)</f>
        <v>3</v>
      </c>
      <c r="E1414" t="str">
        <v>D</v>
      </c>
      <c r="F1414">
        <f>VLOOKUP(D1405,'Detail Balok'!$C$10:$AU$140,12,FALSE)</f>
        <v>16</v>
      </c>
      <c r="I1414" t="str">
        <v>(</v>
      </c>
      <c r="J1414">
        <f>+D1407/4/1000</f>
        <v>1.39375</v>
      </c>
      <c r="K1414" t="str">
        <v>+</v>
      </c>
      <c r="L1414">
        <f>MAX(VLOOKUP(F1414,N$6:P$15,3,FALSE)/1000,2/3*D1409/1000)+F$16*F1414/1000</f>
        <v>0.192</v>
      </c>
      <c r="M1414" t="str">
        <v>=</v>
      </c>
      <c r="N1414">
        <f>J1414+L1414</f>
        <v>1.58575</v>
      </c>
      <c r="O1414" t="str">
        <v>+</v>
      </c>
      <c r="P1414">
        <f>D1414-D1413</f>
        <v>0</v>
      </c>
      <c r="Q1414" t="str">
        <v>x</v>
      </c>
      <c r="R1414">
        <f>IF(P1414&gt;0,$F$18*F1414/1000,0)</f>
        <v>0</v>
      </c>
      <c r="S1414" t="str">
        <v>)</v>
      </c>
      <c r="T1414" t="str">
        <v>x</v>
      </c>
      <c r="U1414">
        <f>0.006165*F1414^2</f>
        <v>1.57824</v>
      </c>
      <c r="X1414" t="str">
        <v>x</v>
      </c>
      <c r="Y1414">
        <f>D1411</f>
        <v>2</v>
      </c>
      <c r="Z1414" t="str">
        <v>=</v>
      </c>
      <c r="AA1414">
        <f>IF(AA1415=0,(D1414*N1414+P1414*R1414)*U1414*Y1414,0)</f>
        <v>0</v>
      </c>
    </row>
    <row r="1415">
      <c r="A1415" t="str">
        <f>A1405</f>
        <v>Lantai 1</v>
      </c>
      <c r="B1415">
        <f>B1405</f>
        <v>46</v>
      </c>
      <c r="D1415">
        <f>IF(AND(D1412=D1413,D1413=D1414,D1412=D1414),D1412,0)</f>
        <v>3</v>
      </c>
      <c r="E1415" t="str">
        <v>D</v>
      </c>
      <c r="F1415">
        <f>IF(AND(F1412=F1413,F1412=F1414,F1413=F1414),F1412,0)</f>
        <v>16</v>
      </c>
      <c r="L1415" t="str">
        <v>Total panjang per balok</v>
      </c>
      <c r="M1415" t="str">
        <v>=</v>
      </c>
      <c r="N1415">
        <f>IF(AND(D1412=D1413,D1412=D1414,D1413=D1414,F1412=F1413,F1412=F1414,F1413=F1414),SUM(N1412:N1414),0)</f>
        <v>5.9590000000000005</v>
      </c>
      <c r="O1415" t="str">
        <v>+</v>
      </c>
      <c r="P1415">
        <f>IF(N1415&gt;12,ROUNDDOWN(N1415/12,0),0)</f>
        <v>0</v>
      </c>
      <c r="Q1415" t="str">
        <v>x</v>
      </c>
      <c r="R1415">
        <f>IF(P1415&gt;0,MAX(VLOOKUP(F1415,$D$6:$G$15,3,FALSE),600),0)/1000</f>
        <v>0</v>
      </c>
      <c r="T1415" t="str">
        <v>x</v>
      </c>
      <c r="U1415">
        <f>U1414</f>
        <v>1.57824</v>
      </c>
      <c r="V1415" t="str">
        <v>x</v>
      </c>
      <c r="W1415">
        <f>D1415</f>
        <v>3</v>
      </c>
      <c r="X1415" t="str">
        <v>x</v>
      </c>
      <c r="Y1415">
        <f>Y1414</f>
        <v>2</v>
      </c>
      <c r="Z1415" t="str">
        <v>=</v>
      </c>
      <c r="AA1415">
        <f>(N1415+P1415*R1415/1000)*U1415*W1415*Y1415</f>
        <v>56.42839296000001</v>
      </c>
    </row>
    <row r="1417">
      <c r="A1417" t="str">
        <f>A1405</f>
        <v>Lantai 1</v>
      </c>
      <c r="B1417">
        <f>B1405</f>
        <v>46</v>
      </c>
      <c r="C1417" t="str">
        <v>Tul Peminggang</v>
      </c>
      <c r="D1417">
        <f>VLOOKUP(D1405,'Detail Balok'!$C$10:$AU$140,13,FALSE)</f>
        <v>2</v>
      </c>
      <c r="E1417" t="str">
        <v>D</v>
      </c>
      <c r="F1417">
        <f>VLOOKUP(D1405,'Detail Balok'!$C$10:$AU$140,15,FALSE)</f>
        <v>10</v>
      </c>
      <c r="J1417">
        <f>+D1407/1000</f>
        <v>5.575</v>
      </c>
      <c r="K1417" t="str">
        <v>+</v>
      </c>
      <c r="L1417">
        <f>2*$F$16*F1417/1000</f>
        <v>0.24</v>
      </c>
      <c r="M1417" t="str">
        <v>=</v>
      </c>
      <c r="N1417">
        <f>J1417+L1417</f>
        <v>5.815</v>
      </c>
      <c r="O1417" t="str">
        <v>+</v>
      </c>
      <c r="P1417">
        <f>IF(N1417&gt;12,ROUNDDOWN(N1417/12,0),0)</f>
        <v>0</v>
      </c>
      <c r="Q1417" t="str">
        <v>x</v>
      </c>
      <c r="R1417">
        <f>IF(P1417&gt;0,MAX(VLOOKUP(F1417,$D$6:$G$15,3,FALSE),600),0)/1000</f>
        <v>0</v>
      </c>
      <c r="T1417" t="str">
        <v>x</v>
      </c>
      <c r="U1417">
        <f>0.006165*F1417^2</f>
        <v>0.6165</v>
      </c>
      <c r="V1417" t="str">
        <v>x</v>
      </c>
      <c r="W1417">
        <f>+D1417</f>
        <v>2</v>
      </c>
      <c r="X1417" t="str">
        <v>x</v>
      </c>
      <c r="Y1417">
        <f>D1411</f>
        <v>2</v>
      </c>
      <c r="Z1417" t="str">
        <v>=</v>
      </c>
      <c r="AA1417">
        <f>(N1417+P1417*R1417/1000)*U1417*W1417*Y1417</f>
        <v>14.339790000000002</v>
      </c>
    </row>
    <row r="1420">
      <c r="A1420" t="str">
        <f>A1405</f>
        <v>Lantai 1</v>
      </c>
      <c r="B1420">
        <f>B1405</f>
        <v>46</v>
      </c>
      <c r="C1420" t="str">
        <v>Tul Bawah Tumpuan</v>
      </c>
      <c r="D1420">
        <f>VLOOKUP(D1405,'Detail Balok'!$C$10:$AU$140,22,FALSE)</f>
        <v>3</v>
      </c>
      <c r="E1420" t="str">
        <v>D</v>
      </c>
      <c r="F1420">
        <f>VLOOKUP(D1405,'Detail Balok'!$C$10:$AU$140,24,FALSE)</f>
        <v>16</v>
      </c>
      <c r="I1420" t="str">
        <v>(</v>
      </c>
      <c r="J1420">
        <f>+J1412</f>
        <v>1.39375</v>
      </c>
      <c r="K1420" t="str">
        <v>+</v>
      </c>
      <c r="L1420">
        <f>MAX(VLOOKUP(F1420,N$6:P$15,3,FALSE)/1000,2/3*D1410/1000)+F$16*F1420/1000</f>
        <v>0.192</v>
      </c>
      <c r="M1420" t="str">
        <v>=</v>
      </c>
      <c r="N1420">
        <f>J1420+L1420</f>
        <v>1.58575</v>
      </c>
      <c r="O1420" t="str">
        <v>+</v>
      </c>
      <c r="P1420">
        <f>D1420-D1421</f>
        <v>0</v>
      </c>
      <c r="Q1420" t="str">
        <v>x</v>
      </c>
      <c r="R1420">
        <f>IF(P1420&gt;0,$F$18*F1420/1000,0)</f>
        <v>0</v>
      </c>
      <c r="S1420" t="str">
        <v>)</v>
      </c>
      <c r="T1420" t="str">
        <v>x</v>
      </c>
      <c r="U1420">
        <f>0.006165*F1420^2</f>
        <v>1.57824</v>
      </c>
      <c r="X1420" t="str">
        <v>x</v>
      </c>
      <c r="Y1420">
        <f>D1411</f>
        <v>2</v>
      </c>
      <c r="Z1420" t="str">
        <v>=</v>
      </c>
      <c r="AA1420">
        <f>IF(AA1423=0,(D1420*N1420+P1420*R1420)*U1420*Y1420,0)</f>
        <v>0</v>
      </c>
    </row>
    <row r="1421">
      <c r="A1421" t="str">
        <f>A1405</f>
        <v>Lantai 1</v>
      </c>
      <c r="B1421">
        <f>B1405</f>
        <v>46</v>
      </c>
      <c r="C1421" t="str">
        <v>Tul Bawah Lapangan</v>
      </c>
      <c r="D1421">
        <f>VLOOKUP(D1405,'Detail Balok'!$C$10:$AU$140,25,FALSE)</f>
        <v>3</v>
      </c>
      <c r="E1421" t="str">
        <v>D</v>
      </c>
      <c r="F1421">
        <f>VLOOKUP(D1405,'Detail Balok'!$C$10:$AU$140,27,FALSE)</f>
        <v>16</v>
      </c>
      <c r="I1421" t="str">
        <v>(</v>
      </c>
      <c r="J1421">
        <f>+J1413</f>
        <v>2.7875</v>
      </c>
      <c r="K1421" t="str">
        <v>+</v>
      </c>
      <c r="M1421" t="str">
        <v>=</v>
      </c>
      <c r="N1421">
        <f>J1421+L1421</f>
        <v>2.7875</v>
      </c>
      <c r="O1421" t="str">
        <v>+</v>
      </c>
      <c r="P1421">
        <f>MAX(D1421-D1420,D1421-D1422)</f>
        <v>0</v>
      </c>
      <c r="Q1421" t="str">
        <v>x</v>
      </c>
      <c r="R1421">
        <f>IF(P1421&gt;0,2*(1-2*$F$19-1/2)*D1408/1000,0)</f>
        <v>0</v>
      </c>
      <c r="S1421" t="str">
        <v>)</v>
      </c>
      <c r="T1421" t="str">
        <v>x</v>
      </c>
      <c r="U1421">
        <f>0.006165*F1421^2</f>
        <v>1.57824</v>
      </c>
      <c r="X1421" t="str">
        <v>x</v>
      </c>
      <c r="Y1421">
        <f>D1411</f>
        <v>2</v>
      </c>
      <c r="Z1421" t="str">
        <v>=</v>
      </c>
      <c r="AA1421">
        <f>IF(AA1423=0,(D1421*N1421+P1421*R1421)*U1421*Y1421,0)</f>
        <v>0</v>
      </c>
    </row>
    <row r="1422">
      <c r="A1422" t="str">
        <f>A1405</f>
        <v>Lantai 1</v>
      </c>
      <c r="B1422">
        <f>B1405</f>
        <v>46</v>
      </c>
      <c r="C1422" t="str">
        <v>Tul Bawah Tumpuan</v>
      </c>
      <c r="D1422">
        <f>VLOOKUP(D1405,'Detail Balok'!$C$10:$AU$140,28,FALSE)</f>
        <v>3</v>
      </c>
      <c r="E1422" t="str">
        <v>D</v>
      </c>
      <c r="F1422">
        <f>VLOOKUP(D1405,'Detail Balok'!$C$10:$AU$140,30,FALSE)</f>
        <v>16</v>
      </c>
      <c r="I1422" t="str">
        <v>(</v>
      </c>
      <c r="J1422">
        <f>+J1414</f>
        <v>1.39375</v>
      </c>
      <c r="K1422" t="str">
        <v>+</v>
      </c>
      <c r="L1422">
        <f>MAX(VLOOKUP(F1422,N$6:P$15,3,FALSE)/1000,2/3*D1410/1000)+F$16*F1422/1000</f>
        <v>0.192</v>
      </c>
      <c r="M1422" t="str">
        <v>=</v>
      </c>
      <c r="N1422">
        <f>J1422+L1422</f>
        <v>1.58575</v>
      </c>
      <c r="O1422" t="str">
        <v>+</v>
      </c>
      <c r="P1422">
        <f>D1422-D1421</f>
        <v>0</v>
      </c>
      <c r="Q1422" t="str">
        <v>x</v>
      </c>
      <c r="R1422">
        <f>IF(P1422&gt;0,$F$18*F1422/1000,0)</f>
        <v>0</v>
      </c>
      <c r="S1422" t="str">
        <v>)</v>
      </c>
      <c r="T1422" t="str">
        <v>x</v>
      </c>
      <c r="U1422">
        <f>0.006165*F1422^2</f>
        <v>1.57824</v>
      </c>
      <c r="X1422" t="str">
        <v>x</v>
      </c>
      <c r="Y1422">
        <f>D1411</f>
        <v>2</v>
      </c>
      <c r="Z1422" t="str">
        <v>=</v>
      </c>
      <c r="AA1422">
        <f>IF(AA1423=0,(D1422*N1422+P1422*R1422)*U1422*Y1422,0)</f>
        <v>0</v>
      </c>
    </row>
    <row r="1423">
      <c r="A1423" t="str">
        <f>A1405</f>
        <v>Lantai 1</v>
      </c>
      <c r="B1423">
        <f>B1405</f>
        <v>46</v>
      </c>
      <c r="D1423">
        <f>IF(AND(D1420=D1421,D1421=D1422,D1420=D1422),D1420,0)</f>
        <v>3</v>
      </c>
      <c r="E1423" t="str">
        <v>D</v>
      </c>
      <c r="F1423">
        <f>IF(AND(F1420=F1421,F1420=F1422,F1421=F1422),F1420,0)</f>
        <v>16</v>
      </c>
      <c r="L1423" t="str">
        <v>Total panjang per balok</v>
      </c>
      <c r="M1423" t="str">
        <v>=</v>
      </c>
      <c r="N1423">
        <f>IF(AND(D1420=D1421,D1420=D1422,D1421=D1422,F1420=F1421,F1420=F1422,F1421=F1422),SUM(N1420:N1422),0)</f>
        <v>5.9590000000000005</v>
      </c>
      <c r="O1423" t="str">
        <v>+</v>
      </c>
      <c r="P1423">
        <f>IF(N1423&gt;12,ROUNDDOWN(N1423/12,0),0)</f>
        <v>0</v>
      </c>
      <c r="Q1423" t="str">
        <v>x</v>
      </c>
      <c r="R1423">
        <f>IF(P1423&gt;0,MAX(VLOOKUP(F1423,$D$6:$G$15,3,FALSE),600),0)/1000</f>
        <v>0</v>
      </c>
      <c r="T1423" t="str">
        <v>x</v>
      </c>
      <c r="U1423">
        <f>U1422</f>
        <v>1.57824</v>
      </c>
      <c r="V1423" t="str">
        <v>x</v>
      </c>
      <c r="W1423">
        <f>D1423</f>
        <v>3</v>
      </c>
      <c r="X1423" t="str">
        <v>x</v>
      </c>
      <c r="Y1423">
        <f>Y1422</f>
        <v>2</v>
      </c>
      <c r="Z1423" t="str">
        <v>=</v>
      </c>
      <c r="AA1423">
        <f>(N1423+P1423*R1423/1000)*U1423*W1423*Y1423</f>
        <v>56.42839296000001</v>
      </c>
    </row>
    <row r="1425">
      <c r="A1425" t="str">
        <f>A1405</f>
        <v>Lantai 1</v>
      </c>
      <c r="B1425">
        <f>B1405</f>
        <v>46</v>
      </c>
      <c r="C1425" t="str">
        <v>Sengkang Tumpuan</v>
      </c>
      <c r="D1425">
        <f>VLOOKUP(D1405,'Detail Balok'!$C$10:$AU$140,31,FALSE)</f>
        <v>0</v>
      </c>
      <c r="E1425" t="str">
        <v>D</v>
      </c>
      <c r="F1425">
        <f>VLOOKUP(D1405,'Detail Balok'!$C$10:$AU$140,33,FALSE)</f>
        <v>8</v>
      </c>
      <c r="G1425" t="str">
        <v>-</v>
      </c>
      <c r="H1425">
        <f>VLOOKUP(D1405,'Detail Balok'!$C$10:$AU$140,35,FALSE)</f>
        <v>150</v>
      </c>
      <c r="J1425">
        <f>(IF(D1425=0,(2*(D1406+G1406))-(F$5*8),IF(D1425=3,(2*(D1406+G1406))-(F$5*8)+(G1406-2*F$5),IF(D1425=4,(2*(D1406+G1406))-(F$5*8)+2*(G1406-2*F$5)))))/1000</f>
        <v>1.08</v>
      </c>
      <c r="K1425" t="str">
        <v>+</v>
      </c>
      <c r="L1425">
        <f>IF(D1425=0,2*MAX(6*F1425,75),(D1425-1)*2*MAX(6*F1425,75))/1000</f>
        <v>0.15</v>
      </c>
      <c r="M1425" t="str">
        <v>=</v>
      </c>
      <c r="N1425">
        <f>J1425+L1425</f>
        <v>1.23</v>
      </c>
      <c r="T1425" t="str">
        <v>x</v>
      </c>
      <c r="U1425">
        <f>0.006165*F1425^2</f>
        <v>0.39456</v>
      </c>
      <c r="V1425" t="str">
        <v>x</v>
      </c>
      <c r="W1425">
        <f>IF(D1408&gt;4*G1406,ROUND(MAX(D1408/4,2*G1406)/H1425,0)+1,ROUND(D1408/H1425,0)+1)</f>
        <v>10</v>
      </c>
      <c r="X1425" t="str">
        <v>x</v>
      </c>
      <c r="Y1425">
        <f>D1411</f>
        <v>2</v>
      </c>
      <c r="Z1425" t="str">
        <v>=</v>
      </c>
      <c r="AA1425">
        <f>N1425*U1425*W1425*Y1425</f>
        <v>9.706176000000001</v>
      </c>
    </row>
    <row r="1426">
      <c r="A1426" t="str">
        <f>A1405</f>
        <v>Lantai 1</v>
      </c>
      <c r="B1426">
        <f>B1405</f>
        <v>46</v>
      </c>
      <c r="C1426" t="str">
        <v>Sengkang Lapangan</v>
      </c>
      <c r="D1426">
        <f>VLOOKUP(D1405,'Detail Balok'!$C$10:$AU$140,36,FALSE)</f>
        <v>0</v>
      </c>
      <c r="E1426" t="str">
        <v>D</v>
      </c>
      <c r="F1426">
        <f>VLOOKUP(D1405,'Detail Balok'!$C$10:$AU$140,38,FALSE)</f>
        <v>8</v>
      </c>
      <c r="G1426" t="str">
        <v>-</v>
      </c>
      <c r="H1426">
        <f>VLOOKUP(D1405,'Detail Balok'!$C$10:$AU$140,40,FALSE)</f>
        <v>200</v>
      </c>
      <c r="J1426">
        <f>(IF(D1426=0,(2*(D1406+G1406))-(F$5*8),IF(D1426=3,(2*(D1406+G1406))-(F$5*8)+(G1406-2*F$5),IF(D1426=4,(2*(D1406+G1406))-(F$5*8)+2*(G1406-2*F$5)))))/1000</f>
        <v>1.08</v>
      </c>
      <c r="K1426" t="str">
        <v>+</v>
      </c>
      <c r="L1426">
        <f>IF(D1426=0,2*MAX(6*F1426,75),(D1426-1)*2*MAX(6*F1426,75))/1000</f>
        <v>0.15</v>
      </c>
      <c r="M1426" t="str">
        <v>=</v>
      </c>
      <c r="N1426">
        <f>J1426+L1426</f>
        <v>1.23</v>
      </c>
      <c r="T1426" t="str">
        <v>x</v>
      </c>
      <c r="U1426">
        <f>0.006165*F1426^2</f>
        <v>0.39456</v>
      </c>
      <c r="V1426" t="str">
        <v>x</v>
      </c>
      <c r="W1426">
        <f>IF(D1408-MAX(D1408/4,2*G1406)*2&gt;0,ROUND((D1408-MAX(D1408/4,2*G1406)*2)/H1426,0),0)</f>
        <v>14</v>
      </c>
      <c r="X1426" t="str">
        <v>x</v>
      </c>
      <c r="Y1426">
        <f>D1411</f>
        <v>2</v>
      </c>
      <c r="Z1426" t="str">
        <v>=</v>
      </c>
      <c r="AA1426">
        <f>N1426*U1426*W1426*Y1426</f>
        <v>13.588646400000002</v>
      </c>
    </row>
    <row r="1427">
      <c r="A1427" t="str">
        <f>A1405</f>
        <v>Lantai 1</v>
      </c>
      <c r="B1427">
        <f>B1405</f>
        <v>46</v>
      </c>
      <c r="C1427" t="str">
        <v>Sengkang Tumpuan</v>
      </c>
      <c r="D1427">
        <f>VLOOKUP(D1405,'Detail Balok'!$C$10:$AU$140,41,FALSE)</f>
        <v>0</v>
      </c>
      <c r="E1427" t="str">
        <v>D</v>
      </c>
      <c r="F1427">
        <f>VLOOKUP(D1405,'Detail Balok'!$C$10:$AU$140,43,FALSE)</f>
        <v>8</v>
      </c>
      <c r="G1427" t="str">
        <v>-</v>
      </c>
      <c r="H1427">
        <f>VLOOKUP(D1405,'Detail Balok'!$C$10:$AU$140,45,FALSE)</f>
        <v>150</v>
      </c>
      <c r="J1427">
        <f>(IF(D1427=0,(2*(D1406+G1406))-(F$5*8),IF(D1427=3,(2*(D1406+G1406))-(F$5*8)+(G1406-2*F$5),IF(D1427=4,(2*(D1406+G1406))-(F$5*8)+2*(G1406-2*F$5)))))/1000</f>
        <v>1.08</v>
      </c>
      <c r="K1427" t="str">
        <v>+</v>
      </c>
      <c r="L1427">
        <f>IF(D1427=0,2*MAX(6*F1427,75),(D1427-1)*2*MAX(6*F1427,75))/1000</f>
        <v>0.15</v>
      </c>
      <c r="M1427" t="str">
        <v>=</v>
      </c>
      <c r="N1427">
        <f>J1427+L1427</f>
        <v>1.23</v>
      </c>
      <c r="T1427" t="str">
        <v>x</v>
      </c>
      <c r="U1427">
        <f>0.006165*F1427^2</f>
        <v>0.39456</v>
      </c>
      <c r="V1427" t="str">
        <v>x</v>
      </c>
      <c r="W1427">
        <f>IF(D1408&gt;4*G1406,ROUND(MAX(D1408/4,2*G1406)/H1427,0)+1,0)</f>
        <v>10</v>
      </c>
      <c r="X1427" t="str">
        <v>x</v>
      </c>
      <c r="Y1427">
        <f>D1411</f>
        <v>2</v>
      </c>
      <c r="Z1427" t="str">
        <v>=</v>
      </c>
      <c r="AA1427">
        <f>N1427*U1427*W1427*Y1427</f>
        <v>9.706176000000001</v>
      </c>
    </row>
    <row r="1429">
      <c r="A1429" t="str">
        <f>A1405</f>
        <v>Lantai 1</v>
      </c>
      <c r="B1429">
        <f>B1405</f>
        <v>46</v>
      </c>
      <c r="C1429" t="str">
        <v>Kait Horizontal Tump.</v>
      </c>
      <c r="D1429">
        <f>VLOOKUP(D1405,'Detail Balok'!$C$10:$BJ$140,46,FALSE)</f>
        <v>0</v>
      </c>
      <c r="E1429" t="str">
        <v>D</v>
      </c>
      <c r="F1429">
        <f>VLOOKUP(D1405,'Detail Balok'!$C$10:$BJ$140,48,FALSE)</f>
        <v>0</v>
      </c>
      <c r="G1429" t="str">
        <v>-</v>
      </c>
      <c r="H1429">
        <f>VLOOKUP(D1405,'Detail Balok'!$C$10:$BJ$140,50,FALSE)</f>
        <v>100</v>
      </c>
      <c r="J1429">
        <f>(D1406-2*F$5)/1000</f>
        <v>0.12</v>
      </c>
      <c r="K1429" t="str">
        <v>+</v>
      </c>
      <c r="L1429">
        <f>IF(D1429=0,2*MAX(6*F1429,75),(D1429-1)*2*MAX(6*F1429,75))/1000</f>
        <v>0.15</v>
      </c>
      <c r="M1429" t="str">
        <v>=</v>
      </c>
      <c r="N1429">
        <f>J1429+L1429</f>
        <v>0.27</v>
      </c>
      <c r="T1429" t="str">
        <v>x</v>
      </c>
      <c r="U1429">
        <f>0.006165*F1429^2</f>
        <v>0</v>
      </c>
      <c r="V1429" t="str">
        <v>x</v>
      </c>
      <c r="W1429">
        <f>W1425</f>
        <v>10</v>
      </c>
      <c r="X1429" t="str">
        <v>x</v>
      </c>
      <c r="Y1429">
        <f>D1415</f>
        <v>3</v>
      </c>
      <c r="Z1429" t="str">
        <v>=</v>
      </c>
      <c r="AA1429">
        <f>N1429*U1429*W1429*Y1429</f>
        <v>0</v>
      </c>
    </row>
    <row r="1430">
      <c r="A1430" t="str">
        <f>A1405</f>
        <v>Lantai 1</v>
      </c>
      <c r="B1430">
        <f>B1405</f>
        <v>46</v>
      </c>
      <c r="C1430" t="str">
        <v>Kait Horizontal Lap.</v>
      </c>
      <c r="D1430">
        <f>VLOOKUP(D1405,'Detail Balok'!$C$10:$BJ$140,51,FALSE)</f>
        <v>0</v>
      </c>
      <c r="E1430" t="str">
        <v>D</v>
      </c>
      <c r="F1430">
        <f>VLOOKUP(D1405,'Detail Balok'!$C$10:$BJ$140,53,FALSE)</f>
        <v>0</v>
      </c>
      <c r="G1430" t="str">
        <v>-</v>
      </c>
      <c r="H1430">
        <f>VLOOKUP(D1405,'Detail Balok'!$C$10:$BJ$140,55,FALSE)</f>
        <v>100</v>
      </c>
      <c r="J1430">
        <f>(D1406-2*F$5)/1000</f>
        <v>0.12</v>
      </c>
      <c r="K1430" t="str">
        <v>+</v>
      </c>
      <c r="L1430">
        <f>IF(D1430=0,2*MAX(6*F1430,75),(D1430-1)*2*MAX(6*F1430,75))/1000</f>
        <v>0.15</v>
      </c>
      <c r="M1430" t="str">
        <v>=</v>
      </c>
      <c r="N1430">
        <f>J1430+L1430</f>
        <v>0.27</v>
      </c>
      <c r="T1430" t="str">
        <v>x</v>
      </c>
      <c r="U1430">
        <f>0.006165*F1430^2</f>
        <v>0</v>
      </c>
      <c r="V1430" t="str">
        <v>x</v>
      </c>
      <c r="W1430">
        <f>W1426</f>
        <v>14</v>
      </c>
      <c r="X1430" t="str">
        <v>x</v>
      </c>
      <c r="Y1430">
        <f>D1415</f>
        <v>3</v>
      </c>
      <c r="Z1430" t="str">
        <v>=</v>
      </c>
      <c r="AA1430">
        <f>N1430*U1430*W1430*Y1430</f>
        <v>0</v>
      </c>
    </row>
    <row r="1431">
      <c r="A1431" t="str">
        <f>A1405</f>
        <v>Lantai 1</v>
      </c>
      <c r="B1431">
        <f>B1405</f>
        <v>46</v>
      </c>
      <c r="C1431" t="str">
        <v>Kait Horizontal Tump.</v>
      </c>
      <c r="D1431">
        <f>VLOOKUP(D1405,'Detail Balok'!$C$10:$BJ$140,56,FALSE)</f>
        <v>0</v>
      </c>
      <c r="E1431" t="str">
        <v>D</v>
      </c>
      <c r="F1431">
        <f>VLOOKUP(D1405,'Detail Balok'!$C$10:$BJ$140,58,FALSE)</f>
        <v>0</v>
      </c>
      <c r="G1431" t="str">
        <v>-</v>
      </c>
      <c r="H1431">
        <f>VLOOKUP(D1405,'Detail Balok'!$C$10:$BJ$140,60,FALSE)</f>
        <v>100</v>
      </c>
      <c r="J1431">
        <f>(D1406-2*F$5)/1000</f>
        <v>0.12</v>
      </c>
      <c r="K1431" t="str">
        <v>+</v>
      </c>
      <c r="L1431">
        <f>IF(D1431=0,2*MAX(6*F1431,75),(D1431-1)*2*MAX(6*F1431,75))/1000</f>
        <v>0.15</v>
      </c>
      <c r="M1431" t="str">
        <v>=</v>
      </c>
      <c r="N1431">
        <f>J1431+L1431</f>
        <v>0.27</v>
      </c>
      <c r="T1431" t="str">
        <v>x</v>
      </c>
      <c r="U1431">
        <f>0.006165*F1431^2</f>
        <v>0</v>
      </c>
      <c r="V1431" t="str">
        <v>x</v>
      </c>
      <c r="W1431">
        <f>W1427</f>
        <v>10</v>
      </c>
      <c r="X1431" t="str">
        <v>x</v>
      </c>
      <c r="Y1431">
        <f>D1415</f>
        <v>3</v>
      </c>
      <c r="Z1431" t="str">
        <v>=</v>
      </c>
      <c r="AA1431">
        <f>N1431*U1431*W1431*Y1431</f>
        <v>0</v>
      </c>
    </row>
    <row r="1435">
      <c r="A1435" t="str">
        <f>A1405</f>
        <v>Lantai 1</v>
      </c>
      <c r="B1435">
        <f>B1405+1</f>
        <v>47</v>
      </c>
      <c r="C1435" t="str">
        <f>CONCATENATE(A1435," no. ",B1435)</f>
        <v>Lantai 1 no. 47</v>
      </c>
      <c r="D1435" t="str">
        <f>VLOOKUP(C1435,'Data Panjang Balok'!$C$9:$N$254,2,FALSE)</f>
        <v>S25-1</v>
      </c>
    </row>
    <row r="1436">
      <c r="C1436" t="str">
        <v>Dimensi</v>
      </c>
      <c r="D1436">
        <f>VLOOKUP(D1435,'Detail Balok'!$C$10:$AU$140,2,FALSE)</f>
        <v>200</v>
      </c>
      <c r="F1436" t="str">
        <v>x</v>
      </c>
      <c r="G1436">
        <f>VLOOKUP(D1435,'Detail Balok'!$C$10:$AU$140,3,FALSE)</f>
        <v>500</v>
      </c>
    </row>
    <row r="1437">
      <c r="C1437" t="str">
        <v>Panjang as ke as</v>
      </c>
      <c r="D1437">
        <f>VLOOKUP(C1435,'Data Panjang Balok'!$C$9:$N$254,4,FALSE)</f>
        <v>3850</v>
      </c>
    </row>
    <row r="1438">
      <c r="C1438" t="str">
        <v>Panjang netto</v>
      </c>
      <c r="D1438">
        <f>VLOOKUP(C1435,'Data Panjang Balok'!$C$9:$N$254,7,FALSE)</f>
        <v>3850</v>
      </c>
    </row>
    <row r="1439">
      <c r="C1439" t="str">
        <v>Kolom / balok kiri</v>
      </c>
      <c r="D1439">
        <f>VLOOKUP(C1435,'Data Panjang Balok'!$C$9:$N$254,9,FALSE)</f>
        <v>0</v>
      </c>
    </row>
    <row r="1440">
      <c r="C1440" t="str">
        <v>Kolom / balok kanan</v>
      </c>
      <c r="D1440">
        <f>VLOOKUP(C1435,'Data Panjang Balok'!$C$9:$N$254,10,FALSE)</f>
        <v>0</v>
      </c>
    </row>
    <row r="1441">
      <c r="C1441" t="str">
        <v>Jumlah</v>
      </c>
      <c r="D1441">
        <f>VLOOKUP(C1435,'Data Panjang Balok'!$C$9:$N$254,3,FALSE)</f>
        <v>1</v>
      </c>
    </row>
    <row r="1442">
      <c r="A1442" t="str">
        <f>A1435</f>
        <v>Lantai 1</v>
      </c>
      <c r="B1442">
        <f>B1435</f>
        <v>47</v>
      </c>
      <c r="C1442" t="str">
        <v>Tul Atas Tumpuan</v>
      </c>
      <c r="D1442">
        <f>VLOOKUP(D1435,'Detail Balok'!$C$10:$AU$140,4,FALSE)</f>
        <v>3</v>
      </c>
      <c r="E1442" t="str">
        <v>D</v>
      </c>
      <c r="F1442">
        <f>VLOOKUP(D1435,'Detail Balok'!$C$10:$AU$140,6,FALSE)</f>
        <v>16</v>
      </c>
      <c r="I1442" t="str">
        <v>(</v>
      </c>
      <c r="J1442">
        <f>+D1437/4/1000</f>
        <v>0.9625</v>
      </c>
      <c r="K1442" t="str">
        <v>+</v>
      </c>
      <c r="L1442">
        <f>MAX(VLOOKUP(F1442,N$6:P$15,3,FALSE)/1000,2/3*D1439/1000)+F$16*F1442/1000</f>
        <v>0.192</v>
      </c>
      <c r="M1442" t="str">
        <v>=</v>
      </c>
      <c r="N1442">
        <f>J1442+L1442</f>
        <v>1.1545</v>
      </c>
      <c r="O1442" t="str">
        <v>+</v>
      </c>
      <c r="P1442">
        <f>D1442-D1443</f>
        <v>0</v>
      </c>
      <c r="Q1442" t="str">
        <v>x</v>
      </c>
      <c r="R1442">
        <f>IF(P1442&gt;0,$F$18*F1442/1000,0)</f>
        <v>0</v>
      </c>
      <c r="S1442" t="str">
        <v>)</v>
      </c>
      <c r="T1442" t="str">
        <v>x</v>
      </c>
      <c r="U1442">
        <f>0.006165*F1442^2</f>
        <v>1.57824</v>
      </c>
      <c r="X1442" t="str">
        <v>x</v>
      </c>
      <c r="Y1442">
        <f>D1441</f>
        <v>1</v>
      </c>
      <c r="Z1442" t="str">
        <v>=</v>
      </c>
      <c r="AA1442">
        <f>IF(AA1445=0,(D1442*N1442+P1442*R1442)*U1442*Y1442,0)</f>
        <v>0</v>
      </c>
    </row>
    <row r="1443">
      <c r="A1443" t="str">
        <f>A1435</f>
        <v>Lantai 1</v>
      </c>
      <c r="B1443">
        <f>B1435</f>
        <v>47</v>
      </c>
      <c r="C1443" t="str">
        <v>Tul Atas Lapangan</v>
      </c>
      <c r="D1443">
        <f>VLOOKUP(D1435,'Detail Balok'!$C$10:$AU$140,7,FALSE)</f>
        <v>3</v>
      </c>
      <c r="E1443" t="str">
        <v>D</v>
      </c>
      <c r="F1443">
        <f>VLOOKUP(D1435,'Detail Balok'!$C$10:$AU$140,9,FALSE)</f>
        <v>16</v>
      </c>
      <c r="I1443" t="str">
        <v>(</v>
      </c>
      <c r="J1443">
        <f>+D1437/2/1000</f>
        <v>1.925</v>
      </c>
      <c r="K1443" t="str">
        <v>+</v>
      </c>
      <c r="M1443" t="str">
        <v>=</v>
      </c>
      <c r="N1443">
        <f>J1443+L1443</f>
        <v>1.925</v>
      </c>
      <c r="O1443" t="str">
        <v>+</v>
      </c>
      <c r="P1443">
        <f>MAX(D1443-D1442,D1443-D1444)</f>
        <v>0</v>
      </c>
      <c r="Q1443" t="str">
        <v>x</v>
      </c>
      <c r="R1443">
        <f>IF(P1443&gt;0,2*(1-2*$F$19-1/2)*D1438/1000,0)</f>
        <v>0</v>
      </c>
      <c r="S1443" t="str">
        <v>)</v>
      </c>
      <c r="T1443" t="str">
        <v>x</v>
      </c>
      <c r="U1443">
        <f>0.006165*F1443^2</f>
        <v>1.57824</v>
      </c>
      <c r="X1443" t="str">
        <v>x</v>
      </c>
      <c r="Y1443">
        <f>D1441</f>
        <v>1</v>
      </c>
      <c r="Z1443" t="str">
        <v>=</v>
      </c>
      <c r="AA1443">
        <f>IF(AA1445=0,(D1443*N1443+P1443*R1443)*U1443*Y1443,0)</f>
        <v>0</v>
      </c>
    </row>
    <row r="1444">
      <c r="A1444" t="str">
        <f>A1435</f>
        <v>Lantai 1</v>
      </c>
      <c r="B1444">
        <f>B1435</f>
        <v>47</v>
      </c>
      <c r="C1444" t="str">
        <v>Tul Atas Tumpuan</v>
      </c>
      <c r="D1444">
        <f>VLOOKUP(D1435,'Detail Balok'!$C$10:$AU$140,10,FALSE)</f>
        <v>3</v>
      </c>
      <c r="E1444" t="str">
        <v>D</v>
      </c>
      <c r="F1444">
        <f>VLOOKUP(D1435,'Detail Balok'!$C$10:$AU$140,12,FALSE)</f>
        <v>16</v>
      </c>
      <c r="I1444" t="str">
        <v>(</v>
      </c>
      <c r="J1444">
        <f>+D1437/4/1000</f>
        <v>0.9625</v>
      </c>
      <c r="K1444" t="str">
        <v>+</v>
      </c>
      <c r="L1444">
        <f>MAX(VLOOKUP(F1444,N$6:P$15,3,FALSE)/1000,2/3*D1439/1000)+F$16*F1444/1000</f>
        <v>0.192</v>
      </c>
      <c r="M1444" t="str">
        <v>=</v>
      </c>
      <c r="N1444">
        <f>J1444+L1444</f>
        <v>1.1545</v>
      </c>
      <c r="O1444" t="str">
        <v>+</v>
      </c>
      <c r="P1444">
        <f>D1444-D1443</f>
        <v>0</v>
      </c>
      <c r="Q1444" t="str">
        <v>x</v>
      </c>
      <c r="R1444">
        <f>IF(P1444&gt;0,$F$18*F1444/1000,0)</f>
        <v>0</v>
      </c>
      <c r="S1444" t="str">
        <v>)</v>
      </c>
      <c r="T1444" t="str">
        <v>x</v>
      </c>
      <c r="U1444">
        <f>0.006165*F1444^2</f>
        <v>1.57824</v>
      </c>
      <c r="X1444" t="str">
        <v>x</v>
      </c>
      <c r="Y1444">
        <f>D1441</f>
        <v>1</v>
      </c>
      <c r="Z1444" t="str">
        <v>=</v>
      </c>
      <c r="AA1444">
        <f>IF(AA1445=0,(D1444*N1444+P1444*R1444)*U1444*Y1444,0)</f>
        <v>0</v>
      </c>
    </row>
    <row r="1445">
      <c r="A1445" t="str">
        <f>A1435</f>
        <v>Lantai 1</v>
      </c>
      <c r="B1445">
        <f>B1435</f>
        <v>47</v>
      </c>
      <c r="D1445">
        <f>IF(AND(D1442=D1443,D1443=D1444,D1442=D1444),D1442,0)</f>
        <v>3</v>
      </c>
      <c r="E1445" t="str">
        <v>D</v>
      </c>
      <c r="F1445">
        <f>IF(AND(F1442=F1443,F1442=F1444,F1443=F1444),F1442,0)</f>
        <v>16</v>
      </c>
      <c r="L1445" t="str">
        <v>Total panjang per balok</v>
      </c>
      <c r="M1445" t="str">
        <v>=</v>
      </c>
      <c r="N1445">
        <f>IF(AND(D1442=D1443,D1442=D1444,D1443=D1444,F1442=F1443,F1442=F1444,F1443=F1444),SUM(N1442:N1444),0)</f>
        <v>4.234</v>
      </c>
      <c r="O1445" t="str">
        <v>+</v>
      </c>
      <c r="P1445">
        <f>IF(N1445&gt;12,ROUNDDOWN(N1445/12,0),0)</f>
        <v>0</v>
      </c>
      <c r="Q1445" t="str">
        <v>x</v>
      </c>
      <c r="R1445">
        <f>IF(P1445&gt;0,MAX(VLOOKUP(F1445,$D$6:$G$15,3,FALSE),600),0)/1000</f>
        <v>0</v>
      </c>
      <c r="T1445" t="str">
        <v>x</v>
      </c>
      <c r="U1445">
        <f>U1444</f>
        <v>1.57824</v>
      </c>
      <c r="V1445" t="str">
        <v>x</v>
      </c>
      <c r="W1445">
        <f>D1445</f>
        <v>3</v>
      </c>
      <c r="X1445" t="str">
        <v>x</v>
      </c>
      <c r="Y1445">
        <f>Y1444</f>
        <v>1</v>
      </c>
      <c r="Z1445" t="str">
        <v>=</v>
      </c>
      <c r="AA1445">
        <f>(N1445+P1445*R1445/1000)*U1445*W1445*Y1445</f>
        <v>20.046804480000002</v>
      </c>
    </row>
    <row r="1447">
      <c r="A1447" t="str">
        <f>A1435</f>
        <v>Lantai 1</v>
      </c>
      <c r="B1447">
        <f>B1435</f>
        <v>47</v>
      </c>
      <c r="C1447" t="str">
        <v>Tul Peminggang</v>
      </c>
      <c r="D1447">
        <f>VLOOKUP(D1435,'Detail Balok'!$C$10:$AU$140,13,FALSE)</f>
        <v>2</v>
      </c>
      <c r="E1447" t="str">
        <v>D</v>
      </c>
      <c r="F1447">
        <f>VLOOKUP(D1435,'Detail Balok'!$C$10:$AU$140,15,FALSE)</f>
        <v>10</v>
      </c>
      <c r="J1447">
        <f>+D1437/1000</f>
        <v>3.85</v>
      </c>
      <c r="K1447" t="str">
        <v>+</v>
      </c>
      <c r="L1447">
        <f>2*$F$16*F1447/1000</f>
        <v>0.24</v>
      </c>
      <c r="M1447" t="str">
        <v>=</v>
      </c>
      <c r="N1447">
        <f>J1447+L1447</f>
        <v>4.09</v>
      </c>
      <c r="O1447" t="str">
        <v>+</v>
      </c>
      <c r="P1447">
        <f>IF(N1447&gt;12,ROUNDDOWN(N1447/12,0),0)</f>
        <v>0</v>
      </c>
      <c r="Q1447" t="str">
        <v>x</v>
      </c>
      <c r="R1447">
        <f>IF(P1447&gt;0,MAX(VLOOKUP(F1447,$D$6:$G$15,3,FALSE),600),0)/1000</f>
        <v>0</v>
      </c>
      <c r="T1447" t="str">
        <v>x</v>
      </c>
      <c r="U1447">
        <f>0.006165*F1447^2</f>
        <v>0.6165</v>
      </c>
      <c r="V1447" t="str">
        <v>x</v>
      </c>
      <c r="W1447">
        <f>+D1447</f>
        <v>2</v>
      </c>
      <c r="X1447" t="str">
        <v>x</v>
      </c>
      <c r="Y1447">
        <f>D1441</f>
        <v>1</v>
      </c>
      <c r="Z1447" t="str">
        <v>=</v>
      </c>
      <c r="AA1447">
        <f>(N1447+P1447*R1447/1000)*U1447*W1447*Y1447</f>
        <v>5.04297</v>
      </c>
    </row>
    <row r="1450">
      <c r="A1450" t="str">
        <f>A1435</f>
        <v>Lantai 1</v>
      </c>
      <c r="B1450">
        <f>B1435</f>
        <v>47</v>
      </c>
      <c r="C1450" t="str">
        <v>Tul Bawah Tumpuan</v>
      </c>
      <c r="D1450">
        <f>VLOOKUP(D1435,'Detail Balok'!$C$10:$AU$140,22,FALSE)</f>
        <v>3</v>
      </c>
      <c r="E1450" t="str">
        <v>D</v>
      </c>
      <c r="F1450">
        <f>VLOOKUP(D1435,'Detail Balok'!$C$10:$AU$140,24,FALSE)</f>
        <v>16</v>
      </c>
      <c r="I1450" t="str">
        <v>(</v>
      </c>
      <c r="J1450">
        <f>+J1442</f>
        <v>0.9625</v>
      </c>
      <c r="K1450" t="str">
        <v>+</v>
      </c>
      <c r="L1450">
        <f>MAX(VLOOKUP(F1450,N$6:P$15,3,FALSE)/1000,2/3*D1440/1000)+F$16*F1450/1000</f>
        <v>0.192</v>
      </c>
      <c r="M1450" t="str">
        <v>=</v>
      </c>
      <c r="N1450">
        <f>J1450+L1450</f>
        <v>1.1545</v>
      </c>
      <c r="O1450" t="str">
        <v>+</v>
      </c>
      <c r="P1450">
        <f>D1450-D1451</f>
        <v>0</v>
      </c>
      <c r="Q1450" t="str">
        <v>x</v>
      </c>
      <c r="R1450">
        <f>IF(P1450&gt;0,$F$18*F1450/1000,0)</f>
        <v>0</v>
      </c>
      <c r="S1450" t="str">
        <v>)</v>
      </c>
      <c r="T1450" t="str">
        <v>x</v>
      </c>
      <c r="U1450">
        <f>0.006165*F1450^2</f>
        <v>1.57824</v>
      </c>
      <c r="X1450" t="str">
        <v>x</v>
      </c>
      <c r="Y1450">
        <f>D1441</f>
        <v>1</v>
      </c>
      <c r="Z1450" t="str">
        <v>=</v>
      </c>
      <c r="AA1450">
        <f>IF(AA1453=0,(D1450*N1450+P1450*R1450)*U1450*Y1450,0)</f>
        <v>0</v>
      </c>
    </row>
    <row r="1451">
      <c r="A1451" t="str">
        <f>A1435</f>
        <v>Lantai 1</v>
      </c>
      <c r="B1451">
        <f>B1435</f>
        <v>47</v>
      </c>
      <c r="C1451" t="str">
        <v>Tul Bawah Lapangan</v>
      </c>
      <c r="D1451">
        <f>VLOOKUP(D1435,'Detail Balok'!$C$10:$AU$140,25,FALSE)</f>
        <v>3</v>
      </c>
      <c r="E1451" t="str">
        <v>D</v>
      </c>
      <c r="F1451">
        <f>VLOOKUP(D1435,'Detail Balok'!$C$10:$AU$140,27,FALSE)</f>
        <v>16</v>
      </c>
      <c r="I1451" t="str">
        <v>(</v>
      </c>
      <c r="J1451">
        <f>+J1443</f>
        <v>1.925</v>
      </c>
      <c r="K1451" t="str">
        <v>+</v>
      </c>
      <c r="M1451" t="str">
        <v>=</v>
      </c>
      <c r="N1451">
        <f>J1451+L1451</f>
        <v>1.925</v>
      </c>
      <c r="O1451" t="str">
        <v>+</v>
      </c>
      <c r="P1451">
        <f>MAX(D1451-D1450,D1451-D1452)</f>
        <v>0</v>
      </c>
      <c r="Q1451" t="str">
        <v>x</v>
      </c>
      <c r="R1451">
        <f>IF(P1451&gt;0,2*(1-2*$F$19-1/2)*D1438/1000,0)</f>
        <v>0</v>
      </c>
      <c r="S1451" t="str">
        <v>)</v>
      </c>
      <c r="T1451" t="str">
        <v>x</v>
      </c>
      <c r="U1451">
        <f>0.006165*F1451^2</f>
        <v>1.57824</v>
      </c>
      <c r="X1451" t="str">
        <v>x</v>
      </c>
      <c r="Y1451">
        <f>D1441</f>
        <v>1</v>
      </c>
      <c r="Z1451" t="str">
        <v>=</v>
      </c>
      <c r="AA1451">
        <f>IF(AA1453=0,(D1451*N1451+P1451*R1451)*U1451*Y1451,0)</f>
        <v>0</v>
      </c>
    </row>
    <row r="1452">
      <c r="A1452" t="str">
        <f>A1435</f>
        <v>Lantai 1</v>
      </c>
      <c r="B1452">
        <f>B1435</f>
        <v>47</v>
      </c>
      <c r="C1452" t="str">
        <v>Tul Bawah Tumpuan</v>
      </c>
      <c r="D1452">
        <f>VLOOKUP(D1435,'Detail Balok'!$C$10:$AU$140,28,FALSE)</f>
        <v>3</v>
      </c>
      <c r="E1452" t="str">
        <v>D</v>
      </c>
      <c r="F1452">
        <f>VLOOKUP(D1435,'Detail Balok'!$C$10:$AU$140,30,FALSE)</f>
        <v>16</v>
      </c>
      <c r="I1452" t="str">
        <v>(</v>
      </c>
      <c r="J1452">
        <f>+J1444</f>
        <v>0.9625</v>
      </c>
      <c r="K1452" t="str">
        <v>+</v>
      </c>
      <c r="L1452">
        <f>MAX(VLOOKUP(F1452,N$6:P$15,3,FALSE)/1000,2/3*D1440/1000)+F$16*F1452/1000</f>
        <v>0.192</v>
      </c>
      <c r="M1452" t="str">
        <v>=</v>
      </c>
      <c r="N1452">
        <f>J1452+L1452</f>
        <v>1.1545</v>
      </c>
      <c r="O1452" t="str">
        <v>+</v>
      </c>
      <c r="P1452">
        <f>D1452-D1451</f>
        <v>0</v>
      </c>
      <c r="Q1452" t="str">
        <v>x</v>
      </c>
      <c r="R1452">
        <f>IF(P1452&gt;0,$F$18*F1452/1000,0)</f>
        <v>0</v>
      </c>
      <c r="S1452" t="str">
        <v>)</v>
      </c>
      <c r="T1452" t="str">
        <v>x</v>
      </c>
      <c r="U1452">
        <f>0.006165*F1452^2</f>
        <v>1.57824</v>
      </c>
      <c r="X1452" t="str">
        <v>x</v>
      </c>
      <c r="Y1452">
        <f>D1441</f>
        <v>1</v>
      </c>
      <c r="Z1452" t="str">
        <v>=</v>
      </c>
      <c r="AA1452">
        <f>IF(AA1453=0,(D1452*N1452+P1452*R1452)*U1452*Y1452,0)</f>
        <v>0</v>
      </c>
    </row>
    <row r="1453">
      <c r="A1453" t="str">
        <f>A1435</f>
        <v>Lantai 1</v>
      </c>
      <c r="B1453">
        <f>B1435</f>
        <v>47</v>
      </c>
      <c r="D1453">
        <f>IF(AND(D1450=D1451,D1451=D1452,D1450=D1452),D1450,0)</f>
        <v>3</v>
      </c>
      <c r="E1453" t="str">
        <v>D</v>
      </c>
      <c r="F1453">
        <f>IF(AND(F1450=F1451,F1450=F1452,F1451=F1452),F1450,0)</f>
        <v>16</v>
      </c>
      <c r="L1453" t="str">
        <v>Total panjang per balok</v>
      </c>
      <c r="M1453" t="str">
        <v>=</v>
      </c>
      <c r="N1453">
        <f>IF(AND(D1450=D1451,D1450=D1452,D1451=D1452,F1450=F1451,F1450=F1452,F1451=F1452),SUM(N1450:N1452),0)</f>
        <v>4.234</v>
      </c>
      <c r="O1453" t="str">
        <v>+</v>
      </c>
      <c r="P1453">
        <f>IF(N1453&gt;12,ROUNDDOWN(N1453/12,0),0)</f>
        <v>0</v>
      </c>
      <c r="Q1453" t="str">
        <v>x</v>
      </c>
      <c r="R1453">
        <f>IF(P1453&gt;0,MAX(VLOOKUP(F1453,$D$6:$G$15,3,FALSE),600),0)/1000</f>
        <v>0</v>
      </c>
      <c r="T1453" t="str">
        <v>x</v>
      </c>
      <c r="U1453">
        <f>U1452</f>
        <v>1.57824</v>
      </c>
      <c r="V1453" t="str">
        <v>x</v>
      </c>
      <c r="W1453">
        <f>D1453</f>
        <v>3</v>
      </c>
      <c r="X1453" t="str">
        <v>x</v>
      </c>
      <c r="Y1453">
        <f>Y1452</f>
        <v>1</v>
      </c>
      <c r="Z1453" t="str">
        <v>=</v>
      </c>
      <c r="AA1453">
        <f>(N1453+P1453*R1453/1000)*U1453*W1453*Y1453</f>
        <v>20.046804480000002</v>
      </c>
    </row>
    <row r="1455">
      <c r="A1455" t="str">
        <f>A1435</f>
        <v>Lantai 1</v>
      </c>
      <c r="B1455">
        <f>B1435</f>
        <v>47</v>
      </c>
      <c r="C1455" t="str">
        <v>Sengkang Tumpuan</v>
      </c>
      <c r="D1455">
        <f>VLOOKUP(D1435,'Detail Balok'!$C$10:$AU$140,31,FALSE)</f>
        <v>0</v>
      </c>
      <c r="E1455" t="str">
        <v>D</v>
      </c>
      <c r="F1455">
        <f>VLOOKUP(D1435,'Detail Balok'!$C$10:$AU$140,33,FALSE)</f>
        <v>8</v>
      </c>
      <c r="G1455" t="str">
        <v>-</v>
      </c>
      <c r="H1455">
        <f>VLOOKUP(D1435,'Detail Balok'!$C$10:$AU$140,35,FALSE)</f>
        <v>150</v>
      </c>
      <c r="J1455">
        <f>(IF(D1455=0,(2*(D1436+G1436))-(F$5*8),IF(D1455=3,(2*(D1436+G1436))-(F$5*8)+(G1436-2*F$5),IF(D1455=4,(2*(D1436+G1436))-(F$5*8)+2*(G1436-2*F$5)))))/1000</f>
        <v>1.08</v>
      </c>
      <c r="K1455" t="str">
        <v>+</v>
      </c>
      <c r="L1455">
        <f>IF(D1455=0,2*MAX(6*F1455,75),(D1455-1)*2*MAX(6*F1455,75))/1000</f>
        <v>0.15</v>
      </c>
      <c r="M1455" t="str">
        <v>=</v>
      </c>
      <c r="N1455">
        <f>J1455+L1455</f>
        <v>1.23</v>
      </c>
      <c r="T1455" t="str">
        <v>x</v>
      </c>
      <c r="U1455">
        <f>0.006165*F1455^2</f>
        <v>0.39456</v>
      </c>
      <c r="V1455" t="str">
        <v>x</v>
      </c>
      <c r="W1455">
        <f>IF(D1438&gt;4*G1436,ROUND(MAX(D1438/4,2*G1436)/H1455,0)+1,ROUND(D1438/H1455,0)+1)</f>
        <v>8</v>
      </c>
      <c r="X1455" t="str">
        <v>x</v>
      </c>
      <c r="Y1455">
        <f>D1441</f>
        <v>1</v>
      </c>
      <c r="Z1455" t="str">
        <v>=</v>
      </c>
      <c r="AA1455">
        <f>N1455*U1455*W1455*Y1455</f>
        <v>3.8824704000000003</v>
      </c>
    </row>
    <row r="1456">
      <c r="A1456" t="str">
        <f>A1435</f>
        <v>Lantai 1</v>
      </c>
      <c r="B1456">
        <f>B1435</f>
        <v>47</v>
      </c>
      <c r="C1456" t="str">
        <v>Sengkang Lapangan</v>
      </c>
      <c r="D1456">
        <f>VLOOKUP(D1435,'Detail Balok'!$C$10:$AU$140,36,FALSE)</f>
        <v>0</v>
      </c>
      <c r="E1456" t="str">
        <v>D</v>
      </c>
      <c r="F1456">
        <f>VLOOKUP(D1435,'Detail Balok'!$C$10:$AU$140,38,FALSE)</f>
        <v>8</v>
      </c>
      <c r="G1456" t="str">
        <v>-</v>
      </c>
      <c r="H1456">
        <f>VLOOKUP(D1435,'Detail Balok'!$C$10:$AU$140,40,FALSE)</f>
        <v>200</v>
      </c>
      <c r="J1456">
        <f>(IF(D1456=0,(2*(D1436+G1436))-(F$5*8),IF(D1456=3,(2*(D1436+G1436))-(F$5*8)+(G1436-2*F$5),IF(D1456=4,(2*(D1436+G1436))-(F$5*8)+2*(G1436-2*F$5)))))/1000</f>
        <v>1.08</v>
      </c>
      <c r="K1456" t="str">
        <v>+</v>
      </c>
      <c r="L1456">
        <f>IF(D1456=0,2*MAX(6*F1456,75),(D1456-1)*2*MAX(6*F1456,75))/1000</f>
        <v>0.15</v>
      </c>
      <c r="M1456" t="str">
        <v>=</v>
      </c>
      <c r="N1456">
        <f>J1456+L1456</f>
        <v>1.23</v>
      </c>
      <c r="T1456" t="str">
        <v>x</v>
      </c>
      <c r="U1456">
        <f>0.006165*F1456^2</f>
        <v>0.39456</v>
      </c>
      <c r="V1456" t="str">
        <v>x</v>
      </c>
      <c r="W1456">
        <f>IF(D1438-MAX(D1438/4,2*G1436)*2&gt;0,ROUND((D1438-MAX(D1438/4,2*G1436)*2)/H1456,0),0)</f>
        <v>9</v>
      </c>
      <c r="X1456" t="str">
        <v>x</v>
      </c>
      <c r="Y1456">
        <f>D1441</f>
        <v>1</v>
      </c>
      <c r="Z1456" t="str">
        <v>=</v>
      </c>
      <c r="AA1456">
        <f>N1456*U1456*W1456*Y1456</f>
        <v>4.3677792</v>
      </c>
    </row>
    <row r="1457">
      <c r="A1457" t="str">
        <f>A1435</f>
        <v>Lantai 1</v>
      </c>
      <c r="B1457">
        <f>B1435</f>
        <v>47</v>
      </c>
      <c r="C1457" t="str">
        <v>Sengkang Tumpuan</v>
      </c>
      <c r="D1457">
        <f>VLOOKUP(D1435,'Detail Balok'!$C$10:$AU$140,41,FALSE)</f>
        <v>0</v>
      </c>
      <c r="E1457" t="str">
        <v>D</v>
      </c>
      <c r="F1457">
        <f>VLOOKUP(D1435,'Detail Balok'!$C$10:$AU$140,43,FALSE)</f>
        <v>8</v>
      </c>
      <c r="G1457" t="str">
        <v>-</v>
      </c>
      <c r="H1457">
        <f>VLOOKUP(D1435,'Detail Balok'!$C$10:$AU$140,45,FALSE)</f>
        <v>150</v>
      </c>
      <c r="J1457">
        <f>(IF(D1457=0,(2*(D1436+G1436))-(F$5*8),IF(D1457=3,(2*(D1436+G1436))-(F$5*8)+(G1436-2*F$5),IF(D1457=4,(2*(D1436+G1436))-(F$5*8)+2*(G1436-2*F$5)))))/1000</f>
        <v>1.08</v>
      </c>
      <c r="K1457" t="str">
        <v>+</v>
      </c>
      <c r="L1457">
        <f>IF(D1457=0,2*MAX(6*F1457,75),(D1457-1)*2*MAX(6*F1457,75))/1000</f>
        <v>0.15</v>
      </c>
      <c r="M1457" t="str">
        <v>=</v>
      </c>
      <c r="N1457">
        <f>J1457+L1457</f>
        <v>1.23</v>
      </c>
      <c r="T1457" t="str">
        <v>x</v>
      </c>
      <c r="U1457">
        <f>0.006165*F1457^2</f>
        <v>0.39456</v>
      </c>
      <c r="V1457" t="str">
        <v>x</v>
      </c>
      <c r="W1457">
        <f>IF(D1438&gt;4*G1436,ROUND(MAX(D1438/4,2*G1436)/H1457,0)+1,0)</f>
        <v>8</v>
      </c>
      <c r="X1457" t="str">
        <v>x</v>
      </c>
      <c r="Y1457">
        <f>D1441</f>
        <v>1</v>
      </c>
      <c r="Z1457" t="str">
        <v>=</v>
      </c>
      <c r="AA1457">
        <f>N1457*U1457*W1457*Y1457</f>
        <v>3.8824704000000003</v>
      </c>
    </row>
    <row r="1459">
      <c r="A1459" t="str">
        <f>A1435</f>
        <v>Lantai 1</v>
      </c>
      <c r="B1459">
        <f>B1435</f>
        <v>47</v>
      </c>
      <c r="C1459" t="str">
        <v>Kait Horizontal Tump.</v>
      </c>
      <c r="D1459">
        <f>VLOOKUP(D1435,'Detail Balok'!$C$10:$BJ$140,46,FALSE)</f>
        <v>0</v>
      </c>
      <c r="E1459" t="str">
        <v>D</v>
      </c>
      <c r="F1459">
        <f>VLOOKUP(D1435,'Detail Balok'!$C$10:$BJ$140,48,FALSE)</f>
        <v>0</v>
      </c>
      <c r="G1459" t="str">
        <v>-</v>
      </c>
      <c r="H1459">
        <f>VLOOKUP(D1435,'Detail Balok'!$C$10:$BJ$140,50,FALSE)</f>
        <v>100</v>
      </c>
      <c r="J1459">
        <f>(D1436-2*F$5)/1000</f>
        <v>0.12</v>
      </c>
      <c r="K1459" t="str">
        <v>+</v>
      </c>
      <c r="L1459">
        <f>IF(D1459=0,2*MAX(6*F1459,75),(D1459-1)*2*MAX(6*F1459,75))/1000</f>
        <v>0.15</v>
      </c>
      <c r="M1459" t="str">
        <v>=</v>
      </c>
      <c r="N1459">
        <f>J1459+L1459</f>
        <v>0.27</v>
      </c>
      <c r="T1459" t="str">
        <v>x</v>
      </c>
      <c r="U1459">
        <f>0.006165*F1459^2</f>
        <v>0</v>
      </c>
      <c r="V1459" t="str">
        <v>x</v>
      </c>
      <c r="W1459">
        <f>W1455</f>
        <v>8</v>
      </c>
      <c r="X1459" t="str">
        <v>x</v>
      </c>
      <c r="Y1459">
        <f>D1445</f>
        <v>3</v>
      </c>
      <c r="Z1459" t="str">
        <v>=</v>
      </c>
      <c r="AA1459">
        <f>N1459*U1459*W1459*Y1459</f>
        <v>0</v>
      </c>
    </row>
    <row r="1460">
      <c r="A1460" t="str">
        <f>A1435</f>
        <v>Lantai 1</v>
      </c>
      <c r="B1460">
        <f>B1435</f>
        <v>47</v>
      </c>
      <c r="C1460" t="str">
        <v>Kait Horizontal Lap.</v>
      </c>
      <c r="D1460">
        <f>VLOOKUP(D1435,'Detail Balok'!$C$10:$BJ$140,51,FALSE)</f>
        <v>0</v>
      </c>
      <c r="E1460" t="str">
        <v>D</v>
      </c>
      <c r="F1460">
        <f>VLOOKUP(D1435,'Detail Balok'!$C$10:$BJ$140,53,FALSE)</f>
        <v>0</v>
      </c>
      <c r="G1460" t="str">
        <v>-</v>
      </c>
      <c r="H1460">
        <f>VLOOKUP(D1435,'Detail Balok'!$C$10:$BJ$140,55,FALSE)</f>
        <v>100</v>
      </c>
      <c r="J1460">
        <f>(D1436-2*F$5)/1000</f>
        <v>0.12</v>
      </c>
      <c r="K1460" t="str">
        <v>+</v>
      </c>
      <c r="L1460">
        <f>IF(D1460=0,2*MAX(6*F1460,75),(D1460-1)*2*MAX(6*F1460,75))/1000</f>
        <v>0.15</v>
      </c>
      <c r="M1460" t="str">
        <v>=</v>
      </c>
      <c r="N1460">
        <f>J1460+L1460</f>
        <v>0.27</v>
      </c>
      <c r="T1460" t="str">
        <v>x</v>
      </c>
      <c r="U1460">
        <f>0.006165*F1460^2</f>
        <v>0</v>
      </c>
      <c r="V1460" t="str">
        <v>x</v>
      </c>
      <c r="W1460">
        <f>W1456</f>
        <v>9</v>
      </c>
      <c r="X1460" t="str">
        <v>x</v>
      </c>
      <c r="Y1460">
        <f>D1445</f>
        <v>3</v>
      </c>
      <c r="Z1460" t="str">
        <v>=</v>
      </c>
      <c r="AA1460">
        <f>N1460*U1460*W1460*Y1460</f>
        <v>0</v>
      </c>
    </row>
    <row r="1461">
      <c r="A1461" t="str">
        <f>A1435</f>
        <v>Lantai 1</v>
      </c>
      <c r="B1461">
        <f>B1435</f>
        <v>47</v>
      </c>
      <c r="C1461" t="str">
        <v>Kait Horizontal Tump.</v>
      </c>
      <c r="D1461">
        <f>VLOOKUP(D1435,'Detail Balok'!$C$10:$BJ$140,56,FALSE)</f>
        <v>0</v>
      </c>
      <c r="E1461" t="str">
        <v>D</v>
      </c>
      <c r="F1461">
        <f>VLOOKUP(D1435,'Detail Balok'!$C$10:$BJ$140,58,FALSE)</f>
        <v>0</v>
      </c>
      <c r="G1461" t="str">
        <v>-</v>
      </c>
      <c r="H1461">
        <f>VLOOKUP(D1435,'Detail Balok'!$C$10:$BJ$140,60,FALSE)</f>
        <v>100</v>
      </c>
      <c r="J1461">
        <f>(D1436-2*F$5)/1000</f>
        <v>0.12</v>
      </c>
      <c r="K1461" t="str">
        <v>+</v>
      </c>
      <c r="L1461">
        <f>IF(D1461=0,2*MAX(6*F1461,75),(D1461-1)*2*MAX(6*F1461,75))/1000</f>
        <v>0.15</v>
      </c>
      <c r="M1461" t="str">
        <v>=</v>
      </c>
      <c r="N1461">
        <f>J1461+L1461</f>
        <v>0.27</v>
      </c>
      <c r="T1461" t="str">
        <v>x</v>
      </c>
      <c r="U1461">
        <f>0.006165*F1461^2</f>
        <v>0</v>
      </c>
      <c r="V1461" t="str">
        <v>x</v>
      </c>
      <c r="W1461">
        <f>W1457</f>
        <v>8</v>
      </c>
      <c r="X1461" t="str">
        <v>x</v>
      </c>
      <c r="Y1461">
        <f>D1445</f>
        <v>3</v>
      </c>
      <c r="Z1461" t="str">
        <v>=</v>
      </c>
      <c r="AA1461">
        <f>N1461*U1461*W1461*Y1461</f>
        <v>0</v>
      </c>
    </row>
    <row r="1465">
      <c r="A1465" t="str">
        <f>A1435</f>
        <v>Lantai 1</v>
      </c>
      <c r="B1465">
        <f>B1435+1</f>
        <v>48</v>
      </c>
      <c r="C1465" t="str">
        <f>CONCATENATE(A1465," no. ",B1465)</f>
        <v>Lantai 1 no. 48</v>
      </c>
      <c r="D1465" t="str">
        <f>VLOOKUP(C1465,'Data Panjang Balok'!$C$9:$N$254,2,FALSE)</f>
        <v>S24-2</v>
      </c>
    </row>
    <row r="1466">
      <c r="C1466" t="str">
        <v>Dimensi</v>
      </c>
      <c r="D1466">
        <f>VLOOKUP(D1465,'Detail Balok'!$C$10:$AU$140,2,FALSE)</f>
        <v>200</v>
      </c>
      <c r="F1466" t="str">
        <v>x</v>
      </c>
      <c r="G1466">
        <f>VLOOKUP(D1465,'Detail Balok'!$C$10:$AU$140,3,FALSE)</f>
        <v>400</v>
      </c>
    </row>
    <row r="1467">
      <c r="C1467" t="str">
        <v>Panjang as ke as</v>
      </c>
      <c r="D1467">
        <f>VLOOKUP(C1465,'Data Panjang Balok'!$C$9:$N$254,4,FALSE)</f>
        <v>3850</v>
      </c>
    </row>
    <row r="1468">
      <c r="C1468" t="str">
        <v>Panjang netto</v>
      </c>
      <c r="D1468">
        <f>VLOOKUP(C1465,'Data Panjang Balok'!$C$9:$N$254,7,FALSE)</f>
        <v>3850</v>
      </c>
    </row>
    <row r="1469">
      <c r="C1469" t="str">
        <v>Kolom / balok kiri</v>
      </c>
      <c r="D1469">
        <f>VLOOKUP(C1465,'Data Panjang Balok'!$C$9:$N$254,9,FALSE)</f>
        <v>0</v>
      </c>
    </row>
    <row r="1470">
      <c r="C1470" t="str">
        <v>Kolom / balok kanan</v>
      </c>
      <c r="D1470">
        <f>VLOOKUP(C1465,'Data Panjang Balok'!$C$9:$N$254,10,FALSE)</f>
        <v>0</v>
      </c>
    </row>
    <row r="1471">
      <c r="C1471" t="str">
        <v>Jumlah</v>
      </c>
      <c r="D1471">
        <f>VLOOKUP(C1465,'Data Panjang Balok'!$C$9:$N$254,3,FALSE)</f>
        <v>1</v>
      </c>
    </row>
    <row r="1472">
      <c r="A1472" t="str">
        <f>A1465</f>
        <v>Lantai 1</v>
      </c>
      <c r="B1472">
        <f>B1465</f>
        <v>48</v>
      </c>
      <c r="C1472" t="str">
        <v>Tul Atas Tumpuan</v>
      </c>
      <c r="D1472">
        <f>VLOOKUP(D1465,'Detail Balok'!$C$10:$AU$140,4,FALSE)</f>
        <v>3</v>
      </c>
      <c r="E1472" t="str">
        <v>D</v>
      </c>
      <c r="F1472">
        <f>VLOOKUP(D1465,'Detail Balok'!$C$10:$AU$140,6,FALSE)</f>
        <v>16</v>
      </c>
      <c r="I1472" t="str">
        <v>(</v>
      </c>
      <c r="J1472">
        <f>+D1467/4/1000</f>
        <v>0.9625</v>
      </c>
      <c r="K1472" t="str">
        <v>+</v>
      </c>
      <c r="L1472">
        <f>MAX(VLOOKUP(F1472,N$6:P$15,3,FALSE)/1000,2/3*D1469/1000)+F$16*F1472/1000</f>
        <v>0.192</v>
      </c>
      <c r="M1472" t="str">
        <v>=</v>
      </c>
      <c r="N1472">
        <f>J1472+L1472</f>
        <v>1.1545</v>
      </c>
      <c r="O1472" t="str">
        <v>+</v>
      </c>
      <c r="P1472">
        <f>D1472-D1473</f>
        <v>0</v>
      </c>
      <c r="Q1472" t="str">
        <v>x</v>
      </c>
      <c r="R1472">
        <f>IF(P1472&gt;0,$F$18*F1472/1000,0)</f>
        <v>0</v>
      </c>
      <c r="S1472" t="str">
        <v>)</v>
      </c>
      <c r="T1472" t="str">
        <v>x</v>
      </c>
      <c r="U1472">
        <f>0.006165*F1472^2</f>
        <v>1.57824</v>
      </c>
      <c r="X1472" t="str">
        <v>x</v>
      </c>
      <c r="Y1472">
        <f>D1471</f>
        <v>1</v>
      </c>
      <c r="Z1472" t="str">
        <v>=</v>
      </c>
      <c r="AA1472">
        <f>IF(AA1475=0,(D1472*N1472+P1472*R1472)*U1472*Y1472,0)</f>
        <v>0</v>
      </c>
    </row>
    <row r="1473">
      <c r="A1473" t="str">
        <f>A1465</f>
        <v>Lantai 1</v>
      </c>
      <c r="B1473">
        <f>B1465</f>
        <v>48</v>
      </c>
      <c r="C1473" t="str">
        <v>Tul Atas Lapangan</v>
      </c>
      <c r="D1473">
        <f>VLOOKUP(D1465,'Detail Balok'!$C$10:$AU$140,7,FALSE)</f>
        <v>3</v>
      </c>
      <c r="E1473" t="str">
        <v>D</v>
      </c>
      <c r="F1473">
        <f>VLOOKUP(D1465,'Detail Balok'!$C$10:$AU$140,9,FALSE)</f>
        <v>16</v>
      </c>
      <c r="I1473" t="str">
        <v>(</v>
      </c>
      <c r="J1473">
        <f>+D1467/2/1000</f>
        <v>1.925</v>
      </c>
      <c r="K1473" t="str">
        <v>+</v>
      </c>
      <c r="M1473" t="str">
        <v>=</v>
      </c>
      <c r="N1473">
        <f>J1473+L1473</f>
        <v>1.925</v>
      </c>
      <c r="O1473" t="str">
        <v>+</v>
      </c>
      <c r="P1473">
        <f>MAX(D1473-D1472,D1473-D1474)</f>
        <v>0</v>
      </c>
      <c r="Q1473" t="str">
        <v>x</v>
      </c>
      <c r="R1473">
        <f>IF(P1473&gt;0,2*(1-2*$F$19-1/2)*D1468/1000,0)</f>
        <v>0</v>
      </c>
      <c r="S1473" t="str">
        <v>)</v>
      </c>
      <c r="T1473" t="str">
        <v>x</v>
      </c>
      <c r="U1473">
        <f>0.006165*F1473^2</f>
        <v>1.57824</v>
      </c>
      <c r="X1473" t="str">
        <v>x</v>
      </c>
      <c r="Y1473">
        <f>D1471</f>
        <v>1</v>
      </c>
      <c r="Z1473" t="str">
        <v>=</v>
      </c>
      <c r="AA1473">
        <f>IF(AA1475=0,(D1473*N1473+P1473*R1473)*U1473*Y1473,0)</f>
        <v>0</v>
      </c>
    </row>
    <row r="1474">
      <c r="A1474" t="str">
        <f>A1465</f>
        <v>Lantai 1</v>
      </c>
      <c r="B1474">
        <f>B1465</f>
        <v>48</v>
      </c>
      <c r="C1474" t="str">
        <v>Tul Atas Tumpuan</v>
      </c>
      <c r="D1474">
        <f>VLOOKUP(D1465,'Detail Balok'!$C$10:$AU$140,10,FALSE)</f>
        <v>3</v>
      </c>
      <c r="E1474" t="str">
        <v>D</v>
      </c>
      <c r="F1474">
        <f>VLOOKUP(D1465,'Detail Balok'!$C$10:$AU$140,12,FALSE)</f>
        <v>16</v>
      </c>
      <c r="I1474" t="str">
        <v>(</v>
      </c>
      <c r="J1474">
        <f>+D1467/4/1000</f>
        <v>0.9625</v>
      </c>
      <c r="K1474" t="str">
        <v>+</v>
      </c>
      <c r="L1474">
        <f>MAX(VLOOKUP(F1474,N$6:P$15,3,FALSE)/1000,2/3*D1469/1000)+F$16*F1474/1000</f>
        <v>0.192</v>
      </c>
      <c r="M1474" t="str">
        <v>=</v>
      </c>
      <c r="N1474">
        <f>J1474+L1474</f>
        <v>1.1545</v>
      </c>
      <c r="O1474" t="str">
        <v>+</v>
      </c>
      <c r="P1474">
        <f>D1474-D1473</f>
        <v>0</v>
      </c>
      <c r="Q1474" t="str">
        <v>x</v>
      </c>
      <c r="R1474">
        <f>IF(P1474&gt;0,$F$18*F1474/1000,0)</f>
        <v>0</v>
      </c>
      <c r="S1474" t="str">
        <v>)</v>
      </c>
      <c r="T1474" t="str">
        <v>x</v>
      </c>
      <c r="U1474">
        <f>0.006165*F1474^2</f>
        <v>1.57824</v>
      </c>
      <c r="X1474" t="str">
        <v>x</v>
      </c>
      <c r="Y1474">
        <f>D1471</f>
        <v>1</v>
      </c>
      <c r="Z1474" t="str">
        <v>=</v>
      </c>
      <c r="AA1474">
        <f>IF(AA1475=0,(D1474*N1474+P1474*R1474)*U1474*Y1474,0)</f>
        <v>0</v>
      </c>
    </row>
    <row r="1475">
      <c r="A1475" t="str">
        <f>A1465</f>
        <v>Lantai 1</v>
      </c>
      <c r="B1475">
        <f>B1465</f>
        <v>48</v>
      </c>
      <c r="D1475">
        <f>IF(AND(D1472=D1473,D1473=D1474,D1472=D1474),D1472,0)</f>
        <v>3</v>
      </c>
      <c r="E1475" t="str">
        <v>D</v>
      </c>
      <c r="F1475">
        <f>IF(AND(F1472=F1473,F1472=F1474,F1473=F1474),F1472,0)</f>
        <v>16</v>
      </c>
      <c r="L1475" t="str">
        <v>Total panjang per balok</v>
      </c>
      <c r="M1475" t="str">
        <v>=</v>
      </c>
      <c r="N1475">
        <f>IF(AND(D1472=D1473,D1472=D1474,D1473=D1474,F1472=F1473,F1472=F1474,F1473=F1474),SUM(N1472:N1474),0)</f>
        <v>4.234</v>
      </c>
      <c r="O1475" t="str">
        <v>+</v>
      </c>
      <c r="P1475">
        <f>IF(N1475&gt;12,ROUNDDOWN(N1475/12,0),0)</f>
        <v>0</v>
      </c>
      <c r="Q1475" t="str">
        <v>x</v>
      </c>
      <c r="R1475">
        <f>IF(P1475&gt;0,MAX(VLOOKUP(F1475,$D$6:$G$15,3,FALSE),600),0)/1000</f>
        <v>0</v>
      </c>
      <c r="T1475" t="str">
        <v>x</v>
      </c>
      <c r="U1475">
        <f>U1474</f>
        <v>1.57824</v>
      </c>
      <c r="V1475" t="str">
        <v>x</v>
      </c>
      <c r="W1475">
        <f>D1475</f>
        <v>3</v>
      </c>
      <c r="X1475" t="str">
        <v>x</v>
      </c>
      <c r="Y1475">
        <f>Y1474</f>
        <v>1</v>
      </c>
      <c r="Z1475" t="str">
        <v>=</v>
      </c>
      <c r="AA1475">
        <f>(N1475+P1475*R1475/1000)*U1475*W1475*Y1475</f>
        <v>20.046804480000002</v>
      </c>
    </row>
    <row r="1477">
      <c r="A1477" t="str">
        <f>A1465</f>
        <v>Lantai 1</v>
      </c>
      <c r="B1477">
        <f>B1465</f>
        <v>48</v>
      </c>
      <c r="C1477" t="str">
        <v>Tul Peminggang</v>
      </c>
      <c r="D1477">
        <f>VLOOKUP(D1465,'Detail Balok'!$C$10:$AU$140,13,FALSE)</f>
        <v>0</v>
      </c>
      <c r="E1477" t="str">
        <v>D</v>
      </c>
      <c r="F1477">
        <f>VLOOKUP(D1465,'Detail Balok'!$C$10:$AU$140,15,FALSE)</f>
        <v>8</v>
      </c>
      <c r="J1477">
        <f>+D1467/1000</f>
        <v>3.85</v>
      </c>
      <c r="K1477" t="str">
        <v>+</v>
      </c>
      <c r="L1477">
        <f>2*$F$16*F1477/1000</f>
        <v>0.192</v>
      </c>
      <c r="M1477" t="str">
        <v>=</v>
      </c>
      <c r="N1477">
        <f>J1477+L1477</f>
        <v>4.042</v>
      </c>
      <c r="O1477" t="str">
        <v>+</v>
      </c>
      <c r="P1477">
        <f>IF(N1477&gt;12,ROUNDDOWN(N1477/12,0),0)</f>
        <v>0</v>
      </c>
      <c r="Q1477" t="str">
        <v>x</v>
      </c>
      <c r="R1477">
        <f>IF(P1477&gt;0,MAX(VLOOKUP(F1477,$D$6:$G$15,3,FALSE),600),0)/1000</f>
        <v>0</v>
      </c>
      <c r="T1477" t="str">
        <v>x</v>
      </c>
      <c r="U1477">
        <f>0.006165*F1477^2</f>
        <v>0.39456</v>
      </c>
      <c r="V1477" t="str">
        <v>x</v>
      </c>
      <c r="W1477">
        <f>+D1477</f>
        <v>0</v>
      </c>
      <c r="X1477" t="str">
        <v>x</v>
      </c>
      <c r="Y1477">
        <f>D1471</f>
        <v>1</v>
      </c>
      <c r="Z1477" t="str">
        <v>=</v>
      </c>
      <c r="AA1477">
        <f>(N1477+P1477*R1477/1000)*U1477*W1477*Y1477</f>
        <v>0</v>
      </c>
    </row>
    <row r="1480">
      <c r="A1480" t="str">
        <f>A1465</f>
        <v>Lantai 1</v>
      </c>
      <c r="B1480">
        <f>B1465</f>
        <v>48</v>
      </c>
      <c r="C1480" t="str">
        <v>Tul Bawah Tumpuan</v>
      </c>
      <c r="D1480">
        <f>VLOOKUP(D1465,'Detail Balok'!$C$10:$AU$140,22,FALSE)</f>
        <v>3</v>
      </c>
      <c r="E1480" t="str">
        <v>D</v>
      </c>
      <c r="F1480">
        <f>VLOOKUP(D1465,'Detail Balok'!$C$10:$AU$140,24,FALSE)</f>
        <v>16</v>
      </c>
      <c r="I1480" t="str">
        <v>(</v>
      </c>
      <c r="J1480">
        <f>+J1472</f>
        <v>0.9625</v>
      </c>
      <c r="K1480" t="str">
        <v>+</v>
      </c>
      <c r="L1480">
        <f>MAX(VLOOKUP(F1480,N$6:P$15,3,FALSE)/1000,2/3*D1470/1000)+F$16*F1480/1000</f>
        <v>0.192</v>
      </c>
      <c r="M1480" t="str">
        <v>=</v>
      </c>
      <c r="N1480">
        <f>J1480+L1480</f>
        <v>1.1545</v>
      </c>
      <c r="O1480" t="str">
        <v>+</v>
      </c>
      <c r="P1480">
        <f>D1480-D1481</f>
        <v>0</v>
      </c>
      <c r="Q1480" t="str">
        <v>x</v>
      </c>
      <c r="R1480">
        <f>IF(P1480&gt;0,$F$18*F1480/1000,0)</f>
        <v>0</v>
      </c>
      <c r="S1480" t="str">
        <v>)</v>
      </c>
      <c r="T1480" t="str">
        <v>x</v>
      </c>
      <c r="U1480">
        <f>0.006165*F1480^2</f>
        <v>1.57824</v>
      </c>
      <c r="X1480" t="str">
        <v>x</v>
      </c>
      <c r="Y1480">
        <f>D1471</f>
        <v>1</v>
      </c>
      <c r="Z1480" t="str">
        <v>=</v>
      </c>
      <c r="AA1480">
        <f>IF(AA1483=0,(D1480*N1480+P1480*R1480)*U1480*Y1480,0)</f>
        <v>0</v>
      </c>
    </row>
    <row r="1481">
      <c r="A1481" t="str">
        <f>A1465</f>
        <v>Lantai 1</v>
      </c>
      <c r="B1481">
        <f>B1465</f>
        <v>48</v>
      </c>
      <c r="C1481" t="str">
        <v>Tul Bawah Lapangan</v>
      </c>
      <c r="D1481">
        <f>VLOOKUP(D1465,'Detail Balok'!$C$10:$AU$140,25,FALSE)</f>
        <v>3</v>
      </c>
      <c r="E1481" t="str">
        <v>D</v>
      </c>
      <c r="F1481">
        <f>VLOOKUP(D1465,'Detail Balok'!$C$10:$AU$140,27,FALSE)</f>
        <v>16</v>
      </c>
      <c r="I1481" t="str">
        <v>(</v>
      </c>
      <c r="J1481">
        <f>+J1473</f>
        <v>1.925</v>
      </c>
      <c r="K1481" t="str">
        <v>+</v>
      </c>
      <c r="M1481" t="str">
        <v>=</v>
      </c>
      <c r="N1481">
        <f>J1481+L1481</f>
        <v>1.925</v>
      </c>
      <c r="O1481" t="str">
        <v>+</v>
      </c>
      <c r="P1481">
        <f>MAX(D1481-D1480,D1481-D1482)</f>
        <v>0</v>
      </c>
      <c r="Q1481" t="str">
        <v>x</v>
      </c>
      <c r="R1481">
        <f>IF(P1481&gt;0,2*(1-2*$F$19-1/2)*D1468/1000,0)</f>
        <v>0</v>
      </c>
      <c r="S1481" t="str">
        <v>)</v>
      </c>
      <c r="T1481" t="str">
        <v>x</v>
      </c>
      <c r="U1481">
        <f>0.006165*F1481^2</f>
        <v>1.57824</v>
      </c>
      <c r="X1481" t="str">
        <v>x</v>
      </c>
      <c r="Y1481">
        <f>D1471</f>
        <v>1</v>
      </c>
      <c r="Z1481" t="str">
        <v>=</v>
      </c>
      <c r="AA1481">
        <f>IF(AA1483=0,(D1481*N1481+P1481*R1481)*U1481*Y1481,0)</f>
        <v>0</v>
      </c>
    </row>
    <row r="1482">
      <c r="A1482" t="str">
        <f>A1465</f>
        <v>Lantai 1</v>
      </c>
      <c r="B1482">
        <f>B1465</f>
        <v>48</v>
      </c>
      <c r="C1482" t="str">
        <v>Tul Bawah Tumpuan</v>
      </c>
      <c r="D1482">
        <f>VLOOKUP(D1465,'Detail Balok'!$C$10:$AU$140,28,FALSE)</f>
        <v>3</v>
      </c>
      <c r="E1482" t="str">
        <v>D</v>
      </c>
      <c r="F1482">
        <f>VLOOKUP(D1465,'Detail Balok'!$C$10:$AU$140,30,FALSE)</f>
        <v>16</v>
      </c>
      <c r="I1482" t="str">
        <v>(</v>
      </c>
      <c r="J1482">
        <f>+J1474</f>
        <v>0.9625</v>
      </c>
      <c r="K1482" t="str">
        <v>+</v>
      </c>
      <c r="L1482">
        <f>MAX(VLOOKUP(F1482,N$6:P$15,3,FALSE)/1000,2/3*D1470/1000)+F$16*F1482/1000</f>
        <v>0.192</v>
      </c>
      <c r="M1482" t="str">
        <v>=</v>
      </c>
      <c r="N1482">
        <f>J1482+L1482</f>
        <v>1.1545</v>
      </c>
      <c r="O1482" t="str">
        <v>+</v>
      </c>
      <c r="P1482">
        <f>D1482-D1481</f>
        <v>0</v>
      </c>
      <c r="Q1482" t="str">
        <v>x</v>
      </c>
      <c r="R1482">
        <f>IF(P1482&gt;0,$F$18*F1482/1000,0)</f>
        <v>0</v>
      </c>
      <c r="S1482" t="str">
        <v>)</v>
      </c>
      <c r="T1482" t="str">
        <v>x</v>
      </c>
      <c r="U1482">
        <f>0.006165*F1482^2</f>
        <v>1.57824</v>
      </c>
      <c r="X1482" t="str">
        <v>x</v>
      </c>
      <c r="Y1482">
        <f>D1471</f>
        <v>1</v>
      </c>
      <c r="Z1482" t="str">
        <v>=</v>
      </c>
      <c r="AA1482">
        <f>IF(AA1483=0,(D1482*N1482+P1482*R1482)*U1482*Y1482,0)</f>
        <v>0</v>
      </c>
    </row>
    <row r="1483">
      <c r="A1483" t="str">
        <f>A1465</f>
        <v>Lantai 1</v>
      </c>
      <c r="B1483">
        <f>B1465</f>
        <v>48</v>
      </c>
      <c r="D1483">
        <f>IF(AND(D1480=D1481,D1481=D1482,D1480=D1482),D1480,0)</f>
        <v>3</v>
      </c>
      <c r="E1483" t="str">
        <v>D</v>
      </c>
      <c r="F1483">
        <f>IF(AND(F1480=F1481,F1480=F1482,F1481=F1482),F1480,0)</f>
        <v>16</v>
      </c>
      <c r="L1483" t="str">
        <v>Total panjang per balok</v>
      </c>
      <c r="M1483" t="str">
        <v>=</v>
      </c>
      <c r="N1483">
        <f>IF(AND(D1480=D1481,D1480=D1482,D1481=D1482,F1480=F1481,F1480=F1482,F1481=F1482),SUM(N1480:N1482),0)</f>
        <v>4.234</v>
      </c>
      <c r="O1483" t="str">
        <v>+</v>
      </c>
      <c r="P1483">
        <f>IF(N1483&gt;12,ROUNDDOWN(N1483/12,0),0)</f>
        <v>0</v>
      </c>
      <c r="Q1483" t="str">
        <v>x</v>
      </c>
      <c r="R1483">
        <f>IF(P1483&gt;0,MAX(VLOOKUP(F1483,$D$6:$G$15,3,FALSE),600),0)/1000</f>
        <v>0</v>
      </c>
      <c r="T1483" t="str">
        <v>x</v>
      </c>
      <c r="U1483">
        <f>U1482</f>
        <v>1.57824</v>
      </c>
      <c r="V1483" t="str">
        <v>x</v>
      </c>
      <c r="W1483">
        <f>D1483</f>
        <v>3</v>
      </c>
      <c r="X1483" t="str">
        <v>x</v>
      </c>
      <c r="Y1483">
        <f>Y1482</f>
        <v>1</v>
      </c>
      <c r="Z1483" t="str">
        <v>=</v>
      </c>
      <c r="AA1483">
        <f>(N1483+P1483*R1483/1000)*U1483*W1483*Y1483</f>
        <v>20.046804480000002</v>
      </c>
    </row>
    <row r="1485">
      <c r="A1485" t="str">
        <f>A1465</f>
        <v>Lantai 1</v>
      </c>
      <c r="B1485">
        <f>B1465</f>
        <v>48</v>
      </c>
      <c r="C1485" t="str">
        <v>Sengkang Tumpuan</v>
      </c>
      <c r="D1485">
        <f>VLOOKUP(D1465,'Detail Balok'!$C$10:$AU$140,31,FALSE)</f>
        <v>0</v>
      </c>
      <c r="E1485" t="str">
        <v>D</v>
      </c>
      <c r="F1485">
        <f>VLOOKUP(D1465,'Detail Balok'!$C$10:$AU$140,33,FALSE)</f>
        <v>8</v>
      </c>
      <c r="G1485" t="str">
        <v>-</v>
      </c>
      <c r="H1485">
        <f>VLOOKUP(D1465,'Detail Balok'!$C$10:$AU$140,35,FALSE)</f>
        <v>150</v>
      </c>
      <c r="J1485">
        <f>(IF(D1485=0,(2*(D1466+G1466))-(F$5*8),IF(D1485=3,(2*(D1466+G1466))-(F$5*8)+(G1466-2*F$5),IF(D1485=4,(2*(D1466+G1466))-(F$5*8)+2*(G1466-2*F$5)))))/1000</f>
        <v>0.88</v>
      </c>
      <c r="K1485" t="str">
        <v>+</v>
      </c>
      <c r="L1485">
        <f>IF(D1485=0,2*MAX(6*F1485,75),(D1485-1)*2*MAX(6*F1485,75))/1000</f>
        <v>0.15</v>
      </c>
      <c r="M1485" t="str">
        <v>=</v>
      </c>
      <c r="N1485">
        <f>J1485+L1485</f>
        <v>1.03</v>
      </c>
      <c r="T1485" t="str">
        <v>x</v>
      </c>
      <c r="U1485">
        <f>0.006165*F1485^2</f>
        <v>0.39456</v>
      </c>
      <c r="V1485" t="str">
        <v>x</v>
      </c>
      <c r="W1485">
        <f>IF(D1468&gt;4*G1466,ROUND(MAX(D1468/4,2*G1466)/H1485,0)+1,ROUND(D1468/H1485,0)+1)</f>
        <v>7</v>
      </c>
      <c r="X1485" t="str">
        <v>x</v>
      </c>
      <c r="Y1485">
        <f>D1471</f>
        <v>1</v>
      </c>
      <c r="Z1485" t="str">
        <v>=</v>
      </c>
      <c r="AA1485">
        <f>N1485*U1485*W1485*Y1485</f>
        <v>2.8447776000000005</v>
      </c>
    </row>
    <row r="1486">
      <c r="A1486" t="str">
        <f>A1465</f>
        <v>Lantai 1</v>
      </c>
      <c r="B1486">
        <f>B1465</f>
        <v>48</v>
      </c>
      <c r="C1486" t="str">
        <v>Sengkang Lapangan</v>
      </c>
      <c r="D1486">
        <f>VLOOKUP(D1465,'Detail Balok'!$C$10:$AU$140,36,FALSE)</f>
        <v>0</v>
      </c>
      <c r="E1486" t="str">
        <v>D</v>
      </c>
      <c r="F1486">
        <f>VLOOKUP(D1465,'Detail Balok'!$C$10:$AU$140,38,FALSE)</f>
        <v>8</v>
      </c>
      <c r="G1486" t="str">
        <v>-</v>
      </c>
      <c r="H1486">
        <f>VLOOKUP(D1465,'Detail Balok'!$C$10:$AU$140,40,FALSE)</f>
        <v>200</v>
      </c>
      <c r="J1486">
        <f>(IF(D1486=0,(2*(D1466+G1466))-(F$5*8),IF(D1486=3,(2*(D1466+G1466))-(F$5*8)+(G1466-2*F$5),IF(D1486=4,(2*(D1466+G1466))-(F$5*8)+2*(G1466-2*F$5)))))/1000</f>
        <v>0.88</v>
      </c>
      <c r="K1486" t="str">
        <v>+</v>
      </c>
      <c r="L1486">
        <f>IF(D1486=0,2*MAX(6*F1486,75),(D1486-1)*2*MAX(6*F1486,75))/1000</f>
        <v>0.15</v>
      </c>
      <c r="M1486" t="str">
        <v>=</v>
      </c>
      <c r="N1486">
        <f>J1486+L1486</f>
        <v>1.03</v>
      </c>
      <c r="T1486" t="str">
        <v>x</v>
      </c>
      <c r="U1486">
        <f>0.006165*F1486^2</f>
        <v>0.39456</v>
      </c>
      <c r="V1486" t="str">
        <v>x</v>
      </c>
      <c r="W1486">
        <f>IF(D1468-MAX(D1468/4,2*G1466)*2&gt;0,ROUND((D1468-MAX(D1468/4,2*G1466)*2)/H1486,0),0)</f>
        <v>10</v>
      </c>
      <c r="X1486" t="str">
        <v>x</v>
      </c>
      <c r="Y1486">
        <f>D1471</f>
        <v>1</v>
      </c>
      <c r="Z1486" t="str">
        <v>=</v>
      </c>
      <c r="AA1486">
        <f>N1486*U1486*W1486*Y1486</f>
        <v>4.063968000000001</v>
      </c>
    </row>
    <row r="1487">
      <c r="A1487" t="str">
        <f>A1465</f>
        <v>Lantai 1</v>
      </c>
      <c r="B1487">
        <f>B1465</f>
        <v>48</v>
      </c>
      <c r="C1487" t="str">
        <v>Sengkang Tumpuan</v>
      </c>
      <c r="D1487">
        <f>VLOOKUP(D1465,'Detail Balok'!$C$10:$AU$140,41,FALSE)</f>
        <v>0</v>
      </c>
      <c r="E1487" t="str">
        <v>D</v>
      </c>
      <c r="F1487">
        <f>VLOOKUP(D1465,'Detail Balok'!$C$10:$AU$140,43,FALSE)</f>
        <v>8</v>
      </c>
      <c r="G1487" t="str">
        <v>-</v>
      </c>
      <c r="H1487">
        <f>VLOOKUP(D1465,'Detail Balok'!$C$10:$AU$140,45,FALSE)</f>
        <v>150</v>
      </c>
      <c r="J1487">
        <f>(IF(D1487=0,(2*(D1466+G1466))-(F$5*8),IF(D1487=3,(2*(D1466+G1466))-(F$5*8)+(G1466-2*F$5),IF(D1487=4,(2*(D1466+G1466))-(F$5*8)+2*(G1466-2*F$5)))))/1000</f>
        <v>0.88</v>
      </c>
      <c r="K1487" t="str">
        <v>+</v>
      </c>
      <c r="L1487">
        <f>IF(D1487=0,2*MAX(6*F1487,75),(D1487-1)*2*MAX(6*F1487,75))/1000</f>
        <v>0.15</v>
      </c>
      <c r="M1487" t="str">
        <v>=</v>
      </c>
      <c r="N1487">
        <f>J1487+L1487</f>
        <v>1.03</v>
      </c>
      <c r="T1487" t="str">
        <v>x</v>
      </c>
      <c r="U1487">
        <f>0.006165*F1487^2</f>
        <v>0.39456</v>
      </c>
      <c r="V1487" t="str">
        <v>x</v>
      </c>
      <c r="W1487">
        <f>IF(D1468&gt;4*G1466,ROUND(MAX(D1468/4,2*G1466)/H1487,0)+1,0)</f>
        <v>7</v>
      </c>
      <c r="X1487" t="str">
        <v>x</v>
      </c>
      <c r="Y1487">
        <f>D1471</f>
        <v>1</v>
      </c>
      <c r="Z1487" t="str">
        <v>=</v>
      </c>
      <c r="AA1487">
        <f>N1487*U1487*W1487*Y1487</f>
        <v>2.8447776000000005</v>
      </c>
    </row>
    <row r="1489">
      <c r="A1489" t="str">
        <f>A1465</f>
        <v>Lantai 1</v>
      </c>
      <c r="B1489">
        <f>B1465</f>
        <v>48</v>
      </c>
      <c r="C1489" t="str">
        <v>Kait Horizontal Tump.</v>
      </c>
      <c r="D1489">
        <f>VLOOKUP(D1465,'Detail Balok'!$C$10:$BJ$140,46,FALSE)</f>
        <v>0</v>
      </c>
      <c r="E1489" t="str">
        <v>D</v>
      </c>
      <c r="F1489">
        <f>VLOOKUP(D1465,'Detail Balok'!$C$10:$BJ$140,48,FALSE)</f>
        <v>0</v>
      </c>
      <c r="G1489" t="str">
        <v>-</v>
      </c>
      <c r="H1489">
        <f>VLOOKUP(D1465,'Detail Balok'!$C$10:$BJ$140,50,FALSE)</f>
        <v>100</v>
      </c>
      <c r="J1489">
        <f>(D1466-2*F$5)/1000</f>
        <v>0.12</v>
      </c>
      <c r="K1489" t="str">
        <v>+</v>
      </c>
      <c r="L1489">
        <f>IF(D1489=0,2*MAX(6*F1489,75),(D1489-1)*2*MAX(6*F1489,75))/1000</f>
        <v>0.15</v>
      </c>
      <c r="M1489" t="str">
        <v>=</v>
      </c>
      <c r="N1489">
        <f>J1489+L1489</f>
        <v>0.27</v>
      </c>
      <c r="T1489" t="str">
        <v>x</v>
      </c>
      <c r="U1489">
        <f>0.006165*F1489^2</f>
        <v>0</v>
      </c>
      <c r="V1489" t="str">
        <v>x</v>
      </c>
      <c r="W1489">
        <f>W1485</f>
        <v>7</v>
      </c>
      <c r="X1489" t="str">
        <v>x</v>
      </c>
      <c r="Y1489">
        <f>D1475</f>
        <v>3</v>
      </c>
      <c r="Z1489" t="str">
        <v>=</v>
      </c>
      <c r="AA1489">
        <f>N1489*U1489*W1489*Y1489</f>
        <v>0</v>
      </c>
    </row>
    <row r="1490">
      <c r="A1490" t="str">
        <f>A1465</f>
        <v>Lantai 1</v>
      </c>
      <c r="B1490">
        <f>B1465</f>
        <v>48</v>
      </c>
      <c r="C1490" t="str">
        <v>Kait Horizontal Lap.</v>
      </c>
      <c r="D1490">
        <f>VLOOKUP(D1465,'Detail Balok'!$C$10:$BJ$140,51,FALSE)</f>
        <v>0</v>
      </c>
      <c r="E1490" t="str">
        <v>D</v>
      </c>
      <c r="F1490">
        <f>VLOOKUP(D1465,'Detail Balok'!$C$10:$BJ$140,53,FALSE)</f>
        <v>0</v>
      </c>
      <c r="G1490" t="str">
        <v>-</v>
      </c>
      <c r="H1490">
        <f>VLOOKUP(D1465,'Detail Balok'!$C$10:$BJ$140,55,FALSE)</f>
        <v>100</v>
      </c>
      <c r="J1490">
        <f>(D1466-2*F$5)/1000</f>
        <v>0.12</v>
      </c>
      <c r="K1490" t="str">
        <v>+</v>
      </c>
      <c r="L1490">
        <f>IF(D1490=0,2*MAX(6*F1490,75),(D1490-1)*2*MAX(6*F1490,75))/1000</f>
        <v>0.15</v>
      </c>
      <c r="M1490" t="str">
        <v>=</v>
      </c>
      <c r="N1490">
        <f>J1490+L1490</f>
        <v>0.27</v>
      </c>
      <c r="T1490" t="str">
        <v>x</v>
      </c>
      <c r="U1490">
        <f>0.006165*F1490^2</f>
        <v>0</v>
      </c>
      <c r="V1490" t="str">
        <v>x</v>
      </c>
      <c r="W1490">
        <f>W1486</f>
        <v>10</v>
      </c>
      <c r="X1490" t="str">
        <v>x</v>
      </c>
      <c r="Y1490">
        <f>D1475</f>
        <v>3</v>
      </c>
      <c r="Z1490" t="str">
        <v>=</v>
      </c>
      <c r="AA1490">
        <f>N1490*U1490*W1490*Y1490</f>
        <v>0</v>
      </c>
    </row>
    <row r="1491">
      <c r="A1491" t="str">
        <f>A1465</f>
        <v>Lantai 1</v>
      </c>
      <c r="B1491">
        <f>B1465</f>
        <v>48</v>
      </c>
      <c r="C1491" t="str">
        <v>Kait Horizontal Tump.</v>
      </c>
      <c r="D1491">
        <f>VLOOKUP(D1465,'Detail Balok'!$C$10:$BJ$140,56,FALSE)</f>
        <v>0</v>
      </c>
      <c r="E1491" t="str">
        <v>D</v>
      </c>
      <c r="F1491">
        <f>VLOOKUP(D1465,'Detail Balok'!$C$10:$BJ$140,58,FALSE)</f>
        <v>0</v>
      </c>
      <c r="G1491" t="str">
        <v>-</v>
      </c>
      <c r="H1491">
        <f>VLOOKUP(D1465,'Detail Balok'!$C$10:$BJ$140,60,FALSE)</f>
        <v>100</v>
      </c>
      <c r="J1491">
        <f>(D1466-2*F$5)/1000</f>
        <v>0.12</v>
      </c>
      <c r="K1491" t="str">
        <v>+</v>
      </c>
      <c r="L1491">
        <f>IF(D1491=0,2*MAX(6*F1491,75),(D1491-1)*2*MAX(6*F1491,75))/1000</f>
        <v>0.15</v>
      </c>
      <c r="M1491" t="str">
        <v>=</v>
      </c>
      <c r="N1491">
        <f>J1491+L1491</f>
        <v>0.27</v>
      </c>
      <c r="T1491" t="str">
        <v>x</v>
      </c>
      <c r="U1491">
        <f>0.006165*F1491^2</f>
        <v>0</v>
      </c>
      <c r="V1491" t="str">
        <v>x</v>
      </c>
      <c r="W1491">
        <f>W1487</f>
        <v>7</v>
      </c>
      <c r="X1491" t="str">
        <v>x</v>
      </c>
      <c r="Y1491">
        <f>D1475</f>
        <v>3</v>
      </c>
      <c r="Z1491" t="str">
        <v>=</v>
      </c>
      <c r="AA1491">
        <f>N1491*U1491*W1491*Y1491</f>
        <v>0</v>
      </c>
    </row>
    <row r="1495">
      <c r="A1495" t="str">
        <f>A1465</f>
        <v>Lantai 1</v>
      </c>
      <c r="B1495">
        <f>B1465+1</f>
        <v>49</v>
      </c>
      <c r="C1495" t="str">
        <f>CONCATENATE(A1495," no. ",B1495)</f>
        <v>Lantai 1 no. 49</v>
      </c>
      <c r="D1495" t="str">
        <f>VLOOKUP(C1495,'Data Panjang Balok'!$C$9:$N$254,2,FALSE)</f>
        <v>S25-1</v>
      </c>
    </row>
    <row r="1496">
      <c r="C1496" t="str">
        <v>Dimensi</v>
      </c>
      <c r="D1496">
        <f>VLOOKUP(D1495,'Detail Balok'!$C$10:$AU$140,2,FALSE)</f>
        <v>200</v>
      </c>
      <c r="F1496" t="str">
        <v>x</v>
      </c>
      <c r="G1496">
        <f>VLOOKUP(D1495,'Detail Balok'!$C$10:$AU$140,3,FALSE)</f>
        <v>500</v>
      </c>
    </row>
    <row r="1497">
      <c r="C1497" t="str">
        <v>Panjang as ke as</v>
      </c>
      <c r="D1497">
        <f>VLOOKUP(C1495,'Data Panjang Balok'!$C$9:$N$254,4,FALSE)</f>
        <v>3850</v>
      </c>
    </row>
    <row r="1498">
      <c r="C1498" t="str">
        <v>Panjang netto</v>
      </c>
      <c r="D1498">
        <f>VLOOKUP(C1495,'Data Panjang Balok'!$C$9:$N$254,7,FALSE)</f>
        <v>3850</v>
      </c>
    </row>
    <row r="1499">
      <c r="C1499" t="str">
        <v>Kolom / balok kiri</v>
      </c>
      <c r="D1499">
        <f>VLOOKUP(C1495,'Data Panjang Balok'!$C$9:$N$254,9,FALSE)</f>
        <v>0</v>
      </c>
    </row>
    <row r="1500">
      <c r="C1500" t="str">
        <v>Kolom / balok kanan</v>
      </c>
      <c r="D1500">
        <f>VLOOKUP(C1495,'Data Panjang Balok'!$C$9:$N$254,10,FALSE)</f>
        <v>0</v>
      </c>
    </row>
    <row r="1501">
      <c r="C1501" t="str">
        <v>Jumlah</v>
      </c>
      <c r="D1501">
        <f>VLOOKUP(C1495,'Data Panjang Balok'!$C$9:$N$254,3,FALSE)</f>
        <v>1</v>
      </c>
    </row>
    <row r="1502">
      <c r="A1502" t="str">
        <f>A1495</f>
        <v>Lantai 1</v>
      </c>
      <c r="B1502">
        <f>B1495</f>
        <v>49</v>
      </c>
      <c r="C1502" t="str">
        <v>Tul Atas Tumpuan</v>
      </c>
      <c r="D1502">
        <f>VLOOKUP(D1495,'Detail Balok'!$C$10:$AU$140,4,FALSE)</f>
        <v>3</v>
      </c>
      <c r="E1502" t="str">
        <v>D</v>
      </c>
      <c r="F1502">
        <f>VLOOKUP(D1495,'Detail Balok'!$C$10:$AU$140,6,FALSE)</f>
        <v>16</v>
      </c>
      <c r="I1502" t="str">
        <v>(</v>
      </c>
      <c r="J1502">
        <f>+D1497/4/1000</f>
        <v>0.9625</v>
      </c>
      <c r="K1502" t="str">
        <v>+</v>
      </c>
      <c r="L1502">
        <f>MAX(VLOOKUP(F1502,N$6:P$15,3,FALSE)/1000,2/3*D1499/1000)+F$16*F1502/1000</f>
        <v>0.192</v>
      </c>
      <c r="M1502" t="str">
        <v>=</v>
      </c>
      <c r="N1502">
        <f>J1502+L1502</f>
        <v>1.1545</v>
      </c>
      <c r="O1502" t="str">
        <v>+</v>
      </c>
      <c r="P1502">
        <f>D1502-D1503</f>
        <v>0</v>
      </c>
      <c r="Q1502" t="str">
        <v>x</v>
      </c>
      <c r="R1502">
        <f>IF(P1502&gt;0,$F$18*F1502/1000,0)</f>
        <v>0</v>
      </c>
      <c r="S1502" t="str">
        <v>)</v>
      </c>
      <c r="T1502" t="str">
        <v>x</v>
      </c>
      <c r="U1502">
        <f>0.006165*F1502^2</f>
        <v>1.57824</v>
      </c>
      <c r="X1502" t="str">
        <v>x</v>
      </c>
      <c r="Y1502">
        <f>D1501</f>
        <v>1</v>
      </c>
      <c r="Z1502" t="str">
        <v>=</v>
      </c>
      <c r="AA1502">
        <f>IF(AA1505=0,(D1502*N1502+P1502*R1502)*U1502*Y1502,0)</f>
        <v>0</v>
      </c>
    </row>
    <row r="1503">
      <c r="A1503" t="str">
        <f>A1495</f>
        <v>Lantai 1</v>
      </c>
      <c r="B1503">
        <f>B1495</f>
        <v>49</v>
      </c>
      <c r="C1503" t="str">
        <v>Tul Atas Lapangan</v>
      </c>
      <c r="D1503">
        <f>VLOOKUP(D1495,'Detail Balok'!$C$10:$AU$140,7,FALSE)</f>
        <v>3</v>
      </c>
      <c r="E1503" t="str">
        <v>D</v>
      </c>
      <c r="F1503">
        <f>VLOOKUP(D1495,'Detail Balok'!$C$10:$AU$140,9,FALSE)</f>
        <v>16</v>
      </c>
      <c r="I1503" t="str">
        <v>(</v>
      </c>
      <c r="J1503">
        <f>+D1497/2/1000</f>
        <v>1.925</v>
      </c>
      <c r="K1503" t="str">
        <v>+</v>
      </c>
      <c r="M1503" t="str">
        <v>=</v>
      </c>
      <c r="N1503">
        <f>J1503+L1503</f>
        <v>1.925</v>
      </c>
      <c r="O1503" t="str">
        <v>+</v>
      </c>
      <c r="P1503">
        <f>MAX(D1503-D1502,D1503-D1504)</f>
        <v>0</v>
      </c>
      <c r="Q1503" t="str">
        <v>x</v>
      </c>
      <c r="R1503">
        <f>IF(P1503&gt;0,2*(1-2*$F$19-1/2)*D1498/1000,0)</f>
        <v>0</v>
      </c>
      <c r="S1503" t="str">
        <v>)</v>
      </c>
      <c r="T1503" t="str">
        <v>x</v>
      </c>
      <c r="U1503">
        <f>0.006165*F1503^2</f>
        <v>1.57824</v>
      </c>
      <c r="X1503" t="str">
        <v>x</v>
      </c>
      <c r="Y1503">
        <f>D1501</f>
        <v>1</v>
      </c>
      <c r="Z1503" t="str">
        <v>=</v>
      </c>
      <c r="AA1503">
        <f>IF(AA1505=0,(D1503*N1503+P1503*R1503)*U1503*Y1503,0)</f>
        <v>0</v>
      </c>
    </row>
    <row r="1504">
      <c r="A1504" t="str">
        <f>A1495</f>
        <v>Lantai 1</v>
      </c>
      <c r="B1504">
        <f>B1495</f>
        <v>49</v>
      </c>
      <c r="C1504" t="str">
        <v>Tul Atas Tumpuan</v>
      </c>
      <c r="D1504">
        <f>VLOOKUP(D1495,'Detail Balok'!$C$10:$AU$140,10,FALSE)</f>
        <v>3</v>
      </c>
      <c r="E1504" t="str">
        <v>D</v>
      </c>
      <c r="F1504">
        <f>VLOOKUP(D1495,'Detail Balok'!$C$10:$AU$140,12,FALSE)</f>
        <v>16</v>
      </c>
      <c r="I1504" t="str">
        <v>(</v>
      </c>
      <c r="J1504">
        <f>+D1497/4/1000</f>
        <v>0.9625</v>
      </c>
      <c r="K1504" t="str">
        <v>+</v>
      </c>
      <c r="L1504">
        <f>MAX(VLOOKUP(F1504,N$6:P$15,3,FALSE)/1000,2/3*D1499/1000)+F$16*F1504/1000</f>
        <v>0.192</v>
      </c>
      <c r="M1504" t="str">
        <v>=</v>
      </c>
      <c r="N1504">
        <f>J1504+L1504</f>
        <v>1.1545</v>
      </c>
      <c r="O1504" t="str">
        <v>+</v>
      </c>
      <c r="P1504">
        <f>D1504-D1503</f>
        <v>0</v>
      </c>
      <c r="Q1504" t="str">
        <v>x</v>
      </c>
      <c r="R1504">
        <f>IF(P1504&gt;0,$F$18*F1504/1000,0)</f>
        <v>0</v>
      </c>
      <c r="S1504" t="str">
        <v>)</v>
      </c>
      <c r="T1504" t="str">
        <v>x</v>
      </c>
      <c r="U1504">
        <f>0.006165*F1504^2</f>
        <v>1.57824</v>
      </c>
      <c r="X1504" t="str">
        <v>x</v>
      </c>
      <c r="Y1504">
        <f>D1501</f>
        <v>1</v>
      </c>
      <c r="Z1504" t="str">
        <v>=</v>
      </c>
      <c r="AA1504">
        <f>IF(AA1505=0,(D1504*N1504+P1504*R1504)*U1504*Y1504,0)</f>
        <v>0</v>
      </c>
    </row>
    <row r="1505">
      <c r="A1505" t="str">
        <f>A1495</f>
        <v>Lantai 1</v>
      </c>
      <c r="B1505">
        <f>B1495</f>
        <v>49</v>
      </c>
      <c r="D1505">
        <f>IF(AND(D1502=D1503,D1503=D1504,D1502=D1504),D1502,0)</f>
        <v>3</v>
      </c>
      <c r="E1505" t="str">
        <v>D</v>
      </c>
      <c r="F1505">
        <f>IF(AND(F1502=F1503,F1502=F1504,F1503=F1504),F1502,0)</f>
        <v>16</v>
      </c>
      <c r="L1505" t="str">
        <v>Total panjang per balok</v>
      </c>
      <c r="M1505" t="str">
        <v>=</v>
      </c>
      <c r="N1505">
        <f>IF(AND(D1502=D1503,D1502=D1504,D1503=D1504,F1502=F1503,F1502=F1504,F1503=F1504),SUM(N1502:N1504),0)</f>
        <v>4.234</v>
      </c>
      <c r="O1505" t="str">
        <v>+</v>
      </c>
      <c r="P1505">
        <f>IF(N1505&gt;12,ROUNDDOWN(N1505/12,0),0)</f>
        <v>0</v>
      </c>
      <c r="Q1505" t="str">
        <v>x</v>
      </c>
      <c r="R1505">
        <f>IF(P1505&gt;0,MAX(VLOOKUP(F1505,$D$6:$G$15,3,FALSE),600),0)/1000</f>
        <v>0</v>
      </c>
      <c r="T1505" t="str">
        <v>x</v>
      </c>
      <c r="U1505">
        <f>U1504</f>
        <v>1.57824</v>
      </c>
      <c r="V1505" t="str">
        <v>x</v>
      </c>
      <c r="W1505">
        <f>D1505</f>
        <v>3</v>
      </c>
      <c r="X1505" t="str">
        <v>x</v>
      </c>
      <c r="Y1505">
        <f>Y1504</f>
        <v>1</v>
      </c>
      <c r="Z1505" t="str">
        <v>=</v>
      </c>
      <c r="AA1505">
        <f>(N1505+P1505*R1505/1000)*U1505*W1505*Y1505</f>
        <v>20.046804480000002</v>
      </c>
    </row>
    <row r="1507">
      <c r="A1507" t="str">
        <f>A1495</f>
        <v>Lantai 1</v>
      </c>
      <c r="B1507">
        <f>B1495</f>
        <v>49</v>
      </c>
      <c r="C1507" t="str">
        <v>Tul Peminggang</v>
      </c>
      <c r="D1507">
        <f>VLOOKUP(D1495,'Detail Balok'!$C$10:$AU$140,13,FALSE)</f>
        <v>2</v>
      </c>
      <c r="E1507" t="str">
        <v>D</v>
      </c>
      <c r="F1507">
        <f>VLOOKUP(D1495,'Detail Balok'!$C$10:$AU$140,15,FALSE)</f>
        <v>10</v>
      </c>
      <c r="J1507">
        <f>+D1497/1000</f>
        <v>3.85</v>
      </c>
      <c r="K1507" t="str">
        <v>+</v>
      </c>
      <c r="L1507">
        <f>2*$F$16*F1507/1000</f>
        <v>0.24</v>
      </c>
      <c r="M1507" t="str">
        <v>=</v>
      </c>
      <c r="N1507">
        <f>J1507+L1507</f>
        <v>4.09</v>
      </c>
      <c r="O1507" t="str">
        <v>+</v>
      </c>
      <c r="P1507">
        <f>IF(N1507&gt;12,ROUNDDOWN(N1507/12,0),0)</f>
        <v>0</v>
      </c>
      <c r="Q1507" t="str">
        <v>x</v>
      </c>
      <c r="R1507">
        <f>IF(P1507&gt;0,MAX(VLOOKUP(F1507,$D$6:$G$15,3,FALSE),600),0)/1000</f>
        <v>0</v>
      </c>
      <c r="T1507" t="str">
        <v>x</v>
      </c>
      <c r="U1507">
        <f>0.006165*F1507^2</f>
        <v>0.6165</v>
      </c>
      <c r="V1507" t="str">
        <v>x</v>
      </c>
      <c r="W1507">
        <f>+D1507</f>
        <v>2</v>
      </c>
      <c r="X1507" t="str">
        <v>x</v>
      </c>
      <c r="Y1507">
        <f>D1501</f>
        <v>1</v>
      </c>
      <c r="Z1507" t="str">
        <v>=</v>
      </c>
      <c r="AA1507">
        <f>(N1507+P1507*R1507/1000)*U1507*W1507*Y1507</f>
        <v>5.04297</v>
      </c>
    </row>
    <row r="1510">
      <c r="A1510" t="str">
        <f>A1495</f>
        <v>Lantai 1</v>
      </c>
      <c r="B1510">
        <f>B1495</f>
        <v>49</v>
      </c>
      <c r="C1510" t="str">
        <v>Tul Bawah Tumpuan</v>
      </c>
      <c r="D1510">
        <f>VLOOKUP(D1495,'Detail Balok'!$C$10:$AU$140,22,FALSE)</f>
        <v>3</v>
      </c>
      <c r="E1510" t="str">
        <v>D</v>
      </c>
      <c r="F1510">
        <f>VLOOKUP(D1495,'Detail Balok'!$C$10:$AU$140,24,FALSE)</f>
        <v>16</v>
      </c>
      <c r="I1510" t="str">
        <v>(</v>
      </c>
      <c r="J1510">
        <f>+J1502</f>
        <v>0.9625</v>
      </c>
      <c r="K1510" t="str">
        <v>+</v>
      </c>
      <c r="L1510">
        <f>MAX(VLOOKUP(F1510,N$6:P$15,3,FALSE)/1000,2/3*D1500/1000)+F$16*F1510/1000</f>
        <v>0.192</v>
      </c>
      <c r="M1510" t="str">
        <v>=</v>
      </c>
      <c r="N1510">
        <f>J1510+L1510</f>
        <v>1.1545</v>
      </c>
      <c r="O1510" t="str">
        <v>+</v>
      </c>
      <c r="P1510">
        <f>D1510-D1511</f>
        <v>0</v>
      </c>
      <c r="Q1510" t="str">
        <v>x</v>
      </c>
      <c r="R1510">
        <f>IF(P1510&gt;0,$F$18*F1510/1000,0)</f>
        <v>0</v>
      </c>
      <c r="S1510" t="str">
        <v>)</v>
      </c>
      <c r="T1510" t="str">
        <v>x</v>
      </c>
      <c r="U1510">
        <f>0.006165*F1510^2</f>
        <v>1.57824</v>
      </c>
      <c r="X1510" t="str">
        <v>x</v>
      </c>
      <c r="Y1510">
        <f>D1501</f>
        <v>1</v>
      </c>
      <c r="Z1510" t="str">
        <v>=</v>
      </c>
      <c r="AA1510">
        <f>IF(AA1513=0,(D1510*N1510+P1510*R1510)*U1510*Y1510,0)</f>
        <v>0</v>
      </c>
    </row>
    <row r="1511">
      <c r="A1511" t="str">
        <f>A1495</f>
        <v>Lantai 1</v>
      </c>
      <c r="B1511">
        <f>B1495</f>
        <v>49</v>
      </c>
      <c r="C1511" t="str">
        <v>Tul Bawah Lapangan</v>
      </c>
      <c r="D1511">
        <f>VLOOKUP(D1495,'Detail Balok'!$C$10:$AU$140,25,FALSE)</f>
        <v>3</v>
      </c>
      <c r="E1511" t="str">
        <v>D</v>
      </c>
      <c r="F1511">
        <f>VLOOKUP(D1495,'Detail Balok'!$C$10:$AU$140,27,FALSE)</f>
        <v>16</v>
      </c>
      <c r="I1511" t="str">
        <v>(</v>
      </c>
      <c r="J1511">
        <f>+J1503</f>
        <v>1.925</v>
      </c>
      <c r="K1511" t="str">
        <v>+</v>
      </c>
      <c r="M1511" t="str">
        <v>=</v>
      </c>
      <c r="N1511">
        <f>J1511+L1511</f>
        <v>1.925</v>
      </c>
      <c r="O1511" t="str">
        <v>+</v>
      </c>
      <c r="P1511">
        <f>MAX(D1511-D1510,D1511-D1512)</f>
        <v>0</v>
      </c>
      <c r="Q1511" t="str">
        <v>x</v>
      </c>
      <c r="R1511">
        <f>IF(P1511&gt;0,2*(1-2*$F$19-1/2)*D1498/1000,0)</f>
        <v>0</v>
      </c>
      <c r="S1511" t="str">
        <v>)</v>
      </c>
      <c r="T1511" t="str">
        <v>x</v>
      </c>
      <c r="U1511">
        <f>0.006165*F1511^2</f>
        <v>1.57824</v>
      </c>
      <c r="X1511" t="str">
        <v>x</v>
      </c>
      <c r="Y1511">
        <f>D1501</f>
        <v>1</v>
      </c>
      <c r="Z1511" t="str">
        <v>=</v>
      </c>
      <c r="AA1511">
        <f>IF(AA1513=0,(D1511*N1511+P1511*R1511)*U1511*Y1511,0)</f>
        <v>0</v>
      </c>
    </row>
    <row r="1512">
      <c r="A1512" t="str">
        <f>A1495</f>
        <v>Lantai 1</v>
      </c>
      <c r="B1512">
        <f>B1495</f>
        <v>49</v>
      </c>
      <c r="C1512" t="str">
        <v>Tul Bawah Tumpuan</v>
      </c>
      <c r="D1512">
        <f>VLOOKUP(D1495,'Detail Balok'!$C$10:$AU$140,28,FALSE)</f>
        <v>3</v>
      </c>
      <c r="E1512" t="str">
        <v>D</v>
      </c>
      <c r="F1512">
        <f>VLOOKUP(D1495,'Detail Balok'!$C$10:$AU$140,30,FALSE)</f>
        <v>16</v>
      </c>
      <c r="I1512" t="str">
        <v>(</v>
      </c>
      <c r="J1512">
        <f>+J1504</f>
        <v>0.9625</v>
      </c>
      <c r="K1512" t="str">
        <v>+</v>
      </c>
      <c r="L1512">
        <f>MAX(VLOOKUP(F1512,N$6:P$15,3,FALSE)/1000,2/3*D1500/1000)+F$16*F1512/1000</f>
        <v>0.192</v>
      </c>
      <c r="M1512" t="str">
        <v>=</v>
      </c>
      <c r="N1512">
        <f>J1512+L1512</f>
        <v>1.1545</v>
      </c>
      <c r="O1512" t="str">
        <v>+</v>
      </c>
      <c r="P1512">
        <f>D1512-D1511</f>
        <v>0</v>
      </c>
      <c r="Q1512" t="str">
        <v>x</v>
      </c>
      <c r="R1512">
        <f>IF(P1512&gt;0,$F$18*F1512/1000,0)</f>
        <v>0</v>
      </c>
      <c r="S1512" t="str">
        <v>)</v>
      </c>
      <c r="T1512" t="str">
        <v>x</v>
      </c>
      <c r="U1512">
        <f>0.006165*F1512^2</f>
        <v>1.57824</v>
      </c>
      <c r="X1512" t="str">
        <v>x</v>
      </c>
      <c r="Y1512">
        <f>D1501</f>
        <v>1</v>
      </c>
      <c r="Z1512" t="str">
        <v>=</v>
      </c>
      <c r="AA1512">
        <f>IF(AA1513=0,(D1512*N1512+P1512*R1512)*U1512*Y1512,0)</f>
        <v>0</v>
      </c>
    </row>
    <row r="1513">
      <c r="A1513" t="str">
        <f>A1495</f>
        <v>Lantai 1</v>
      </c>
      <c r="B1513">
        <f>B1495</f>
        <v>49</v>
      </c>
      <c r="D1513">
        <f>IF(AND(D1510=D1511,D1511=D1512,D1510=D1512),D1510,0)</f>
        <v>3</v>
      </c>
      <c r="E1513" t="str">
        <v>D</v>
      </c>
      <c r="F1513">
        <f>IF(AND(F1510=F1511,F1510=F1512,F1511=F1512),F1510,0)</f>
        <v>16</v>
      </c>
      <c r="L1513" t="str">
        <v>Total panjang per balok</v>
      </c>
      <c r="M1513" t="str">
        <v>=</v>
      </c>
      <c r="N1513">
        <f>IF(AND(D1510=D1511,D1510=D1512,D1511=D1512,F1510=F1511,F1510=F1512,F1511=F1512),SUM(N1510:N1512),0)</f>
        <v>4.234</v>
      </c>
      <c r="O1513" t="str">
        <v>+</v>
      </c>
      <c r="P1513">
        <f>IF(N1513&gt;12,ROUNDDOWN(N1513/12,0),0)</f>
        <v>0</v>
      </c>
      <c r="Q1513" t="str">
        <v>x</v>
      </c>
      <c r="R1513">
        <f>IF(P1513&gt;0,MAX(VLOOKUP(F1513,$D$6:$G$15,3,FALSE),600),0)/1000</f>
        <v>0</v>
      </c>
      <c r="T1513" t="str">
        <v>x</v>
      </c>
      <c r="U1513">
        <f>U1512</f>
        <v>1.57824</v>
      </c>
      <c r="V1513" t="str">
        <v>x</v>
      </c>
      <c r="W1513">
        <f>D1513</f>
        <v>3</v>
      </c>
      <c r="X1513" t="str">
        <v>x</v>
      </c>
      <c r="Y1513">
        <f>Y1512</f>
        <v>1</v>
      </c>
      <c r="Z1513" t="str">
        <v>=</v>
      </c>
      <c r="AA1513">
        <f>(N1513+P1513*R1513/1000)*U1513*W1513*Y1513</f>
        <v>20.046804480000002</v>
      </c>
    </row>
    <row r="1515">
      <c r="A1515" t="str">
        <f>A1495</f>
        <v>Lantai 1</v>
      </c>
      <c r="B1515">
        <f>B1495</f>
        <v>49</v>
      </c>
      <c r="C1515" t="str">
        <v>Sengkang Tumpuan</v>
      </c>
      <c r="D1515">
        <f>VLOOKUP(D1495,'Detail Balok'!$C$10:$AU$140,31,FALSE)</f>
        <v>0</v>
      </c>
      <c r="E1515" t="str">
        <v>D</v>
      </c>
      <c r="F1515">
        <f>VLOOKUP(D1495,'Detail Balok'!$C$10:$AU$140,33,FALSE)</f>
        <v>8</v>
      </c>
      <c r="G1515" t="str">
        <v>-</v>
      </c>
      <c r="H1515">
        <f>VLOOKUP(D1495,'Detail Balok'!$C$10:$AU$140,35,FALSE)</f>
        <v>150</v>
      </c>
      <c r="J1515">
        <f>(IF(D1515=0,(2*(D1496+G1496))-(F$5*8),IF(D1515=3,(2*(D1496+G1496))-(F$5*8)+(G1496-2*F$5),IF(D1515=4,(2*(D1496+G1496))-(F$5*8)+2*(G1496-2*F$5)))))/1000</f>
        <v>1.08</v>
      </c>
      <c r="K1515" t="str">
        <v>+</v>
      </c>
      <c r="L1515">
        <f>IF(D1515=0,2*MAX(6*F1515,75),(D1515-1)*2*MAX(6*F1515,75))/1000</f>
        <v>0.15</v>
      </c>
      <c r="M1515" t="str">
        <v>=</v>
      </c>
      <c r="N1515">
        <f>J1515+L1515</f>
        <v>1.23</v>
      </c>
      <c r="T1515" t="str">
        <v>x</v>
      </c>
      <c r="U1515">
        <f>0.006165*F1515^2</f>
        <v>0.39456</v>
      </c>
      <c r="V1515" t="str">
        <v>x</v>
      </c>
      <c r="W1515">
        <f>IF(D1498&gt;4*G1496,ROUND(MAX(D1498/4,2*G1496)/H1515,0)+1,ROUND(D1498/H1515,0)+1)</f>
        <v>8</v>
      </c>
      <c r="X1515" t="str">
        <v>x</v>
      </c>
      <c r="Y1515">
        <f>D1501</f>
        <v>1</v>
      </c>
      <c r="Z1515" t="str">
        <v>=</v>
      </c>
      <c r="AA1515">
        <f>N1515*U1515*W1515*Y1515</f>
        <v>3.8824704000000003</v>
      </c>
    </row>
    <row r="1516">
      <c r="A1516" t="str">
        <f>A1495</f>
        <v>Lantai 1</v>
      </c>
      <c r="B1516">
        <f>B1495</f>
        <v>49</v>
      </c>
      <c r="C1516" t="str">
        <v>Sengkang Lapangan</v>
      </c>
      <c r="D1516">
        <f>VLOOKUP(D1495,'Detail Balok'!$C$10:$AU$140,36,FALSE)</f>
        <v>0</v>
      </c>
      <c r="E1516" t="str">
        <v>D</v>
      </c>
      <c r="F1516">
        <f>VLOOKUP(D1495,'Detail Balok'!$C$10:$AU$140,38,FALSE)</f>
        <v>8</v>
      </c>
      <c r="G1516" t="str">
        <v>-</v>
      </c>
      <c r="H1516">
        <f>VLOOKUP(D1495,'Detail Balok'!$C$10:$AU$140,40,FALSE)</f>
        <v>200</v>
      </c>
      <c r="J1516">
        <f>(IF(D1516=0,(2*(D1496+G1496))-(F$5*8),IF(D1516=3,(2*(D1496+G1496))-(F$5*8)+(G1496-2*F$5),IF(D1516=4,(2*(D1496+G1496))-(F$5*8)+2*(G1496-2*F$5)))))/1000</f>
        <v>1.08</v>
      </c>
      <c r="K1516" t="str">
        <v>+</v>
      </c>
      <c r="L1516">
        <f>IF(D1516=0,2*MAX(6*F1516,75),(D1516-1)*2*MAX(6*F1516,75))/1000</f>
        <v>0.15</v>
      </c>
      <c r="M1516" t="str">
        <v>=</v>
      </c>
      <c r="N1516">
        <f>J1516+L1516</f>
        <v>1.23</v>
      </c>
      <c r="T1516" t="str">
        <v>x</v>
      </c>
      <c r="U1516">
        <f>0.006165*F1516^2</f>
        <v>0.39456</v>
      </c>
      <c r="V1516" t="str">
        <v>x</v>
      </c>
      <c r="W1516">
        <f>IF(D1498-MAX(D1498/4,2*G1496)*2&gt;0,ROUND((D1498-MAX(D1498/4,2*G1496)*2)/H1516,0),0)</f>
        <v>9</v>
      </c>
      <c r="X1516" t="str">
        <v>x</v>
      </c>
      <c r="Y1516">
        <f>D1501</f>
        <v>1</v>
      </c>
      <c r="Z1516" t="str">
        <v>=</v>
      </c>
      <c r="AA1516">
        <f>N1516*U1516*W1516*Y1516</f>
        <v>4.3677792</v>
      </c>
    </row>
    <row r="1517">
      <c r="A1517" t="str">
        <f>A1495</f>
        <v>Lantai 1</v>
      </c>
      <c r="B1517">
        <f>B1495</f>
        <v>49</v>
      </c>
      <c r="C1517" t="str">
        <v>Sengkang Tumpuan</v>
      </c>
      <c r="D1517">
        <f>VLOOKUP(D1495,'Detail Balok'!$C$10:$AU$140,41,FALSE)</f>
        <v>0</v>
      </c>
      <c r="E1517" t="str">
        <v>D</v>
      </c>
      <c r="F1517">
        <f>VLOOKUP(D1495,'Detail Balok'!$C$10:$AU$140,43,FALSE)</f>
        <v>8</v>
      </c>
      <c r="G1517" t="str">
        <v>-</v>
      </c>
      <c r="H1517">
        <f>VLOOKUP(D1495,'Detail Balok'!$C$10:$AU$140,45,FALSE)</f>
        <v>150</v>
      </c>
      <c r="J1517">
        <f>(IF(D1517=0,(2*(D1496+G1496))-(F$5*8),IF(D1517=3,(2*(D1496+G1496))-(F$5*8)+(G1496-2*F$5),IF(D1517=4,(2*(D1496+G1496))-(F$5*8)+2*(G1496-2*F$5)))))/1000</f>
        <v>1.08</v>
      </c>
      <c r="K1517" t="str">
        <v>+</v>
      </c>
      <c r="L1517">
        <f>IF(D1517=0,2*MAX(6*F1517,75),(D1517-1)*2*MAX(6*F1517,75))/1000</f>
        <v>0.15</v>
      </c>
      <c r="M1517" t="str">
        <v>=</v>
      </c>
      <c r="N1517">
        <f>J1517+L1517</f>
        <v>1.23</v>
      </c>
      <c r="T1517" t="str">
        <v>x</v>
      </c>
      <c r="U1517">
        <f>0.006165*F1517^2</f>
        <v>0.39456</v>
      </c>
      <c r="V1517" t="str">
        <v>x</v>
      </c>
      <c r="W1517">
        <f>IF(D1498&gt;4*G1496,ROUND(MAX(D1498/4,2*G1496)/H1517,0)+1,0)</f>
        <v>8</v>
      </c>
      <c r="X1517" t="str">
        <v>x</v>
      </c>
      <c r="Y1517">
        <f>D1501</f>
        <v>1</v>
      </c>
      <c r="Z1517" t="str">
        <v>=</v>
      </c>
      <c r="AA1517">
        <f>N1517*U1517*W1517*Y1517</f>
        <v>3.8824704000000003</v>
      </c>
    </row>
    <row r="1519">
      <c r="A1519" t="str">
        <f>A1495</f>
        <v>Lantai 1</v>
      </c>
      <c r="B1519">
        <f>B1495</f>
        <v>49</v>
      </c>
      <c r="C1519" t="str">
        <v>Kait Horizontal Tump.</v>
      </c>
      <c r="D1519">
        <f>VLOOKUP(D1495,'Detail Balok'!$C$10:$BJ$140,46,FALSE)</f>
        <v>0</v>
      </c>
      <c r="E1519" t="str">
        <v>D</v>
      </c>
      <c r="F1519">
        <f>VLOOKUP(D1495,'Detail Balok'!$C$10:$BJ$140,48,FALSE)</f>
        <v>0</v>
      </c>
      <c r="G1519" t="str">
        <v>-</v>
      </c>
      <c r="H1519">
        <f>VLOOKUP(D1495,'Detail Balok'!$C$10:$BJ$140,50,FALSE)</f>
        <v>100</v>
      </c>
      <c r="J1519">
        <f>(D1496-2*F$5)/1000</f>
        <v>0.12</v>
      </c>
      <c r="K1519" t="str">
        <v>+</v>
      </c>
      <c r="L1519">
        <f>IF(D1519=0,2*MAX(6*F1519,75),(D1519-1)*2*MAX(6*F1519,75))/1000</f>
        <v>0.15</v>
      </c>
      <c r="M1519" t="str">
        <v>=</v>
      </c>
      <c r="N1519">
        <f>J1519+L1519</f>
        <v>0.27</v>
      </c>
      <c r="T1519" t="str">
        <v>x</v>
      </c>
      <c r="U1519">
        <f>0.006165*F1519^2</f>
        <v>0</v>
      </c>
      <c r="V1519" t="str">
        <v>x</v>
      </c>
      <c r="W1519">
        <f>W1515</f>
        <v>8</v>
      </c>
      <c r="X1519" t="str">
        <v>x</v>
      </c>
      <c r="Y1519">
        <f>D1505</f>
        <v>3</v>
      </c>
      <c r="Z1519" t="str">
        <v>=</v>
      </c>
      <c r="AA1519">
        <f>N1519*U1519*W1519*Y1519</f>
        <v>0</v>
      </c>
    </row>
    <row r="1520">
      <c r="A1520" t="str">
        <f>A1495</f>
        <v>Lantai 1</v>
      </c>
      <c r="B1520">
        <f>B1495</f>
        <v>49</v>
      </c>
      <c r="C1520" t="str">
        <v>Kait Horizontal Lap.</v>
      </c>
      <c r="D1520">
        <f>VLOOKUP(D1495,'Detail Balok'!$C$10:$BJ$140,51,FALSE)</f>
        <v>0</v>
      </c>
      <c r="E1520" t="str">
        <v>D</v>
      </c>
      <c r="F1520">
        <f>VLOOKUP(D1495,'Detail Balok'!$C$10:$BJ$140,53,FALSE)</f>
        <v>0</v>
      </c>
      <c r="G1520" t="str">
        <v>-</v>
      </c>
      <c r="H1520">
        <f>VLOOKUP(D1495,'Detail Balok'!$C$10:$BJ$140,55,FALSE)</f>
        <v>100</v>
      </c>
      <c r="J1520">
        <f>(D1496-2*F$5)/1000</f>
        <v>0.12</v>
      </c>
      <c r="K1520" t="str">
        <v>+</v>
      </c>
      <c r="L1520">
        <f>IF(D1520=0,2*MAX(6*F1520,75),(D1520-1)*2*MAX(6*F1520,75))/1000</f>
        <v>0.15</v>
      </c>
      <c r="M1520" t="str">
        <v>=</v>
      </c>
      <c r="N1520">
        <f>J1520+L1520</f>
        <v>0.27</v>
      </c>
      <c r="T1520" t="str">
        <v>x</v>
      </c>
      <c r="U1520">
        <f>0.006165*F1520^2</f>
        <v>0</v>
      </c>
      <c r="V1520" t="str">
        <v>x</v>
      </c>
      <c r="W1520">
        <f>W1516</f>
        <v>9</v>
      </c>
      <c r="X1520" t="str">
        <v>x</v>
      </c>
      <c r="Y1520">
        <f>D1505</f>
        <v>3</v>
      </c>
      <c r="Z1520" t="str">
        <v>=</v>
      </c>
      <c r="AA1520">
        <f>N1520*U1520*W1520*Y1520</f>
        <v>0</v>
      </c>
    </row>
    <row r="1521">
      <c r="A1521" t="str">
        <f>A1495</f>
        <v>Lantai 1</v>
      </c>
      <c r="B1521">
        <f>B1495</f>
        <v>49</v>
      </c>
      <c r="C1521" t="str">
        <v>Kait Horizontal Tump.</v>
      </c>
      <c r="D1521">
        <f>VLOOKUP(D1495,'Detail Balok'!$C$10:$BJ$140,56,FALSE)</f>
        <v>0</v>
      </c>
      <c r="E1521" t="str">
        <v>D</v>
      </c>
      <c r="F1521">
        <f>VLOOKUP(D1495,'Detail Balok'!$C$10:$BJ$140,58,FALSE)</f>
        <v>0</v>
      </c>
      <c r="G1521" t="str">
        <v>-</v>
      </c>
      <c r="H1521">
        <f>VLOOKUP(D1495,'Detail Balok'!$C$10:$BJ$140,60,FALSE)</f>
        <v>100</v>
      </c>
      <c r="J1521">
        <f>(D1496-2*F$5)/1000</f>
        <v>0.12</v>
      </c>
      <c r="K1521" t="str">
        <v>+</v>
      </c>
      <c r="L1521">
        <f>IF(D1521=0,2*MAX(6*F1521,75),(D1521-1)*2*MAX(6*F1521,75))/1000</f>
        <v>0.15</v>
      </c>
      <c r="M1521" t="str">
        <v>=</v>
      </c>
      <c r="N1521">
        <f>J1521+L1521</f>
        <v>0.27</v>
      </c>
      <c r="T1521" t="str">
        <v>x</v>
      </c>
      <c r="U1521">
        <f>0.006165*F1521^2</f>
        <v>0</v>
      </c>
      <c r="V1521" t="str">
        <v>x</v>
      </c>
      <c r="W1521">
        <f>W1517</f>
        <v>8</v>
      </c>
      <c r="X1521" t="str">
        <v>x</v>
      </c>
      <c r="Y1521">
        <f>D1505</f>
        <v>3</v>
      </c>
      <c r="Z1521" t="str">
        <v>=</v>
      </c>
      <c r="AA1521">
        <f>N1521*U1521*W1521*Y1521</f>
        <v>0</v>
      </c>
    </row>
    <row r="1525">
      <c r="A1525" t="str">
        <f>A1495</f>
        <v>Lantai 1</v>
      </c>
      <c r="B1525" t="str">
        <v>49A</v>
      </c>
      <c r="C1525" t="str">
        <f>CONCATENATE(A1525," no. ",B1525)</f>
        <v>Lantai 1 no. 49A</v>
      </c>
      <c r="D1525" t="str">
        <f>VLOOKUP(C1525,'Data Panjang Balok'!$C$9:$N$254,2,FALSE)</f>
        <v>S24-2</v>
      </c>
    </row>
    <row r="1526">
      <c r="C1526" t="str">
        <v>Dimensi</v>
      </c>
      <c r="D1526">
        <f>VLOOKUP(D1525,'Detail Balok'!$C$10:$AU$140,2,FALSE)</f>
        <v>200</v>
      </c>
      <c r="F1526" t="str">
        <v>x</v>
      </c>
      <c r="G1526">
        <f>VLOOKUP(D1525,'Detail Balok'!$C$10:$AU$140,3,FALSE)</f>
        <v>400</v>
      </c>
    </row>
    <row r="1527">
      <c r="C1527" t="str">
        <v>Panjang as ke as</v>
      </c>
      <c r="D1527">
        <f>VLOOKUP(C1525,'Data Panjang Balok'!$C$9:$N$254,4,FALSE)</f>
        <v>3100</v>
      </c>
    </row>
    <row r="1528">
      <c r="C1528" t="str">
        <v>Panjang netto</v>
      </c>
      <c r="D1528">
        <f>VLOOKUP(C1525,'Data Panjang Balok'!$C$9:$N$254,7,FALSE)</f>
        <v>3100</v>
      </c>
    </row>
    <row r="1529">
      <c r="C1529" t="str">
        <v>Kolom / balok kiri</v>
      </c>
      <c r="D1529">
        <f>VLOOKUP(C1525,'Data Panjang Balok'!$C$9:$N$254,9,FALSE)</f>
        <v>0</v>
      </c>
    </row>
    <row r="1530">
      <c r="C1530" t="str">
        <v>Kolom / balok kanan</v>
      </c>
      <c r="D1530">
        <f>VLOOKUP(C1525,'Data Panjang Balok'!$C$9:$N$254,10,FALSE)</f>
        <v>0</v>
      </c>
    </row>
    <row r="1531">
      <c r="C1531" t="str">
        <v>Jumlah</v>
      </c>
      <c r="D1531">
        <f>VLOOKUP(C1525,'Data Panjang Balok'!$C$9:$N$254,3,FALSE)</f>
        <v>2</v>
      </c>
    </row>
    <row r="1532">
      <c r="A1532" t="str">
        <f>A1525</f>
        <v>Lantai 1</v>
      </c>
      <c r="B1532" t="str">
        <f>B1525</f>
        <v>49A</v>
      </c>
      <c r="C1532" t="str">
        <v>Tul Atas Tumpuan</v>
      </c>
      <c r="D1532">
        <f>VLOOKUP(D1525,'Detail Balok'!$C$10:$AU$140,4,FALSE)</f>
        <v>3</v>
      </c>
      <c r="E1532" t="str">
        <v>D</v>
      </c>
      <c r="F1532">
        <f>VLOOKUP(D1525,'Detail Balok'!$C$10:$AU$140,6,FALSE)</f>
        <v>16</v>
      </c>
      <c r="I1532" t="str">
        <v>(</v>
      </c>
      <c r="J1532">
        <f>+D1527/4/1000</f>
        <v>0.775</v>
      </c>
      <c r="K1532" t="str">
        <v>+</v>
      </c>
      <c r="L1532">
        <f>MAX(VLOOKUP(F1532,N$6:P$15,3,FALSE)/1000,2/3*D1529/1000)+F$16*F1532/1000</f>
        <v>0.192</v>
      </c>
      <c r="M1532" t="str">
        <v>=</v>
      </c>
      <c r="N1532">
        <f>J1532+L1532</f>
        <v>0.9670000000000001</v>
      </c>
      <c r="O1532" t="str">
        <v>+</v>
      </c>
      <c r="P1532">
        <f>D1532-D1533</f>
        <v>0</v>
      </c>
      <c r="Q1532" t="str">
        <v>x</v>
      </c>
      <c r="R1532">
        <f>IF(P1532&gt;0,$F$18*F1532/1000,0)</f>
        <v>0</v>
      </c>
      <c r="S1532" t="str">
        <v>)</v>
      </c>
      <c r="T1532" t="str">
        <v>x</v>
      </c>
      <c r="U1532">
        <f>0.006165*F1532^2</f>
        <v>1.57824</v>
      </c>
      <c r="X1532" t="str">
        <v>x</v>
      </c>
      <c r="Y1532">
        <f>D1531</f>
        <v>2</v>
      </c>
      <c r="Z1532" t="str">
        <v>=</v>
      </c>
      <c r="AA1532">
        <f>IF(AA1535=0,(D1532*N1532+P1532*R1532)*U1532*Y1532,0)</f>
        <v>0</v>
      </c>
    </row>
    <row r="1533">
      <c r="A1533" t="str">
        <f>A1525</f>
        <v>Lantai 1</v>
      </c>
      <c r="B1533" t="str">
        <f>B1525</f>
        <v>49A</v>
      </c>
      <c r="C1533" t="str">
        <v>Tul Atas Lapangan</v>
      </c>
      <c r="D1533">
        <f>VLOOKUP(D1525,'Detail Balok'!$C$10:$AU$140,7,FALSE)</f>
        <v>3</v>
      </c>
      <c r="E1533" t="str">
        <v>D</v>
      </c>
      <c r="F1533">
        <f>VLOOKUP(D1525,'Detail Balok'!$C$10:$AU$140,9,FALSE)</f>
        <v>16</v>
      </c>
      <c r="I1533" t="str">
        <v>(</v>
      </c>
      <c r="J1533">
        <f>+D1527/2/1000</f>
        <v>1.55</v>
      </c>
      <c r="K1533" t="str">
        <v>+</v>
      </c>
      <c r="M1533" t="str">
        <v>=</v>
      </c>
      <c r="N1533">
        <f>J1533+L1533</f>
        <v>1.55</v>
      </c>
      <c r="O1533" t="str">
        <v>+</v>
      </c>
      <c r="P1533">
        <f>MAX(D1533-D1532,D1533-D1534)</f>
        <v>0</v>
      </c>
      <c r="Q1533" t="str">
        <v>x</v>
      </c>
      <c r="R1533">
        <f>IF(P1533&gt;0,2*(1-2*$F$19-1/2)*D1528/1000,0)</f>
        <v>0</v>
      </c>
      <c r="S1533" t="str">
        <v>)</v>
      </c>
      <c r="T1533" t="str">
        <v>x</v>
      </c>
      <c r="U1533">
        <f>0.006165*F1533^2</f>
        <v>1.57824</v>
      </c>
      <c r="X1533" t="str">
        <v>x</v>
      </c>
      <c r="Y1533">
        <f>D1531</f>
        <v>2</v>
      </c>
      <c r="Z1533" t="str">
        <v>=</v>
      </c>
      <c r="AA1533">
        <f>IF(AA1535=0,(D1533*N1533+P1533*R1533)*U1533*Y1533,0)</f>
        <v>0</v>
      </c>
    </row>
    <row r="1534">
      <c r="A1534" t="str">
        <f>A1525</f>
        <v>Lantai 1</v>
      </c>
      <c r="B1534" t="str">
        <f>B1525</f>
        <v>49A</v>
      </c>
      <c r="C1534" t="str">
        <v>Tul Atas Tumpuan</v>
      </c>
      <c r="D1534">
        <f>VLOOKUP(D1525,'Detail Balok'!$C$10:$AU$140,10,FALSE)</f>
        <v>3</v>
      </c>
      <c r="E1534" t="str">
        <v>D</v>
      </c>
      <c r="F1534">
        <f>VLOOKUP(D1525,'Detail Balok'!$C$10:$AU$140,12,FALSE)</f>
        <v>16</v>
      </c>
      <c r="I1534" t="str">
        <v>(</v>
      </c>
      <c r="J1534">
        <f>+D1527/4/1000</f>
        <v>0.775</v>
      </c>
      <c r="K1534" t="str">
        <v>+</v>
      </c>
      <c r="L1534">
        <f>MAX(VLOOKUP(F1534,N$6:P$15,3,FALSE)/1000,2/3*D1529/1000)+F$16*F1534/1000</f>
        <v>0.192</v>
      </c>
      <c r="M1534" t="str">
        <v>=</v>
      </c>
      <c r="N1534">
        <f>J1534+L1534</f>
        <v>0.9670000000000001</v>
      </c>
      <c r="O1534" t="str">
        <v>+</v>
      </c>
      <c r="P1534">
        <f>D1534-D1533</f>
        <v>0</v>
      </c>
      <c r="Q1534" t="str">
        <v>x</v>
      </c>
      <c r="R1534">
        <f>IF(P1534&gt;0,$F$18*F1534/1000,0)</f>
        <v>0</v>
      </c>
      <c r="S1534" t="str">
        <v>)</v>
      </c>
      <c r="T1534" t="str">
        <v>x</v>
      </c>
      <c r="U1534">
        <f>0.006165*F1534^2</f>
        <v>1.57824</v>
      </c>
      <c r="X1534" t="str">
        <v>x</v>
      </c>
      <c r="Y1534">
        <f>D1531</f>
        <v>2</v>
      </c>
      <c r="Z1534" t="str">
        <v>=</v>
      </c>
      <c r="AA1534">
        <f>IF(AA1535=0,(D1534*N1534+P1534*R1534)*U1534*Y1534,0)</f>
        <v>0</v>
      </c>
    </row>
    <row r="1535">
      <c r="A1535" t="str">
        <f>A1525</f>
        <v>Lantai 1</v>
      </c>
      <c r="B1535" t="str">
        <f>B1525</f>
        <v>49A</v>
      </c>
      <c r="D1535">
        <f>IF(AND(D1532=D1533,D1533=D1534,D1532=D1534),D1532,0)</f>
        <v>3</v>
      </c>
      <c r="E1535" t="str">
        <v>D</v>
      </c>
      <c r="F1535">
        <f>IF(AND(F1532=F1533,F1532=F1534,F1533=F1534),F1532,0)</f>
        <v>16</v>
      </c>
      <c r="L1535" t="str">
        <v>Total panjang per balok</v>
      </c>
      <c r="M1535" t="str">
        <v>=</v>
      </c>
      <c r="N1535">
        <f>IF(AND(D1532=D1533,D1532=D1534,D1533=D1534,F1532=F1533,F1532=F1534,F1533=F1534),SUM(N1532:N1534),0)</f>
        <v>3.4840000000000004</v>
      </c>
      <c r="O1535" t="str">
        <v>+</v>
      </c>
      <c r="P1535">
        <f>IF(N1535&gt;12,ROUNDDOWN(N1535/12,0),0)</f>
        <v>0</v>
      </c>
      <c r="Q1535" t="str">
        <v>x</v>
      </c>
      <c r="R1535">
        <f>IF(P1535&gt;0,MAX(VLOOKUP(F1535,$D$6:$G$15,3,FALSE),600),0)/1000</f>
        <v>0</v>
      </c>
      <c r="T1535" t="str">
        <v>x</v>
      </c>
      <c r="U1535">
        <f>U1534</f>
        <v>1.57824</v>
      </c>
      <c r="V1535" t="str">
        <v>x</v>
      </c>
      <c r="W1535">
        <f>D1535</f>
        <v>3</v>
      </c>
      <c r="X1535" t="str">
        <v>x</v>
      </c>
      <c r="Y1535">
        <f>Y1534</f>
        <v>2</v>
      </c>
      <c r="Z1535" t="str">
        <v>=</v>
      </c>
      <c r="AA1535">
        <f>(N1535+P1535*R1535/1000)*U1535*W1535*Y1535</f>
        <v>32.991528960000004</v>
      </c>
    </row>
    <row r="1537">
      <c r="A1537" t="str">
        <f>A1525</f>
        <v>Lantai 1</v>
      </c>
      <c r="B1537" t="str">
        <f>B1525</f>
        <v>49A</v>
      </c>
      <c r="C1537" t="str">
        <v>Tul Peminggang</v>
      </c>
      <c r="D1537">
        <f>VLOOKUP(D1525,'Detail Balok'!$C$10:$AU$140,13,FALSE)</f>
        <v>0</v>
      </c>
      <c r="E1537" t="str">
        <v>D</v>
      </c>
      <c r="F1537">
        <f>VLOOKUP(D1525,'Detail Balok'!$C$10:$AU$140,15,FALSE)</f>
        <v>8</v>
      </c>
      <c r="J1537">
        <f>+D1527/1000</f>
        <v>3.1</v>
      </c>
      <c r="K1537" t="str">
        <v>+</v>
      </c>
      <c r="L1537">
        <f>2*$F$16*F1537/1000</f>
        <v>0.192</v>
      </c>
      <c r="M1537" t="str">
        <v>=</v>
      </c>
      <c r="N1537">
        <f>J1537+L1537</f>
        <v>3.2920000000000003</v>
      </c>
      <c r="O1537" t="str">
        <v>+</v>
      </c>
      <c r="P1537">
        <f>IF(N1537&gt;12,ROUNDDOWN(N1537/12,0),0)</f>
        <v>0</v>
      </c>
      <c r="Q1537" t="str">
        <v>x</v>
      </c>
      <c r="R1537">
        <f>IF(P1537&gt;0,MAX(VLOOKUP(F1537,$D$6:$G$15,3,FALSE),600),0)/1000</f>
        <v>0</v>
      </c>
      <c r="T1537" t="str">
        <v>x</v>
      </c>
      <c r="U1537">
        <f>0.006165*F1537^2</f>
        <v>0.39456</v>
      </c>
      <c r="V1537" t="str">
        <v>x</v>
      </c>
      <c r="W1537">
        <f>+D1537</f>
        <v>0</v>
      </c>
      <c r="X1537" t="str">
        <v>x</v>
      </c>
      <c r="Y1537">
        <f>D1531</f>
        <v>2</v>
      </c>
      <c r="Z1537" t="str">
        <v>=</v>
      </c>
      <c r="AA1537">
        <f>(N1537+P1537*R1537/1000)*U1537*W1537*Y1537</f>
        <v>0</v>
      </c>
    </row>
    <row r="1540">
      <c r="A1540" t="str">
        <f>A1525</f>
        <v>Lantai 1</v>
      </c>
      <c r="B1540" t="str">
        <f>B1525</f>
        <v>49A</v>
      </c>
      <c r="C1540" t="str">
        <v>Tul Bawah Tumpuan</v>
      </c>
      <c r="D1540">
        <f>VLOOKUP(D1525,'Detail Balok'!$C$10:$AU$140,22,FALSE)</f>
        <v>3</v>
      </c>
      <c r="E1540" t="str">
        <v>D</v>
      </c>
      <c r="F1540">
        <f>VLOOKUP(D1525,'Detail Balok'!$C$10:$AU$140,24,FALSE)</f>
        <v>16</v>
      </c>
      <c r="I1540" t="str">
        <v>(</v>
      </c>
      <c r="J1540">
        <f>+J1532</f>
        <v>0.775</v>
      </c>
      <c r="K1540" t="str">
        <v>+</v>
      </c>
      <c r="L1540">
        <f>MAX(VLOOKUP(F1540,N$6:P$15,3,FALSE)/1000,2/3*D1530/1000)+F$16*F1540/1000</f>
        <v>0.192</v>
      </c>
      <c r="M1540" t="str">
        <v>=</v>
      </c>
      <c r="N1540">
        <f>J1540+L1540</f>
        <v>0.9670000000000001</v>
      </c>
      <c r="O1540" t="str">
        <v>+</v>
      </c>
      <c r="P1540">
        <f>D1540-D1541</f>
        <v>0</v>
      </c>
      <c r="Q1540" t="str">
        <v>x</v>
      </c>
      <c r="R1540">
        <f>IF(P1540&gt;0,$F$18*F1540/1000,0)</f>
        <v>0</v>
      </c>
      <c r="S1540" t="str">
        <v>)</v>
      </c>
      <c r="T1540" t="str">
        <v>x</v>
      </c>
      <c r="U1540">
        <f>0.006165*F1540^2</f>
        <v>1.57824</v>
      </c>
      <c r="X1540" t="str">
        <v>x</v>
      </c>
      <c r="Y1540">
        <f>D1531</f>
        <v>2</v>
      </c>
      <c r="Z1540" t="str">
        <v>=</v>
      </c>
      <c r="AA1540">
        <f>IF(AA1543=0,(D1540*N1540+P1540*R1540)*U1540*Y1540,0)</f>
        <v>0</v>
      </c>
    </row>
    <row r="1541">
      <c r="A1541" t="str">
        <f>A1525</f>
        <v>Lantai 1</v>
      </c>
      <c r="B1541" t="str">
        <f>B1525</f>
        <v>49A</v>
      </c>
      <c r="C1541" t="str">
        <v>Tul Bawah Lapangan</v>
      </c>
      <c r="D1541">
        <f>VLOOKUP(D1525,'Detail Balok'!$C$10:$AU$140,25,FALSE)</f>
        <v>3</v>
      </c>
      <c r="E1541" t="str">
        <v>D</v>
      </c>
      <c r="F1541">
        <f>VLOOKUP(D1525,'Detail Balok'!$C$10:$AU$140,27,FALSE)</f>
        <v>16</v>
      </c>
      <c r="I1541" t="str">
        <v>(</v>
      </c>
      <c r="J1541">
        <f>+J1533</f>
        <v>1.55</v>
      </c>
      <c r="K1541" t="str">
        <v>+</v>
      </c>
      <c r="M1541" t="str">
        <v>=</v>
      </c>
      <c r="N1541">
        <f>J1541+L1541</f>
        <v>1.55</v>
      </c>
      <c r="O1541" t="str">
        <v>+</v>
      </c>
      <c r="P1541">
        <f>MAX(D1541-D1540,D1541-D1542)</f>
        <v>0</v>
      </c>
      <c r="Q1541" t="str">
        <v>x</v>
      </c>
      <c r="R1541">
        <f>IF(P1541&gt;0,2*(1-2*$F$19-1/2)*D1528/1000,0)</f>
        <v>0</v>
      </c>
      <c r="S1541" t="str">
        <v>)</v>
      </c>
      <c r="T1541" t="str">
        <v>x</v>
      </c>
      <c r="U1541">
        <f>0.006165*F1541^2</f>
        <v>1.57824</v>
      </c>
      <c r="X1541" t="str">
        <v>x</v>
      </c>
      <c r="Y1541">
        <f>D1531</f>
        <v>2</v>
      </c>
      <c r="Z1541" t="str">
        <v>=</v>
      </c>
      <c r="AA1541">
        <f>IF(AA1543=0,(D1541*N1541+P1541*R1541)*U1541*Y1541,0)</f>
        <v>0</v>
      </c>
    </row>
    <row r="1542">
      <c r="A1542" t="str">
        <f>A1525</f>
        <v>Lantai 1</v>
      </c>
      <c r="B1542" t="str">
        <f>B1525</f>
        <v>49A</v>
      </c>
      <c r="C1542" t="str">
        <v>Tul Bawah Tumpuan</v>
      </c>
      <c r="D1542">
        <f>VLOOKUP(D1525,'Detail Balok'!$C$10:$AU$140,28,FALSE)</f>
        <v>3</v>
      </c>
      <c r="E1542" t="str">
        <v>D</v>
      </c>
      <c r="F1542">
        <f>VLOOKUP(D1525,'Detail Balok'!$C$10:$AU$140,30,FALSE)</f>
        <v>16</v>
      </c>
      <c r="I1542" t="str">
        <v>(</v>
      </c>
      <c r="J1542">
        <f>+J1534</f>
        <v>0.775</v>
      </c>
      <c r="K1542" t="str">
        <v>+</v>
      </c>
      <c r="L1542">
        <f>MAX(VLOOKUP(F1542,N$6:P$15,3,FALSE)/1000,2/3*D1530/1000)+F$16*F1542/1000</f>
        <v>0.192</v>
      </c>
      <c r="M1542" t="str">
        <v>=</v>
      </c>
      <c r="N1542">
        <f>J1542+L1542</f>
        <v>0.9670000000000001</v>
      </c>
      <c r="O1542" t="str">
        <v>+</v>
      </c>
      <c r="P1542">
        <f>D1542-D1541</f>
        <v>0</v>
      </c>
      <c r="Q1542" t="str">
        <v>x</v>
      </c>
      <c r="R1542">
        <f>IF(P1542&gt;0,$F$18*F1542/1000,0)</f>
        <v>0</v>
      </c>
      <c r="S1542" t="str">
        <v>)</v>
      </c>
      <c r="T1542" t="str">
        <v>x</v>
      </c>
      <c r="U1542">
        <f>0.006165*F1542^2</f>
        <v>1.57824</v>
      </c>
      <c r="X1542" t="str">
        <v>x</v>
      </c>
      <c r="Y1542">
        <f>D1531</f>
        <v>2</v>
      </c>
      <c r="Z1542" t="str">
        <v>=</v>
      </c>
      <c r="AA1542">
        <f>IF(AA1543=0,(D1542*N1542+P1542*R1542)*U1542*Y1542,0)</f>
        <v>0</v>
      </c>
    </row>
    <row r="1543">
      <c r="A1543" t="str">
        <f>A1525</f>
        <v>Lantai 1</v>
      </c>
      <c r="B1543" t="str">
        <f>B1525</f>
        <v>49A</v>
      </c>
      <c r="D1543">
        <f>IF(AND(D1540=D1541,D1541=D1542,D1540=D1542),D1540,0)</f>
        <v>3</v>
      </c>
      <c r="E1543" t="str">
        <v>D</v>
      </c>
      <c r="F1543">
        <f>IF(AND(F1540=F1541,F1540=F1542,F1541=F1542),F1540,0)</f>
        <v>16</v>
      </c>
      <c r="L1543" t="str">
        <v>Total panjang per balok</v>
      </c>
      <c r="M1543" t="str">
        <v>=</v>
      </c>
      <c r="N1543">
        <f>IF(AND(D1540=D1541,D1540=D1542,D1541=D1542,F1540=F1541,F1540=F1542,F1541=F1542),SUM(N1540:N1542),0)</f>
        <v>3.4840000000000004</v>
      </c>
      <c r="O1543" t="str">
        <v>+</v>
      </c>
      <c r="P1543">
        <f>IF(N1543&gt;12,ROUNDDOWN(N1543/12,0),0)</f>
        <v>0</v>
      </c>
      <c r="Q1543" t="str">
        <v>x</v>
      </c>
      <c r="R1543">
        <f>IF(P1543&gt;0,MAX(VLOOKUP(F1543,$D$6:$G$15,3,FALSE),600),0)/1000</f>
        <v>0</v>
      </c>
      <c r="T1543" t="str">
        <v>x</v>
      </c>
      <c r="U1543">
        <f>U1542</f>
        <v>1.57824</v>
      </c>
      <c r="V1543" t="str">
        <v>x</v>
      </c>
      <c r="W1543">
        <f>D1543</f>
        <v>3</v>
      </c>
      <c r="X1543" t="str">
        <v>x</v>
      </c>
      <c r="Y1543">
        <f>Y1542</f>
        <v>2</v>
      </c>
      <c r="Z1543" t="str">
        <v>=</v>
      </c>
      <c r="AA1543">
        <f>(N1543+P1543*R1543/1000)*U1543*W1543*Y1543</f>
        <v>32.991528960000004</v>
      </c>
    </row>
    <row r="1545">
      <c r="A1545" t="str">
        <f>A1525</f>
        <v>Lantai 1</v>
      </c>
      <c r="B1545" t="str">
        <f>B1525</f>
        <v>49A</v>
      </c>
      <c r="C1545" t="str">
        <v>Sengkang Tumpuan</v>
      </c>
      <c r="D1545">
        <f>VLOOKUP(D1525,'Detail Balok'!$C$10:$AU$140,31,FALSE)</f>
        <v>0</v>
      </c>
      <c r="E1545" t="str">
        <v>D</v>
      </c>
      <c r="F1545">
        <f>VLOOKUP(D1525,'Detail Balok'!$C$10:$AU$140,33,FALSE)</f>
        <v>8</v>
      </c>
      <c r="G1545" t="str">
        <v>-</v>
      </c>
      <c r="H1545">
        <f>VLOOKUP(D1525,'Detail Balok'!$C$10:$AU$140,35,FALSE)</f>
        <v>150</v>
      </c>
      <c r="J1545">
        <f>(IF(D1545=0,(2*(D1526+G1526))-(F$5*8),IF(D1545=3,(2*(D1526+G1526))-(F$5*8)+(G1526-2*F$5),IF(D1545=4,(2*(D1526+G1526))-(F$5*8)+2*(G1526-2*F$5)))))/1000</f>
        <v>0.88</v>
      </c>
      <c r="K1545" t="str">
        <v>+</v>
      </c>
      <c r="L1545">
        <f>IF(D1545=0,2*MAX(6*F1545,75),(D1545-1)*2*MAX(6*F1545,75))/1000</f>
        <v>0.15</v>
      </c>
      <c r="M1545" t="str">
        <v>=</v>
      </c>
      <c r="N1545">
        <f>J1545+L1545</f>
        <v>1.03</v>
      </c>
      <c r="T1545" t="str">
        <v>x</v>
      </c>
      <c r="U1545">
        <f>0.006165*F1545^2</f>
        <v>0.39456</v>
      </c>
      <c r="V1545" t="str">
        <v>x</v>
      </c>
      <c r="W1545">
        <f>IF(D1528&gt;4*G1526,ROUND(MAX(D1528/4,2*G1526)/H1545,0)+1,ROUND(D1528/H1545,0)+1)</f>
        <v>6</v>
      </c>
      <c r="X1545" t="str">
        <v>x</v>
      </c>
      <c r="Y1545">
        <f>D1531</f>
        <v>2</v>
      </c>
      <c r="Z1545" t="str">
        <v>=</v>
      </c>
      <c r="AA1545">
        <f>N1545*U1545*W1545*Y1545</f>
        <v>4.876761600000001</v>
      </c>
    </row>
    <row r="1546">
      <c r="A1546" t="str">
        <f>A1525</f>
        <v>Lantai 1</v>
      </c>
      <c r="B1546" t="str">
        <f>B1525</f>
        <v>49A</v>
      </c>
      <c r="C1546" t="str">
        <v>Sengkang Lapangan</v>
      </c>
      <c r="D1546">
        <f>VLOOKUP(D1525,'Detail Balok'!$C$10:$AU$140,36,FALSE)</f>
        <v>0</v>
      </c>
      <c r="E1546" t="str">
        <v>D</v>
      </c>
      <c r="F1546">
        <f>VLOOKUP(D1525,'Detail Balok'!$C$10:$AU$140,38,FALSE)</f>
        <v>8</v>
      </c>
      <c r="G1546" t="str">
        <v>-</v>
      </c>
      <c r="H1546">
        <f>VLOOKUP(D1525,'Detail Balok'!$C$10:$AU$140,40,FALSE)</f>
        <v>200</v>
      </c>
      <c r="J1546">
        <f>(IF(D1546=0,(2*(D1526+G1526))-(F$5*8),IF(D1546=3,(2*(D1526+G1526))-(F$5*8)+(G1526-2*F$5),IF(D1546=4,(2*(D1526+G1526))-(F$5*8)+2*(G1526-2*F$5)))))/1000</f>
        <v>0.88</v>
      </c>
      <c r="K1546" t="str">
        <v>+</v>
      </c>
      <c r="L1546">
        <f>IF(D1546=0,2*MAX(6*F1546,75),(D1546-1)*2*MAX(6*F1546,75))/1000</f>
        <v>0.15</v>
      </c>
      <c r="M1546" t="str">
        <v>=</v>
      </c>
      <c r="N1546">
        <f>J1546+L1546</f>
        <v>1.03</v>
      </c>
      <c r="T1546" t="str">
        <v>x</v>
      </c>
      <c r="U1546">
        <f>0.006165*F1546^2</f>
        <v>0.39456</v>
      </c>
      <c r="V1546" t="str">
        <v>x</v>
      </c>
      <c r="W1546">
        <f>IF(D1528-MAX(D1528/4,2*G1526)*2&gt;0,ROUND((D1528-MAX(D1528/4,2*G1526)*2)/H1546,0),0)</f>
        <v>8</v>
      </c>
      <c r="X1546" t="str">
        <v>x</v>
      </c>
      <c r="Y1546">
        <f>D1531</f>
        <v>2</v>
      </c>
      <c r="Z1546" t="str">
        <v>=</v>
      </c>
      <c r="AA1546">
        <f>N1546*U1546*W1546*Y1546</f>
        <v>6.502348800000001</v>
      </c>
    </row>
    <row r="1547">
      <c r="A1547" t="str">
        <f>A1525</f>
        <v>Lantai 1</v>
      </c>
      <c r="B1547" t="str">
        <f>B1525</f>
        <v>49A</v>
      </c>
      <c r="C1547" t="str">
        <v>Sengkang Tumpuan</v>
      </c>
      <c r="D1547">
        <f>VLOOKUP(D1525,'Detail Balok'!$C$10:$AU$140,41,FALSE)</f>
        <v>0</v>
      </c>
      <c r="E1547" t="str">
        <v>D</v>
      </c>
      <c r="F1547">
        <f>VLOOKUP(D1525,'Detail Balok'!$C$10:$AU$140,43,FALSE)</f>
        <v>8</v>
      </c>
      <c r="G1547" t="str">
        <v>-</v>
      </c>
      <c r="H1547">
        <f>VLOOKUP(D1525,'Detail Balok'!$C$10:$AU$140,45,FALSE)</f>
        <v>150</v>
      </c>
      <c r="J1547">
        <f>(IF(D1547=0,(2*(D1526+G1526))-(F$5*8),IF(D1547=3,(2*(D1526+G1526))-(F$5*8)+(G1526-2*F$5),IF(D1547=4,(2*(D1526+G1526))-(F$5*8)+2*(G1526-2*F$5)))))/1000</f>
        <v>0.88</v>
      </c>
      <c r="K1547" t="str">
        <v>+</v>
      </c>
      <c r="L1547">
        <f>IF(D1547=0,2*MAX(6*F1547,75),(D1547-1)*2*MAX(6*F1547,75))/1000</f>
        <v>0.15</v>
      </c>
      <c r="M1547" t="str">
        <v>=</v>
      </c>
      <c r="N1547">
        <f>J1547+L1547</f>
        <v>1.03</v>
      </c>
      <c r="T1547" t="str">
        <v>x</v>
      </c>
      <c r="U1547">
        <f>0.006165*F1547^2</f>
        <v>0.39456</v>
      </c>
      <c r="V1547" t="str">
        <v>x</v>
      </c>
      <c r="W1547">
        <f>IF(D1528&gt;4*G1526,ROUND(MAX(D1528/4,2*G1526)/H1547,0)+1,0)</f>
        <v>6</v>
      </c>
      <c r="X1547" t="str">
        <v>x</v>
      </c>
      <c r="Y1547">
        <f>D1531</f>
        <v>2</v>
      </c>
      <c r="Z1547" t="str">
        <v>=</v>
      </c>
      <c r="AA1547">
        <f>N1547*U1547*W1547*Y1547</f>
        <v>4.876761600000001</v>
      </c>
    </row>
    <row r="1549">
      <c r="A1549" t="str">
        <f>A1525</f>
        <v>Lantai 1</v>
      </c>
      <c r="B1549" t="str">
        <f>B1525</f>
        <v>49A</v>
      </c>
      <c r="C1549" t="str">
        <v>Kait Horizontal Tump.</v>
      </c>
      <c r="D1549">
        <f>VLOOKUP(D1525,'Detail Balok'!$C$10:$BJ$140,46,FALSE)</f>
        <v>0</v>
      </c>
      <c r="E1549" t="str">
        <v>D</v>
      </c>
      <c r="F1549">
        <f>VLOOKUP(D1525,'Detail Balok'!$C$10:$BJ$140,48,FALSE)</f>
        <v>0</v>
      </c>
      <c r="G1549" t="str">
        <v>-</v>
      </c>
      <c r="H1549">
        <f>VLOOKUP(D1525,'Detail Balok'!$C$10:$BJ$140,50,FALSE)</f>
        <v>100</v>
      </c>
      <c r="J1549">
        <f>(D1526-2*F$5)/1000</f>
        <v>0.12</v>
      </c>
      <c r="K1549" t="str">
        <v>+</v>
      </c>
      <c r="L1549">
        <f>IF(D1549=0,2*MAX(6*F1549,75),(D1549-1)*2*MAX(6*F1549,75))/1000</f>
        <v>0.15</v>
      </c>
      <c r="M1549" t="str">
        <v>=</v>
      </c>
      <c r="N1549">
        <f>J1549+L1549</f>
        <v>0.27</v>
      </c>
      <c r="T1549" t="str">
        <v>x</v>
      </c>
      <c r="U1549">
        <f>0.006165*F1549^2</f>
        <v>0</v>
      </c>
      <c r="V1549" t="str">
        <v>x</v>
      </c>
      <c r="W1549">
        <f>W1545</f>
        <v>6</v>
      </c>
      <c r="X1549" t="str">
        <v>x</v>
      </c>
      <c r="Y1549">
        <f>D1535</f>
        <v>3</v>
      </c>
      <c r="Z1549" t="str">
        <v>=</v>
      </c>
      <c r="AA1549">
        <f>N1549*U1549*W1549*Y1549</f>
        <v>0</v>
      </c>
    </row>
    <row r="1550">
      <c r="A1550" t="str">
        <f>A1525</f>
        <v>Lantai 1</v>
      </c>
      <c r="B1550" t="str">
        <f>B1525</f>
        <v>49A</v>
      </c>
      <c r="C1550" t="str">
        <v>Kait Horizontal Lap.</v>
      </c>
      <c r="D1550">
        <f>VLOOKUP(D1525,'Detail Balok'!$C$10:$BJ$140,51,FALSE)</f>
        <v>0</v>
      </c>
      <c r="E1550" t="str">
        <v>D</v>
      </c>
      <c r="F1550">
        <f>VLOOKUP(D1525,'Detail Balok'!$C$10:$BJ$140,53,FALSE)</f>
        <v>0</v>
      </c>
      <c r="G1550" t="str">
        <v>-</v>
      </c>
      <c r="H1550">
        <f>VLOOKUP(D1525,'Detail Balok'!$C$10:$BJ$140,55,FALSE)</f>
        <v>100</v>
      </c>
      <c r="J1550">
        <f>(D1526-2*F$5)/1000</f>
        <v>0.12</v>
      </c>
      <c r="K1550" t="str">
        <v>+</v>
      </c>
      <c r="L1550">
        <f>IF(D1550=0,2*MAX(6*F1550,75),(D1550-1)*2*MAX(6*F1550,75))/1000</f>
        <v>0.15</v>
      </c>
      <c r="M1550" t="str">
        <v>=</v>
      </c>
      <c r="N1550">
        <f>J1550+L1550</f>
        <v>0.27</v>
      </c>
      <c r="T1550" t="str">
        <v>x</v>
      </c>
      <c r="U1550">
        <f>0.006165*F1550^2</f>
        <v>0</v>
      </c>
      <c r="V1550" t="str">
        <v>x</v>
      </c>
      <c r="W1550">
        <f>W1546</f>
        <v>8</v>
      </c>
      <c r="X1550" t="str">
        <v>x</v>
      </c>
      <c r="Y1550">
        <f>D1535</f>
        <v>3</v>
      </c>
      <c r="Z1550" t="str">
        <v>=</v>
      </c>
      <c r="AA1550">
        <f>N1550*U1550*W1550*Y1550</f>
        <v>0</v>
      </c>
    </row>
    <row r="1551">
      <c r="A1551" t="str">
        <f>A1525</f>
        <v>Lantai 1</v>
      </c>
      <c r="B1551" t="str">
        <f>B1525</f>
        <v>49A</v>
      </c>
      <c r="C1551" t="str">
        <v>Kait Horizontal Tump.</v>
      </c>
      <c r="D1551">
        <f>VLOOKUP(D1525,'Detail Balok'!$C$10:$BJ$140,56,FALSE)</f>
        <v>0</v>
      </c>
      <c r="E1551" t="str">
        <v>D</v>
      </c>
      <c r="F1551">
        <f>VLOOKUP(D1525,'Detail Balok'!$C$10:$BJ$140,58,FALSE)</f>
        <v>0</v>
      </c>
      <c r="G1551" t="str">
        <v>-</v>
      </c>
      <c r="H1551">
        <f>VLOOKUP(D1525,'Detail Balok'!$C$10:$BJ$140,60,FALSE)</f>
        <v>100</v>
      </c>
      <c r="J1551">
        <f>(D1526-2*F$5)/1000</f>
        <v>0.12</v>
      </c>
      <c r="K1551" t="str">
        <v>+</v>
      </c>
      <c r="L1551">
        <f>IF(D1551=0,2*MAX(6*F1551,75),(D1551-1)*2*MAX(6*F1551,75))/1000</f>
        <v>0.15</v>
      </c>
      <c r="M1551" t="str">
        <v>=</v>
      </c>
      <c r="N1551">
        <f>J1551+L1551</f>
        <v>0.27</v>
      </c>
      <c r="T1551" t="str">
        <v>x</v>
      </c>
      <c r="U1551">
        <f>0.006165*F1551^2</f>
        <v>0</v>
      </c>
      <c r="V1551" t="str">
        <v>x</v>
      </c>
      <c r="W1551">
        <f>W1547</f>
        <v>6</v>
      </c>
      <c r="X1551" t="str">
        <v>x</v>
      </c>
      <c r="Y1551">
        <f>D1535</f>
        <v>3</v>
      </c>
      <c r="Z1551" t="str">
        <v>=</v>
      </c>
      <c r="AA1551">
        <f>N1551*U1551*W1551*Y1551</f>
        <v>0</v>
      </c>
    </row>
    <row r="1555">
      <c r="A1555" t="str">
        <f>A1495</f>
        <v>Lantai 1</v>
      </c>
      <c r="B1555">
        <f>B1495+1</f>
        <v>50</v>
      </c>
      <c r="C1555" t="str">
        <f>CONCATENATE(A1555," no. ",B1555)</f>
        <v>Lantai 1 no. 50</v>
      </c>
      <c r="D1555" t="str">
        <f>VLOOKUP(C1555,'Data Panjang Balok'!$C$9:$N$254,2,FALSE)</f>
        <v>S24-1</v>
      </c>
    </row>
    <row r="1556">
      <c r="C1556" t="str">
        <v>Dimensi</v>
      </c>
      <c r="D1556">
        <f>VLOOKUP(D1555,'Detail Balok'!$C$10:$AU$140,2,FALSE)</f>
        <v>200</v>
      </c>
      <c r="F1556" t="str">
        <v>x</v>
      </c>
      <c r="G1556">
        <f>VLOOKUP(D1555,'Detail Balok'!$C$10:$AU$140,3,FALSE)</f>
        <v>400</v>
      </c>
    </row>
    <row r="1557">
      <c r="C1557" t="str">
        <v>Panjang as ke as</v>
      </c>
      <c r="D1557">
        <f>VLOOKUP(C1555,'Data Panjang Balok'!$C$9:$N$254,4,FALSE)</f>
        <v>1975</v>
      </c>
    </row>
    <row r="1558">
      <c r="C1558" t="str">
        <v>Panjang netto</v>
      </c>
      <c r="D1558">
        <f>VLOOKUP(C1555,'Data Panjang Balok'!$C$9:$N$254,7,FALSE)</f>
        <v>1975</v>
      </c>
    </row>
    <row r="1559">
      <c r="C1559" t="str">
        <v>Kolom / balok kiri</v>
      </c>
      <c r="D1559">
        <f>VLOOKUP(C1555,'Data Panjang Balok'!$C$9:$N$254,9,FALSE)</f>
        <v>0</v>
      </c>
    </row>
    <row r="1560">
      <c r="C1560" t="str">
        <v>Kolom / balok kanan</v>
      </c>
      <c r="D1560">
        <f>VLOOKUP(C1555,'Data Panjang Balok'!$C$9:$N$254,10,FALSE)</f>
        <v>0</v>
      </c>
    </row>
    <row r="1561">
      <c r="C1561" t="str">
        <v>Jumlah</v>
      </c>
      <c r="D1561">
        <f>VLOOKUP(C1555,'Data Panjang Balok'!$C$9:$N$254,3,FALSE)</f>
        <v>1</v>
      </c>
    </row>
    <row r="1562">
      <c r="A1562" t="str">
        <f>A1555</f>
        <v>Lantai 1</v>
      </c>
      <c r="B1562">
        <f>B1555</f>
        <v>50</v>
      </c>
      <c r="C1562" t="str">
        <v>Tul Atas Tumpuan</v>
      </c>
      <c r="D1562">
        <f>VLOOKUP(D1555,'Detail Balok'!$C$10:$AU$140,4,FALSE)</f>
        <v>3</v>
      </c>
      <c r="E1562" t="str">
        <v>D</v>
      </c>
      <c r="F1562">
        <f>VLOOKUP(D1555,'Detail Balok'!$C$10:$AU$140,6,FALSE)</f>
        <v>13</v>
      </c>
      <c r="I1562" t="str">
        <v>(</v>
      </c>
      <c r="J1562">
        <f>+D1557/4/1000</f>
        <v>0.49375</v>
      </c>
      <c r="K1562" t="str">
        <v>+</v>
      </c>
      <c r="L1562">
        <f>MAX(VLOOKUP(F1562,N$6:P$15,3,FALSE)/1000,2/3*D1559/1000)+F$16*F1562/1000</f>
        <v>0.156</v>
      </c>
      <c r="M1562" t="str">
        <v>=</v>
      </c>
      <c r="N1562">
        <f>J1562+L1562</f>
        <v>0.64975</v>
      </c>
      <c r="O1562" t="str">
        <v>+</v>
      </c>
      <c r="P1562">
        <f>D1562-D1563</f>
        <v>0</v>
      </c>
      <c r="Q1562" t="str">
        <v>x</v>
      </c>
      <c r="R1562">
        <f>IF(P1562&gt;0,$F$18*F1562/1000,0)</f>
        <v>0</v>
      </c>
      <c r="S1562" t="str">
        <v>)</v>
      </c>
      <c r="T1562" t="str">
        <v>x</v>
      </c>
      <c r="U1562">
        <f>0.006165*F1562^2</f>
        <v>1.041885</v>
      </c>
      <c r="X1562" t="str">
        <v>x</v>
      </c>
      <c r="Y1562">
        <f>D1561</f>
        <v>1</v>
      </c>
      <c r="Z1562" t="str">
        <v>=</v>
      </c>
      <c r="AA1562">
        <f>IF(AA1565=0,(D1562*N1562+P1562*R1562)*U1562*Y1562,0)</f>
        <v>0</v>
      </c>
    </row>
    <row r="1563">
      <c r="A1563" t="str">
        <f>A1555</f>
        <v>Lantai 1</v>
      </c>
      <c r="B1563">
        <f>B1555</f>
        <v>50</v>
      </c>
      <c r="C1563" t="str">
        <v>Tul Atas Lapangan</v>
      </c>
      <c r="D1563">
        <f>VLOOKUP(D1555,'Detail Balok'!$C$10:$AU$140,7,FALSE)</f>
        <v>3</v>
      </c>
      <c r="E1563" t="str">
        <v>D</v>
      </c>
      <c r="F1563">
        <f>VLOOKUP(D1555,'Detail Balok'!$C$10:$AU$140,9,FALSE)</f>
        <v>13</v>
      </c>
      <c r="I1563" t="str">
        <v>(</v>
      </c>
      <c r="J1563">
        <f>+D1557/2/1000</f>
        <v>0.9875</v>
      </c>
      <c r="K1563" t="str">
        <v>+</v>
      </c>
      <c r="M1563" t="str">
        <v>=</v>
      </c>
      <c r="N1563">
        <f>J1563+L1563</f>
        <v>0.9875</v>
      </c>
      <c r="O1563" t="str">
        <v>+</v>
      </c>
      <c r="P1563">
        <f>MAX(D1563-D1562,D1563-D1564)</f>
        <v>0</v>
      </c>
      <c r="Q1563" t="str">
        <v>x</v>
      </c>
      <c r="R1563">
        <f>IF(P1563&gt;0,2*(1-2*$F$19-1/2)*D1558/1000,0)</f>
        <v>0</v>
      </c>
      <c r="S1563" t="str">
        <v>)</v>
      </c>
      <c r="T1563" t="str">
        <v>x</v>
      </c>
      <c r="U1563">
        <f>0.006165*F1563^2</f>
        <v>1.041885</v>
      </c>
      <c r="X1563" t="str">
        <v>x</v>
      </c>
      <c r="Y1563">
        <f>D1561</f>
        <v>1</v>
      </c>
      <c r="Z1563" t="str">
        <v>=</v>
      </c>
      <c r="AA1563">
        <f>IF(AA1565=0,(D1563*N1563+P1563*R1563)*U1563*Y1563,0)</f>
        <v>0</v>
      </c>
    </row>
    <row r="1564">
      <c r="A1564" t="str">
        <f>A1555</f>
        <v>Lantai 1</v>
      </c>
      <c r="B1564">
        <f>B1555</f>
        <v>50</v>
      </c>
      <c r="C1564" t="str">
        <v>Tul Atas Tumpuan</v>
      </c>
      <c r="D1564">
        <f>VLOOKUP(D1555,'Detail Balok'!$C$10:$AU$140,10,FALSE)</f>
        <v>3</v>
      </c>
      <c r="E1564" t="str">
        <v>D</v>
      </c>
      <c r="F1564">
        <f>VLOOKUP(D1555,'Detail Balok'!$C$10:$AU$140,12,FALSE)</f>
        <v>13</v>
      </c>
      <c r="I1564" t="str">
        <v>(</v>
      </c>
      <c r="J1564">
        <f>+D1557/4/1000</f>
        <v>0.49375</v>
      </c>
      <c r="K1564" t="str">
        <v>+</v>
      </c>
      <c r="L1564">
        <f>MAX(VLOOKUP(F1564,N$6:P$15,3,FALSE)/1000,2/3*D1559/1000)+F$16*F1564/1000</f>
        <v>0.156</v>
      </c>
      <c r="M1564" t="str">
        <v>=</v>
      </c>
      <c r="N1564">
        <f>J1564+L1564</f>
        <v>0.64975</v>
      </c>
      <c r="O1564" t="str">
        <v>+</v>
      </c>
      <c r="P1564">
        <f>D1564-D1563</f>
        <v>0</v>
      </c>
      <c r="Q1564" t="str">
        <v>x</v>
      </c>
      <c r="R1564">
        <f>IF(P1564&gt;0,$F$18*F1564/1000,0)</f>
        <v>0</v>
      </c>
      <c r="S1564" t="str">
        <v>)</v>
      </c>
      <c r="T1564" t="str">
        <v>x</v>
      </c>
      <c r="U1564">
        <f>0.006165*F1564^2</f>
        <v>1.041885</v>
      </c>
      <c r="X1564" t="str">
        <v>x</v>
      </c>
      <c r="Y1564">
        <f>D1561</f>
        <v>1</v>
      </c>
      <c r="Z1564" t="str">
        <v>=</v>
      </c>
      <c r="AA1564">
        <f>IF(AA1565=0,(D1564*N1564+P1564*R1564)*U1564*Y1564,0)</f>
        <v>0</v>
      </c>
    </row>
    <row r="1565">
      <c r="A1565" t="str">
        <f>A1555</f>
        <v>Lantai 1</v>
      </c>
      <c r="B1565">
        <f>B1555</f>
        <v>50</v>
      </c>
      <c r="D1565">
        <f>IF(AND(D1562=D1563,D1563=D1564,D1562=D1564),D1562,0)</f>
        <v>3</v>
      </c>
      <c r="E1565" t="str">
        <v>D</v>
      </c>
      <c r="F1565">
        <f>IF(AND(F1562=F1563,F1562=F1564,F1563=F1564),F1562,0)</f>
        <v>13</v>
      </c>
      <c r="L1565" t="str">
        <v>Total panjang per balok</v>
      </c>
      <c r="M1565" t="str">
        <v>=</v>
      </c>
      <c r="N1565">
        <f>IF(AND(D1562=D1563,D1562=D1564,D1563=D1564,F1562=F1563,F1562=F1564,F1563=F1564),SUM(N1562:N1564),0)</f>
        <v>2.287</v>
      </c>
      <c r="O1565" t="str">
        <v>+</v>
      </c>
      <c r="P1565">
        <f>IF(N1565&gt;12,ROUNDDOWN(N1565/12,0),0)</f>
        <v>0</v>
      </c>
      <c r="Q1565" t="str">
        <v>x</v>
      </c>
      <c r="R1565">
        <f>IF(P1565&gt;0,MAX(VLOOKUP(F1565,$D$6:$G$15,3,FALSE),600),0)/1000</f>
        <v>0</v>
      </c>
      <c r="T1565" t="str">
        <v>x</v>
      </c>
      <c r="U1565">
        <f>U1564</f>
        <v>1.041885</v>
      </c>
      <c r="V1565" t="str">
        <v>x</v>
      </c>
      <c r="W1565">
        <f>D1565</f>
        <v>3</v>
      </c>
      <c r="X1565" t="str">
        <v>x</v>
      </c>
      <c r="Y1565">
        <f>Y1564</f>
        <v>1</v>
      </c>
      <c r="Z1565" t="str">
        <v>=</v>
      </c>
      <c r="AA1565">
        <f>(N1565+P1565*R1565/1000)*U1565*W1565*Y1565</f>
        <v>7.148372984999999</v>
      </c>
    </row>
    <row r="1567">
      <c r="A1567" t="str">
        <f>A1555</f>
        <v>Lantai 1</v>
      </c>
      <c r="B1567">
        <f>B1555</f>
        <v>50</v>
      </c>
      <c r="C1567" t="str">
        <v>Tul Peminggang</v>
      </c>
      <c r="D1567">
        <f>VLOOKUP(D1555,'Detail Balok'!$C$10:$AU$140,13,FALSE)</f>
        <v>0</v>
      </c>
      <c r="E1567" t="str">
        <v>D</v>
      </c>
      <c r="F1567">
        <f>VLOOKUP(D1555,'Detail Balok'!$C$10:$AU$140,15,FALSE)</f>
        <v>8</v>
      </c>
      <c r="J1567">
        <f>+D1557/1000</f>
        <v>1.975</v>
      </c>
      <c r="K1567" t="str">
        <v>+</v>
      </c>
      <c r="L1567">
        <f>2*$F$16*F1567/1000</f>
        <v>0.192</v>
      </c>
      <c r="M1567" t="str">
        <v>=</v>
      </c>
      <c r="N1567">
        <f>J1567+L1567</f>
        <v>2.1670000000000003</v>
      </c>
      <c r="O1567" t="str">
        <v>+</v>
      </c>
      <c r="P1567">
        <f>IF(N1567&gt;12,ROUNDDOWN(N1567/12,0),0)</f>
        <v>0</v>
      </c>
      <c r="Q1567" t="str">
        <v>x</v>
      </c>
      <c r="R1567">
        <f>IF(P1567&gt;0,MAX(VLOOKUP(F1567,$D$6:$G$15,3,FALSE),600),0)/1000</f>
        <v>0</v>
      </c>
      <c r="T1567" t="str">
        <v>x</v>
      </c>
      <c r="U1567">
        <f>0.006165*F1567^2</f>
        <v>0.39456</v>
      </c>
      <c r="V1567" t="str">
        <v>x</v>
      </c>
      <c r="W1567">
        <f>+D1567</f>
        <v>0</v>
      </c>
      <c r="X1567" t="str">
        <v>x</v>
      </c>
      <c r="Y1567">
        <f>D1561</f>
        <v>1</v>
      </c>
      <c r="Z1567" t="str">
        <v>=</v>
      </c>
      <c r="AA1567">
        <f>(N1567+P1567*R1567/1000)*U1567*W1567*Y1567</f>
        <v>0</v>
      </c>
    </row>
    <row r="1570">
      <c r="A1570" t="str">
        <f>A1555</f>
        <v>Lantai 1</v>
      </c>
      <c r="B1570">
        <f>B1555</f>
        <v>50</v>
      </c>
      <c r="C1570" t="str">
        <v>Tul Bawah Tumpuan</v>
      </c>
      <c r="D1570">
        <f>VLOOKUP(D1555,'Detail Balok'!$C$10:$AU$140,22,FALSE)</f>
        <v>3</v>
      </c>
      <c r="E1570" t="str">
        <v>D</v>
      </c>
      <c r="F1570">
        <f>VLOOKUP(D1555,'Detail Balok'!$C$10:$AU$140,24,FALSE)</f>
        <v>13</v>
      </c>
      <c r="I1570" t="str">
        <v>(</v>
      </c>
      <c r="J1570">
        <f>+J1562</f>
        <v>0.49375</v>
      </c>
      <c r="K1570" t="str">
        <v>+</v>
      </c>
      <c r="L1570">
        <f>MAX(VLOOKUP(F1570,N$6:P$15,3,FALSE)/1000,2/3*D1560/1000)+F$16*F1570/1000</f>
        <v>0.156</v>
      </c>
      <c r="M1570" t="str">
        <v>=</v>
      </c>
      <c r="N1570">
        <f>J1570+L1570</f>
        <v>0.64975</v>
      </c>
      <c r="O1570" t="str">
        <v>+</v>
      </c>
      <c r="P1570">
        <f>D1570-D1571</f>
        <v>0</v>
      </c>
      <c r="Q1570" t="str">
        <v>x</v>
      </c>
      <c r="R1570">
        <f>IF(P1570&gt;0,$F$18*F1570/1000,0)</f>
        <v>0</v>
      </c>
      <c r="S1570" t="str">
        <v>)</v>
      </c>
      <c r="T1570" t="str">
        <v>x</v>
      </c>
      <c r="U1570">
        <f>0.006165*F1570^2</f>
        <v>1.041885</v>
      </c>
      <c r="X1570" t="str">
        <v>x</v>
      </c>
      <c r="Y1570">
        <f>D1561</f>
        <v>1</v>
      </c>
      <c r="Z1570" t="str">
        <v>=</v>
      </c>
      <c r="AA1570">
        <f>IF(AA1573=0,(D1570*N1570+P1570*R1570)*U1570*Y1570,0)</f>
        <v>0</v>
      </c>
    </row>
    <row r="1571">
      <c r="A1571" t="str">
        <f>A1555</f>
        <v>Lantai 1</v>
      </c>
      <c r="B1571">
        <f>B1555</f>
        <v>50</v>
      </c>
      <c r="C1571" t="str">
        <v>Tul Bawah Lapangan</v>
      </c>
      <c r="D1571">
        <f>VLOOKUP(D1555,'Detail Balok'!$C$10:$AU$140,25,FALSE)</f>
        <v>3</v>
      </c>
      <c r="E1571" t="str">
        <v>D</v>
      </c>
      <c r="F1571">
        <f>VLOOKUP(D1555,'Detail Balok'!$C$10:$AU$140,27,FALSE)</f>
        <v>13</v>
      </c>
      <c r="I1571" t="str">
        <v>(</v>
      </c>
      <c r="J1571">
        <f>+J1563</f>
        <v>0.9875</v>
      </c>
      <c r="K1571" t="str">
        <v>+</v>
      </c>
      <c r="M1571" t="str">
        <v>=</v>
      </c>
      <c r="N1571">
        <f>J1571+L1571</f>
        <v>0.9875</v>
      </c>
      <c r="O1571" t="str">
        <v>+</v>
      </c>
      <c r="P1571">
        <f>MAX(D1571-D1570,D1571-D1572)</f>
        <v>0</v>
      </c>
      <c r="Q1571" t="str">
        <v>x</v>
      </c>
      <c r="R1571">
        <f>IF(P1571&gt;0,2*(1-2*$F$19-1/2)*D1558/1000,0)</f>
        <v>0</v>
      </c>
      <c r="S1571" t="str">
        <v>)</v>
      </c>
      <c r="T1571" t="str">
        <v>x</v>
      </c>
      <c r="U1571">
        <f>0.006165*F1571^2</f>
        <v>1.041885</v>
      </c>
      <c r="X1571" t="str">
        <v>x</v>
      </c>
      <c r="Y1571">
        <f>D1561</f>
        <v>1</v>
      </c>
      <c r="Z1571" t="str">
        <v>=</v>
      </c>
      <c r="AA1571">
        <f>IF(AA1573=0,(D1571*N1571+P1571*R1571)*U1571*Y1571,0)</f>
        <v>0</v>
      </c>
    </row>
    <row r="1572">
      <c r="A1572" t="str">
        <f>A1555</f>
        <v>Lantai 1</v>
      </c>
      <c r="B1572">
        <f>B1555</f>
        <v>50</v>
      </c>
      <c r="C1572" t="str">
        <v>Tul Bawah Tumpuan</v>
      </c>
      <c r="D1572">
        <f>VLOOKUP(D1555,'Detail Balok'!$C$10:$AU$140,28,FALSE)</f>
        <v>3</v>
      </c>
      <c r="E1572" t="str">
        <v>D</v>
      </c>
      <c r="F1572">
        <f>VLOOKUP(D1555,'Detail Balok'!$C$10:$AU$140,30,FALSE)</f>
        <v>13</v>
      </c>
      <c r="I1572" t="str">
        <v>(</v>
      </c>
      <c r="J1572">
        <f>+J1564</f>
        <v>0.49375</v>
      </c>
      <c r="K1572" t="str">
        <v>+</v>
      </c>
      <c r="L1572">
        <f>MAX(VLOOKUP(F1572,N$6:P$15,3,FALSE)/1000,2/3*D1560/1000)+F$16*F1572/1000</f>
        <v>0.156</v>
      </c>
      <c r="M1572" t="str">
        <v>=</v>
      </c>
      <c r="N1572">
        <f>J1572+L1572</f>
        <v>0.64975</v>
      </c>
      <c r="O1572" t="str">
        <v>+</v>
      </c>
      <c r="P1572">
        <f>D1572-D1571</f>
        <v>0</v>
      </c>
      <c r="Q1572" t="str">
        <v>x</v>
      </c>
      <c r="R1572">
        <f>IF(P1572&gt;0,$F$18*F1572/1000,0)</f>
        <v>0</v>
      </c>
      <c r="S1572" t="str">
        <v>)</v>
      </c>
      <c r="T1572" t="str">
        <v>x</v>
      </c>
      <c r="U1572">
        <f>0.006165*F1572^2</f>
        <v>1.041885</v>
      </c>
      <c r="X1572" t="str">
        <v>x</v>
      </c>
      <c r="Y1572">
        <f>D1561</f>
        <v>1</v>
      </c>
      <c r="Z1572" t="str">
        <v>=</v>
      </c>
      <c r="AA1572">
        <f>IF(AA1573=0,(D1572*N1572+P1572*R1572)*U1572*Y1572,0)</f>
        <v>0</v>
      </c>
    </row>
    <row r="1573">
      <c r="A1573" t="str">
        <f>A1555</f>
        <v>Lantai 1</v>
      </c>
      <c r="B1573">
        <f>B1555</f>
        <v>50</v>
      </c>
      <c r="D1573">
        <f>IF(AND(D1570=D1571,D1571=D1572,D1570=D1572),D1570,0)</f>
        <v>3</v>
      </c>
      <c r="E1573" t="str">
        <v>D</v>
      </c>
      <c r="F1573">
        <f>IF(AND(F1570=F1571,F1570=F1572,F1571=F1572),F1570,0)</f>
        <v>13</v>
      </c>
      <c r="L1573" t="str">
        <v>Total panjang per balok</v>
      </c>
      <c r="M1573" t="str">
        <v>=</v>
      </c>
      <c r="N1573">
        <f>IF(AND(D1570=D1571,D1570=D1572,D1571=D1572,F1570=F1571,F1570=F1572,F1571=F1572),SUM(N1570:N1572),0)</f>
        <v>2.287</v>
      </c>
      <c r="O1573" t="str">
        <v>+</v>
      </c>
      <c r="P1573">
        <f>IF(N1573&gt;12,ROUNDDOWN(N1573/12,0),0)</f>
        <v>0</v>
      </c>
      <c r="Q1573" t="str">
        <v>x</v>
      </c>
      <c r="R1573">
        <f>IF(P1573&gt;0,MAX(VLOOKUP(F1573,$D$6:$G$15,3,FALSE),600),0)/1000</f>
        <v>0</v>
      </c>
      <c r="T1573" t="str">
        <v>x</v>
      </c>
      <c r="U1573">
        <f>U1572</f>
        <v>1.041885</v>
      </c>
      <c r="V1573" t="str">
        <v>x</v>
      </c>
      <c r="W1573">
        <f>D1573</f>
        <v>3</v>
      </c>
      <c r="X1573" t="str">
        <v>x</v>
      </c>
      <c r="Y1573">
        <f>Y1572</f>
        <v>1</v>
      </c>
      <c r="Z1573" t="str">
        <v>=</v>
      </c>
      <c r="AA1573">
        <f>(N1573+P1573*R1573/1000)*U1573*W1573*Y1573</f>
        <v>7.148372984999999</v>
      </c>
    </row>
    <row r="1575">
      <c r="A1575" t="str">
        <f>A1555</f>
        <v>Lantai 1</v>
      </c>
      <c r="B1575">
        <f>B1555</f>
        <v>50</v>
      </c>
      <c r="C1575" t="str">
        <v>Sengkang Tumpuan</v>
      </c>
      <c r="D1575">
        <f>VLOOKUP(D1555,'Detail Balok'!$C$10:$AU$140,31,FALSE)</f>
        <v>0</v>
      </c>
      <c r="E1575" t="str">
        <v>D</v>
      </c>
      <c r="F1575">
        <f>VLOOKUP(D1555,'Detail Balok'!$C$10:$AU$140,33,FALSE)</f>
        <v>8</v>
      </c>
      <c r="G1575" t="str">
        <v>-</v>
      </c>
      <c r="H1575">
        <f>VLOOKUP(D1555,'Detail Balok'!$C$10:$AU$140,35,FALSE)</f>
        <v>150</v>
      </c>
      <c r="J1575">
        <f>(IF(D1575=0,(2*(D1556+G1556))-(F$5*8),IF(D1575=3,(2*(D1556+G1556))-(F$5*8)+(G1556-2*F$5),IF(D1575=4,(2*(D1556+G1556))-(F$5*8)+2*(G1556-2*F$5)))))/1000</f>
        <v>0.88</v>
      </c>
      <c r="K1575" t="str">
        <v>+</v>
      </c>
      <c r="L1575">
        <f>IF(D1575=0,2*MAX(6*F1575,75),(D1575-1)*2*MAX(6*F1575,75))/1000</f>
        <v>0.15</v>
      </c>
      <c r="M1575" t="str">
        <v>=</v>
      </c>
      <c r="N1575">
        <f>J1575+L1575</f>
        <v>1.03</v>
      </c>
      <c r="T1575" t="str">
        <v>x</v>
      </c>
      <c r="U1575">
        <f>0.006165*F1575^2</f>
        <v>0.39456</v>
      </c>
      <c r="V1575" t="str">
        <v>x</v>
      </c>
      <c r="W1575">
        <f>IF(D1558&gt;4*G1556,ROUND(MAX(D1558/4,2*G1556)/H1575,0)+1,ROUND(D1558/H1575,0)+1)</f>
        <v>6</v>
      </c>
      <c r="X1575" t="str">
        <v>x</v>
      </c>
      <c r="Y1575">
        <f>D1561</f>
        <v>1</v>
      </c>
      <c r="Z1575" t="str">
        <v>=</v>
      </c>
      <c r="AA1575">
        <f>N1575*U1575*W1575*Y1575</f>
        <v>2.4383808000000005</v>
      </c>
    </row>
    <row r="1576">
      <c r="A1576" t="str">
        <f>A1555</f>
        <v>Lantai 1</v>
      </c>
      <c r="B1576">
        <f>B1555</f>
        <v>50</v>
      </c>
      <c r="C1576" t="str">
        <v>Sengkang Lapangan</v>
      </c>
      <c r="D1576">
        <f>VLOOKUP(D1555,'Detail Balok'!$C$10:$AU$140,36,FALSE)</f>
        <v>0</v>
      </c>
      <c r="E1576" t="str">
        <v>D</v>
      </c>
      <c r="F1576">
        <f>VLOOKUP(D1555,'Detail Balok'!$C$10:$AU$140,38,FALSE)</f>
        <v>8</v>
      </c>
      <c r="G1576" t="str">
        <v>-</v>
      </c>
      <c r="H1576">
        <f>VLOOKUP(D1555,'Detail Balok'!$C$10:$AU$140,40,FALSE)</f>
        <v>200</v>
      </c>
      <c r="J1576">
        <f>(IF(D1576=0,(2*(D1556+G1556))-(F$5*8),IF(D1576=3,(2*(D1556+G1556))-(F$5*8)+(G1556-2*F$5),IF(D1576=4,(2*(D1556+G1556))-(F$5*8)+2*(G1556-2*F$5)))))/1000</f>
        <v>0.88</v>
      </c>
      <c r="K1576" t="str">
        <v>+</v>
      </c>
      <c r="L1576">
        <f>IF(D1576=0,2*MAX(6*F1576,75),(D1576-1)*2*MAX(6*F1576,75))/1000</f>
        <v>0.15</v>
      </c>
      <c r="M1576" t="str">
        <v>=</v>
      </c>
      <c r="N1576">
        <f>J1576+L1576</f>
        <v>1.03</v>
      </c>
      <c r="T1576" t="str">
        <v>x</v>
      </c>
      <c r="U1576">
        <f>0.006165*F1576^2</f>
        <v>0.39456</v>
      </c>
      <c r="V1576" t="str">
        <v>x</v>
      </c>
      <c r="W1576">
        <f>IF(D1558-MAX(D1558/4,2*G1556)*2&gt;0,ROUND((D1558-MAX(D1558/4,2*G1556)*2)/H1576,0),0)</f>
        <v>2</v>
      </c>
      <c r="X1576" t="str">
        <v>x</v>
      </c>
      <c r="Y1576">
        <f>D1561</f>
        <v>1</v>
      </c>
      <c r="Z1576" t="str">
        <v>=</v>
      </c>
      <c r="AA1576">
        <f>N1576*U1576*W1576*Y1576</f>
        <v>0.8127936000000001</v>
      </c>
    </row>
    <row r="1577">
      <c r="A1577" t="str">
        <f>A1555</f>
        <v>Lantai 1</v>
      </c>
      <c r="B1577">
        <f>B1555</f>
        <v>50</v>
      </c>
      <c r="C1577" t="str">
        <v>Sengkang Tumpuan</v>
      </c>
      <c r="D1577">
        <f>VLOOKUP(D1555,'Detail Balok'!$C$10:$AU$140,41,FALSE)</f>
        <v>0</v>
      </c>
      <c r="E1577" t="str">
        <v>D</v>
      </c>
      <c r="F1577">
        <f>VLOOKUP(D1555,'Detail Balok'!$C$10:$AU$140,43,FALSE)</f>
        <v>8</v>
      </c>
      <c r="G1577" t="str">
        <v>-</v>
      </c>
      <c r="H1577">
        <f>VLOOKUP(D1555,'Detail Balok'!$C$10:$AU$140,45,FALSE)</f>
        <v>150</v>
      </c>
      <c r="J1577">
        <f>(IF(D1577=0,(2*(D1556+G1556))-(F$5*8),IF(D1577=3,(2*(D1556+G1556))-(F$5*8)+(G1556-2*F$5),IF(D1577=4,(2*(D1556+G1556))-(F$5*8)+2*(G1556-2*F$5)))))/1000</f>
        <v>0.88</v>
      </c>
      <c r="K1577" t="str">
        <v>+</v>
      </c>
      <c r="L1577">
        <f>IF(D1577=0,2*MAX(6*F1577,75),(D1577-1)*2*MAX(6*F1577,75))/1000</f>
        <v>0.15</v>
      </c>
      <c r="M1577" t="str">
        <v>=</v>
      </c>
      <c r="N1577">
        <f>J1577+L1577</f>
        <v>1.03</v>
      </c>
      <c r="T1577" t="str">
        <v>x</v>
      </c>
      <c r="U1577">
        <f>0.006165*F1577^2</f>
        <v>0.39456</v>
      </c>
      <c r="V1577" t="str">
        <v>x</v>
      </c>
      <c r="W1577">
        <f>IF(D1558&gt;4*G1556,ROUND(MAX(D1558/4,2*G1556)/H1577,0)+1,0)</f>
        <v>6</v>
      </c>
      <c r="X1577" t="str">
        <v>x</v>
      </c>
      <c r="Y1577">
        <f>D1561</f>
        <v>1</v>
      </c>
      <c r="Z1577" t="str">
        <v>=</v>
      </c>
      <c r="AA1577">
        <f>N1577*U1577*W1577*Y1577</f>
        <v>2.4383808000000005</v>
      </c>
    </row>
    <row r="1579">
      <c r="A1579" t="str">
        <f>A1555</f>
        <v>Lantai 1</v>
      </c>
      <c r="B1579">
        <f>B1555</f>
        <v>50</v>
      </c>
      <c r="C1579" t="str">
        <v>Kait Horizontal Tump.</v>
      </c>
      <c r="D1579">
        <f>VLOOKUP(D1555,'Detail Balok'!$C$10:$BJ$140,46,FALSE)</f>
        <v>0</v>
      </c>
      <c r="E1579" t="str">
        <v>D</v>
      </c>
      <c r="F1579">
        <f>VLOOKUP(D1555,'Detail Balok'!$C$10:$BJ$140,48,FALSE)</f>
        <v>0</v>
      </c>
      <c r="G1579" t="str">
        <v>-</v>
      </c>
      <c r="H1579">
        <f>VLOOKUP(D1555,'Detail Balok'!$C$10:$BJ$140,50,FALSE)</f>
        <v>100</v>
      </c>
      <c r="J1579">
        <f>(D1556-2*F$5)/1000</f>
        <v>0.12</v>
      </c>
      <c r="K1579" t="str">
        <v>+</v>
      </c>
      <c r="L1579">
        <f>IF(D1579=0,2*MAX(6*F1579,75),(D1579-1)*2*MAX(6*F1579,75))/1000</f>
        <v>0.15</v>
      </c>
      <c r="M1579" t="str">
        <v>=</v>
      </c>
      <c r="N1579">
        <f>J1579+L1579</f>
        <v>0.27</v>
      </c>
      <c r="T1579" t="str">
        <v>x</v>
      </c>
      <c r="U1579">
        <f>0.006165*F1579^2</f>
        <v>0</v>
      </c>
      <c r="V1579" t="str">
        <v>x</v>
      </c>
      <c r="W1579">
        <f>W1575</f>
        <v>6</v>
      </c>
      <c r="X1579" t="str">
        <v>x</v>
      </c>
      <c r="Y1579">
        <f>D1565</f>
        <v>3</v>
      </c>
      <c r="Z1579" t="str">
        <v>=</v>
      </c>
      <c r="AA1579">
        <f>N1579*U1579*W1579*Y1579</f>
        <v>0</v>
      </c>
    </row>
    <row r="1580">
      <c r="A1580" t="str">
        <f>A1555</f>
        <v>Lantai 1</v>
      </c>
      <c r="B1580">
        <f>B1555</f>
        <v>50</v>
      </c>
      <c r="C1580" t="str">
        <v>Kait Horizontal Lap.</v>
      </c>
      <c r="D1580">
        <f>VLOOKUP(D1555,'Detail Balok'!$C$10:$BJ$140,51,FALSE)</f>
        <v>0</v>
      </c>
      <c r="E1580" t="str">
        <v>D</v>
      </c>
      <c r="F1580">
        <f>VLOOKUP(D1555,'Detail Balok'!$C$10:$BJ$140,53,FALSE)</f>
        <v>0</v>
      </c>
      <c r="G1580" t="str">
        <v>-</v>
      </c>
      <c r="H1580">
        <f>VLOOKUP(D1555,'Detail Balok'!$C$10:$BJ$140,55,FALSE)</f>
        <v>100</v>
      </c>
      <c r="J1580">
        <f>(D1556-2*F$5)/1000</f>
        <v>0.12</v>
      </c>
      <c r="K1580" t="str">
        <v>+</v>
      </c>
      <c r="L1580">
        <f>IF(D1580=0,2*MAX(6*F1580,75),(D1580-1)*2*MAX(6*F1580,75))/1000</f>
        <v>0.15</v>
      </c>
      <c r="M1580" t="str">
        <v>=</v>
      </c>
      <c r="N1580">
        <f>J1580+L1580</f>
        <v>0.27</v>
      </c>
      <c r="T1580" t="str">
        <v>x</v>
      </c>
      <c r="U1580">
        <f>0.006165*F1580^2</f>
        <v>0</v>
      </c>
      <c r="V1580" t="str">
        <v>x</v>
      </c>
      <c r="W1580">
        <f>W1576</f>
        <v>2</v>
      </c>
      <c r="X1580" t="str">
        <v>x</v>
      </c>
      <c r="Y1580">
        <f>D1565</f>
        <v>3</v>
      </c>
      <c r="Z1580" t="str">
        <v>=</v>
      </c>
      <c r="AA1580">
        <f>N1580*U1580*W1580*Y1580</f>
        <v>0</v>
      </c>
    </row>
    <row r="1581">
      <c r="A1581" t="str">
        <f>A1555</f>
        <v>Lantai 1</v>
      </c>
      <c r="B1581">
        <f>B1555</f>
        <v>50</v>
      </c>
      <c r="C1581" t="str">
        <v>Kait Horizontal Tump.</v>
      </c>
      <c r="D1581">
        <f>VLOOKUP(D1555,'Detail Balok'!$C$10:$BJ$140,56,FALSE)</f>
        <v>0</v>
      </c>
      <c r="E1581" t="str">
        <v>D</v>
      </c>
      <c r="F1581">
        <f>VLOOKUP(D1555,'Detail Balok'!$C$10:$BJ$140,58,FALSE)</f>
        <v>0</v>
      </c>
      <c r="G1581" t="str">
        <v>-</v>
      </c>
      <c r="H1581">
        <f>VLOOKUP(D1555,'Detail Balok'!$C$10:$BJ$140,60,FALSE)</f>
        <v>100</v>
      </c>
      <c r="J1581">
        <f>(D1556-2*F$5)/1000</f>
        <v>0.12</v>
      </c>
      <c r="K1581" t="str">
        <v>+</v>
      </c>
      <c r="L1581">
        <f>IF(D1581=0,2*MAX(6*F1581,75),(D1581-1)*2*MAX(6*F1581,75))/1000</f>
        <v>0.15</v>
      </c>
      <c r="M1581" t="str">
        <v>=</v>
      </c>
      <c r="N1581">
        <f>J1581+L1581</f>
        <v>0.27</v>
      </c>
      <c r="T1581" t="str">
        <v>x</v>
      </c>
      <c r="U1581">
        <f>0.006165*F1581^2</f>
        <v>0</v>
      </c>
      <c r="V1581" t="str">
        <v>x</v>
      </c>
      <c r="W1581">
        <f>W1577</f>
        <v>6</v>
      </c>
      <c r="X1581" t="str">
        <v>x</v>
      </c>
      <c r="Y1581">
        <f>D1565</f>
        <v>3</v>
      </c>
      <c r="Z1581" t="str">
        <v>=</v>
      </c>
      <c r="AA1581">
        <f>N1581*U1581*W1581*Y1581</f>
        <v>0</v>
      </c>
    </row>
    <row r="1585">
      <c r="A1585" t="str">
        <f>A1555</f>
        <v>Lantai 1</v>
      </c>
      <c r="B1585">
        <f>B1555+1</f>
        <v>51</v>
      </c>
      <c r="C1585" t="str">
        <f>CONCATENATE(A1585," no. ",B1585)</f>
        <v>Lantai 1 no. 51</v>
      </c>
      <c r="D1585" t="str">
        <f>VLOOKUP(C1585,'Data Panjang Balok'!$C$9:$N$254,2,FALSE)</f>
        <v>S25-1</v>
      </c>
    </row>
    <row r="1586">
      <c r="C1586" t="str">
        <v>Dimensi</v>
      </c>
      <c r="D1586">
        <f>VLOOKUP(D1585,'Detail Balok'!$C$10:$AU$140,2,FALSE)</f>
        <v>200</v>
      </c>
      <c r="F1586" t="str">
        <v>x</v>
      </c>
      <c r="G1586">
        <f>VLOOKUP(D1585,'Detail Balok'!$C$10:$AU$140,3,FALSE)</f>
        <v>500</v>
      </c>
    </row>
    <row r="1587">
      <c r="C1587" t="str">
        <v>Panjang as ke as</v>
      </c>
      <c r="D1587">
        <f>VLOOKUP(C1585,'Data Panjang Balok'!$C$9:$N$254,4,FALSE)</f>
        <v>4000</v>
      </c>
    </row>
    <row r="1588">
      <c r="C1588" t="str">
        <v>Panjang netto</v>
      </c>
      <c r="D1588">
        <f>VLOOKUP(C1585,'Data Panjang Balok'!$C$9:$N$254,7,FALSE)</f>
        <v>4000</v>
      </c>
    </row>
    <row r="1589">
      <c r="C1589" t="str">
        <v>Kolom / balok kiri</v>
      </c>
      <c r="D1589">
        <f>VLOOKUP(C1585,'Data Panjang Balok'!$C$9:$N$254,9,FALSE)</f>
        <v>0</v>
      </c>
    </row>
    <row r="1590">
      <c r="C1590" t="str">
        <v>Kolom / balok kanan</v>
      </c>
      <c r="D1590">
        <f>VLOOKUP(C1585,'Data Panjang Balok'!$C$9:$N$254,10,FALSE)</f>
        <v>0</v>
      </c>
    </row>
    <row r="1591">
      <c r="C1591" t="str">
        <v>Jumlah</v>
      </c>
      <c r="D1591">
        <f>VLOOKUP(C1585,'Data Panjang Balok'!$C$9:$N$254,3,FALSE)</f>
        <v>1</v>
      </c>
    </row>
    <row r="1592">
      <c r="A1592" t="str">
        <f>A1585</f>
        <v>Lantai 1</v>
      </c>
      <c r="B1592">
        <f>B1585</f>
        <v>51</v>
      </c>
      <c r="C1592" t="str">
        <v>Tul Atas Tumpuan</v>
      </c>
      <c r="D1592">
        <f>VLOOKUP(D1585,'Detail Balok'!$C$10:$AU$140,4,FALSE)</f>
        <v>3</v>
      </c>
      <c r="E1592" t="str">
        <v>D</v>
      </c>
      <c r="F1592">
        <f>VLOOKUP(D1585,'Detail Balok'!$C$10:$AU$140,6,FALSE)</f>
        <v>16</v>
      </c>
      <c r="I1592" t="str">
        <v>(</v>
      </c>
      <c r="J1592">
        <f>+D1587/4/1000</f>
        <v>1</v>
      </c>
      <c r="K1592" t="str">
        <v>+</v>
      </c>
      <c r="L1592">
        <f>MAX(VLOOKUP(F1592,N$6:P$15,3,FALSE)/1000,2/3*D1589/1000)+F$16*F1592/1000</f>
        <v>0.192</v>
      </c>
      <c r="M1592" t="str">
        <v>=</v>
      </c>
      <c r="N1592">
        <f>J1592+L1592</f>
        <v>1.192</v>
      </c>
      <c r="O1592" t="str">
        <v>+</v>
      </c>
      <c r="P1592">
        <f>D1592-D1593</f>
        <v>0</v>
      </c>
      <c r="Q1592" t="str">
        <v>x</v>
      </c>
      <c r="R1592">
        <f>IF(P1592&gt;0,$F$18*F1592/1000,0)</f>
        <v>0</v>
      </c>
      <c r="S1592" t="str">
        <v>)</v>
      </c>
      <c r="T1592" t="str">
        <v>x</v>
      </c>
      <c r="U1592">
        <f>0.006165*F1592^2</f>
        <v>1.57824</v>
      </c>
      <c r="X1592" t="str">
        <v>x</v>
      </c>
      <c r="Y1592">
        <f>D1591</f>
        <v>1</v>
      </c>
      <c r="Z1592" t="str">
        <v>=</v>
      </c>
      <c r="AA1592">
        <f>IF(AA1595=0,(D1592*N1592+P1592*R1592)*U1592*Y1592,0)</f>
        <v>0</v>
      </c>
    </row>
    <row r="1593">
      <c r="A1593" t="str">
        <f>A1585</f>
        <v>Lantai 1</v>
      </c>
      <c r="B1593">
        <f>B1585</f>
        <v>51</v>
      </c>
      <c r="C1593" t="str">
        <v>Tul Atas Lapangan</v>
      </c>
      <c r="D1593">
        <f>VLOOKUP(D1585,'Detail Balok'!$C$10:$AU$140,7,FALSE)</f>
        <v>3</v>
      </c>
      <c r="E1593" t="str">
        <v>D</v>
      </c>
      <c r="F1593">
        <f>VLOOKUP(D1585,'Detail Balok'!$C$10:$AU$140,9,FALSE)</f>
        <v>16</v>
      </c>
      <c r="I1593" t="str">
        <v>(</v>
      </c>
      <c r="J1593">
        <f>+D1587/2/1000</f>
        <v>2</v>
      </c>
      <c r="K1593" t="str">
        <v>+</v>
      </c>
      <c r="M1593" t="str">
        <v>=</v>
      </c>
      <c r="N1593">
        <f>J1593+L1593</f>
        <v>2</v>
      </c>
      <c r="O1593" t="str">
        <v>+</v>
      </c>
      <c r="P1593">
        <f>MAX(D1593-D1592,D1593-D1594)</f>
        <v>0</v>
      </c>
      <c r="Q1593" t="str">
        <v>x</v>
      </c>
      <c r="R1593">
        <f>IF(P1593&gt;0,2*(1-2*$F$19-1/2)*D1588/1000,0)</f>
        <v>0</v>
      </c>
      <c r="S1593" t="str">
        <v>)</v>
      </c>
      <c r="T1593" t="str">
        <v>x</v>
      </c>
      <c r="U1593">
        <f>0.006165*F1593^2</f>
        <v>1.57824</v>
      </c>
      <c r="X1593" t="str">
        <v>x</v>
      </c>
      <c r="Y1593">
        <f>D1591</f>
        <v>1</v>
      </c>
      <c r="Z1593" t="str">
        <v>=</v>
      </c>
      <c r="AA1593">
        <f>IF(AA1595=0,(D1593*N1593+P1593*R1593)*U1593*Y1593,0)</f>
        <v>0</v>
      </c>
    </row>
    <row r="1594">
      <c r="A1594" t="str">
        <f>A1585</f>
        <v>Lantai 1</v>
      </c>
      <c r="B1594">
        <f>B1585</f>
        <v>51</v>
      </c>
      <c r="C1594" t="str">
        <v>Tul Atas Tumpuan</v>
      </c>
      <c r="D1594">
        <f>VLOOKUP(D1585,'Detail Balok'!$C$10:$AU$140,10,FALSE)</f>
        <v>3</v>
      </c>
      <c r="E1594" t="str">
        <v>D</v>
      </c>
      <c r="F1594">
        <f>VLOOKUP(D1585,'Detail Balok'!$C$10:$AU$140,12,FALSE)</f>
        <v>16</v>
      </c>
      <c r="I1594" t="str">
        <v>(</v>
      </c>
      <c r="J1594">
        <f>+D1587/4/1000</f>
        <v>1</v>
      </c>
      <c r="K1594" t="str">
        <v>+</v>
      </c>
      <c r="L1594">
        <f>MAX(VLOOKUP(F1594,N$6:P$15,3,FALSE)/1000,2/3*D1589/1000)+F$16*F1594/1000</f>
        <v>0.192</v>
      </c>
      <c r="M1594" t="str">
        <v>=</v>
      </c>
      <c r="N1594">
        <f>J1594+L1594</f>
        <v>1.192</v>
      </c>
      <c r="O1594" t="str">
        <v>+</v>
      </c>
      <c r="P1594">
        <f>D1594-D1593</f>
        <v>0</v>
      </c>
      <c r="Q1594" t="str">
        <v>x</v>
      </c>
      <c r="R1594">
        <f>IF(P1594&gt;0,$F$18*F1594/1000,0)</f>
        <v>0</v>
      </c>
      <c r="S1594" t="str">
        <v>)</v>
      </c>
      <c r="T1594" t="str">
        <v>x</v>
      </c>
      <c r="U1594">
        <f>0.006165*F1594^2</f>
        <v>1.57824</v>
      </c>
      <c r="X1594" t="str">
        <v>x</v>
      </c>
      <c r="Y1594">
        <f>D1591</f>
        <v>1</v>
      </c>
      <c r="Z1594" t="str">
        <v>=</v>
      </c>
      <c r="AA1594">
        <f>IF(AA1595=0,(D1594*N1594+P1594*R1594)*U1594*Y1594,0)</f>
        <v>0</v>
      </c>
    </row>
    <row r="1595">
      <c r="A1595" t="str">
        <f>A1585</f>
        <v>Lantai 1</v>
      </c>
      <c r="B1595">
        <f>B1585</f>
        <v>51</v>
      </c>
      <c r="D1595">
        <f>IF(AND(D1592=D1593,D1593=D1594,D1592=D1594),D1592,0)</f>
        <v>3</v>
      </c>
      <c r="E1595" t="str">
        <v>D</v>
      </c>
      <c r="F1595">
        <f>IF(AND(F1592=F1593,F1592=F1594,F1593=F1594),F1592,0)</f>
        <v>16</v>
      </c>
      <c r="L1595" t="str">
        <v>Total panjang per balok</v>
      </c>
      <c r="M1595" t="str">
        <v>=</v>
      </c>
      <c r="N1595">
        <f>IF(AND(D1592=D1593,D1592=D1594,D1593=D1594,F1592=F1593,F1592=F1594,F1593=F1594),SUM(N1592:N1594),0)</f>
        <v>4.384</v>
      </c>
      <c r="O1595" t="str">
        <v>+</v>
      </c>
      <c r="P1595">
        <f>IF(N1595&gt;12,ROUNDDOWN(N1595/12,0),0)</f>
        <v>0</v>
      </c>
      <c r="Q1595" t="str">
        <v>x</v>
      </c>
      <c r="R1595">
        <f>IF(P1595&gt;0,MAX(VLOOKUP(F1595,$D$6:$G$15,3,FALSE),600),0)/1000</f>
        <v>0</v>
      </c>
      <c r="T1595" t="str">
        <v>x</v>
      </c>
      <c r="U1595">
        <f>U1594</f>
        <v>1.57824</v>
      </c>
      <c r="V1595" t="str">
        <v>x</v>
      </c>
      <c r="W1595">
        <f>D1595</f>
        <v>3</v>
      </c>
      <c r="X1595" t="str">
        <v>x</v>
      </c>
      <c r="Y1595">
        <f>Y1594</f>
        <v>1</v>
      </c>
      <c r="Z1595" t="str">
        <v>=</v>
      </c>
      <c r="AA1595">
        <f>(N1595+P1595*R1595/1000)*U1595*W1595*Y1595</f>
        <v>20.757012480000004</v>
      </c>
    </row>
    <row r="1597">
      <c r="A1597" t="str">
        <f>A1585</f>
        <v>Lantai 1</v>
      </c>
      <c r="B1597">
        <f>B1585</f>
        <v>51</v>
      </c>
      <c r="C1597" t="str">
        <v>Tul Peminggang</v>
      </c>
      <c r="D1597">
        <f>VLOOKUP(D1585,'Detail Balok'!$C$10:$AU$140,13,FALSE)</f>
        <v>2</v>
      </c>
      <c r="E1597" t="str">
        <v>D</v>
      </c>
      <c r="F1597">
        <f>VLOOKUP(D1585,'Detail Balok'!$C$10:$AU$140,15,FALSE)</f>
        <v>10</v>
      </c>
      <c r="J1597">
        <f>+D1587/1000</f>
        <v>4</v>
      </c>
      <c r="K1597" t="str">
        <v>+</v>
      </c>
      <c r="L1597">
        <f>2*$F$16*F1597/1000</f>
        <v>0.24</v>
      </c>
      <c r="M1597" t="str">
        <v>=</v>
      </c>
      <c r="N1597">
        <f>J1597+L1597</f>
        <v>4.24</v>
      </c>
      <c r="O1597" t="str">
        <v>+</v>
      </c>
      <c r="P1597">
        <f>IF(N1597&gt;12,ROUNDDOWN(N1597/12,0),0)</f>
        <v>0</v>
      </c>
      <c r="Q1597" t="str">
        <v>x</v>
      </c>
      <c r="R1597">
        <f>IF(P1597&gt;0,MAX(VLOOKUP(F1597,$D$6:$G$15,3,FALSE),600),0)/1000</f>
        <v>0</v>
      </c>
      <c r="T1597" t="str">
        <v>x</v>
      </c>
      <c r="U1597">
        <f>0.006165*F1597^2</f>
        <v>0.6165</v>
      </c>
      <c r="V1597" t="str">
        <v>x</v>
      </c>
      <c r="W1597">
        <f>+D1597</f>
        <v>2</v>
      </c>
      <c r="X1597" t="str">
        <v>x</v>
      </c>
      <c r="Y1597">
        <f>D1591</f>
        <v>1</v>
      </c>
      <c r="Z1597" t="str">
        <v>=</v>
      </c>
      <c r="AA1597">
        <f>(N1597+P1597*R1597/1000)*U1597*W1597*Y1597</f>
        <v>5.227920000000001</v>
      </c>
    </row>
    <row r="1600">
      <c r="A1600" t="str">
        <f>A1585</f>
        <v>Lantai 1</v>
      </c>
      <c r="B1600">
        <f>B1585</f>
        <v>51</v>
      </c>
      <c r="C1600" t="str">
        <v>Tul Bawah Tumpuan</v>
      </c>
      <c r="D1600">
        <f>VLOOKUP(D1585,'Detail Balok'!$C$10:$AU$140,22,FALSE)</f>
        <v>3</v>
      </c>
      <c r="E1600" t="str">
        <v>D</v>
      </c>
      <c r="F1600">
        <f>VLOOKUP(D1585,'Detail Balok'!$C$10:$AU$140,24,FALSE)</f>
        <v>16</v>
      </c>
      <c r="I1600" t="str">
        <v>(</v>
      </c>
      <c r="J1600">
        <f>+J1592</f>
        <v>1</v>
      </c>
      <c r="K1600" t="str">
        <v>+</v>
      </c>
      <c r="L1600">
        <f>MAX(VLOOKUP(F1600,N$6:P$15,3,FALSE)/1000,2/3*D1590/1000)+F$16*F1600/1000</f>
        <v>0.192</v>
      </c>
      <c r="M1600" t="str">
        <v>=</v>
      </c>
      <c r="N1600">
        <f>J1600+L1600</f>
        <v>1.192</v>
      </c>
      <c r="O1600" t="str">
        <v>+</v>
      </c>
      <c r="P1600">
        <f>D1600-D1601</f>
        <v>0</v>
      </c>
      <c r="Q1600" t="str">
        <v>x</v>
      </c>
      <c r="R1600">
        <f>IF(P1600&gt;0,$F$18*F1600/1000,0)</f>
        <v>0</v>
      </c>
      <c r="S1600" t="str">
        <v>)</v>
      </c>
      <c r="T1600" t="str">
        <v>x</v>
      </c>
      <c r="U1600">
        <f>0.006165*F1600^2</f>
        <v>1.57824</v>
      </c>
      <c r="X1600" t="str">
        <v>x</v>
      </c>
      <c r="Y1600">
        <f>D1591</f>
        <v>1</v>
      </c>
      <c r="Z1600" t="str">
        <v>=</v>
      </c>
      <c r="AA1600">
        <f>IF(AA1603=0,(D1600*N1600+P1600*R1600)*U1600*Y1600,0)</f>
        <v>0</v>
      </c>
    </row>
    <row r="1601">
      <c r="A1601" t="str">
        <f>A1585</f>
        <v>Lantai 1</v>
      </c>
      <c r="B1601">
        <f>B1585</f>
        <v>51</v>
      </c>
      <c r="C1601" t="str">
        <v>Tul Bawah Lapangan</v>
      </c>
      <c r="D1601">
        <f>VLOOKUP(D1585,'Detail Balok'!$C$10:$AU$140,25,FALSE)</f>
        <v>3</v>
      </c>
      <c r="E1601" t="str">
        <v>D</v>
      </c>
      <c r="F1601">
        <f>VLOOKUP(D1585,'Detail Balok'!$C$10:$AU$140,27,FALSE)</f>
        <v>16</v>
      </c>
      <c r="I1601" t="str">
        <v>(</v>
      </c>
      <c r="J1601">
        <f>+J1593</f>
        <v>2</v>
      </c>
      <c r="K1601" t="str">
        <v>+</v>
      </c>
      <c r="M1601" t="str">
        <v>=</v>
      </c>
      <c r="N1601">
        <f>J1601+L1601</f>
        <v>2</v>
      </c>
      <c r="O1601" t="str">
        <v>+</v>
      </c>
      <c r="P1601">
        <f>MAX(D1601-D1600,D1601-D1602)</f>
        <v>0</v>
      </c>
      <c r="Q1601" t="str">
        <v>x</v>
      </c>
      <c r="R1601">
        <f>IF(P1601&gt;0,2*(1-2*$F$19-1/2)*D1588/1000,0)</f>
        <v>0</v>
      </c>
      <c r="S1601" t="str">
        <v>)</v>
      </c>
      <c r="T1601" t="str">
        <v>x</v>
      </c>
      <c r="U1601">
        <f>0.006165*F1601^2</f>
        <v>1.57824</v>
      </c>
      <c r="X1601" t="str">
        <v>x</v>
      </c>
      <c r="Y1601">
        <f>D1591</f>
        <v>1</v>
      </c>
      <c r="Z1601" t="str">
        <v>=</v>
      </c>
      <c r="AA1601">
        <f>IF(AA1603=0,(D1601*N1601+P1601*R1601)*U1601*Y1601,0)</f>
        <v>0</v>
      </c>
    </row>
    <row r="1602">
      <c r="A1602" t="str">
        <f>A1585</f>
        <v>Lantai 1</v>
      </c>
      <c r="B1602">
        <f>B1585</f>
        <v>51</v>
      </c>
      <c r="C1602" t="str">
        <v>Tul Bawah Tumpuan</v>
      </c>
      <c r="D1602">
        <f>VLOOKUP(D1585,'Detail Balok'!$C$10:$AU$140,28,FALSE)</f>
        <v>3</v>
      </c>
      <c r="E1602" t="str">
        <v>D</v>
      </c>
      <c r="F1602">
        <f>VLOOKUP(D1585,'Detail Balok'!$C$10:$AU$140,30,FALSE)</f>
        <v>16</v>
      </c>
      <c r="I1602" t="str">
        <v>(</v>
      </c>
      <c r="J1602">
        <f>+J1594</f>
        <v>1</v>
      </c>
      <c r="K1602" t="str">
        <v>+</v>
      </c>
      <c r="L1602">
        <f>MAX(VLOOKUP(F1602,N$6:P$15,3,FALSE)/1000,2/3*D1590/1000)+F$16*F1602/1000</f>
        <v>0.192</v>
      </c>
      <c r="M1602" t="str">
        <v>=</v>
      </c>
      <c r="N1602">
        <f>J1602+L1602</f>
        <v>1.192</v>
      </c>
      <c r="O1602" t="str">
        <v>+</v>
      </c>
      <c r="P1602">
        <f>D1602-D1601</f>
        <v>0</v>
      </c>
      <c r="Q1602" t="str">
        <v>x</v>
      </c>
      <c r="R1602">
        <f>IF(P1602&gt;0,$F$18*F1602/1000,0)</f>
        <v>0</v>
      </c>
      <c r="S1602" t="str">
        <v>)</v>
      </c>
      <c r="T1602" t="str">
        <v>x</v>
      </c>
      <c r="U1602">
        <f>0.006165*F1602^2</f>
        <v>1.57824</v>
      </c>
      <c r="X1602" t="str">
        <v>x</v>
      </c>
      <c r="Y1602">
        <f>D1591</f>
        <v>1</v>
      </c>
      <c r="Z1602" t="str">
        <v>=</v>
      </c>
      <c r="AA1602">
        <f>IF(AA1603=0,(D1602*N1602+P1602*R1602)*U1602*Y1602,0)</f>
        <v>0</v>
      </c>
    </row>
    <row r="1603">
      <c r="A1603" t="str">
        <f>A1585</f>
        <v>Lantai 1</v>
      </c>
      <c r="B1603">
        <f>B1585</f>
        <v>51</v>
      </c>
      <c r="D1603">
        <f>IF(AND(D1600=D1601,D1601=D1602,D1600=D1602),D1600,0)</f>
        <v>3</v>
      </c>
      <c r="E1603" t="str">
        <v>D</v>
      </c>
      <c r="F1603">
        <f>IF(AND(F1600=F1601,F1600=F1602,F1601=F1602),F1600,0)</f>
        <v>16</v>
      </c>
      <c r="L1603" t="str">
        <v>Total panjang per balok</v>
      </c>
      <c r="M1603" t="str">
        <v>=</v>
      </c>
      <c r="N1603">
        <f>IF(AND(D1600=D1601,D1600=D1602,D1601=D1602,F1600=F1601,F1600=F1602,F1601=F1602),SUM(N1600:N1602),0)</f>
        <v>4.384</v>
      </c>
      <c r="O1603" t="str">
        <v>+</v>
      </c>
      <c r="P1603">
        <f>IF(N1603&gt;12,ROUNDDOWN(N1603/12,0),0)</f>
        <v>0</v>
      </c>
      <c r="Q1603" t="str">
        <v>x</v>
      </c>
      <c r="R1603">
        <f>IF(P1603&gt;0,MAX(VLOOKUP(F1603,$D$6:$G$15,3,FALSE),600),0)/1000</f>
        <v>0</v>
      </c>
      <c r="T1603" t="str">
        <v>x</v>
      </c>
      <c r="U1603">
        <f>U1602</f>
        <v>1.57824</v>
      </c>
      <c r="V1603" t="str">
        <v>x</v>
      </c>
      <c r="W1603">
        <f>D1603</f>
        <v>3</v>
      </c>
      <c r="X1603" t="str">
        <v>x</v>
      </c>
      <c r="Y1603">
        <f>Y1602</f>
        <v>1</v>
      </c>
      <c r="Z1603" t="str">
        <v>=</v>
      </c>
      <c r="AA1603">
        <f>(N1603+P1603*R1603/1000)*U1603*W1603*Y1603</f>
        <v>20.757012480000004</v>
      </c>
    </row>
    <row r="1605">
      <c r="A1605" t="str">
        <f>A1585</f>
        <v>Lantai 1</v>
      </c>
      <c r="B1605">
        <f>B1585</f>
        <v>51</v>
      </c>
      <c r="C1605" t="str">
        <v>Sengkang Tumpuan</v>
      </c>
      <c r="D1605">
        <f>VLOOKUP(D1585,'Detail Balok'!$C$10:$AU$140,31,FALSE)</f>
        <v>0</v>
      </c>
      <c r="E1605" t="str">
        <v>D</v>
      </c>
      <c r="F1605">
        <f>VLOOKUP(D1585,'Detail Balok'!$C$10:$AU$140,33,FALSE)</f>
        <v>8</v>
      </c>
      <c r="G1605" t="str">
        <v>-</v>
      </c>
      <c r="H1605">
        <f>VLOOKUP(D1585,'Detail Balok'!$C$10:$AU$140,35,FALSE)</f>
        <v>150</v>
      </c>
      <c r="J1605">
        <f>(IF(D1605=0,(2*(D1586+G1586))-(F$5*8),IF(D1605=3,(2*(D1586+G1586))-(F$5*8)+(G1586-2*F$5),IF(D1605=4,(2*(D1586+G1586))-(F$5*8)+2*(G1586-2*F$5)))))/1000</f>
        <v>1.08</v>
      </c>
      <c r="K1605" t="str">
        <v>+</v>
      </c>
      <c r="L1605">
        <f>IF(D1605=0,2*MAX(6*F1605,75),(D1605-1)*2*MAX(6*F1605,75))/1000</f>
        <v>0.15</v>
      </c>
      <c r="M1605" t="str">
        <v>=</v>
      </c>
      <c r="N1605">
        <f>J1605+L1605</f>
        <v>1.23</v>
      </c>
      <c r="T1605" t="str">
        <v>x</v>
      </c>
      <c r="U1605">
        <f>0.006165*F1605^2</f>
        <v>0.39456</v>
      </c>
      <c r="V1605" t="str">
        <v>x</v>
      </c>
      <c r="W1605">
        <f>IF(D1588&gt;4*G1586,ROUND(MAX(D1588/4,2*G1586)/H1605,0)+1,ROUND(D1588/H1605,0)+1)</f>
        <v>8</v>
      </c>
      <c r="X1605" t="str">
        <v>x</v>
      </c>
      <c r="Y1605">
        <f>D1591</f>
        <v>1</v>
      </c>
      <c r="Z1605" t="str">
        <v>=</v>
      </c>
      <c r="AA1605">
        <f>N1605*U1605*W1605*Y1605</f>
        <v>3.8824704000000003</v>
      </c>
    </row>
    <row r="1606">
      <c r="A1606" t="str">
        <f>A1585</f>
        <v>Lantai 1</v>
      </c>
      <c r="B1606">
        <f>B1585</f>
        <v>51</v>
      </c>
      <c r="C1606" t="str">
        <v>Sengkang Lapangan</v>
      </c>
      <c r="D1606">
        <f>VLOOKUP(D1585,'Detail Balok'!$C$10:$AU$140,36,FALSE)</f>
        <v>0</v>
      </c>
      <c r="E1606" t="str">
        <v>D</v>
      </c>
      <c r="F1606">
        <f>VLOOKUP(D1585,'Detail Balok'!$C$10:$AU$140,38,FALSE)</f>
        <v>8</v>
      </c>
      <c r="G1606" t="str">
        <v>-</v>
      </c>
      <c r="H1606">
        <f>VLOOKUP(D1585,'Detail Balok'!$C$10:$AU$140,40,FALSE)</f>
        <v>200</v>
      </c>
      <c r="J1606">
        <f>(IF(D1606=0,(2*(D1586+G1586))-(F$5*8),IF(D1606=3,(2*(D1586+G1586))-(F$5*8)+(G1586-2*F$5),IF(D1606=4,(2*(D1586+G1586))-(F$5*8)+2*(G1586-2*F$5)))))/1000</f>
        <v>1.08</v>
      </c>
      <c r="K1606" t="str">
        <v>+</v>
      </c>
      <c r="L1606">
        <f>IF(D1606=0,2*MAX(6*F1606,75),(D1606-1)*2*MAX(6*F1606,75))/1000</f>
        <v>0.15</v>
      </c>
      <c r="M1606" t="str">
        <v>=</v>
      </c>
      <c r="N1606">
        <f>J1606+L1606</f>
        <v>1.23</v>
      </c>
      <c r="T1606" t="str">
        <v>x</v>
      </c>
      <c r="U1606">
        <f>0.006165*F1606^2</f>
        <v>0.39456</v>
      </c>
      <c r="V1606" t="str">
        <v>x</v>
      </c>
      <c r="W1606">
        <f>IF(D1588-MAX(D1588/4,2*G1586)*2&gt;0,ROUND((D1588-MAX(D1588/4,2*G1586)*2)/H1606,0),0)</f>
        <v>10</v>
      </c>
      <c r="X1606" t="str">
        <v>x</v>
      </c>
      <c r="Y1606">
        <f>D1591</f>
        <v>1</v>
      </c>
      <c r="Z1606" t="str">
        <v>=</v>
      </c>
      <c r="AA1606">
        <f>N1606*U1606*W1606*Y1606</f>
        <v>4.8530880000000005</v>
      </c>
    </row>
    <row r="1607">
      <c r="A1607" t="str">
        <f>A1585</f>
        <v>Lantai 1</v>
      </c>
      <c r="B1607">
        <f>B1585</f>
        <v>51</v>
      </c>
      <c r="C1607" t="str">
        <v>Sengkang Tumpuan</v>
      </c>
      <c r="D1607">
        <f>VLOOKUP(D1585,'Detail Balok'!$C$10:$AU$140,41,FALSE)</f>
        <v>0</v>
      </c>
      <c r="E1607" t="str">
        <v>D</v>
      </c>
      <c r="F1607">
        <f>VLOOKUP(D1585,'Detail Balok'!$C$10:$AU$140,43,FALSE)</f>
        <v>8</v>
      </c>
      <c r="G1607" t="str">
        <v>-</v>
      </c>
      <c r="H1607">
        <f>VLOOKUP(D1585,'Detail Balok'!$C$10:$AU$140,45,FALSE)</f>
        <v>150</v>
      </c>
      <c r="J1607">
        <f>(IF(D1607=0,(2*(D1586+G1586))-(F$5*8),IF(D1607=3,(2*(D1586+G1586))-(F$5*8)+(G1586-2*F$5),IF(D1607=4,(2*(D1586+G1586))-(F$5*8)+2*(G1586-2*F$5)))))/1000</f>
        <v>1.08</v>
      </c>
      <c r="K1607" t="str">
        <v>+</v>
      </c>
      <c r="L1607">
        <f>IF(D1607=0,2*MAX(6*F1607,75),(D1607-1)*2*MAX(6*F1607,75))/1000</f>
        <v>0.15</v>
      </c>
      <c r="M1607" t="str">
        <v>=</v>
      </c>
      <c r="N1607">
        <f>J1607+L1607</f>
        <v>1.23</v>
      </c>
      <c r="T1607" t="str">
        <v>x</v>
      </c>
      <c r="U1607">
        <f>0.006165*F1607^2</f>
        <v>0.39456</v>
      </c>
      <c r="V1607" t="str">
        <v>x</v>
      </c>
      <c r="W1607">
        <f>IF(D1588&gt;4*G1586,ROUND(MAX(D1588/4,2*G1586)/H1607,0)+1,0)</f>
        <v>8</v>
      </c>
      <c r="X1607" t="str">
        <v>x</v>
      </c>
      <c r="Y1607">
        <f>D1591</f>
        <v>1</v>
      </c>
      <c r="Z1607" t="str">
        <v>=</v>
      </c>
      <c r="AA1607">
        <f>N1607*U1607*W1607*Y1607</f>
        <v>3.8824704000000003</v>
      </c>
    </row>
    <row r="1609">
      <c r="A1609" t="str">
        <f>A1585</f>
        <v>Lantai 1</v>
      </c>
      <c r="B1609">
        <f>B1585</f>
        <v>51</v>
      </c>
      <c r="C1609" t="str">
        <v>Kait Horizontal Tump.</v>
      </c>
      <c r="D1609">
        <f>VLOOKUP(D1585,'Detail Balok'!$C$10:$BJ$140,46,FALSE)</f>
        <v>0</v>
      </c>
      <c r="E1609" t="str">
        <v>D</v>
      </c>
      <c r="F1609">
        <f>VLOOKUP(D1585,'Detail Balok'!$C$10:$BJ$140,48,FALSE)</f>
        <v>0</v>
      </c>
      <c r="G1609" t="str">
        <v>-</v>
      </c>
      <c r="H1609">
        <f>VLOOKUP(D1585,'Detail Balok'!$C$10:$BJ$140,50,FALSE)</f>
        <v>100</v>
      </c>
      <c r="J1609">
        <f>(D1586-2*F$5)/1000</f>
        <v>0.12</v>
      </c>
      <c r="K1609" t="str">
        <v>+</v>
      </c>
      <c r="L1609">
        <f>IF(D1609=0,2*MAX(6*F1609,75),(D1609-1)*2*MAX(6*F1609,75))/1000</f>
        <v>0.15</v>
      </c>
      <c r="M1609" t="str">
        <v>=</v>
      </c>
      <c r="N1609">
        <f>J1609+L1609</f>
        <v>0.27</v>
      </c>
      <c r="T1609" t="str">
        <v>x</v>
      </c>
      <c r="U1609">
        <f>0.006165*F1609^2</f>
        <v>0</v>
      </c>
      <c r="V1609" t="str">
        <v>x</v>
      </c>
      <c r="W1609">
        <f>W1605</f>
        <v>8</v>
      </c>
      <c r="X1609" t="str">
        <v>x</v>
      </c>
      <c r="Y1609">
        <f>D1595</f>
        <v>3</v>
      </c>
      <c r="Z1609" t="str">
        <v>=</v>
      </c>
      <c r="AA1609">
        <f>N1609*U1609*W1609*Y1609</f>
        <v>0</v>
      </c>
    </row>
    <row r="1610">
      <c r="A1610" t="str">
        <f>A1585</f>
        <v>Lantai 1</v>
      </c>
      <c r="B1610">
        <f>B1585</f>
        <v>51</v>
      </c>
      <c r="C1610" t="str">
        <v>Kait Horizontal Lap.</v>
      </c>
      <c r="D1610">
        <f>VLOOKUP(D1585,'Detail Balok'!$C$10:$BJ$140,51,FALSE)</f>
        <v>0</v>
      </c>
      <c r="E1610" t="str">
        <v>D</v>
      </c>
      <c r="F1610">
        <f>VLOOKUP(D1585,'Detail Balok'!$C$10:$BJ$140,53,FALSE)</f>
        <v>0</v>
      </c>
      <c r="G1610" t="str">
        <v>-</v>
      </c>
      <c r="H1610">
        <f>VLOOKUP(D1585,'Detail Balok'!$C$10:$BJ$140,55,FALSE)</f>
        <v>100</v>
      </c>
      <c r="J1610">
        <f>(D1586-2*F$5)/1000</f>
        <v>0.12</v>
      </c>
      <c r="K1610" t="str">
        <v>+</v>
      </c>
      <c r="L1610">
        <f>IF(D1610=0,2*MAX(6*F1610,75),(D1610-1)*2*MAX(6*F1610,75))/1000</f>
        <v>0.15</v>
      </c>
      <c r="M1610" t="str">
        <v>=</v>
      </c>
      <c r="N1610">
        <f>J1610+L1610</f>
        <v>0.27</v>
      </c>
      <c r="T1610" t="str">
        <v>x</v>
      </c>
      <c r="U1610">
        <f>0.006165*F1610^2</f>
        <v>0</v>
      </c>
      <c r="V1610" t="str">
        <v>x</v>
      </c>
      <c r="W1610">
        <f>W1606</f>
        <v>10</v>
      </c>
      <c r="X1610" t="str">
        <v>x</v>
      </c>
      <c r="Y1610">
        <f>D1595</f>
        <v>3</v>
      </c>
      <c r="Z1610" t="str">
        <v>=</v>
      </c>
      <c r="AA1610">
        <f>N1610*U1610*W1610*Y1610</f>
        <v>0</v>
      </c>
    </row>
    <row r="1611">
      <c r="A1611" t="str">
        <f>A1585</f>
        <v>Lantai 1</v>
      </c>
      <c r="B1611">
        <f>B1585</f>
        <v>51</v>
      </c>
      <c r="C1611" t="str">
        <v>Kait Horizontal Tump.</v>
      </c>
      <c r="D1611">
        <f>VLOOKUP(D1585,'Detail Balok'!$C$10:$BJ$140,56,FALSE)</f>
        <v>0</v>
      </c>
      <c r="E1611" t="str">
        <v>D</v>
      </c>
      <c r="F1611">
        <f>VLOOKUP(D1585,'Detail Balok'!$C$10:$BJ$140,58,FALSE)</f>
        <v>0</v>
      </c>
      <c r="G1611" t="str">
        <v>-</v>
      </c>
      <c r="H1611">
        <f>VLOOKUP(D1585,'Detail Balok'!$C$10:$BJ$140,60,FALSE)</f>
        <v>100</v>
      </c>
      <c r="J1611">
        <f>(D1586-2*F$5)/1000</f>
        <v>0.12</v>
      </c>
      <c r="K1611" t="str">
        <v>+</v>
      </c>
      <c r="L1611">
        <f>IF(D1611=0,2*MAX(6*F1611,75),(D1611-1)*2*MAX(6*F1611,75))/1000</f>
        <v>0.15</v>
      </c>
      <c r="M1611" t="str">
        <v>=</v>
      </c>
      <c r="N1611">
        <f>J1611+L1611</f>
        <v>0.27</v>
      </c>
      <c r="T1611" t="str">
        <v>x</v>
      </c>
      <c r="U1611">
        <f>0.006165*F1611^2</f>
        <v>0</v>
      </c>
      <c r="V1611" t="str">
        <v>x</v>
      </c>
      <c r="W1611">
        <f>W1607</f>
        <v>8</v>
      </c>
      <c r="X1611" t="str">
        <v>x</v>
      </c>
      <c r="Y1611">
        <f>D1595</f>
        <v>3</v>
      </c>
      <c r="Z1611" t="str">
        <v>=</v>
      </c>
      <c r="AA1611">
        <f>N1611*U1611*W1611*Y1611</f>
        <v>0</v>
      </c>
    </row>
    <row r="1615">
      <c r="A1615" t="str">
        <f>A1585</f>
        <v>Lantai 1</v>
      </c>
      <c r="B1615">
        <f>B1585+1</f>
        <v>52</v>
      </c>
      <c r="C1615" t="str">
        <f>CONCATENATE(A1615," no. ",B1615)</f>
        <v>Lantai 1 no. 52</v>
      </c>
      <c r="D1615" t="str">
        <f>VLOOKUP(C1615,'Data Panjang Balok'!$C$9:$N$254,2,FALSE)</f>
        <v>S25-1</v>
      </c>
    </row>
    <row r="1616">
      <c r="C1616" t="str">
        <v>Dimensi</v>
      </c>
      <c r="D1616">
        <f>VLOOKUP(D1615,'Detail Balok'!$C$10:$AU$140,2,FALSE)</f>
        <v>200</v>
      </c>
      <c r="F1616" t="str">
        <v>x</v>
      </c>
      <c r="G1616">
        <f>VLOOKUP(D1615,'Detail Balok'!$C$10:$AU$140,3,FALSE)</f>
        <v>500</v>
      </c>
    </row>
    <row r="1617">
      <c r="C1617" t="str">
        <v>Panjang as ke as</v>
      </c>
      <c r="D1617">
        <f>VLOOKUP(C1615,'Data Panjang Balok'!$C$9:$N$254,4,FALSE)</f>
        <v>1300</v>
      </c>
    </row>
    <row r="1618">
      <c r="C1618" t="str">
        <v>Panjang netto</v>
      </c>
      <c r="D1618">
        <f>VLOOKUP(C1615,'Data Panjang Balok'!$C$9:$N$254,7,FALSE)</f>
        <v>1300</v>
      </c>
    </row>
    <row r="1619">
      <c r="C1619" t="str">
        <v>Kolom / balok kiri</v>
      </c>
      <c r="D1619">
        <f>VLOOKUP(C1615,'Data Panjang Balok'!$C$9:$N$254,9,FALSE)</f>
        <v>0</v>
      </c>
    </row>
    <row r="1620">
      <c r="C1620" t="str">
        <v>Kolom / balok kanan</v>
      </c>
      <c r="D1620">
        <f>VLOOKUP(C1615,'Data Panjang Balok'!$C$9:$N$254,10,FALSE)</f>
        <v>0</v>
      </c>
    </row>
    <row r="1621">
      <c r="C1621" t="str">
        <v>Jumlah</v>
      </c>
      <c r="D1621">
        <f>VLOOKUP(C1615,'Data Panjang Balok'!$C$9:$N$254,3,FALSE)</f>
        <v>1</v>
      </c>
    </row>
    <row r="1622">
      <c r="A1622" t="str">
        <f>A1615</f>
        <v>Lantai 1</v>
      </c>
      <c r="B1622">
        <f>B1615</f>
        <v>52</v>
      </c>
      <c r="C1622" t="str">
        <v>Tul Atas Tumpuan</v>
      </c>
      <c r="D1622">
        <f>VLOOKUP(D1615,'Detail Balok'!$C$10:$AU$140,4,FALSE)</f>
        <v>3</v>
      </c>
      <c r="E1622" t="str">
        <v>D</v>
      </c>
      <c r="F1622">
        <f>VLOOKUP(D1615,'Detail Balok'!$C$10:$AU$140,6,FALSE)</f>
        <v>16</v>
      </c>
      <c r="I1622" t="str">
        <v>(</v>
      </c>
      <c r="J1622">
        <f>+D1617/4/1000</f>
        <v>0.325</v>
      </c>
      <c r="K1622" t="str">
        <v>+</v>
      </c>
      <c r="L1622">
        <f>MAX(VLOOKUP(F1622,N$6:P$15,3,FALSE)/1000,2/3*D1619/1000)+F$16*F1622/1000</f>
        <v>0.192</v>
      </c>
      <c r="M1622" t="str">
        <v>=</v>
      </c>
      <c r="N1622">
        <f>J1622+L1622</f>
        <v>0.517</v>
      </c>
      <c r="O1622" t="str">
        <v>+</v>
      </c>
      <c r="P1622">
        <f>D1622-D1623</f>
        <v>0</v>
      </c>
      <c r="Q1622" t="str">
        <v>x</v>
      </c>
      <c r="R1622">
        <f>IF(P1622&gt;0,$F$18*F1622/1000,0)</f>
        <v>0</v>
      </c>
      <c r="S1622" t="str">
        <v>)</v>
      </c>
      <c r="T1622" t="str">
        <v>x</v>
      </c>
      <c r="U1622">
        <f>0.006165*F1622^2</f>
        <v>1.57824</v>
      </c>
      <c r="X1622" t="str">
        <v>x</v>
      </c>
      <c r="Y1622">
        <f>D1621</f>
        <v>1</v>
      </c>
      <c r="Z1622" t="str">
        <v>=</v>
      </c>
      <c r="AA1622">
        <f>IF(AA1625=0,(D1622*N1622+P1622*R1622)*U1622*Y1622,0)</f>
        <v>0</v>
      </c>
    </row>
    <row r="1623">
      <c r="A1623" t="str">
        <f>A1615</f>
        <v>Lantai 1</v>
      </c>
      <c r="B1623">
        <f>B1615</f>
        <v>52</v>
      </c>
      <c r="C1623" t="str">
        <v>Tul Atas Lapangan</v>
      </c>
      <c r="D1623">
        <f>VLOOKUP(D1615,'Detail Balok'!$C$10:$AU$140,7,FALSE)</f>
        <v>3</v>
      </c>
      <c r="E1623" t="str">
        <v>D</v>
      </c>
      <c r="F1623">
        <f>VLOOKUP(D1615,'Detail Balok'!$C$10:$AU$140,9,FALSE)</f>
        <v>16</v>
      </c>
      <c r="I1623" t="str">
        <v>(</v>
      </c>
      <c r="J1623">
        <f>+D1617/2/1000</f>
        <v>0.65</v>
      </c>
      <c r="K1623" t="str">
        <v>+</v>
      </c>
      <c r="M1623" t="str">
        <v>=</v>
      </c>
      <c r="N1623">
        <f>J1623+L1623</f>
        <v>0.65</v>
      </c>
      <c r="O1623" t="str">
        <v>+</v>
      </c>
      <c r="P1623">
        <f>MAX(D1623-D1622,D1623-D1624)</f>
        <v>0</v>
      </c>
      <c r="Q1623" t="str">
        <v>x</v>
      </c>
      <c r="R1623">
        <f>IF(P1623&gt;0,2*(1-2*$F$19-1/2)*D1618/1000,0)</f>
        <v>0</v>
      </c>
      <c r="S1623" t="str">
        <v>)</v>
      </c>
      <c r="T1623" t="str">
        <v>x</v>
      </c>
      <c r="U1623">
        <f>0.006165*F1623^2</f>
        <v>1.57824</v>
      </c>
      <c r="X1623" t="str">
        <v>x</v>
      </c>
      <c r="Y1623">
        <f>D1621</f>
        <v>1</v>
      </c>
      <c r="Z1623" t="str">
        <v>=</v>
      </c>
      <c r="AA1623">
        <f>IF(AA1625=0,(D1623*N1623+P1623*R1623)*U1623*Y1623,0)</f>
        <v>0</v>
      </c>
    </row>
    <row r="1624">
      <c r="A1624" t="str">
        <f>A1615</f>
        <v>Lantai 1</v>
      </c>
      <c r="B1624">
        <f>B1615</f>
        <v>52</v>
      </c>
      <c r="C1624" t="str">
        <v>Tul Atas Tumpuan</v>
      </c>
      <c r="D1624">
        <f>VLOOKUP(D1615,'Detail Balok'!$C$10:$AU$140,10,FALSE)</f>
        <v>3</v>
      </c>
      <c r="E1624" t="str">
        <v>D</v>
      </c>
      <c r="F1624">
        <f>VLOOKUP(D1615,'Detail Balok'!$C$10:$AU$140,12,FALSE)</f>
        <v>16</v>
      </c>
      <c r="I1624" t="str">
        <v>(</v>
      </c>
      <c r="J1624">
        <f>+D1617/4/1000</f>
        <v>0.325</v>
      </c>
      <c r="K1624" t="str">
        <v>+</v>
      </c>
      <c r="L1624">
        <f>MAX(VLOOKUP(F1624,N$6:P$15,3,FALSE)/1000,2/3*D1619/1000)+F$16*F1624/1000</f>
        <v>0.192</v>
      </c>
      <c r="M1624" t="str">
        <v>=</v>
      </c>
      <c r="N1624">
        <f>J1624+L1624</f>
        <v>0.517</v>
      </c>
      <c r="O1624" t="str">
        <v>+</v>
      </c>
      <c r="P1624">
        <f>D1624-D1623</f>
        <v>0</v>
      </c>
      <c r="Q1624" t="str">
        <v>x</v>
      </c>
      <c r="R1624">
        <f>IF(P1624&gt;0,$F$18*F1624/1000,0)</f>
        <v>0</v>
      </c>
      <c r="S1624" t="str">
        <v>)</v>
      </c>
      <c r="T1624" t="str">
        <v>x</v>
      </c>
      <c r="U1624">
        <f>0.006165*F1624^2</f>
        <v>1.57824</v>
      </c>
      <c r="X1624" t="str">
        <v>x</v>
      </c>
      <c r="Y1624">
        <f>D1621</f>
        <v>1</v>
      </c>
      <c r="Z1624" t="str">
        <v>=</v>
      </c>
      <c r="AA1624">
        <f>IF(AA1625=0,(D1624*N1624+P1624*R1624)*U1624*Y1624,0)</f>
        <v>0</v>
      </c>
    </row>
    <row r="1625">
      <c r="A1625" t="str">
        <f>A1615</f>
        <v>Lantai 1</v>
      </c>
      <c r="B1625">
        <f>B1615</f>
        <v>52</v>
      </c>
      <c r="D1625">
        <f>IF(AND(D1622=D1623,D1623=D1624,D1622=D1624),D1622,0)</f>
        <v>3</v>
      </c>
      <c r="E1625" t="str">
        <v>D</v>
      </c>
      <c r="F1625">
        <f>IF(AND(F1622=F1623,F1622=F1624,F1623=F1624),F1622,0)</f>
        <v>16</v>
      </c>
      <c r="L1625" t="str">
        <v>Total panjang per balok</v>
      </c>
      <c r="M1625" t="str">
        <v>=</v>
      </c>
      <c r="N1625">
        <f>IF(AND(D1622=D1623,D1622=D1624,D1623=D1624,F1622=F1623,F1622=F1624,F1623=F1624),SUM(N1622:N1624),0)</f>
        <v>1.6840000000000002</v>
      </c>
      <c r="O1625" t="str">
        <v>+</v>
      </c>
      <c r="P1625">
        <f>IF(N1625&gt;12,ROUNDDOWN(N1625/12,0),0)</f>
        <v>0</v>
      </c>
      <c r="Q1625" t="str">
        <v>x</v>
      </c>
      <c r="R1625">
        <f>IF(P1625&gt;0,MAX(VLOOKUP(F1625,$D$6:$G$15,3,FALSE),600),0)/1000</f>
        <v>0</v>
      </c>
      <c r="T1625" t="str">
        <v>x</v>
      </c>
      <c r="U1625">
        <f>U1624</f>
        <v>1.57824</v>
      </c>
      <c r="V1625" t="str">
        <v>x</v>
      </c>
      <c r="W1625">
        <f>D1625</f>
        <v>3</v>
      </c>
      <c r="X1625" t="str">
        <v>x</v>
      </c>
      <c r="Y1625">
        <f>Y1624</f>
        <v>1</v>
      </c>
      <c r="Z1625" t="str">
        <v>=</v>
      </c>
      <c r="AA1625">
        <f>(N1625+P1625*R1625/1000)*U1625*W1625*Y1625</f>
        <v>7.9732684800000015</v>
      </c>
    </row>
    <row r="1627">
      <c r="A1627" t="str">
        <f>A1615</f>
        <v>Lantai 1</v>
      </c>
      <c r="B1627">
        <f>B1615</f>
        <v>52</v>
      </c>
      <c r="C1627" t="str">
        <v>Tul Peminggang</v>
      </c>
      <c r="D1627">
        <f>VLOOKUP(D1615,'Detail Balok'!$C$10:$AU$140,13,FALSE)</f>
        <v>2</v>
      </c>
      <c r="E1627" t="str">
        <v>D</v>
      </c>
      <c r="F1627">
        <f>VLOOKUP(D1615,'Detail Balok'!$C$10:$AU$140,15,FALSE)</f>
        <v>10</v>
      </c>
      <c r="J1627">
        <f>+D1617/1000</f>
        <v>1.3</v>
      </c>
      <c r="K1627" t="str">
        <v>+</v>
      </c>
      <c r="L1627">
        <f>2*$F$16*F1627/1000</f>
        <v>0.24</v>
      </c>
      <c r="M1627" t="str">
        <v>=</v>
      </c>
      <c r="N1627">
        <f>J1627+L1627</f>
        <v>1.54</v>
      </c>
      <c r="O1627" t="str">
        <v>+</v>
      </c>
      <c r="P1627">
        <f>IF(N1627&gt;12,ROUNDDOWN(N1627/12,0),0)</f>
        <v>0</v>
      </c>
      <c r="Q1627" t="str">
        <v>x</v>
      </c>
      <c r="R1627">
        <f>IF(P1627&gt;0,MAX(VLOOKUP(F1627,$D$6:$G$15,3,FALSE),600),0)/1000</f>
        <v>0</v>
      </c>
      <c r="T1627" t="str">
        <v>x</v>
      </c>
      <c r="U1627">
        <f>0.006165*F1627^2</f>
        <v>0.6165</v>
      </c>
      <c r="V1627" t="str">
        <v>x</v>
      </c>
      <c r="W1627">
        <f>+D1627</f>
        <v>2</v>
      </c>
      <c r="X1627" t="str">
        <v>x</v>
      </c>
      <c r="Y1627">
        <f>D1621</f>
        <v>1</v>
      </c>
      <c r="Z1627" t="str">
        <v>=</v>
      </c>
      <c r="AA1627">
        <f>(N1627+P1627*R1627/1000)*U1627*W1627*Y1627</f>
        <v>1.8988200000000002</v>
      </c>
    </row>
    <row r="1630">
      <c r="A1630" t="str">
        <f>A1615</f>
        <v>Lantai 1</v>
      </c>
      <c r="B1630">
        <f>B1615</f>
        <v>52</v>
      </c>
      <c r="C1630" t="str">
        <v>Tul Bawah Tumpuan</v>
      </c>
      <c r="D1630">
        <f>VLOOKUP(D1615,'Detail Balok'!$C$10:$AU$140,22,FALSE)</f>
        <v>3</v>
      </c>
      <c r="E1630" t="str">
        <v>D</v>
      </c>
      <c r="F1630">
        <f>VLOOKUP(D1615,'Detail Balok'!$C$10:$AU$140,24,FALSE)</f>
        <v>16</v>
      </c>
      <c r="I1630" t="str">
        <v>(</v>
      </c>
      <c r="J1630">
        <f>+J1622</f>
        <v>0.325</v>
      </c>
      <c r="K1630" t="str">
        <v>+</v>
      </c>
      <c r="L1630">
        <f>MAX(VLOOKUP(F1630,N$6:P$15,3,FALSE)/1000,2/3*D1620/1000)+F$16*F1630/1000</f>
        <v>0.192</v>
      </c>
      <c r="M1630" t="str">
        <v>=</v>
      </c>
      <c r="N1630">
        <f>J1630+L1630</f>
        <v>0.517</v>
      </c>
      <c r="O1630" t="str">
        <v>+</v>
      </c>
      <c r="P1630">
        <f>D1630-D1631</f>
        <v>0</v>
      </c>
      <c r="Q1630" t="str">
        <v>x</v>
      </c>
      <c r="R1630">
        <f>IF(P1630&gt;0,$F$18*F1630/1000,0)</f>
        <v>0</v>
      </c>
      <c r="S1630" t="str">
        <v>)</v>
      </c>
      <c r="T1630" t="str">
        <v>x</v>
      </c>
      <c r="U1630">
        <f>0.006165*F1630^2</f>
        <v>1.57824</v>
      </c>
      <c r="X1630" t="str">
        <v>x</v>
      </c>
      <c r="Y1630">
        <f>D1621</f>
        <v>1</v>
      </c>
      <c r="Z1630" t="str">
        <v>=</v>
      </c>
      <c r="AA1630">
        <f>IF(AA1633=0,(D1630*N1630+P1630*R1630)*U1630*Y1630,0)</f>
        <v>0</v>
      </c>
    </row>
    <row r="1631">
      <c r="A1631" t="str">
        <f>A1615</f>
        <v>Lantai 1</v>
      </c>
      <c r="B1631">
        <f>B1615</f>
        <v>52</v>
      </c>
      <c r="C1631" t="str">
        <v>Tul Bawah Lapangan</v>
      </c>
      <c r="D1631">
        <f>VLOOKUP(D1615,'Detail Balok'!$C$10:$AU$140,25,FALSE)</f>
        <v>3</v>
      </c>
      <c r="E1631" t="str">
        <v>D</v>
      </c>
      <c r="F1631">
        <f>VLOOKUP(D1615,'Detail Balok'!$C$10:$AU$140,27,FALSE)</f>
        <v>16</v>
      </c>
      <c r="I1631" t="str">
        <v>(</v>
      </c>
      <c r="J1631">
        <f>+J1623</f>
        <v>0.65</v>
      </c>
      <c r="K1631" t="str">
        <v>+</v>
      </c>
      <c r="M1631" t="str">
        <v>=</v>
      </c>
      <c r="N1631">
        <f>J1631+L1631</f>
        <v>0.65</v>
      </c>
      <c r="O1631" t="str">
        <v>+</v>
      </c>
      <c r="P1631">
        <f>MAX(D1631-D1630,D1631-D1632)</f>
        <v>0</v>
      </c>
      <c r="Q1631" t="str">
        <v>x</v>
      </c>
      <c r="R1631">
        <f>IF(P1631&gt;0,2*(1-2*$F$19-1/2)*D1618/1000,0)</f>
        <v>0</v>
      </c>
      <c r="S1631" t="str">
        <v>)</v>
      </c>
      <c r="T1631" t="str">
        <v>x</v>
      </c>
      <c r="U1631">
        <f>0.006165*F1631^2</f>
        <v>1.57824</v>
      </c>
      <c r="X1631" t="str">
        <v>x</v>
      </c>
      <c r="Y1631">
        <f>D1621</f>
        <v>1</v>
      </c>
      <c r="Z1631" t="str">
        <v>=</v>
      </c>
      <c r="AA1631">
        <f>IF(AA1633=0,(D1631*N1631+P1631*R1631)*U1631*Y1631,0)</f>
        <v>0</v>
      </c>
    </row>
    <row r="1632">
      <c r="A1632" t="str">
        <f>A1615</f>
        <v>Lantai 1</v>
      </c>
      <c r="B1632">
        <f>B1615</f>
        <v>52</v>
      </c>
      <c r="C1632" t="str">
        <v>Tul Bawah Tumpuan</v>
      </c>
      <c r="D1632">
        <f>VLOOKUP(D1615,'Detail Balok'!$C$10:$AU$140,28,FALSE)</f>
        <v>3</v>
      </c>
      <c r="E1632" t="str">
        <v>D</v>
      </c>
      <c r="F1632">
        <f>VLOOKUP(D1615,'Detail Balok'!$C$10:$AU$140,30,FALSE)</f>
        <v>16</v>
      </c>
      <c r="I1632" t="str">
        <v>(</v>
      </c>
      <c r="J1632">
        <f>+J1624</f>
        <v>0.325</v>
      </c>
      <c r="K1632" t="str">
        <v>+</v>
      </c>
      <c r="L1632">
        <f>MAX(VLOOKUP(F1632,N$6:P$15,3,FALSE)/1000,2/3*D1620/1000)+F$16*F1632/1000</f>
        <v>0.192</v>
      </c>
      <c r="M1632" t="str">
        <v>=</v>
      </c>
      <c r="N1632">
        <f>J1632+L1632</f>
        <v>0.517</v>
      </c>
      <c r="O1632" t="str">
        <v>+</v>
      </c>
      <c r="P1632">
        <f>D1632-D1631</f>
        <v>0</v>
      </c>
      <c r="Q1632" t="str">
        <v>x</v>
      </c>
      <c r="R1632">
        <f>IF(P1632&gt;0,$F$18*F1632/1000,0)</f>
        <v>0</v>
      </c>
      <c r="S1632" t="str">
        <v>)</v>
      </c>
      <c r="T1632" t="str">
        <v>x</v>
      </c>
      <c r="U1632">
        <f>0.006165*F1632^2</f>
        <v>1.57824</v>
      </c>
      <c r="X1632" t="str">
        <v>x</v>
      </c>
      <c r="Y1632">
        <f>D1621</f>
        <v>1</v>
      </c>
      <c r="Z1632" t="str">
        <v>=</v>
      </c>
      <c r="AA1632">
        <f>IF(AA1633=0,(D1632*N1632+P1632*R1632)*U1632*Y1632,0)</f>
        <v>0</v>
      </c>
    </row>
    <row r="1633">
      <c r="A1633" t="str">
        <f>A1615</f>
        <v>Lantai 1</v>
      </c>
      <c r="B1633">
        <f>B1615</f>
        <v>52</v>
      </c>
      <c r="D1633">
        <f>IF(AND(D1630=D1631,D1631=D1632,D1630=D1632),D1630,0)</f>
        <v>3</v>
      </c>
      <c r="E1633" t="str">
        <v>D</v>
      </c>
      <c r="F1633">
        <f>IF(AND(F1630=F1631,F1630=F1632,F1631=F1632),F1630,0)</f>
        <v>16</v>
      </c>
      <c r="L1633" t="str">
        <v>Total panjang per balok</v>
      </c>
      <c r="M1633" t="str">
        <v>=</v>
      </c>
      <c r="N1633">
        <f>IF(AND(D1630=D1631,D1630=D1632,D1631=D1632,F1630=F1631,F1630=F1632,F1631=F1632),SUM(N1630:N1632),0)</f>
        <v>1.6840000000000002</v>
      </c>
      <c r="O1633" t="str">
        <v>+</v>
      </c>
      <c r="P1633">
        <f>IF(N1633&gt;12,ROUNDDOWN(N1633/12,0),0)</f>
        <v>0</v>
      </c>
      <c r="Q1633" t="str">
        <v>x</v>
      </c>
      <c r="R1633">
        <f>IF(P1633&gt;0,MAX(VLOOKUP(F1633,$D$6:$G$15,3,FALSE),600),0)/1000</f>
        <v>0</v>
      </c>
      <c r="T1633" t="str">
        <v>x</v>
      </c>
      <c r="U1633">
        <f>U1632</f>
        <v>1.57824</v>
      </c>
      <c r="V1633" t="str">
        <v>x</v>
      </c>
      <c r="W1633">
        <f>D1633</f>
        <v>3</v>
      </c>
      <c r="X1633" t="str">
        <v>x</v>
      </c>
      <c r="Y1633">
        <f>Y1632</f>
        <v>1</v>
      </c>
      <c r="Z1633" t="str">
        <v>=</v>
      </c>
      <c r="AA1633">
        <f>(N1633+P1633*R1633/1000)*U1633*W1633*Y1633</f>
        <v>7.9732684800000015</v>
      </c>
    </row>
    <row r="1635">
      <c r="A1635" t="str">
        <f>A1615</f>
        <v>Lantai 1</v>
      </c>
      <c r="B1635">
        <f>B1615</f>
        <v>52</v>
      </c>
      <c r="C1635" t="str">
        <v>Sengkang Tumpuan</v>
      </c>
      <c r="D1635">
        <f>VLOOKUP(D1615,'Detail Balok'!$C$10:$AU$140,31,FALSE)</f>
        <v>0</v>
      </c>
      <c r="E1635" t="str">
        <v>D</v>
      </c>
      <c r="F1635">
        <f>VLOOKUP(D1615,'Detail Balok'!$C$10:$AU$140,33,FALSE)</f>
        <v>8</v>
      </c>
      <c r="G1635" t="str">
        <v>-</v>
      </c>
      <c r="H1635">
        <f>VLOOKUP(D1615,'Detail Balok'!$C$10:$AU$140,35,FALSE)</f>
        <v>150</v>
      </c>
      <c r="J1635">
        <f>(IF(D1635=0,(2*(D1616+G1616))-(F$5*8),IF(D1635=3,(2*(D1616+G1616))-(F$5*8)+(G1616-2*F$5),IF(D1635=4,(2*(D1616+G1616))-(F$5*8)+2*(G1616-2*F$5)))))/1000</f>
        <v>1.08</v>
      </c>
      <c r="K1635" t="str">
        <v>+</v>
      </c>
      <c r="L1635">
        <f>IF(D1635=0,2*MAX(6*F1635,75),(D1635-1)*2*MAX(6*F1635,75))/1000</f>
        <v>0.15</v>
      </c>
      <c r="M1635" t="str">
        <v>=</v>
      </c>
      <c r="N1635">
        <f>J1635+L1635</f>
        <v>1.23</v>
      </c>
      <c r="T1635" t="str">
        <v>x</v>
      </c>
      <c r="U1635">
        <f>0.006165*F1635^2</f>
        <v>0.39456</v>
      </c>
      <c r="V1635" t="str">
        <v>x</v>
      </c>
      <c r="W1635">
        <f>IF(D1618&gt;4*G1616,ROUND(MAX(D1618/4,2*G1616)/H1635,0)+1,ROUND(D1618/H1635,0)+1)</f>
        <v>10</v>
      </c>
      <c r="X1635" t="str">
        <v>x</v>
      </c>
      <c r="Y1635">
        <f>D1621</f>
        <v>1</v>
      </c>
      <c r="Z1635" t="str">
        <v>=</v>
      </c>
      <c r="AA1635">
        <f>N1635*U1635*W1635*Y1635</f>
        <v>4.8530880000000005</v>
      </c>
    </row>
    <row r="1636">
      <c r="A1636" t="str">
        <f>A1615</f>
        <v>Lantai 1</v>
      </c>
      <c r="B1636">
        <f>B1615</f>
        <v>52</v>
      </c>
      <c r="C1636" t="str">
        <v>Sengkang Lapangan</v>
      </c>
      <c r="D1636">
        <f>VLOOKUP(D1615,'Detail Balok'!$C$10:$AU$140,36,FALSE)</f>
        <v>0</v>
      </c>
      <c r="E1636" t="str">
        <v>D</v>
      </c>
      <c r="F1636">
        <f>VLOOKUP(D1615,'Detail Balok'!$C$10:$AU$140,38,FALSE)</f>
        <v>8</v>
      </c>
      <c r="G1636" t="str">
        <v>-</v>
      </c>
      <c r="H1636">
        <f>VLOOKUP(D1615,'Detail Balok'!$C$10:$AU$140,40,FALSE)</f>
        <v>200</v>
      </c>
      <c r="J1636">
        <f>(IF(D1636=0,(2*(D1616+G1616))-(F$5*8),IF(D1636=3,(2*(D1616+G1616))-(F$5*8)+(G1616-2*F$5),IF(D1636=4,(2*(D1616+G1616))-(F$5*8)+2*(G1616-2*F$5)))))/1000</f>
        <v>1.08</v>
      </c>
      <c r="K1636" t="str">
        <v>+</v>
      </c>
      <c r="L1636">
        <f>IF(D1636=0,2*MAX(6*F1636,75),(D1636-1)*2*MAX(6*F1636,75))/1000</f>
        <v>0.15</v>
      </c>
      <c r="M1636" t="str">
        <v>=</v>
      </c>
      <c r="N1636">
        <f>J1636+L1636</f>
        <v>1.23</v>
      </c>
      <c r="T1636" t="str">
        <v>x</v>
      </c>
      <c r="U1636">
        <f>0.006165*F1636^2</f>
        <v>0.39456</v>
      </c>
      <c r="V1636" t="str">
        <v>x</v>
      </c>
      <c r="W1636">
        <f>IF(D1618-MAX(D1618/4,2*G1616)*2&gt;0,ROUND((D1618-MAX(D1618/4,2*G1616)*2)/H1636,0),0)</f>
        <v>0</v>
      </c>
      <c r="X1636" t="str">
        <v>x</v>
      </c>
      <c r="Y1636">
        <f>D1621</f>
        <v>1</v>
      </c>
      <c r="Z1636" t="str">
        <v>=</v>
      </c>
      <c r="AA1636">
        <f>N1636*U1636*W1636*Y1636</f>
        <v>0</v>
      </c>
    </row>
    <row r="1637">
      <c r="A1637" t="str">
        <f>A1615</f>
        <v>Lantai 1</v>
      </c>
      <c r="B1637">
        <f>B1615</f>
        <v>52</v>
      </c>
      <c r="C1637" t="str">
        <v>Sengkang Tumpuan</v>
      </c>
      <c r="D1637">
        <f>VLOOKUP(D1615,'Detail Balok'!$C$10:$AU$140,41,FALSE)</f>
        <v>0</v>
      </c>
      <c r="E1637" t="str">
        <v>D</v>
      </c>
      <c r="F1637">
        <f>VLOOKUP(D1615,'Detail Balok'!$C$10:$AU$140,43,FALSE)</f>
        <v>8</v>
      </c>
      <c r="G1637" t="str">
        <v>-</v>
      </c>
      <c r="H1637">
        <f>VLOOKUP(D1615,'Detail Balok'!$C$10:$AU$140,45,FALSE)</f>
        <v>150</v>
      </c>
      <c r="J1637">
        <f>(IF(D1637=0,(2*(D1616+G1616))-(F$5*8),IF(D1637=3,(2*(D1616+G1616))-(F$5*8)+(G1616-2*F$5),IF(D1637=4,(2*(D1616+G1616))-(F$5*8)+2*(G1616-2*F$5)))))/1000</f>
        <v>1.08</v>
      </c>
      <c r="K1637" t="str">
        <v>+</v>
      </c>
      <c r="L1637">
        <f>IF(D1637=0,2*MAX(6*F1637,75),(D1637-1)*2*MAX(6*F1637,75))/1000</f>
        <v>0.15</v>
      </c>
      <c r="M1637" t="str">
        <v>=</v>
      </c>
      <c r="N1637">
        <f>J1637+L1637</f>
        <v>1.23</v>
      </c>
      <c r="T1637" t="str">
        <v>x</v>
      </c>
      <c r="U1637">
        <f>0.006165*F1637^2</f>
        <v>0.39456</v>
      </c>
      <c r="V1637" t="str">
        <v>x</v>
      </c>
      <c r="W1637">
        <f>IF(D1618&gt;4*G1616,ROUND(MAX(D1618/4,2*G1616)/H1637,0)+1,0)</f>
        <v>0</v>
      </c>
      <c r="X1637" t="str">
        <v>x</v>
      </c>
      <c r="Y1637">
        <f>D1621</f>
        <v>1</v>
      </c>
      <c r="Z1637" t="str">
        <v>=</v>
      </c>
      <c r="AA1637">
        <f>N1637*U1637*W1637*Y1637</f>
        <v>0</v>
      </c>
    </row>
    <row r="1639">
      <c r="A1639" t="str">
        <f>A1615</f>
        <v>Lantai 1</v>
      </c>
      <c r="B1639">
        <f>B1615</f>
        <v>52</v>
      </c>
      <c r="C1639" t="str">
        <v>Kait Horizontal Tump.</v>
      </c>
      <c r="D1639">
        <f>VLOOKUP(D1615,'Detail Balok'!$C$10:$BJ$140,46,FALSE)</f>
        <v>0</v>
      </c>
      <c r="E1639" t="str">
        <v>D</v>
      </c>
      <c r="F1639">
        <f>VLOOKUP(D1615,'Detail Balok'!$C$10:$BJ$140,48,FALSE)</f>
        <v>0</v>
      </c>
      <c r="G1639" t="str">
        <v>-</v>
      </c>
      <c r="H1639">
        <f>VLOOKUP(D1615,'Detail Balok'!$C$10:$BJ$140,50,FALSE)</f>
        <v>100</v>
      </c>
      <c r="J1639">
        <f>(D1616-2*F$5)/1000</f>
        <v>0.12</v>
      </c>
      <c r="K1639" t="str">
        <v>+</v>
      </c>
      <c r="L1639">
        <f>IF(D1639=0,2*MAX(6*F1639,75),(D1639-1)*2*MAX(6*F1639,75))/1000</f>
        <v>0.15</v>
      </c>
      <c r="M1639" t="str">
        <v>=</v>
      </c>
      <c r="N1639">
        <f>J1639+L1639</f>
        <v>0.27</v>
      </c>
      <c r="T1639" t="str">
        <v>x</v>
      </c>
      <c r="U1639">
        <f>0.006165*F1639^2</f>
        <v>0</v>
      </c>
      <c r="V1639" t="str">
        <v>x</v>
      </c>
      <c r="W1639">
        <f>W1635</f>
        <v>10</v>
      </c>
      <c r="X1639" t="str">
        <v>x</v>
      </c>
      <c r="Y1639">
        <f>D1625</f>
        <v>3</v>
      </c>
      <c r="Z1639" t="str">
        <v>=</v>
      </c>
      <c r="AA1639">
        <f>N1639*U1639*W1639*Y1639</f>
        <v>0</v>
      </c>
    </row>
    <row r="1640">
      <c r="A1640" t="str">
        <f>A1615</f>
        <v>Lantai 1</v>
      </c>
      <c r="B1640">
        <f>B1615</f>
        <v>52</v>
      </c>
      <c r="C1640" t="str">
        <v>Kait Horizontal Lap.</v>
      </c>
      <c r="D1640">
        <f>VLOOKUP(D1615,'Detail Balok'!$C$10:$BJ$140,51,FALSE)</f>
        <v>0</v>
      </c>
      <c r="E1640" t="str">
        <v>D</v>
      </c>
      <c r="F1640">
        <f>VLOOKUP(D1615,'Detail Balok'!$C$10:$BJ$140,53,FALSE)</f>
        <v>0</v>
      </c>
      <c r="G1640" t="str">
        <v>-</v>
      </c>
      <c r="H1640">
        <f>VLOOKUP(D1615,'Detail Balok'!$C$10:$BJ$140,55,FALSE)</f>
        <v>100</v>
      </c>
      <c r="J1640">
        <f>(D1616-2*F$5)/1000</f>
        <v>0.12</v>
      </c>
      <c r="K1640" t="str">
        <v>+</v>
      </c>
      <c r="L1640">
        <f>IF(D1640=0,2*MAX(6*F1640,75),(D1640-1)*2*MAX(6*F1640,75))/1000</f>
        <v>0.15</v>
      </c>
      <c r="M1640" t="str">
        <v>=</v>
      </c>
      <c r="N1640">
        <f>J1640+L1640</f>
        <v>0.27</v>
      </c>
      <c r="T1640" t="str">
        <v>x</v>
      </c>
      <c r="U1640">
        <f>0.006165*F1640^2</f>
        <v>0</v>
      </c>
      <c r="V1640" t="str">
        <v>x</v>
      </c>
      <c r="W1640">
        <f>W1636</f>
        <v>0</v>
      </c>
      <c r="X1640" t="str">
        <v>x</v>
      </c>
      <c r="Y1640">
        <f>D1625</f>
        <v>3</v>
      </c>
      <c r="Z1640" t="str">
        <v>=</v>
      </c>
      <c r="AA1640">
        <f>N1640*U1640*W1640*Y1640</f>
        <v>0</v>
      </c>
    </row>
    <row r="1641">
      <c r="A1641" t="str">
        <f>A1615</f>
        <v>Lantai 1</v>
      </c>
      <c r="B1641">
        <f>B1615</f>
        <v>52</v>
      </c>
      <c r="C1641" t="str">
        <v>Kait Horizontal Tump.</v>
      </c>
      <c r="D1641">
        <f>VLOOKUP(D1615,'Detail Balok'!$C$10:$BJ$140,56,FALSE)</f>
        <v>0</v>
      </c>
      <c r="E1641" t="str">
        <v>D</v>
      </c>
      <c r="F1641">
        <f>VLOOKUP(D1615,'Detail Balok'!$C$10:$BJ$140,58,FALSE)</f>
        <v>0</v>
      </c>
      <c r="G1641" t="str">
        <v>-</v>
      </c>
      <c r="H1641">
        <f>VLOOKUP(D1615,'Detail Balok'!$C$10:$BJ$140,60,FALSE)</f>
        <v>100</v>
      </c>
      <c r="J1641">
        <f>(D1616-2*F$5)/1000</f>
        <v>0.12</v>
      </c>
      <c r="K1641" t="str">
        <v>+</v>
      </c>
      <c r="L1641">
        <f>IF(D1641=0,2*MAX(6*F1641,75),(D1641-1)*2*MAX(6*F1641,75))/1000</f>
        <v>0.15</v>
      </c>
      <c r="M1641" t="str">
        <v>=</v>
      </c>
      <c r="N1641">
        <f>J1641+L1641</f>
        <v>0.27</v>
      </c>
      <c r="T1641" t="str">
        <v>x</v>
      </c>
      <c r="U1641">
        <f>0.006165*F1641^2</f>
        <v>0</v>
      </c>
      <c r="V1641" t="str">
        <v>x</v>
      </c>
      <c r="W1641">
        <f>W1637</f>
        <v>0</v>
      </c>
      <c r="X1641" t="str">
        <v>x</v>
      </c>
      <c r="Y1641">
        <f>D1625</f>
        <v>3</v>
      </c>
      <c r="Z1641" t="str">
        <v>=</v>
      </c>
      <c r="AA1641">
        <f>N1641*U1641*W1641*Y1641</f>
        <v>0</v>
      </c>
    </row>
    <row r="1645">
      <c r="A1645" t="str">
        <f>A1615</f>
        <v>Lantai 1</v>
      </c>
      <c r="B1645">
        <f>B1615+1</f>
        <v>53</v>
      </c>
      <c r="C1645" t="str">
        <f>CONCATENATE(A1645," no. ",B1645)</f>
        <v>Lantai 1 no. 53</v>
      </c>
      <c r="D1645" t="str">
        <f>VLOOKUP(C1645,'Data Panjang Balok'!$C$9:$N$254,2,FALSE)</f>
        <v>S24-1</v>
      </c>
    </row>
    <row r="1646">
      <c r="C1646" t="str">
        <v>Dimensi</v>
      </c>
      <c r="D1646">
        <f>VLOOKUP(D1645,'Detail Balok'!$C$10:$AU$140,2,FALSE)</f>
        <v>200</v>
      </c>
      <c r="F1646" t="str">
        <v>x</v>
      </c>
      <c r="G1646">
        <f>VLOOKUP(D1645,'Detail Balok'!$C$10:$AU$140,3,FALSE)</f>
        <v>400</v>
      </c>
    </row>
    <row r="1647">
      <c r="C1647" t="str">
        <v>Panjang as ke as</v>
      </c>
      <c r="D1647">
        <f>VLOOKUP(C1645,'Data Panjang Balok'!$C$9:$N$254,4,FALSE)</f>
        <v>4150</v>
      </c>
    </row>
    <row r="1648">
      <c r="C1648" t="str">
        <v>Panjang netto</v>
      </c>
      <c r="D1648">
        <f>VLOOKUP(C1645,'Data Panjang Balok'!$C$9:$N$254,7,FALSE)</f>
        <v>4150</v>
      </c>
    </row>
    <row r="1649">
      <c r="C1649" t="str">
        <v>Kolom / balok kiri</v>
      </c>
      <c r="D1649">
        <f>VLOOKUP(C1645,'Data Panjang Balok'!$C$9:$N$254,9,FALSE)</f>
        <v>0</v>
      </c>
    </row>
    <row r="1650">
      <c r="C1650" t="str">
        <v>Kolom / balok kanan</v>
      </c>
      <c r="D1650">
        <f>VLOOKUP(C1645,'Data Panjang Balok'!$C$9:$N$254,10,FALSE)</f>
        <v>0</v>
      </c>
    </row>
    <row r="1651">
      <c r="C1651" t="str">
        <v>Jumlah</v>
      </c>
      <c r="D1651">
        <f>VLOOKUP(C1645,'Data Panjang Balok'!$C$9:$N$254,3,FALSE)</f>
        <v>1</v>
      </c>
    </row>
    <row r="1652">
      <c r="A1652" t="str">
        <f>A1645</f>
        <v>Lantai 1</v>
      </c>
      <c r="B1652">
        <f>B1645</f>
        <v>53</v>
      </c>
      <c r="C1652" t="str">
        <v>Tul Atas Tumpuan</v>
      </c>
      <c r="D1652">
        <f>VLOOKUP(D1645,'Detail Balok'!$C$10:$AU$140,4,FALSE)</f>
        <v>3</v>
      </c>
      <c r="E1652" t="str">
        <v>D</v>
      </c>
      <c r="F1652">
        <f>VLOOKUP(D1645,'Detail Balok'!$C$10:$AU$140,6,FALSE)</f>
        <v>13</v>
      </c>
      <c r="I1652" t="str">
        <v>(</v>
      </c>
      <c r="J1652">
        <f>+D1647/4/1000</f>
        <v>1.0375</v>
      </c>
      <c r="K1652" t="str">
        <v>+</v>
      </c>
      <c r="L1652">
        <f>MAX(VLOOKUP(F1652,N$6:P$15,3,FALSE)/1000,2/3*D1649/1000)+F$16*F1652/1000</f>
        <v>0.156</v>
      </c>
      <c r="M1652" t="str">
        <v>=</v>
      </c>
      <c r="N1652">
        <f>J1652+L1652</f>
        <v>1.1935</v>
      </c>
      <c r="O1652" t="str">
        <v>+</v>
      </c>
      <c r="P1652">
        <f>D1652-D1653</f>
        <v>0</v>
      </c>
      <c r="Q1652" t="str">
        <v>x</v>
      </c>
      <c r="R1652">
        <f>IF(P1652&gt;0,$F$18*F1652/1000,0)</f>
        <v>0</v>
      </c>
      <c r="S1652" t="str">
        <v>)</v>
      </c>
      <c r="T1652" t="str">
        <v>x</v>
      </c>
      <c r="U1652">
        <f>0.006165*F1652^2</f>
        <v>1.041885</v>
      </c>
      <c r="X1652" t="str">
        <v>x</v>
      </c>
      <c r="Y1652">
        <f>D1651</f>
        <v>1</v>
      </c>
      <c r="Z1652" t="str">
        <v>=</v>
      </c>
      <c r="AA1652">
        <f>IF(AA1655=0,(D1652*N1652+P1652*R1652)*U1652*Y1652,0)</f>
        <v>0</v>
      </c>
    </row>
    <row r="1653">
      <c r="A1653" t="str">
        <f>A1645</f>
        <v>Lantai 1</v>
      </c>
      <c r="B1653">
        <f>B1645</f>
        <v>53</v>
      </c>
      <c r="C1653" t="str">
        <v>Tul Atas Lapangan</v>
      </c>
      <c r="D1653">
        <f>VLOOKUP(D1645,'Detail Balok'!$C$10:$AU$140,7,FALSE)</f>
        <v>3</v>
      </c>
      <c r="E1653" t="str">
        <v>D</v>
      </c>
      <c r="F1653">
        <f>VLOOKUP(D1645,'Detail Balok'!$C$10:$AU$140,9,FALSE)</f>
        <v>13</v>
      </c>
      <c r="I1653" t="str">
        <v>(</v>
      </c>
      <c r="J1653">
        <f>+D1647/2/1000</f>
        <v>2.075</v>
      </c>
      <c r="K1653" t="str">
        <v>+</v>
      </c>
      <c r="M1653" t="str">
        <v>=</v>
      </c>
      <c r="N1653">
        <f>J1653+L1653</f>
        <v>2.075</v>
      </c>
      <c r="O1653" t="str">
        <v>+</v>
      </c>
      <c r="P1653">
        <f>MAX(D1653-D1652,D1653-D1654)</f>
        <v>0</v>
      </c>
      <c r="Q1653" t="str">
        <v>x</v>
      </c>
      <c r="R1653">
        <f>IF(P1653&gt;0,2*(1-2*$F$19-1/2)*D1648/1000,0)</f>
        <v>0</v>
      </c>
      <c r="S1653" t="str">
        <v>)</v>
      </c>
      <c r="T1653" t="str">
        <v>x</v>
      </c>
      <c r="U1653">
        <f>0.006165*F1653^2</f>
        <v>1.041885</v>
      </c>
      <c r="X1653" t="str">
        <v>x</v>
      </c>
      <c r="Y1653">
        <f>D1651</f>
        <v>1</v>
      </c>
      <c r="Z1653" t="str">
        <v>=</v>
      </c>
      <c r="AA1653">
        <f>IF(AA1655=0,(D1653*N1653+P1653*R1653)*U1653*Y1653,0)</f>
        <v>0</v>
      </c>
    </row>
    <row r="1654">
      <c r="A1654" t="str">
        <f>A1645</f>
        <v>Lantai 1</v>
      </c>
      <c r="B1654">
        <f>B1645</f>
        <v>53</v>
      </c>
      <c r="C1654" t="str">
        <v>Tul Atas Tumpuan</v>
      </c>
      <c r="D1654">
        <f>VLOOKUP(D1645,'Detail Balok'!$C$10:$AU$140,10,FALSE)</f>
        <v>3</v>
      </c>
      <c r="E1654" t="str">
        <v>D</v>
      </c>
      <c r="F1654">
        <f>VLOOKUP(D1645,'Detail Balok'!$C$10:$AU$140,12,FALSE)</f>
        <v>13</v>
      </c>
      <c r="I1654" t="str">
        <v>(</v>
      </c>
      <c r="J1654">
        <f>+D1647/4/1000</f>
        <v>1.0375</v>
      </c>
      <c r="K1654" t="str">
        <v>+</v>
      </c>
      <c r="L1654">
        <f>MAX(VLOOKUP(F1654,N$6:P$15,3,FALSE)/1000,2/3*D1649/1000)+F$16*F1654/1000</f>
        <v>0.156</v>
      </c>
      <c r="M1654" t="str">
        <v>=</v>
      </c>
      <c r="N1654">
        <f>J1654+L1654</f>
        <v>1.1935</v>
      </c>
      <c r="O1654" t="str">
        <v>+</v>
      </c>
      <c r="P1654">
        <f>D1654-D1653</f>
        <v>0</v>
      </c>
      <c r="Q1654" t="str">
        <v>x</v>
      </c>
      <c r="R1654">
        <f>IF(P1654&gt;0,$F$18*F1654/1000,0)</f>
        <v>0</v>
      </c>
      <c r="S1654" t="str">
        <v>)</v>
      </c>
      <c r="T1654" t="str">
        <v>x</v>
      </c>
      <c r="U1654">
        <f>0.006165*F1654^2</f>
        <v>1.041885</v>
      </c>
      <c r="X1654" t="str">
        <v>x</v>
      </c>
      <c r="Y1654">
        <f>D1651</f>
        <v>1</v>
      </c>
      <c r="Z1654" t="str">
        <v>=</v>
      </c>
      <c r="AA1654">
        <f>IF(AA1655=0,(D1654*N1654+P1654*R1654)*U1654*Y1654,0)</f>
        <v>0</v>
      </c>
    </row>
    <row r="1655">
      <c r="A1655" t="str">
        <f>A1645</f>
        <v>Lantai 1</v>
      </c>
      <c r="B1655">
        <f>B1645</f>
        <v>53</v>
      </c>
      <c r="D1655">
        <f>IF(AND(D1652=D1653,D1653=D1654,D1652=D1654),D1652,0)</f>
        <v>3</v>
      </c>
      <c r="E1655" t="str">
        <v>D</v>
      </c>
      <c r="F1655">
        <f>IF(AND(F1652=F1653,F1652=F1654,F1653=F1654),F1652,0)</f>
        <v>13</v>
      </c>
      <c r="L1655" t="str">
        <v>Total panjang per balok</v>
      </c>
      <c r="M1655" t="str">
        <v>=</v>
      </c>
      <c r="N1655">
        <f>IF(AND(D1652=D1653,D1652=D1654,D1653=D1654,F1652=F1653,F1652=F1654,F1653=F1654),SUM(N1652:N1654),0)</f>
        <v>4.462000000000001</v>
      </c>
      <c r="O1655" t="str">
        <v>+</v>
      </c>
      <c r="P1655">
        <f>IF(N1655&gt;12,ROUNDDOWN(N1655/12,0),0)</f>
        <v>0</v>
      </c>
      <c r="Q1655" t="str">
        <v>x</v>
      </c>
      <c r="R1655">
        <f>IF(P1655&gt;0,MAX(VLOOKUP(F1655,$D$6:$G$15,3,FALSE),600),0)/1000</f>
        <v>0</v>
      </c>
      <c r="T1655" t="str">
        <v>x</v>
      </c>
      <c r="U1655">
        <f>U1654</f>
        <v>1.041885</v>
      </c>
      <c r="V1655" t="str">
        <v>x</v>
      </c>
      <c r="W1655">
        <f>D1655</f>
        <v>3</v>
      </c>
      <c r="X1655" t="str">
        <v>x</v>
      </c>
      <c r="Y1655">
        <f>Y1654</f>
        <v>1</v>
      </c>
      <c r="Z1655" t="str">
        <v>=</v>
      </c>
      <c r="AA1655">
        <f>(N1655+P1655*R1655/1000)*U1655*W1655*Y1655</f>
        <v>13.946672610000002</v>
      </c>
    </row>
    <row r="1657">
      <c r="A1657" t="str">
        <f>A1645</f>
        <v>Lantai 1</v>
      </c>
      <c r="B1657">
        <f>B1645</f>
        <v>53</v>
      </c>
      <c r="C1657" t="str">
        <v>Tul Peminggang</v>
      </c>
      <c r="D1657">
        <f>VLOOKUP(D1645,'Detail Balok'!$C$10:$AU$140,13,FALSE)</f>
        <v>0</v>
      </c>
      <c r="E1657" t="str">
        <v>D</v>
      </c>
      <c r="F1657">
        <f>VLOOKUP(D1645,'Detail Balok'!$C$10:$AU$140,15,FALSE)</f>
        <v>8</v>
      </c>
      <c r="J1657">
        <f>+D1647/1000</f>
        <v>4.15</v>
      </c>
      <c r="K1657" t="str">
        <v>+</v>
      </c>
      <c r="L1657">
        <f>2*$F$16*F1657/1000</f>
        <v>0.192</v>
      </c>
      <c r="M1657" t="str">
        <v>=</v>
      </c>
      <c r="N1657">
        <f>J1657+L1657</f>
        <v>4.3420000000000005</v>
      </c>
      <c r="O1657" t="str">
        <v>+</v>
      </c>
      <c r="P1657">
        <f>IF(N1657&gt;12,ROUNDDOWN(N1657/12,0),0)</f>
        <v>0</v>
      </c>
      <c r="Q1657" t="str">
        <v>x</v>
      </c>
      <c r="R1657">
        <f>IF(P1657&gt;0,MAX(VLOOKUP(F1657,$D$6:$G$15,3,FALSE),600),0)/1000</f>
        <v>0</v>
      </c>
      <c r="T1657" t="str">
        <v>x</v>
      </c>
      <c r="U1657">
        <f>0.006165*F1657^2</f>
        <v>0.39456</v>
      </c>
      <c r="V1657" t="str">
        <v>x</v>
      </c>
      <c r="W1657">
        <f>+D1657</f>
        <v>0</v>
      </c>
      <c r="X1657" t="str">
        <v>x</v>
      </c>
      <c r="Y1657">
        <f>D1651</f>
        <v>1</v>
      </c>
      <c r="Z1657" t="str">
        <v>=</v>
      </c>
      <c r="AA1657">
        <f>(N1657+P1657*R1657/1000)*U1657*W1657*Y1657</f>
        <v>0</v>
      </c>
    </row>
    <row r="1660">
      <c r="A1660" t="str">
        <f>A1645</f>
        <v>Lantai 1</v>
      </c>
      <c r="B1660">
        <f>B1645</f>
        <v>53</v>
      </c>
      <c r="C1660" t="str">
        <v>Tul Bawah Tumpuan</v>
      </c>
      <c r="D1660">
        <f>VLOOKUP(D1645,'Detail Balok'!$C$10:$AU$140,22,FALSE)</f>
        <v>3</v>
      </c>
      <c r="E1660" t="str">
        <v>D</v>
      </c>
      <c r="F1660">
        <f>VLOOKUP(D1645,'Detail Balok'!$C$10:$AU$140,24,FALSE)</f>
        <v>13</v>
      </c>
      <c r="I1660" t="str">
        <v>(</v>
      </c>
      <c r="J1660">
        <f>+J1652</f>
        <v>1.0375</v>
      </c>
      <c r="K1660" t="str">
        <v>+</v>
      </c>
      <c r="L1660">
        <f>MAX(VLOOKUP(F1660,N$6:P$15,3,FALSE)/1000,2/3*D1650/1000)+F$16*F1660/1000</f>
        <v>0.156</v>
      </c>
      <c r="M1660" t="str">
        <v>=</v>
      </c>
      <c r="N1660">
        <f>J1660+L1660</f>
        <v>1.1935</v>
      </c>
      <c r="O1660" t="str">
        <v>+</v>
      </c>
      <c r="P1660">
        <f>D1660-D1661</f>
        <v>0</v>
      </c>
      <c r="Q1660" t="str">
        <v>x</v>
      </c>
      <c r="R1660">
        <f>IF(P1660&gt;0,$F$18*F1660/1000,0)</f>
        <v>0</v>
      </c>
      <c r="S1660" t="str">
        <v>)</v>
      </c>
      <c r="T1660" t="str">
        <v>x</v>
      </c>
      <c r="U1660">
        <f>0.006165*F1660^2</f>
        <v>1.041885</v>
      </c>
      <c r="X1660" t="str">
        <v>x</v>
      </c>
      <c r="Y1660">
        <f>D1651</f>
        <v>1</v>
      </c>
      <c r="Z1660" t="str">
        <v>=</v>
      </c>
      <c r="AA1660">
        <f>IF(AA1663=0,(D1660*N1660+P1660*R1660)*U1660*Y1660,0)</f>
        <v>0</v>
      </c>
    </row>
    <row r="1661">
      <c r="A1661" t="str">
        <f>A1645</f>
        <v>Lantai 1</v>
      </c>
      <c r="B1661">
        <f>B1645</f>
        <v>53</v>
      </c>
      <c r="C1661" t="str">
        <v>Tul Bawah Lapangan</v>
      </c>
      <c r="D1661">
        <f>VLOOKUP(D1645,'Detail Balok'!$C$10:$AU$140,25,FALSE)</f>
        <v>3</v>
      </c>
      <c r="E1661" t="str">
        <v>D</v>
      </c>
      <c r="F1661">
        <f>VLOOKUP(D1645,'Detail Balok'!$C$10:$AU$140,27,FALSE)</f>
        <v>13</v>
      </c>
      <c r="I1661" t="str">
        <v>(</v>
      </c>
      <c r="J1661">
        <f>+J1653</f>
        <v>2.075</v>
      </c>
      <c r="K1661" t="str">
        <v>+</v>
      </c>
      <c r="M1661" t="str">
        <v>=</v>
      </c>
      <c r="N1661">
        <f>J1661+L1661</f>
        <v>2.075</v>
      </c>
      <c r="O1661" t="str">
        <v>+</v>
      </c>
      <c r="P1661">
        <f>MAX(D1661-D1660,D1661-D1662)</f>
        <v>0</v>
      </c>
      <c r="Q1661" t="str">
        <v>x</v>
      </c>
      <c r="R1661">
        <f>IF(P1661&gt;0,2*(1-2*$F$19-1/2)*D1648/1000,0)</f>
        <v>0</v>
      </c>
      <c r="S1661" t="str">
        <v>)</v>
      </c>
      <c r="T1661" t="str">
        <v>x</v>
      </c>
      <c r="U1661">
        <f>0.006165*F1661^2</f>
        <v>1.041885</v>
      </c>
      <c r="X1661" t="str">
        <v>x</v>
      </c>
      <c r="Y1661">
        <f>D1651</f>
        <v>1</v>
      </c>
      <c r="Z1661" t="str">
        <v>=</v>
      </c>
      <c r="AA1661">
        <f>IF(AA1663=0,(D1661*N1661+P1661*R1661)*U1661*Y1661,0)</f>
        <v>0</v>
      </c>
    </row>
    <row r="1662">
      <c r="A1662" t="str">
        <f>A1645</f>
        <v>Lantai 1</v>
      </c>
      <c r="B1662">
        <f>B1645</f>
        <v>53</v>
      </c>
      <c r="C1662" t="str">
        <v>Tul Bawah Tumpuan</v>
      </c>
      <c r="D1662">
        <f>VLOOKUP(D1645,'Detail Balok'!$C$10:$AU$140,28,FALSE)</f>
        <v>3</v>
      </c>
      <c r="E1662" t="str">
        <v>D</v>
      </c>
      <c r="F1662">
        <f>VLOOKUP(D1645,'Detail Balok'!$C$10:$AU$140,30,FALSE)</f>
        <v>13</v>
      </c>
      <c r="I1662" t="str">
        <v>(</v>
      </c>
      <c r="J1662">
        <f>+J1654</f>
        <v>1.0375</v>
      </c>
      <c r="K1662" t="str">
        <v>+</v>
      </c>
      <c r="L1662">
        <f>MAX(VLOOKUP(F1662,N$6:P$15,3,FALSE)/1000,2/3*D1650/1000)+F$16*F1662/1000</f>
        <v>0.156</v>
      </c>
      <c r="M1662" t="str">
        <v>=</v>
      </c>
      <c r="N1662">
        <f>J1662+L1662</f>
        <v>1.1935</v>
      </c>
      <c r="O1662" t="str">
        <v>+</v>
      </c>
      <c r="P1662">
        <f>D1662-D1661</f>
        <v>0</v>
      </c>
      <c r="Q1662" t="str">
        <v>x</v>
      </c>
      <c r="R1662">
        <f>IF(P1662&gt;0,$F$18*F1662/1000,0)</f>
        <v>0</v>
      </c>
      <c r="S1662" t="str">
        <v>)</v>
      </c>
      <c r="T1662" t="str">
        <v>x</v>
      </c>
      <c r="U1662">
        <f>0.006165*F1662^2</f>
        <v>1.041885</v>
      </c>
      <c r="X1662" t="str">
        <v>x</v>
      </c>
      <c r="Y1662">
        <f>D1651</f>
        <v>1</v>
      </c>
      <c r="Z1662" t="str">
        <v>=</v>
      </c>
      <c r="AA1662">
        <f>IF(AA1663=0,(D1662*N1662+P1662*R1662)*U1662*Y1662,0)</f>
        <v>0</v>
      </c>
    </row>
    <row r="1663">
      <c r="A1663" t="str">
        <f>A1645</f>
        <v>Lantai 1</v>
      </c>
      <c r="B1663">
        <f>B1645</f>
        <v>53</v>
      </c>
      <c r="D1663">
        <f>IF(AND(D1660=D1661,D1661=D1662,D1660=D1662),D1660,0)</f>
        <v>3</v>
      </c>
      <c r="E1663" t="str">
        <v>D</v>
      </c>
      <c r="F1663">
        <f>IF(AND(F1660=F1661,F1660=F1662,F1661=F1662),F1660,0)</f>
        <v>13</v>
      </c>
      <c r="L1663" t="str">
        <v>Total panjang per balok</v>
      </c>
      <c r="M1663" t="str">
        <v>=</v>
      </c>
      <c r="N1663">
        <f>IF(AND(D1660=D1661,D1660=D1662,D1661=D1662,F1660=F1661,F1660=F1662,F1661=F1662),SUM(N1660:N1662),0)</f>
        <v>4.462000000000001</v>
      </c>
      <c r="O1663" t="str">
        <v>+</v>
      </c>
      <c r="P1663">
        <f>IF(N1663&gt;12,ROUNDDOWN(N1663/12,0),0)</f>
        <v>0</v>
      </c>
      <c r="Q1663" t="str">
        <v>x</v>
      </c>
      <c r="R1663">
        <f>IF(P1663&gt;0,MAX(VLOOKUP(F1663,$D$6:$G$15,3,FALSE),600),0)/1000</f>
        <v>0</v>
      </c>
      <c r="T1663" t="str">
        <v>x</v>
      </c>
      <c r="U1663">
        <f>U1662</f>
        <v>1.041885</v>
      </c>
      <c r="V1663" t="str">
        <v>x</v>
      </c>
      <c r="W1663">
        <f>D1663</f>
        <v>3</v>
      </c>
      <c r="X1663" t="str">
        <v>x</v>
      </c>
      <c r="Y1663">
        <f>Y1662</f>
        <v>1</v>
      </c>
      <c r="Z1663" t="str">
        <v>=</v>
      </c>
      <c r="AA1663">
        <f>(N1663+P1663*R1663/1000)*U1663*W1663*Y1663</f>
        <v>13.946672610000002</v>
      </c>
    </row>
    <row r="1665">
      <c r="A1665" t="str">
        <f>A1645</f>
        <v>Lantai 1</v>
      </c>
      <c r="B1665">
        <f>B1645</f>
        <v>53</v>
      </c>
      <c r="C1665" t="str">
        <v>Sengkang Tumpuan</v>
      </c>
      <c r="D1665">
        <f>VLOOKUP(D1645,'Detail Balok'!$C$10:$AU$140,31,FALSE)</f>
        <v>0</v>
      </c>
      <c r="E1665" t="str">
        <v>D</v>
      </c>
      <c r="F1665">
        <f>VLOOKUP(D1645,'Detail Balok'!$C$10:$AU$140,33,FALSE)</f>
        <v>8</v>
      </c>
      <c r="G1665" t="str">
        <v>-</v>
      </c>
      <c r="H1665">
        <f>VLOOKUP(D1645,'Detail Balok'!$C$10:$AU$140,35,FALSE)</f>
        <v>150</v>
      </c>
      <c r="J1665">
        <f>(IF(D1665=0,(2*(D1646+G1646))-(F$5*8),IF(D1665=3,(2*(D1646+G1646))-(F$5*8)+(G1646-2*F$5),IF(D1665=4,(2*(D1646+G1646))-(F$5*8)+2*(G1646-2*F$5)))))/1000</f>
        <v>0.88</v>
      </c>
      <c r="K1665" t="str">
        <v>+</v>
      </c>
      <c r="L1665">
        <f>IF(D1665=0,2*MAX(6*F1665,75),(D1665-1)*2*MAX(6*F1665,75))/1000</f>
        <v>0.15</v>
      </c>
      <c r="M1665" t="str">
        <v>=</v>
      </c>
      <c r="N1665">
        <f>J1665+L1665</f>
        <v>1.03</v>
      </c>
      <c r="T1665" t="str">
        <v>x</v>
      </c>
      <c r="U1665">
        <f>0.006165*F1665^2</f>
        <v>0.39456</v>
      </c>
      <c r="V1665" t="str">
        <v>x</v>
      </c>
      <c r="W1665">
        <f>IF(D1648&gt;4*G1646,ROUND(MAX(D1648/4,2*G1646)/H1665,0)+1,ROUND(D1648/H1665,0)+1)</f>
        <v>8</v>
      </c>
      <c r="X1665" t="str">
        <v>x</v>
      </c>
      <c r="Y1665">
        <f>D1651</f>
        <v>1</v>
      </c>
      <c r="Z1665" t="str">
        <v>=</v>
      </c>
      <c r="AA1665">
        <f>N1665*U1665*W1665*Y1665</f>
        <v>3.2511744000000005</v>
      </c>
    </row>
    <row r="1666">
      <c r="A1666" t="str">
        <f>A1645</f>
        <v>Lantai 1</v>
      </c>
      <c r="B1666">
        <f>B1645</f>
        <v>53</v>
      </c>
      <c r="C1666" t="str">
        <v>Sengkang Lapangan</v>
      </c>
      <c r="D1666">
        <f>VLOOKUP(D1645,'Detail Balok'!$C$10:$AU$140,36,FALSE)</f>
        <v>0</v>
      </c>
      <c r="E1666" t="str">
        <v>D</v>
      </c>
      <c r="F1666">
        <f>VLOOKUP(D1645,'Detail Balok'!$C$10:$AU$140,38,FALSE)</f>
        <v>8</v>
      </c>
      <c r="G1666" t="str">
        <v>-</v>
      </c>
      <c r="H1666">
        <f>VLOOKUP(D1645,'Detail Balok'!$C$10:$AU$140,40,FALSE)</f>
        <v>200</v>
      </c>
      <c r="J1666">
        <f>(IF(D1666=0,(2*(D1646+G1646))-(F$5*8),IF(D1666=3,(2*(D1646+G1646))-(F$5*8)+(G1646-2*F$5),IF(D1666=4,(2*(D1646+G1646))-(F$5*8)+2*(G1646-2*F$5)))))/1000</f>
        <v>0.88</v>
      </c>
      <c r="K1666" t="str">
        <v>+</v>
      </c>
      <c r="L1666">
        <f>IF(D1666=0,2*MAX(6*F1666,75),(D1666-1)*2*MAX(6*F1666,75))/1000</f>
        <v>0.15</v>
      </c>
      <c r="M1666" t="str">
        <v>=</v>
      </c>
      <c r="N1666">
        <f>J1666+L1666</f>
        <v>1.03</v>
      </c>
      <c r="T1666" t="str">
        <v>x</v>
      </c>
      <c r="U1666">
        <f>0.006165*F1666^2</f>
        <v>0.39456</v>
      </c>
      <c r="V1666" t="str">
        <v>x</v>
      </c>
      <c r="W1666">
        <f>IF(D1648-MAX(D1648/4,2*G1646)*2&gt;0,ROUND((D1648-MAX(D1648/4,2*G1646)*2)/H1666,0),0)</f>
        <v>10</v>
      </c>
      <c r="X1666" t="str">
        <v>x</v>
      </c>
      <c r="Y1666">
        <f>D1651</f>
        <v>1</v>
      </c>
      <c r="Z1666" t="str">
        <v>=</v>
      </c>
      <c r="AA1666">
        <f>N1666*U1666*W1666*Y1666</f>
        <v>4.063968000000001</v>
      </c>
    </row>
    <row r="1667">
      <c r="A1667" t="str">
        <f>A1645</f>
        <v>Lantai 1</v>
      </c>
      <c r="B1667">
        <f>B1645</f>
        <v>53</v>
      </c>
      <c r="C1667" t="str">
        <v>Sengkang Tumpuan</v>
      </c>
      <c r="D1667">
        <f>VLOOKUP(D1645,'Detail Balok'!$C$10:$AU$140,41,FALSE)</f>
        <v>0</v>
      </c>
      <c r="E1667" t="str">
        <v>D</v>
      </c>
      <c r="F1667">
        <f>VLOOKUP(D1645,'Detail Balok'!$C$10:$AU$140,43,FALSE)</f>
        <v>8</v>
      </c>
      <c r="G1667" t="str">
        <v>-</v>
      </c>
      <c r="H1667">
        <f>VLOOKUP(D1645,'Detail Balok'!$C$10:$AU$140,45,FALSE)</f>
        <v>150</v>
      </c>
      <c r="J1667">
        <f>(IF(D1667=0,(2*(D1646+G1646))-(F$5*8),IF(D1667=3,(2*(D1646+G1646))-(F$5*8)+(G1646-2*F$5),IF(D1667=4,(2*(D1646+G1646))-(F$5*8)+2*(G1646-2*F$5)))))/1000</f>
        <v>0.88</v>
      </c>
      <c r="K1667" t="str">
        <v>+</v>
      </c>
      <c r="L1667">
        <f>IF(D1667=0,2*MAX(6*F1667,75),(D1667-1)*2*MAX(6*F1667,75))/1000</f>
        <v>0.15</v>
      </c>
      <c r="M1667" t="str">
        <v>=</v>
      </c>
      <c r="N1667">
        <f>J1667+L1667</f>
        <v>1.03</v>
      </c>
      <c r="T1667" t="str">
        <v>x</v>
      </c>
      <c r="U1667">
        <f>0.006165*F1667^2</f>
        <v>0.39456</v>
      </c>
      <c r="V1667" t="str">
        <v>x</v>
      </c>
      <c r="W1667">
        <f>IF(D1648&gt;4*G1646,ROUND(MAX(D1648/4,2*G1646)/H1667,0)+1,0)</f>
        <v>8</v>
      </c>
      <c r="X1667" t="str">
        <v>x</v>
      </c>
      <c r="Y1667">
        <f>D1651</f>
        <v>1</v>
      </c>
      <c r="Z1667" t="str">
        <v>=</v>
      </c>
      <c r="AA1667">
        <f>N1667*U1667*W1667*Y1667</f>
        <v>3.2511744000000005</v>
      </c>
    </row>
    <row r="1669">
      <c r="A1669" t="str">
        <f>A1645</f>
        <v>Lantai 1</v>
      </c>
      <c r="B1669">
        <f>B1645</f>
        <v>53</v>
      </c>
      <c r="C1669" t="str">
        <v>Kait Horizontal Tump.</v>
      </c>
      <c r="D1669">
        <f>VLOOKUP(D1645,'Detail Balok'!$C$10:$BJ$140,46,FALSE)</f>
        <v>0</v>
      </c>
      <c r="E1669" t="str">
        <v>D</v>
      </c>
      <c r="F1669">
        <f>VLOOKUP(D1645,'Detail Balok'!$C$10:$BJ$140,48,FALSE)</f>
        <v>0</v>
      </c>
      <c r="G1669" t="str">
        <v>-</v>
      </c>
      <c r="H1669">
        <f>VLOOKUP(D1645,'Detail Balok'!$C$10:$BJ$140,50,FALSE)</f>
        <v>100</v>
      </c>
      <c r="J1669">
        <f>(D1646-2*F$5)/1000</f>
        <v>0.12</v>
      </c>
      <c r="K1669" t="str">
        <v>+</v>
      </c>
      <c r="L1669">
        <f>IF(D1669=0,2*MAX(6*F1669,75),(D1669-1)*2*MAX(6*F1669,75))/1000</f>
        <v>0.15</v>
      </c>
      <c r="M1669" t="str">
        <v>=</v>
      </c>
      <c r="N1669">
        <f>J1669+L1669</f>
        <v>0.27</v>
      </c>
      <c r="T1669" t="str">
        <v>x</v>
      </c>
      <c r="U1669">
        <f>0.006165*F1669^2</f>
        <v>0</v>
      </c>
      <c r="V1669" t="str">
        <v>x</v>
      </c>
      <c r="W1669">
        <f>W1665</f>
        <v>8</v>
      </c>
      <c r="X1669" t="str">
        <v>x</v>
      </c>
      <c r="Y1669">
        <f>D1655</f>
        <v>3</v>
      </c>
      <c r="Z1669" t="str">
        <v>=</v>
      </c>
      <c r="AA1669">
        <f>N1669*U1669*W1669*Y1669</f>
        <v>0</v>
      </c>
    </row>
    <row r="1670">
      <c r="A1670" t="str">
        <f>A1645</f>
        <v>Lantai 1</v>
      </c>
      <c r="B1670">
        <f>B1645</f>
        <v>53</v>
      </c>
      <c r="C1670" t="str">
        <v>Kait Horizontal Lap.</v>
      </c>
      <c r="D1670">
        <f>VLOOKUP(D1645,'Detail Balok'!$C$10:$BJ$140,51,FALSE)</f>
        <v>0</v>
      </c>
      <c r="E1670" t="str">
        <v>D</v>
      </c>
      <c r="F1670">
        <f>VLOOKUP(D1645,'Detail Balok'!$C$10:$BJ$140,53,FALSE)</f>
        <v>0</v>
      </c>
      <c r="G1670" t="str">
        <v>-</v>
      </c>
      <c r="H1670">
        <f>VLOOKUP(D1645,'Detail Balok'!$C$10:$BJ$140,55,FALSE)</f>
        <v>100</v>
      </c>
      <c r="J1670">
        <f>(D1646-2*F$5)/1000</f>
        <v>0.12</v>
      </c>
      <c r="K1670" t="str">
        <v>+</v>
      </c>
      <c r="L1670">
        <f>IF(D1670=0,2*MAX(6*F1670,75),(D1670-1)*2*MAX(6*F1670,75))/1000</f>
        <v>0.15</v>
      </c>
      <c r="M1670" t="str">
        <v>=</v>
      </c>
      <c r="N1670">
        <f>J1670+L1670</f>
        <v>0.27</v>
      </c>
      <c r="T1670" t="str">
        <v>x</v>
      </c>
      <c r="U1670">
        <f>0.006165*F1670^2</f>
        <v>0</v>
      </c>
      <c r="V1670" t="str">
        <v>x</v>
      </c>
      <c r="W1670">
        <f>W1666</f>
        <v>10</v>
      </c>
      <c r="X1670" t="str">
        <v>x</v>
      </c>
      <c r="Y1670">
        <f>D1655</f>
        <v>3</v>
      </c>
      <c r="Z1670" t="str">
        <v>=</v>
      </c>
      <c r="AA1670">
        <f>N1670*U1670*W1670*Y1670</f>
        <v>0</v>
      </c>
    </row>
    <row r="1671">
      <c r="A1671" t="str">
        <f>A1645</f>
        <v>Lantai 1</v>
      </c>
      <c r="B1671">
        <f>B1645</f>
        <v>53</v>
      </c>
      <c r="C1671" t="str">
        <v>Kait Horizontal Tump.</v>
      </c>
      <c r="D1671">
        <f>VLOOKUP(D1645,'Detail Balok'!$C$10:$BJ$140,56,FALSE)</f>
        <v>0</v>
      </c>
      <c r="E1671" t="str">
        <v>D</v>
      </c>
      <c r="F1671">
        <f>VLOOKUP(D1645,'Detail Balok'!$C$10:$BJ$140,58,FALSE)</f>
        <v>0</v>
      </c>
      <c r="G1671" t="str">
        <v>-</v>
      </c>
      <c r="H1671">
        <f>VLOOKUP(D1645,'Detail Balok'!$C$10:$BJ$140,60,FALSE)</f>
        <v>100</v>
      </c>
      <c r="J1671">
        <f>(D1646-2*F$5)/1000</f>
        <v>0.12</v>
      </c>
      <c r="K1671" t="str">
        <v>+</v>
      </c>
      <c r="L1671">
        <f>IF(D1671=0,2*MAX(6*F1671,75),(D1671-1)*2*MAX(6*F1671,75))/1000</f>
        <v>0.15</v>
      </c>
      <c r="M1671" t="str">
        <v>=</v>
      </c>
      <c r="N1671">
        <f>J1671+L1671</f>
        <v>0.27</v>
      </c>
      <c r="T1671" t="str">
        <v>x</v>
      </c>
      <c r="U1671">
        <f>0.006165*F1671^2</f>
        <v>0</v>
      </c>
      <c r="V1671" t="str">
        <v>x</v>
      </c>
      <c r="W1671">
        <f>W1667</f>
        <v>8</v>
      </c>
      <c r="X1671" t="str">
        <v>x</v>
      </c>
      <c r="Y1671">
        <f>D1655</f>
        <v>3</v>
      </c>
      <c r="Z1671" t="str">
        <v>=</v>
      </c>
      <c r="AA1671">
        <f>N1671*U1671*W1671*Y1671</f>
        <v>0</v>
      </c>
    </row>
    <row r="1675">
      <c r="A1675" t="str">
        <f>A1645</f>
        <v>Lantai 1</v>
      </c>
      <c r="B1675">
        <f>B1645+1</f>
        <v>54</v>
      </c>
      <c r="C1675" t="str">
        <f>CONCATENATE(A1675," no. ",B1675)</f>
        <v>Lantai 1 no. 54</v>
      </c>
      <c r="D1675" t="str">
        <f>VLOOKUP(C1675,'Data Panjang Balok'!$C$9:$N$254,2,FALSE)</f>
        <v>S36-1</v>
      </c>
    </row>
    <row r="1676">
      <c r="C1676" t="str">
        <v>Dimensi</v>
      </c>
      <c r="D1676">
        <f>VLOOKUP(D1675,'Detail Balok'!$C$10:$AU$140,2,FALSE)</f>
        <v>300</v>
      </c>
      <c r="F1676" t="str">
        <v>x</v>
      </c>
      <c r="G1676">
        <f>VLOOKUP(D1675,'Detail Balok'!$C$10:$AU$140,3,FALSE)</f>
        <v>600</v>
      </c>
    </row>
    <row r="1677">
      <c r="C1677" t="str">
        <v>Panjang as ke as</v>
      </c>
      <c r="D1677">
        <f>VLOOKUP(C1675,'Data Panjang Balok'!$C$9:$N$254,4,FALSE)</f>
        <v>4075</v>
      </c>
    </row>
    <row r="1678">
      <c r="C1678" t="str">
        <v>Panjang netto</v>
      </c>
      <c r="D1678">
        <f>VLOOKUP(C1675,'Data Panjang Balok'!$C$9:$N$254,7,FALSE)</f>
        <v>4075</v>
      </c>
    </row>
    <row r="1679">
      <c r="C1679" t="str">
        <v>Kolom / balok kiri</v>
      </c>
      <c r="D1679">
        <f>VLOOKUP(C1675,'Data Panjang Balok'!$C$9:$N$254,9,FALSE)</f>
        <v>0</v>
      </c>
    </row>
    <row r="1680">
      <c r="C1680" t="str">
        <v>Kolom / balok kanan</v>
      </c>
      <c r="D1680">
        <f>VLOOKUP(C1675,'Data Panjang Balok'!$C$9:$N$254,10,FALSE)</f>
        <v>0</v>
      </c>
    </row>
    <row r="1681">
      <c r="C1681" t="str">
        <v>Jumlah</v>
      </c>
      <c r="D1681">
        <f>VLOOKUP(C1675,'Data Panjang Balok'!$C$9:$N$254,3,FALSE)</f>
        <v>1</v>
      </c>
    </row>
    <row r="1682">
      <c r="A1682" t="str">
        <f>A1675</f>
        <v>Lantai 1</v>
      </c>
      <c r="B1682">
        <f>B1675</f>
        <v>54</v>
      </c>
      <c r="C1682" t="str">
        <v>Tul Atas Tumpuan</v>
      </c>
      <c r="D1682">
        <f>VLOOKUP(D1675,'Detail Balok'!$C$10:$AU$140,4,FALSE)</f>
        <v>4</v>
      </c>
      <c r="E1682" t="str">
        <v>D</v>
      </c>
      <c r="F1682">
        <f>VLOOKUP(D1675,'Detail Balok'!$C$10:$AU$140,6,FALSE)</f>
        <v>16</v>
      </c>
      <c r="I1682" t="str">
        <v>(</v>
      </c>
      <c r="J1682">
        <f>+D1677/4/1000</f>
        <v>1.01875</v>
      </c>
      <c r="K1682" t="str">
        <v>+</v>
      </c>
      <c r="L1682">
        <f>MAX(VLOOKUP(F1682,N$6:P$15,3,FALSE)/1000,2/3*D1679/1000)+F$16*F1682/1000</f>
        <v>0.192</v>
      </c>
      <c r="M1682" t="str">
        <v>=</v>
      </c>
      <c r="N1682">
        <f>J1682+L1682</f>
        <v>1.21075</v>
      </c>
      <c r="O1682" t="str">
        <v>+</v>
      </c>
      <c r="P1682">
        <f>D1682-D1683</f>
        <v>0</v>
      </c>
      <c r="Q1682" t="str">
        <v>x</v>
      </c>
      <c r="R1682">
        <f>IF(P1682&gt;0,$F$18*F1682/1000,0)</f>
        <v>0</v>
      </c>
      <c r="S1682" t="str">
        <v>)</v>
      </c>
      <c r="T1682" t="str">
        <v>x</v>
      </c>
      <c r="U1682">
        <f>0.006165*F1682^2</f>
        <v>1.57824</v>
      </c>
      <c r="X1682" t="str">
        <v>x</v>
      </c>
      <c r="Y1682">
        <f>D1681</f>
        <v>1</v>
      </c>
      <c r="Z1682" t="str">
        <v>=</v>
      </c>
      <c r="AA1682">
        <f>IF(AA1685=0,(D1682*N1682+P1682*R1682)*U1682*Y1682,0)</f>
        <v>0</v>
      </c>
    </row>
    <row r="1683">
      <c r="A1683" t="str">
        <f>A1675</f>
        <v>Lantai 1</v>
      </c>
      <c r="B1683">
        <f>B1675</f>
        <v>54</v>
      </c>
      <c r="C1683" t="str">
        <v>Tul Atas Lapangan</v>
      </c>
      <c r="D1683">
        <f>VLOOKUP(D1675,'Detail Balok'!$C$10:$AU$140,7,FALSE)</f>
        <v>4</v>
      </c>
      <c r="E1683" t="str">
        <v>D</v>
      </c>
      <c r="F1683">
        <f>VLOOKUP(D1675,'Detail Balok'!$C$10:$AU$140,9,FALSE)</f>
        <v>16</v>
      </c>
      <c r="I1683" t="str">
        <v>(</v>
      </c>
      <c r="J1683">
        <f>+D1677/2/1000</f>
        <v>2.0375</v>
      </c>
      <c r="K1683" t="str">
        <v>+</v>
      </c>
      <c r="M1683" t="str">
        <v>=</v>
      </c>
      <c r="N1683">
        <f>J1683+L1683</f>
        <v>2.0375</v>
      </c>
      <c r="O1683" t="str">
        <v>+</v>
      </c>
      <c r="P1683">
        <f>MAX(D1683-D1682,D1683-D1684)</f>
        <v>0</v>
      </c>
      <c r="Q1683" t="str">
        <v>x</v>
      </c>
      <c r="R1683">
        <f>IF(P1683&gt;0,2*(1-2*$F$19-1/2)*D1678/1000,0)</f>
        <v>0</v>
      </c>
      <c r="S1683" t="str">
        <v>)</v>
      </c>
      <c r="T1683" t="str">
        <v>x</v>
      </c>
      <c r="U1683">
        <f>0.006165*F1683^2</f>
        <v>1.57824</v>
      </c>
      <c r="X1683" t="str">
        <v>x</v>
      </c>
      <c r="Y1683">
        <f>D1681</f>
        <v>1</v>
      </c>
      <c r="Z1683" t="str">
        <v>=</v>
      </c>
      <c r="AA1683">
        <f>IF(AA1685=0,(D1683*N1683+P1683*R1683)*U1683*Y1683,0)</f>
        <v>0</v>
      </c>
    </row>
    <row r="1684">
      <c r="A1684" t="str">
        <f>A1675</f>
        <v>Lantai 1</v>
      </c>
      <c r="B1684">
        <f>B1675</f>
        <v>54</v>
      </c>
      <c r="C1684" t="str">
        <v>Tul Atas Tumpuan</v>
      </c>
      <c r="D1684">
        <f>VLOOKUP(D1675,'Detail Balok'!$C$10:$AU$140,10,FALSE)</f>
        <v>4</v>
      </c>
      <c r="E1684" t="str">
        <v>D</v>
      </c>
      <c r="F1684">
        <f>VLOOKUP(D1675,'Detail Balok'!$C$10:$AU$140,12,FALSE)</f>
        <v>16</v>
      </c>
      <c r="I1684" t="str">
        <v>(</v>
      </c>
      <c r="J1684">
        <f>+D1677/4/1000</f>
        <v>1.01875</v>
      </c>
      <c r="K1684" t="str">
        <v>+</v>
      </c>
      <c r="L1684">
        <f>MAX(VLOOKUP(F1684,N$6:P$15,3,FALSE)/1000,2/3*D1679/1000)+F$16*F1684/1000</f>
        <v>0.192</v>
      </c>
      <c r="M1684" t="str">
        <v>=</v>
      </c>
      <c r="N1684">
        <f>J1684+L1684</f>
        <v>1.21075</v>
      </c>
      <c r="O1684" t="str">
        <v>+</v>
      </c>
      <c r="P1684">
        <f>D1684-D1683</f>
        <v>0</v>
      </c>
      <c r="Q1684" t="str">
        <v>x</v>
      </c>
      <c r="R1684">
        <f>IF(P1684&gt;0,$F$18*F1684/1000,0)</f>
        <v>0</v>
      </c>
      <c r="S1684" t="str">
        <v>)</v>
      </c>
      <c r="T1684" t="str">
        <v>x</v>
      </c>
      <c r="U1684">
        <f>0.006165*F1684^2</f>
        <v>1.57824</v>
      </c>
      <c r="X1684" t="str">
        <v>x</v>
      </c>
      <c r="Y1684">
        <f>D1681</f>
        <v>1</v>
      </c>
      <c r="Z1684" t="str">
        <v>=</v>
      </c>
      <c r="AA1684">
        <f>IF(AA1685=0,(D1684*N1684+P1684*R1684)*U1684*Y1684,0)</f>
        <v>0</v>
      </c>
    </row>
    <row r="1685">
      <c r="A1685" t="str">
        <f>A1675</f>
        <v>Lantai 1</v>
      </c>
      <c r="B1685">
        <f>B1675</f>
        <v>54</v>
      </c>
      <c r="D1685">
        <f>IF(AND(D1682=D1683,D1683=D1684,D1682=D1684),D1682,0)</f>
        <v>4</v>
      </c>
      <c r="E1685" t="str">
        <v>D</v>
      </c>
      <c r="F1685">
        <f>IF(AND(F1682=F1683,F1682=F1684,F1683=F1684),F1682,0)</f>
        <v>16</v>
      </c>
      <c r="L1685" t="str">
        <v>Total panjang per balok</v>
      </c>
      <c r="M1685" t="str">
        <v>=</v>
      </c>
      <c r="N1685">
        <f>IF(AND(D1682=D1683,D1682=D1684,D1683=D1684,F1682=F1683,F1682=F1684,F1683=F1684),SUM(N1682:N1684),0)</f>
        <v>4.459</v>
      </c>
      <c r="O1685" t="str">
        <v>+</v>
      </c>
      <c r="P1685">
        <f>IF(N1685&gt;12,ROUNDDOWN(N1685/12,0),0)</f>
        <v>0</v>
      </c>
      <c r="Q1685" t="str">
        <v>x</v>
      </c>
      <c r="R1685">
        <f>IF(P1685&gt;0,MAX(VLOOKUP(F1685,$D$6:$G$15,3,FALSE),600),0)/1000</f>
        <v>0</v>
      </c>
      <c r="T1685" t="str">
        <v>x</v>
      </c>
      <c r="U1685">
        <f>U1684</f>
        <v>1.57824</v>
      </c>
      <c r="V1685" t="str">
        <v>x</v>
      </c>
      <c r="W1685">
        <f>D1685</f>
        <v>4</v>
      </c>
      <c r="X1685" t="str">
        <v>x</v>
      </c>
      <c r="Y1685">
        <f>Y1684</f>
        <v>1</v>
      </c>
      <c r="Z1685" t="str">
        <v>=</v>
      </c>
      <c r="AA1685">
        <f>(N1685+P1685*R1685/1000)*U1685*W1685*Y1685</f>
        <v>28.149488639999998</v>
      </c>
    </row>
    <row r="1687">
      <c r="A1687" t="str">
        <f>A1675</f>
        <v>Lantai 1</v>
      </c>
      <c r="B1687">
        <f>B1675</f>
        <v>54</v>
      </c>
      <c r="C1687" t="str">
        <v>Tul Peminggang</v>
      </c>
      <c r="D1687">
        <f>VLOOKUP(D1675,'Detail Balok'!$C$10:$AU$140,13,FALSE)</f>
        <v>2</v>
      </c>
      <c r="E1687" t="str">
        <v>D</v>
      </c>
      <c r="F1687">
        <f>VLOOKUP(D1675,'Detail Balok'!$C$10:$AU$140,15,FALSE)</f>
        <v>10</v>
      </c>
      <c r="J1687">
        <f>+D1677/1000</f>
        <v>4.075</v>
      </c>
      <c r="K1687" t="str">
        <v>+</v>
      </c>
      <c r="L1687">
        <f>2*$F$16*F1687/1000</f>
        <v>0.24</v>
      </c>
      <c r="M1687" t="str">
        <v>=</v>
      </c>
      <c r="N1687">
        <f>J1687+L1687</f>
        <v>4.315</v>
      </c>
      <c r="O1687" t="str">
        <v>+</v>
      </c>
      <c r="P1687">
        <f>IF(N1687&gt;12,ROUNDDOWN(N1687/12,0),0)</f>
        <v>0</v>
      </c>
      <c r="Q1687" t="str">
        <v>x</v>
      </c>
      <c r="R1687">
        <f>IF(P1687&gt;0,MAX(VLOOKUP(F1687,$D$6:$G$15,3,FALSE),600),0)/1000</f>
        <v>0</v>
      </c>
      <c r="T1687" t="str">
        <v>x</v>
      </c>
      <c r="U1687">
        <f>0.006165*F1687^2</f>
        <v>0.6165</v>
      </c>
      <c r="V1687" t="str">
        <v>x</v>
      </c>
      <c r="W1687">
        <f>+D1687</f>
        <v>2</v>
      </c>
      <c r="X1687" t="str">
        <v>x</v>
      </c>
      <c r="Y1687">
        <f>D1681</f>
        <v>1</v>
      </c>
      <c r="Z1687" t="str">
        <v>=</v>
      </c>
      <c r="AA1687">
        <f>(N1687+P1687*R1687/1000)*U1687*W1687*Y1687</f>
        <v>5.320395000000001</v>
      </c>
    </row>
    <row r="1690">
      <c r="A1690" t="str">
        <f>A1675</f>
        <v>Lantai 1</v>
      </c>
      <c r="B1690">
        <f>B1675</f>
        <v>54</v>
      </c>
      <c r="C1690" t="str">
        <v>Tul Bawah Tumpuan</v>
      </c>
      <c r="D1690">
        <f>VLOOKUP(D1675,'Detail Balok'!$C$10:$AU$140,22,FALSE)</f>
        <v>4</v>
      </c>
      <c r="E1690" t="str">
        <v>D</v>
      </c>
      <c r="F1690">
        <f>VLOOKUP(D1675,'Detail Balok'!$C$10:$AU$140,24,FALSE)</f>
        <v>16</v>
      </c>
      <c r="I1690" t="str">
        <v>(</v>
      </c>
      <c r="J1690">
        <f>+J1682</f>
        <v>1.01875</v>
      </c>
      <c r="K1690" t="str">
        <v>+</v>
      </c>
      <c r="L1690">
        <f>MAX(VLOOKUP(F1690,N$6:P$15,3,FALSE)/1000,2/3*D1680/1000)+F$16*F1690/1000</f>
        <v>0.192</v>
      </c>
      <c r="M1690" t="str">
        <v>=</v>
      </c>
      <c r="N1690">
        <f>J1690+L1690</f>
        <v>1.21075</v>
      </c>
      <c r="O1690" t="str">
        <v>+</v>
      </c>
      <c r="P1690">
        <f>D1690-D1691</f>
        <v>0</v>
      </c>
      <c r="Q1690" t="str">
        <v>x</v>
      </c>
      <c r="R1690">
        <f>IF(P1690&gt;0,$F$18*F1690/1000,0)</f>
        <v>0</v>
      </c>
      <c r="S1690" t="str">
        <v>)</v>
      </c>
      <c r="T1690" t="str">
        <v>x</v>
      </c>
      <c r="U1690">
        <f>0.006165*F1690^2</f>
        <v>1.57824</v>
      </c>
      <c r="X1690" t="str">
        <v>x</v>
      </c>
      <c r="Y1690">
        <f>D1681</f>
        <v>1</v>
      </c>
      <c r="Z1690" t="str">
        <v>=</v>
      </c>
      <c r="AA1690">
        <f>IF(AA1693=0,(D1690*N1690+P1690*R1690)*U1690*Y1690,0)</f>
        <v>0</v>
      </c>
    </row>
    <row r="1691">
      <c r="A1691" t="str">
        <f>A1675</f>
        <v>Lantai 1</v>
      </c>
      <c r="B1691">
        <f>B1675</f>
        <v>54</v>
      </c>
      <c r="C1691" t="str">
        <v>Tul Bawah Lapangan</v>
      </c>
      <c r="D1691">
        <f>VLOOKUP(D1675,'Detail Balok'!$C$10:$AU$140,25,FALSE)</f>
        <v>4</v>
      </c>
      <c r="E1691" t="str">
        <v>D</v>
      </c>
      <c r="F1691">
        <f>VLOOKUP(D1675,'Detail Balok'!$C$10:$AU$140,27,FALSE)</f>
        <v>16</v>
      </c>
      <c r="I1691" t="str">
        <v>(</v>
      </c>
      <c r="J1691">
        <f>+J1683</f>
        <v>2.0375</v>
      </c>
      <c r="K1691" t="str">
        <v>+</v>
      </c>
      <c r="M1691" t="str">
        <v>=</v>
      </c>
      <c r="N1691">
        <f>J1691+L1691</f>
        <v>2.0375</v>
      </c>
      <c r="O1691" t="str">
        <v>+</v>
      </c>
      <c r="P1691">
        <f>MAX(D1691-D1690,D1691-D1692)</f>
        <v>0</v>
      </c>
      <c r="Q1691" t="str">
        <v>x</v>
      </c>
      <c r="R1691">
        <f>IF(P1691&gt;0,2*(1-2*$F$19-1/2)*D1678/1000,0)</f>
        <v>0</v>
      </c>
      <c r="S1691" t="str">
        <v>)</v>
      </c>
      <c r="T1691" t="str">
        <v>x</v>
      </c>
      <c r="U1691">
        <f>0.006165*F1691^2</f>
        <v>1.57824</v>
      </c>
      <c r="X1691" t="str">
        <v>x</v>
      </c>
      <c r="Y1691">
        <f>D1681</f>
        <v>1</v>
      </c>
      <c r="Z1691" t="str">
        <v>=</v>
      </c>
      <c r="AA1691">
        <f>IF(AA1693=0,(D1691*N1691+P1691*R1691)*U1691*Y1691,0)</f>
        <v>0</v>
      </c>
    </row>
    <row r="1692">
      <c r="A1692" t="str">
        <f>A1675</f>
        <v>Lantai 1</v>
      </c>
      <c r="B1692">
        <f>B1675</f>
        <v>54</v>
      </c>
      <c r="C1692" t="str">
        <v>Tul Bawah Tumpuan</v>
      </c>
      <c r="D1692">
        <f>VLOOKUP(D1675,'Detail Balok'!$C$10:$AU$140,28,FALSE)</f>
        <v>4</v>
      </c>
      <c r="E1692" t="str">
        <v>D</v>
      </c>
      <c r="F1692">
        <f>VLOOKUP(D1675,'Detail Balok'!$C$10:$AU$140,30,FALSE)</f>
        <v>16</v>
      </c>
      <c r="I1692" t="str">
        <v>(</v>
      </c>
      <c r="J1692">
        <f>+J1684</f>
        <v>1.01875</v>
      </c>
      <c r="K1692" t="str">
        <v>+</v>
      </c>
      <c r="L1692">
        <f>MAX(VLOOKUP(F1692,N$6:P$15,3,FALSE)/1000,2/3*D1680/1000)+F$16*F1692/1000</f>
        <v>0.192</v>
      </c>
      <c r="M1692" t="str">
        <v>=</v>
      </c>
      <c r="N1692">
        <f>J1692+L1692</f>
        <v>1.21075</v>
      </c>
      <c r="O1692" t="str">
        <v>+</v>
      </c>
      <c r="P1692">
        <f>D1692-D1691</f>
        <v>0</v>
      </c>
      <c r="Q1692" t="str">
        <v>x</v>
      </c>
      <c r="R1692">
        <f>IF(P1692&gt;0,$F$18*F1692/1000,0)</f>
        <v>0</v>
      </c>
      <c r="S1692" t="str">
        <v>)</v>
      </c>
      <c r="T1692" t="str">
        <v>x</v>
      </c>
      <c r="U1692">
        <f>0.006165*F1692^2</f>
        <v>1.57824</v>
      </c>
      <c r="X1692" t="str">
        <v>x</v>
      </c>
      <c r="Y1692">
        <f>D1681</f>
        <v>1</v>
      </c>
      <c r="Z1692" t="str">
        <v>=</v>
      </c>
      <c r="AA1692">
        <f>IF(AA1693=0,(D1692*N1692+P1692*R1692)*U1692*Y1692,0)</f>
        <v>0</v>
      </c>
    </row>
    <row r="1693">
      <c r="A1693" t="str">
        <f>A1675</f>
        <v>Lantai 1</v>
      </c>
      <c r="B1693">
        <f>B1675</f>
        <v>54</v>
      </c>
      <c r="D1693">
        <f>IF(AND(D1690=D1691,D1691=D1692,D1690=D1692),D1690,0)</f>
        <v>4</v>
      </c>
      <c r="E1693" t="str">
        <v>D</v>
      </c>
      <c r="F1693">
        <f>IF(AND(F1690=F1691,F1690=F1692,F1691=F1692),F1690,0)</f>
        <v>16</v>
      </c>
      <c r="L1693" t="str">
        <v>Total panjang per balok</v>
      </c>
      <c r="M1693" t="str">
        <v>=</v>
      </c>
      <c r="N1693">
        <f>IF(AND(D1690=D1691,D1690=D1692,D1691=D1692,F1690=F1691,F1690=F1692,F1691=F1692),SUM(N1690:N1692),0)</f>
        <v>4.459</v>
      </c>
      <c r="O1693" t="str">
        <v>+</v>
      </c>
      <c r="P1693">
        <f>IF(N1693&gt;12,ROUNDDOWN(N1693/12,0),0)</f>
        <v>0</v>
      </c>
      <c r="Q1693" t="str">
        <v>x</v>
      </c>
      <c r="R1693">
        <f>IF(P1693&gt;0,MAX(VLOOKUP(F1693,$D$6:$G$15,3,FALSE),600),0)/1000</f>
        <v>0</v>
      </c>
      <c r="T1693" t="str">
        <v>x</v>
      </c>
      <c r="U1693">
        <f>U1692</f>
        <v>1.57824</v>
      </c>
      <c r="V1693" t="str">
        <v>x</v>
      </c>
      <c r="W1693">
        <f>D1693</f>
        <v>4</v>
      </c>
      <c r="X1693" t="str">
        <v>x</v>
      </c>
      <c r="Y1693">
        <f>Y1692</f>
        <v>1</v>
      </c>
      <c r="Z1693" t="str">
        <v>=</v>
      </c>
      <c r="AA1693">
        <f>(N1693+P1693*R1693/1000)*U1693*W1693*Y1693</f>
        <v>28.149488639999998</v>
      </c>
    </row>
    <row r="1695">
      <c r="A1695" t="str">
        <f>A1675</f>
        <v>Lantai 1</v>
      </c>
      <c r="B1695">
        <f>B1675</f>
        <v>54</v>
      </c>
      <c r="C1695" t="str">
        <v>Sengkang Tumpuan</v>
      </c>
      <c r="D1695">
        <f>VLOOKUP(D1675,'Detail Balok'!$C$10:$AU$140,31,FALSE)</f>
        <v>0</v>
      </c>
      <c r="E1695" t="str">
        <v>D</v>
      </c>
      <c r="F1695">
        <f>VLOOKUP(D1675,'Detail Balok'!$C$10:$AU$140,33,FALSE)</f>
        <v>8</v>
      </c>
      <c r="G1695" t="str">
        <v>-</v>
      </c>
      <c r="H1695">
        <f>VLOOKUP(D1675,'Detail Balok'!$C$10:$AU$140,35,FALSE)</f>
        <v>150</v>
      </c>
      <c r="J1695">
        <f>(IF(D1695=0,(2*(D1676+G1676))-(F$5*8),IF(D1695=3,(2*(D1676+G1676))-(F$5*8)+(G1676-2*F$5),IF(D1695=4,(2*(D1676+G1676))-(F$5*8)+2*(G1676-2*F$5)))))/1000</f>
        <v>1.48</v>
      </c>
      <c r="K1695" t="str">
        <v>+</v>
      </c>
      <c r="L1695">
        <f>IF(D1695=0,2*MAX(6*F1695,75),(D1695-1)*2*MAX(6*F1695,75))/1000</f>
        <v>0.15</v>
      </c>
      <c r="M1695" t="str">
        <v>=</v>
      </c>
      <c r="N1695">
        <f>J1695+L1695</f>
        <v>1.63</v>
      </c>
      <c r="T1695" t="str">
        <v>x</v>
      </c>
      <c r="U1695">
        <f>0.006165*F1695^2</f>
        <v>0.39456</v>
      </c>
      <c r="V1695" t="str">
        <v>x</v>
      </c>
      <c r="W1695">
        <f>IF(D1678&gt;4*G1676,ROUND(MAX(D1678/4,2*G1676)/H1695,0)+1,ROUND(D1678/H1695,0)+1)</f>
        <v>9</v>
      </c>
      <c r="X1695" t="str">
        <v>x</v>
      </c>
      <c r="Y1695">
        <f>D1681</f>
        <v>1</v>
      </c>
      <c r="Z1695" t="str">
        <v>=</v>
      </c>
      <c r="AA1695">
        <f>N1695*U1695*W1695*Y1695</f>
        <v>5.7881952</v>
      </c>
    </row>
    <row r="1696">
      <c r="A1696" t="str">
        <f>A1675</f>
        <v>Lantai 1</v>
      </c>
      <c r="B1696">
        <f>B1675</f>
        <v>54</v>
      </c>
      <c r="C1696" t="str">
        <v>Sengkang Lapangan</v>
      </c>
      <c r="D1696">
        <f>VLOOKUP(D1675,'Detail Balok'!$C$10:$AU$140,36,FALSE)</f>
        <v>0</v>
      </c>
      <c r="E1696" t="str">
        <v>D</v>
      </c>
      <c r="F1696">
        <f>VLOOKUP(D1675,'Detail Balok'!$C$10:$AU$140,38,FALSE)</f>
        <v>8</v>
      </c>
      <c r="G1696" t="str">
        <v>-</v>
      </c>
      <c r="H1696">
        <f>VLOOKUP(D1675,'Detail Balok'!$C$10:$AU$140,40,FALSE)</f>
        <v>200</v>
      </c>
      <c r="J1696">
        <f>(IF(D1696=0,(2*(D1676+G1676))-(F$5*8),IF(D1696=3,(2*(D1676+G1676))-(F$5*8)+(G1676-2*F$5),IF(D1696=4,(2*(D1676+G1676))-(F$5*8)+2*(G1676-2*F$5)))))/1000</f>
        <v>1.48</v>
      </c>
      <c r="K1696" t="str">
        <v>+</v>
      </c>
      <c r="L1696">
        <f>IF(D1696=0,2*MAX(6*F1696,75),(D1696-1)*2*MAX(6*F1696,75))/1000</f>
        <v>0.15</v>
      </c>
      <c r="M1696" t="str">
        <v>=</v>
      </c>
      <c r="N1696">
        <f>J1696+L1696</f>
        <v>1.63</v>
      </c>
      <c r="T1696" t="str">
        <v>x</v>
      </c>
      <c r="U1696">
        <f>0.006165*F1696^2</f>
        <v>0.39456</v>
      </c>
      <c r="V1696" t="str">
        <v>x</v>
      </c>
      <c r="W1696">
        <f>IF(D1678-MAX(D1678/4,2*G1676)*2&gt;0,ROUND((D1678-MAX(D1678/4,2*G1676)*2)/H1696,0),0)</f>
        <v>8</v>
      </c>
      <c r="X1696" t="str">
        <v>x</v>
      </c>
      <c r="Y1696">
        <f>D1681</f>
        <v>1</v>
      </c>
      <c r="Z1696" t="str">
        <v>=</v>
      </c>
      <c r="AA1696">
        <f>N1696*U1696*W1696*Y1696</f>
        <v>5.1450624</v>
      </c>
    </row>
    <row r="1697">
      <c r="A1697" t="str">
        <f>A1675</f>
        <v>Lantai 1</v>
      </c>
      <c r="B1697">
        <f>B1675</f>
        <v>54</v>
      </c>
      <c r="C1697" t="str">
        <v>Sengkang Tumpuan</v>
      </c>
      <c r="D1697">
        <f>VLOOKUP(D1675,'Detail Balok'!$C$10:$AU$140,41,FALSE)</f>
        <v>0</v>
      </c>
      <c r="E1697" t="str">
        <v>D</v>
      </c>
      <c r="F1697">
        <f>VLOOKUP(D1675,'Detail Balok'!$C$10:$AU$140,43,FALSE)</f>
        <v>8</v>
      </c>
      <c r="G1697" t="str">
        <v>-</v>
      </c>
      <c r="H1697">
        <f>VLOOKUP(D1675,'Detail Balok'!$C$10:$AU$140,45,FALSE)</f>
        <v>150</v>
      </c>
      <c r="J1697">
        <f>(IF(D1697=0,(2*(D1676+G1676))-(F$5*8),IF(D1697=3,(2*(D1676+G1676))-(F$5*8)+(G1676-2*F$5),IF(D1697=4,(2*(D1676+G1676))-(F$5*8)+2*(G1676-2*F$5)))))/1000</f>
        <v>1.48</v>
      </c>
      <c r="K1697" t="str">
        <v>+</v>
      </c>
      <c r="L1697">
        <f>IF(D1697=0,2*MAX(6*F1697,75),(D1697-1)*2*MAX(6*F1697,75))/1000</f>
        <v>0.15</v>
      </c>
      <c r="M1697" t="str">
        <v>=</v>
      </c>
      <c r="N1697">
        <f>J1697+L1697</f>
        <v>1.63</v>
      </c>
      <c r="T1697" t="str">
        <v>x</v>
      </c>
      <c r="U1697">
        <f>0.006165*F1697^2</f>
        <v>0.39456</v>
      </c>
      <c r="V1697" t="str">
        <v>x</v>
      </c>
      <c r="W1697">
        <f>IF(D1678&gt;4*G1676,ROUND(MAX(D1678/4,2*G1676)/H1697,0)+1,0)</f>
        <v>9</v>
      </c>
      <c r="X1697" t="str">
        <v>x</v>
      </c>
      <c r="Y1697">
        <f>D1681</f>
        <v>1</v>
      </c>
      <c r="Z1697" t="str">
        <v>=</v>
      </c>
      <c r="AA1697">
        <f>N1697*U1697*W1697*Y1697</f>
        <v>5.7881952</v>
      </c>
    </row>
    <row r="1699">
      <c r="A1699" t="str">
        <f>A1675</f>
        <v>Lantai 1</v>
      </c>
      <c r="B1699">
        <f>B1675</f>
        <v>54</v>
      </c>
      <c r="C1699" t="str">
        <v>Kait Horizontal Tump.</v>
      </c>
      <c r="D1699">
        <f>VLOOKUP(D1675,'Detail Balok'!$C$10:$BJ$140,46,FALSE)</f>
        <v>0</v>
      </c>
      <c r="E1699" t="str">
        <v>D</v>
      </c>
      <c r="F1699">
        <f>VLOOKUP(D1675,'Detail Balok'!$C$10:$BJ$140,48,FALSE)</f>
        <v>0</v>
      </c>
      <c r="G1699" t="str">
        <v>-</v>
      </c>
      <c r="H1699">
        <f>VLOOKUP(D1675,'Detail Balok'!$C$10:$BJ$140,50,FALSE)</f>
        <v>100</v>
      </c>
      <c r="J1699">
        <f>(D1676-2*F$5)/1000</f>
        <v>0.22</v>
      </c>
      <c r="K1699" t="str">
        <v>+</v>
      </c>
      <c r="L1699">
        <f>IF(D1699=0,2*MAX(6*F1699,75),(D1699-1)*2*MAX(6*F1699,75))/1000</f>
        <v>0.15</v>
      </c>
      <c r="M1699" t="str">
        <v>=</v>
      </c>
      <c r="N1699">
        <f>J1699+L1699</f>
        <v>0.37</v>
      </c>
      <c r="T1699" t="str">
        <v>x</v>
      </c>
      <c r="U1699">
        <f>0.006165*F1699^2</f>
        <v>0</v>
      </c>
      <c r="V1699" t="str">
        <v>x</v>
      </c>
      <c r="W1699">
        <f>W1695</f>
        <v>9</v>
      </c>
      <c r="X1699" t="str">
        <v>x</v>
      </c>
      <c r="Y1699">
        <f>D1685</f>
        <v>4</v>
      </c>
      <c r="Z1699" t="str">
        <v>=</v>
      </c>
      <c r="AA1699">
        <f>N1699*U1699*W1699*Y1699</f>
        <v>0</v>
      </c>
    </row>
    <row r="1700">
      <c r="A1700" t="str">
        <f>A1675</f>
        <v>Lantai 1</v>
      </c>
      <c r="B1700">
        <f>B1675</f>
        <v>54</v>
      </c>
      <c r="C1700" t="str">
        <v>Kait Horizontal Lap.</v>
      </c>
      <c r="D1700">
        <f>VLOOKUP(D1675,'Detail Balok'!$C$10:$BJ$140,51,FALSE)</f>
        <v>0</v>
      </c>
      <c r="E1700" t="str">
        <v>D</v>
      </c>
      <c r="F1700">
        <f>VLOOKUP(D1675,'Detail Balok'!$C$10:$BJ$140,53,FALSE)</f>
        <v>0</v>
      </c>
      <c r="G1700" t="str">
        <v>-</v>
      </c>
      <c r="H1700">
        <f>VLOOKUP(D1675,'Detail Balok'!$C$10:$BJ$140,55,FALSE)</f>
        <v>100</v>
      </c>
      <c r="J1700">
        <f>(D1676-2*F$5)/1000</f>
        <v>0.22</v>
      </c>
      <c r="K1700" t="str">
        <v>+</v>
      </c>
      <c r="L1700">
        <f>IF(D1700=0,2*MAX(6*F1700,75),(D1700-1)*2*MAX(6*F1700,75))/1000</f>
        <v>0.15</v>
      </c>
      <c r="M1700" t="str">
        <v>=</v>
      </c>
      <c r="N1700">
        <f>J1700+L1700</f>
        <v>0.37</v>
      </c>
      <c r="T1700" t="str">
        <v>x</v>
      </c>
      <c r="U1700">
        <f>0.006165*F1700^2</f>
        <v>0</v>
      </c>
      <c r="V1700" t="str">
        <v>x</v>
      </c>
      <c r="W1700">
        <f>W1696</f>
        <v>8</v>
      </c>
      <c r="X1700" t="str">
        <v>x</v>
      </c>
      <c r="Y1700">
        <f>D1685</f>
        <v>4</v>
      </c>
      <c r="Z1700" t="str">
        <v>=</v>
      </c>
      <c r="AA1700">
        <f>N1700*U1700*W1700*Y1700</f>
        <v>0</v>
      </c>
    </row>
    <row r="1701">
      <c r="A1701" t="str">
        <f>A1675</f>
        <v>Lantai 1</v>
      </c>
      <c r="B1701">
        <f>B1675</f>
        <v>54</v>
      </c>
      <c r="C1701" t="str">
        <v>Kait Horizontal Tump.</v>
      </c>
      <c r="D1701">
        <f>VLOOKUP(D1675,'Detail Balok'!$C$10:$BJ$140,56,FALSE)</f>
        <v>0</v>
      </c>
      <c r="E1701" t="str">
        <v>D</v>
      </c>
      <c r="F1701">
        <f>VLOOKUP(D1675,'Detail Balok'!$C$10:$BJ$140,58,FALSE)</f>
        <v>0</v>
      </c>
      <c r="G1701" t="str">
        <v>-</v>
      </c>
      <c r="H1701">
        <f>VLOOKUP(D1675,'Detail Balok'!$C$10:$BJ$140,60,FALSE)</f>
        <v>100</v>
      </c>
      <c r="J1701">
        <f>(D1676-2*F$5)/1000</f>
        <v>0.22</v>
      </c>
      <c r="K1701" t="str">
        <v>+</v>
      </c>
      <c r="L1701">
        <f>IF(D1701=0,2*MAX(6*F1701,75),(D1701-1)*2*MAX(6*F1701,75))/1000</f>
        <v>0.15</v>
      </c>
      <c r="M1701" t="str">
        <v>=</v>
      </c>
      <c r="N1701">
        <f>J1701+L1701</f>
        <v>0.37</v>
      </c>
      <c r="T1701" t="str">
        <v>x</v>
      </c>
      <c r="U1701">
        <f>0.006165*F1701^2</f>
        <v>0</v>
      </c>
      <c r="V1701" t="str">
        <v>x</v>
      </c>
      <c r="W1701">
        <f>W1697</f>
        <v>9</v>
      </c>
      <c r="X1701" t="str">
        <v>x</v>
      </c>
      <c r="Y1701">
        <f>D1685</f>
        <v>4</v>
      </c>
      <c r="Z1701" t="str">
        <v>=</v>
      </c>
      <c r="AA1701">
        <f>N1701*U1701*W1701*Y1701</f>
        <v>0</v>
      </c>
    </row>
    <row r="1705">
      <c r="A1705" t="str">
        <f>A1675</f>
        <v>Lantai 1</v>
      </c>
      <c r="B1705">
        <f>B1675+1</f>
        <v>55</v>
      </c>
      <c r="C1705" t="str">
        <f>CONCATENATE(A1705," no. ",B1705)</f>
        <v>Lantai 1 no. 55</v>
      </c>
      <c r="D1705" t="str">
        <f>VLOOKUP(C1705,'Data Panjang Balok'!$C$9:$N$254,2,FALSE)</f>
        <v>S24-1</v>
      </c>
    </row>
    <row r="1706">
      <c r="C1706" t="str">
        <v>Dimensi</v>
      </c>
      <c r="D1706">
        <f>VLOOKUP(D1705,'Detail Balok'!$C$10:$AU$140,2,FALSE)</f>
        <v>200</v>
      </c>
      <c r="F1706" t="str">
        <v>x</v>
      </c>
      <c r="G1706">
        <f>VLOOKUP(D1705,'Detail Balok'!$C$10:$AU$140,3,FALSE)</f>
        <v>400</v>
      </c>
    </row>
    <row r="1707">
      <c r="C1707" t="str">
        <v>Panjang as ke as</v>
      </c>
      <c r="D1707">
        <f>VLOOKUP(C1705,'Data Panjang Balok'!$C$9:$N$254,4,FALSE)</f>
        <v>1780</v>
      </c>
    </row>
    <row r="1708">
      <c r="C1708" t="str">
        <v>Panjang netto</v>
      </c>
      <c r="D1708">
        <f>VLOOKUP(C1705,'Data Panjang Balok'!$C$9:$N$254,7,FALSE)</f>
        <v>1780</v>
      </c>
    </row>
    <row r="1709">
      <c r="C1709" t="str">
        <v>Kolom / balok kiri</v>
      </c>
      <c r="D1709">
        <f>VLOOKUP(C1705,'Data Panjang Balok'!$C$9:$N$254,9,FALSE)</f>
        <v>0</v>
      </c>
    </row>
    <row r="1710">
      <c r="C1710" t="str">
        <v>Kolom / balok kanan</v>
      </c>
      <c r="D1710">
        <f>VLOOKUP(C1705,'Data Panjang Balok'!$C$9:$N$254,10,FALSE)</f>
        <v>0</v>
      </c>
    </row>
    <row r="1711">
      <c r="C1711" t="str">
        <v>Jumlah</v>
      </c>
      <c r="D1711">
        <f>VLOOKUP(C1705,'Data Panjang Balok'!$C$9:$N$254,3,FALSE)</f>
        <v>1</v>
      </c>
    </row>
    <row r="1712">
      <c r="A1712" t="str">
        <f>A1705</f>
        <v>Lantai 1</v>
      </c>
      <c r="B1712">
        <f>B1705</f>
        <v>55</v>
      </c>
      <c r="C1712" t="str">
        <v>Tul Atas Tumpuan</v>
      </c>
      <c r="D1712">
        <f>VLOOKUP(D1705,'Detail Balok'!$C$10:$AU$140,4,FALSE)</f>
        <v>3</v>
      </c>
      <c r="E1712" t="str">
        <v>D</v>
      </c>
      <c r="F1712">
        <f>VLOOKUP(D1705,'Detail Balok'!$C$10:$AU$140,6,FALSE)</f>
        <v>13</v>
      </c>
      <c r="I1712" t="str">
        <v>(</v>
      </c>
      <c r="J1712">
        <f>+D1707/4/1000</f>
        <v>0.445</v>
      </c>
      <c r="K1712" t="str">
        <v>+</v>
      </c>
      <c r="L1712">
        <f>MAX(VLOOKUP(F1712,N$6:P$15,3,FALSE)/1000,2/3*D1709/1000)+F$16*F1712/1000</f>
        <v>0.156</v>
      </c>
      <c r="M1712" t="str">
        <v>=</v>
      </c>
      <c r="N1712">
        <f>J1712+L1712</f>
        <v>0.601</v>
      </c>
      <c r="O1712" t="str">
        <v>+</v>
      </c>
      <c r="P1712">
        <f>D1712-D1713</f>
        <v>0</v>
      </c>
      <c r="Q1712" t="str">
        <v>x</v>
      </c>
      <c r="R1712">
        <f>IF(P1712&gt;0,$F$18*F1712/1000,0)</f>
        <v>0</v>
      </c>
      <c r="S1712" t="str">
        <v>)</v>
      </c>
      <c r="T1712" t="str">
        <v>x</v>
      </c>
      <c r="U1712">
        <f>0.006165*F1712^2</f>
        <v>1.041885</v>
      </c>
      <c r="X1712" t="str">
        <v>x</v>
      </c>
      <c r="Y1712">
        <f>D1711</f>
        <v>1</v>
      </c>
      <c r="Z1712" t="str">
        <v>=</v>
      </c>
      <c r="AA1712">
        <f>IF(AA1715=0,(D1712*N1712+P1712*R1712)*U1712*Y1712,0)</f>
        <v>0</v>
      </c>
    </row>
    <row r="1713">
      <c r="A1713" t="str">
        <f>A1705</f>
        <v>Lantai 1</v>
      </c>
      <c r="B1713">
        <f>B1705</f>
        <v>55</v>
      </c>
      <c r="C1713" t="str">
        <v>Tul Atas Lapangan</v>
      </c>
      <c r="D1713">
        <f>VLOOKUP(D1705,'Detail Balok'!$C$10:$AU$140,7,FALSE)</f>
        <v>3</v>
      </c>
      <c r="E1713" t="str">
        <v>D</v>
      </c>
      <c r="F1713">
        <f>VLOOKUP(D1705,'Detail Balok'!$C$10:$AU$140,9,FALSE)</f>
        <v>13</v>
      </c>
      <c r="I1713" t="str">
        <v>(</v>
      </c>
      <c r="J1713">
        <f>+D1707/2/1000</f>
        <v>0.89</v>
      </c>
      <c r="K1713" t="str">
        <v>+</v>
      </c>
      <c r="M1713" t="str">
        <v>=</v>
      </c>
      <c r="N1713">
        <f>J1713+L1713</f>
        <v>0.89</v>
      </c>
      <c r="O1713" t="str">
        <v>+</v>
      </c>
      <c r="P1713">
        <f>MAX(D1713-D1712,D1713-D1714)</f>
        <v>0</v>
      </c>
      <c r="Q1713" t="str">
        <v>x</v>
      </c>
      <c r="R1713">
        <f>IF(P1713&gt;0,2*(1-2*$F$19-1/2)*D1708/1000,0)</f>
        <v>0</v>
      </c>
      <c r="S1713" t="str">
        <v>)</v>
      </c>
      <c r="T1713" t="str">
        <v>x</v>
      </c>
      <c r="U1713">
        <f>0.006165*F1713^2</f>
        <v>1.041885</v>
      </c>
      <c r="X1713" t="str">
        <v>x</v>
      </c>
      <c r="Y1713">
        <f>D1711</f>
        <v>1</v>
      </c>
      <c r="Z1713" t="str">
        <v>=</v>
      </c>
      <c r="AA1713">
        <f>IF(AA1715=0,(D1713*N1713+P1713*R1713)*U1713*Y1713,0)</f>
        <v>0</v>
      </c>
    </row>
    <row r="1714">
      <c r="A1714" t="str">
        <f>A1705</f>
        <v>Lantai 1</v>
      </c>
      <c r="B1714">
        <f>B1705</f>
        <v>55</v>
      </c>
      <c r="C1714" t="str">
        <v>Tul Atas Tumpuan</v>
      </c>
      <c r="D1714">
        <f>VLOOKUP(D1705,'Detail Balok'!$C$10:$AU$140,10,FALSE)</f>
        <v>3</v>
      </c>
      <c r="E1714" t="str">
        <v>D</v>
      </c>
      <c r="F1714">
        <f>VLOOKUP(D1705,'Detail Balok'!$C$10:$AU$140,12,FALSE)</f>
        <v>13</v>
      </c>
      <c r="I1714" t="str">
        <v>(</v>
      </c>
      <c r="J1714">
        <f>+D1707/4/1000</f>
        <v>0.445</v>
      </c>
      <c r="K1714" t="str">
        <v>+</v>
      </c>
      <c r="L1714">
        <f>MAX(VLOOKUP(F1714,N$6:P$15,3,FALSE)/1000,2/3*D1709/1000)+F$16*F1714/1000</f>
        <v>0.156</v>
      </c>
      <c r="M1714" t="str">
        <v>=</v>
      </c>
      <c r="N1714">
        <f>J1714+L1714</f>
        <v>0.601</v>
      </c>
      <c r="O1714" t="str">
        <v>+</v>
      </c>
      <c r="P1714">
        <f>D1714-D1713</f>
        <v>0</v>
      </c>
      <c r="Q1714" t="str">
        <v>x</v>
      </c>
      <c r="R1714">
        <f>IF(P1714&gt;0,$F$18*F1714/1000,0)</f>
        <v>0</v>
      </c>
      <c r="S1714" t="str">
        <v>)</v>
      </c>
      <c r="T1714" t="str">
        <v>x</v>
      </c>
      <c r="U1714">
        <f>0.006165*F1714^2</f>
        <v>1.041885</v>
      </c>
      <c r="X1714" t="str">
        <v>x</v>
      </c>
      <c r="Y1714">
        <f>D1711</f>
        <v>1</v>
      </c>
      <c r="Z1714" t="str">
        <v>=</v>
      </c>
      <c r="AA1714">
        <f>IF(AA1715=0,(D1714*N1714+P1714*R1714)*U1714*Y1714,0)</f>
        <v>0</v>
      </c>
    </row>
    <row r="1715">
      <c r="A1715" t="str">
        <f>A1705</f>
        <v>Lantai 1</v>
      </c>
      <c r="B1715">
        <f>B1705</f>
        <v>55</v>
      </c>
      <c r="D1715">
        <f>IF(AND(D1712=D1713,D1713=D1714,D1712=D1714),D1712,0)</f>
        <v>3</v>
      </c>
      <c r="E1715" t="str">
        <v>D</v>
      </c>
      <c r="F1715">
        <f>IF(AND(F1712=F1713,F1712=F1714,F1713=F1714),F1712,0)</f>
        <v>13</v>
      </c>
      <c r="L1715" t="str">
        <v>Total panjang per balok</v>
      </c>
      <c r="M1715" t="str">
        <v>=</v>
      </c>
      <c r="N1715">
        <f>IF(AND(D1712=D1713,D1712=D1714,D1713=D1714,F1712=F1713,F1712=F1714,F1713=F1714),SUM(N1712:N1714),0)</f>
        <v>2.092</v>
      </c>
      <c r="O1715" t="str">
        <v>+</v>
      </c>
      <c r="P1715">
        <f>IF(N1715&gt;12,ROUNDDOWN(N1715/12,0),0)</f>
        <v>0</v>
      </c>
      <c r="Q1715" t="str">
        <v>x</v>
      </c>
      <c r="R1715">
        <f>IF(P1715&gt;0,MAX(VLOOKUP(F1715,$D$6:$G$15,3,FALSE),600),0)/1000</f>
        <v>0</v>
      </c>
      <c r="T1715" t="str">
        <v>x</v>
      </c>
      <c r="U1715">
        <f>U1714</f>
        <v>1.041885</v>
      </c>
      <c r="V1715" t="str">
        <v>x</v>
      </c>
      <c r="W1715">
        <f>D1715</f>
        <v>3</v>
      </c>
      <c r="X1715" t="str">
        <v>x</v>
      </c>
      <c r="Y1715">
        <f>Y1714</f>
        <v>1</v>
      </c>
      <c r="Z1715" t="str">
        <v>=</v>
      </c>
      <c r="AA1715">
        <f>(N1715+P1715*R1715/1000)*U1715*W1715*Y1715</f>
        <v>6.5388702599999995</v>
      </c>
    </row>
    <row r="1717">
      <c r="A1717" t="str">
        <f>A1705</f>
        <v>Lantai 1</v>
      </c>
      <c r="B1717">
        <f>B1705</f>
        <v>55</v>
      </c>
      <c r="C1717" t="str">
        <v>Tul Peminggang</v>
      </c>
      <c r="D1717">
        <f>VLOOKUP(D1705,'Detail Balok'!$C$10:$AU$140,13,FALSE)</f>
        <v>0</v>
      </c>
      <c r="E1717" t="str">
        <v>D</v>
      </c>
      <c r="F1717">
        <f>VLOOKUP(D1705,'Detail Balok'!$C$10:$AU$140,15,FALSE)</f>
        <v>8</v>
      </c>
      <c r="J1717">
        <f>+D1707/1000</f>
        <v>1.78</v>
      </c>
      <c r="K1717" t="str">
        <v>+</v>
      </c>
      <c r="L1717">
        <f>2*$F$16*F1717/1000</f>
        <v>0.192</v>
      </c>
      <c r="M1717" t="str">
        <v>=</v>
      </c>
      <c r="N1717">
        <f>J1717+L1717</f>
        <v>1.972</v>
      </c>
      <c r="O1717" t="str">
        <v>+</v>
      </c>
      <c r="P1717">
        <f>IF(N1717&gt;12,ROUNDDOWN(N1717/12,0),0)</f>
        <v>0</v>
      </c>
      <c r="Q1717" t="str">
        <v>x</v>
      </c>
      <c r="R1717">
        <f>IF(P1717&gt;0,MAX(VLOOKUP(F1717,$D$6:$G$15,3,FALSE),600),0)/1000</f>
        <v>0</v>
      </c>
      <c r="T1717" t="str">
        <v>x</v>
      </c>
      <c r="U1717">
        <f>0.006165*F1717^2</f>
        <v>0.39456</v>
      </c>
      <c r="V1717" t="str">
        <v>x</v>
      </c>
      <c r="W1717">
        <f>+D1717</f>
        <v>0</v>
      </c>
      <c r="X1717" t="str">
        <v>x</v>
      </c>
      <c r="Y1717">
        <f>D1711</f>
        <v>1</v>
      </c>
      <c r="Z1717" t="str">
        <v>=</v>
      </c>
      <c r="AA1717">
        <f>(N1717+P1717*R1717/1000)*U1717*W1717*Y1717</f>
        <v>0</v>
      </c>
    </row>
    <row r="1720">
      <c r="A1720" t="str">
        <f>A1705</f>
        <v>Lantai 1</v>
      </c>
      <c r="B1720">
        <f>B1705</f>
        <v>55</v>
      </c>
      <c r="C1720" t="str">
        <v>Tul Bawah Tumpuan</v>
      </c>
      <c r="D1720">
        <f>VLOOKUP(D1705,'Detail Balok'!$C$10:$AU$140,22,FALSE)</f>
        <v>3</v>
      </c>
      <c r="E1720" t="str">
        <v>D</v>
      </c>
      <c r="F1720">
        <f>VLOOKUP(D1705,'Detail Balok'!$C$10:$AU$140,24,FALSE)</f>
        <v>13</v>
      </c>
      <c r="I1720" t="str">
        <v>(</v>
      </c>
      <c r="J1720">
        <f>+J1712</f>
        <v>0.445</v>
      </c>
      <c r="K1720" t="str">
        <v>+</v>
      </c>
      <c r="L1720">
        <f>MAX(VLOOKUP(F1720,N$6:P$15,3,FALSE)/1000,2/3*D1710/1000)+F$16*F1720/1000</f>
        <v>0.156</v>
      </c>
      <c r="M1720" t="str">
        <v>=</v>
      </c>
      <c r="N1720">
        <f>J1720+L1720</f>
        <v>0.601</v>
      </c>
      <c r="O1720" t="str">
        <v>+</v>
      </c>
      <c r="P1720">
        <f>D1720-D1721</f>
        <v>0</v>
      </c>
      <c r="Q1720" t="str">
        <v>x</v>
      </c>
      <c r="R1720">
        <f>IF(P1720&gt;0,$F$18*F1720/1000,0)</f>
        <v>0</v>
      </c>
      <c r="S1720" t="str">
        <v>)</v>
      </c>
      <c r="T1720" t="str">
        <v>x</v>
      </c>
      <c r="U1720">
        <f>0.006165*F1720^2</f>
        <v>1.041885</v>
      </c>
      <c r="X1720" t="str">
        <v>x</v>
      </c>
      <c r="Y1720">
        <f>D1711</f>
        <v>1</v>
      </c>
      <c r="Z1720" t="str">
        <v>=</v>
      </c>
      <c r="AA1720">
        <f>IF(AA1723=0,(D1720*N1720+P1720*R1720)*U1720*Y1720,0)</f>
        <v>0</v>
      </c>
    </row>
    <row r="1721">
      <c r="A1721" t="str">
        <f>A1705</f>
        <v>Lantai 1</v>
      </c>
      <c r="B1721">
        <f>B1705</f>
        <v>55</v>
      </c>
      <c r="C1721" t="str">
        <v>Tul Bawah Lapangan</v>
      </c>
      <c r="D1721">
        <f>VLOOKUP(D1705,'Detail Balok'!$C$10:$AU$140,25,FALSE)</f>
        <v>3</v>
      </c>
      <c r="E1721" t="str">
        <v>D</v>
      </c>
      <c r="F1721">
        <f>VLOOKUP(D1705,'Detail Balok'!$C$10:$AU$140,27,FALSE)</f>
        <v>13</v>
      </c>
      <c r="I1721" t="str">
        <v>(</v>
      </c>
      <c r="J1721">
        <f>+J1713</f>
        <v>0.89</v>
      </c>
      <c r="K1721" t="str">
        <v>+</v>
      </c>
      <c r="M1721" t="str">
        <v>=</v>
      </c>
      <c r="N1721">
        <f>J1721+L1721</f>
        <v>0.89</v>
      </c>
      <c r="O1721" t="str">
        <v>+</v>
      </c>
      <c r="P1721">
        <f>MAX(D1721-D1720,D1721-D1722)</f>
        <v>0</v>
      </c>
      <c r="Q1721" t="str">
        <v>x</v>
      </c>
      <c r="R1721">
        <f>IF(P1721&gt;0,2*(1-2*$F$19-1/2)*D1708/1000,0)</f>
        <v>0</v>
      </c>
      <c r="S1721" t="str">
        <v>)</v>
      </c>
      <c r="T1721" t="str">
        <v>x</v>
      </c>
      <c r="U1721">
        <f>0.006165*F1721^2</f>
        <v>1.041885</v>
      </c>
      <c r="X1721" t="str">
        <v>x</v>
      </c>
      <c r="Y1721">
        <f>D1711</f>
        <v>1</v>
      </c>
      <c r="Z1721" t="str">
        <v>=</v>
      </c>
      <c r="AA1721">
        <f>IF(AA1723=0,(D1721*N1721+P1721*R1721)*U1721*Y1721,0)</f>
        <v>0</v>
      </c>
    </row>
    <row r="1722">
      <c r="A1722" t="str">
        <f>A1705</f>
        <v>Lantai 1</v>
      </c>
      <c r="B1722">
        <f>B1705</f>
        <v>55</v>
      </c>
      <c r="C1722" t="str">
        <v>Tul Bawah Tumpuan</v>
      </c>
      <c r="D1722">
        <f>VLOOKUP(D1705,'Detail Balok'!$C$10:$AU$140,28,FALSE)</f>
        <v>3</v>
      </c>
      <c r="E1722" t="str">
        <v>D</v>
      </c>
      <c r="F1722">
        <f>VLOOKUP(D1705,'Detail Balok'!$C$10:$AU$140,30,FALSE)</f>
        <v>13</v>
      </c>
      <c r="I1722" t="str">
        <v>(</v>
      </c>
      <c r="J1722">
        <f>+J1714</f>
        <v>0.445</v>
      </c>
      <c r="K1722" t="str">
        <v>+</v>
      </c>
      <c r="L1722">
        <f>MAX(VLOOKUP(F1722,N$6:P$15,3,FALSE)/1000,2/3*D1710/1000)+F$16*F1722/1000</f>
        <v>0.156</v>
      </c>
      <c r="M1722" t="str">
        <v>=</v>
      </c>
      <c r="N1722">
        <f>J1722+L1722</f>
        <v>0.601</v>
      </c>
      <c r="O1722" t="str">
        <v>+</v>
      </c>
      <c r="P1722">
        <f>D1722-D1721</f>
        <v>0</v>
      </c>
      <c r="Q1722" t="str">
        <v>x</v>
      </c>
      <c r="R1722">
        <f>IF(P1722&gt;0,$F$18*F1722/1000,0)</f>
        <v>0</v>
      </c>
      <c r="S1722" t="str">
        <v>)</v>
      </c>
      <c r="T1722" t="str">
        <v>x</v>
      </c>
      <c r="U1722">
        <f>0.006165*F1722^2</f>
        <v>1.041885</v>
      </c>
      <c r="X1722" t="str">
        <v>x</v>
      </c>
      <c r="Y1722">
        <f>D1711</f>
        <v>1</v>
      </c>
      <c r="Z1722" t="str">
        <v>=</v>
      </c>
      <c r="AA1722">
        <f>IF(AA1723=0,(D1722*N1722+P1722*R1722)*U1722*Y1722,0)</f>
        <v>0</v>
      </c>
    </row>
    <row r="1723">
      <c r="A1723" t="str">
        <f>A1705</f>
        <v>Lantai 1</v>
      </c>
      <c r="B1723">
        <f>B1705</f>
        <v>55</v>
      </c>
      <c r="D1723">
        <f>IF(AND(D1720=D1721,D1721=D1722,D1720=D1722),D1720,0)</f>
        <v>3</v>
      </c>
      <c r="E1723" t="str">
        <v>D</v>
      </c>
      <c r="F1723">
        <f>IF(AND(F1720=F1721,F1720=F1722,F1721=F1722),F1720,0)</f>
        <v>13</v>
      </c>
      <c r="L1723" t="str">
        <v>Total panjang per balok</v>
      </c>
      <c r="M1723" t="str">
        <v>=</v>
      </c>
      <c r="N1723">
        <f>IF(AND(D1720=D1721,D1720=D1722,D1721=D1722,F1720=F1721,F1720=F1722,F1721=F1722),SUM(N1720:N1722),0)</f>
        <v>2.092</v>
      </c>
      <c r="O1723" t="str">
        <v>+</v>
      </c>
      <c r="P1723">
        <f>IF(N1723&gt;12,ROUNDDOWN(N1723/12,0),0)</f>
        <v>0</v>
      </c>
      <c r="Q1723" t="str">
        <v>x</v>
      </c>
      <c r="R1723">
        <f>IF(P1723&gt;0,MAX(VLOOKUP(F1723,$D$6:$G$15,3,FALSE),600),0)/1000</f>
        <v>0</v>
      </c>
      <c r="T1723" t="str">
        <v>x</v>
      </c>
      <c r="U1723">
        <f>U1722</f>
        <v>1.041885</v>
      </c>
      <c r="V1723" t="str">
        <v>x</v>
      </c>
      <c r="W1723">
        <f>D1723</f>
        <v>3</v>
      </c>
      <c r="X1723" t="str">
        <v>x</v>
      </c>
      <c r="Y1723">
        <f>Y1722</f>
        <v>1</v>
      </c>
      <c r="Z1723" t="str">
        <v>=</v>
      </c>
      <c r="AA1723">
        <f>(N1723+P1723*R1723/1000)*U1723*W1723*Y1723</f>
        <v>6.5388702599999995</v>
      </c>
    </row>
    <row r="1725">
      <c r="A1725" t="str">
        <f>A1705</f>
        <v>Lantai 1</v>
      </c>
      <c r="B1725">
        <f>B1705</f>
        <v>55</v>
      </c>
      <c r="C1725" t="str">
        <v>Sengkang Tumpuan</v>
      </c>
      <c r="D1725">
        <f>VLOOKUP(D1705,'Detail Balok'!$C$10:$AU$140,31,FALSE)</f>
        <v>0</v>
      </c>
      <c r="E1725" t="str">
        <v>D</v>
      </c>
      <c r="F1725">
        <f>VLOOKUP(D1705,'Detail Balok'!$C$10:$AU$140,33,FALSE)</f>
        <v>8</v>
      </c>
      <c r="G1725" t="str">
        <v>-</v>
      </c>
      <c r="H1725">
        <f>VLOOKUP(D1705,'Detail Balok'!$C$10:$AU$140,35,FALSE)</f>
        <v>150</v>
      </c>
      <c r="J1725">
        <f>(IF(D1725=0,(2*(D1706+G1706))-(F$5*8),IF(D1725=3,(2*(D1706+G1706))-(F$5*8)+(G1706-2*F$5),IF(D1725=4,(2*(D1706+G1706))-(F$5*8)+2*(G1706-2*F$5)))))/1000</f>
        <v>0.88</v>
      </c>
      <c r="K1725" t="str">
        <v>+</v>
      </c>
      <c r="L1725">
        <f>IF(D1725=0,2*MAX(6*F1725,75),(D1725-1)*2*MAX(6*F1725,75))/1000</f>
        <v>0.15</v>
      </c>
      <c r="M1725" t="str">
        <v>=</v>
      </c>
      <c r="N1725">
        <f>J1725+L1725</f>
        <v>1.03</v>
      </c>
      <c r="T1725" t="str">
        <v>x</v>
      </c>
      <c r="U1725">
        <f>0.006165*F1725^2</f>
        <v>0.39456</v>
      </c>
      <c r="V1725" t="str">
        <v>x</v>
      </c>
      <c r="W1725">
        <f>IF(D1708&gt;4*G1706,ROUND(MAX(D1708/4,2*G1706)/H1725,0)+1,ROUND(D1708/H1725,0)+1)</f>
        <v>6</v>
      </c>
      <c r="X1725" t="str">
        <v>x</v>
      </c>
      <c r="Y1725">
        <f>D1711</f>
        <v>1</v>
      </c>
      <c r="Z1725" t="str">
        <v>=</v>
      </c>
      <c r="AA1725">
        <f>N1725*U1725*W1725*Y1725</f>
        <v>2.4383808000000005</v>
      </c>
    </row>
    <row r="1726">
      <c r="A1726" t="str">
        <f>A1705</f>
        <v>Lantai 1</v>
      </c>
      <c r="B1726">
        <f>B1705</f>
        <v>55</v>
      </c>
      <c r="C1726" t="str">
        <v>Sengkang Lapangan</v>
      </c>
      <c r="D1726">
        <f>VLOOKUP(D1705,'Detail Balok'!$C$10:$AU$140,36,FALSE)</f>
        <v>0</v>
      </c>
      <c r="E1726" t="str">
        <v>D</v>
      </c>
      <c r="F1726">
        <f>VLOOKUP(D1705,'Detail Balok'!$C$10:$AU$140,38,FALSE)</f>
        <v>8</v>
      </c>
      <c r="G1726" t="str">
        <v>-</v>
      </c>
      <c r="H1726">
        <f>VLOOKUP(D1705,'Detail Balok'!$C$10:$AU$140,40,FALSE)</f>
        <v>200</v>
      </c>
      <c r="J1726">
        <f>(IF(D1726=0,(2*(D1706+G1706))-(F$5*8),IF(D1726=3,(2*(D1706+G1706))-(F$5*8)+(G1706-2*F$5),IF(D1726=4,(2*(D1706+G1706))-(F$5*8)+2*(G1706-2*F$5)))))/1000</f>
        <v>0.88</v>
      </c>
      <c r="K1726" t="str">
        <v>+</v>
      </c>
      <c r="L1726">
        <f>IF(D1726=0,2*MAX(6*F1726,75),(D1726-1)*2*MAX(6*F1726,75))/1000</f>
        <v>0.15</v>
      </c>
      <c r="M1726" t="str">
        <v>=</v>
      </c>
      <c r="N1726">
        <f>J1726+L1726</f>
        <v>1.03</v>
      </c>
      <c r="T1726" t="str">
        <v>x</v>
      </c>
      <c r="U1726">
        <f>0.006165*F1726^2</f>
        <v>0.39456</v>
      </c>
      <c r="V1726" t="str">
        <v>x</v>
      </c>
      <c r="W1726">
        <f>IF(D1708-MAX(D1708/4,2*G1706)*2&gt;0,ROUND((D1708-MAX(D1708/4,2*G1706)*2)/H1726,0),0)</f>
        <v>1</v>
      </c>
      <c r="X1726" t="str">
        <v>x</v>
      </c>
      <c r="Y1726">
        <f>D1711</f>
        <v>1</v>
      </c>
      <c r="Z1726" t="str">
        <v>=</v>
      </c>
      <c r="AA1726">
        <f>N1726*U1726*W1726*Y1726</f>
        <v>0.40639680000000006</v>
      </c>
    </row>
    <row r="1727">
      <c r="A1727" t="str">
        <f>A1705</f>
        <v>Lantai 1</v>
      </c>
      <c r="B1727">
        <f>B1705</f>
        <v>55</v>
      </c>
      <c r="C1727" t="str">
        <v>Sengkang Tumpuan</v>
      </c>
      <c r="D1727">
        <f>VLOOKUP(D1705,'Detail Balok'!$C$10:$AU$140,41,FALSE)</f>
        <v>0</v>
      </c>
      <c r="E1727" t="str">
        <v>D</v>
      </c>
      <c r="F1727">
        <f>VLOOKUP(D1705,'Detail Balok'!$C$10:$AU$140,43,FALSE)</f>
        <v>8</v>
      </c>
      <c r="G1727" t="str">
        <v>-</v>
      </c>
      <c r="H1727">
        <f>VLOOKUP(D1705,'Detail Balok'!$C$10:$AU$140,45,FALSE)</f>
        <v>150</v>
      </c>
      <c r="J1727">
        <f>(IF(D1727=0,(2*(D1706+G1706))-(F$5*8),IF(D1727=3,(2*(D1706+G1706))-(F$5*8)+(G1706-2*F$5),IF(D1727=4,(2*(D1706+G1706))-(F$5*8)+2*(G1706-2*F$5)))))/1000</f>
        <v>0.88</v>
      </c>
      <c r="K1727" t="str">
        <v>+</v>
      </c>
      <c r="L1727">
        <f>IF(D1727=0,2*MAX(6*F1727,75),(D1727-1)*2*MAX(6*F1727,75))/1000</f>
        <v>0.15</v>
      </c>
      <c r="M1727" t="str">
        <v>=</v>
      </c>
      <c r="N1727">
        <f>J1727+L1727</f>
        <v>1.03</v>
      </c>
      <c r="T1727" t="str">
        <v>x</v>
      </c>
      <c r="U1727">
        <f>0.006165*F1727^2</f>
        <v>0.39456</v>
      </c>
      <c r="V1727" t="str">
        <v>x</v>
      </c>
      <c r="W1727">
        <f>IF(D1708&gt;4*G1706,ROUND(MAX(D1708/4,2*G1706)/H1727,0)+1,0)</f>
        <v>6</v>
      </c>
      <c r="X1727" t="str">
        <v>x</v>
      </c>
      <c r="Y1727">
        <f>D1711</f>
        <v>1</v>
      </c>
      <c r="Z1727" t="str">
        <v>=</v>
      </c>
      <c r="AA1727">
        <f>N1727*U1727*W1727*Y1727</f>
        <v>2.4383808000000005</v>
      </c>
    </row>
    <row r="1729">
      <c r="A1729" t="str">
        <f>A1705</f>
        <v>Lantai 1</v>
      </c>
      <c r="B1729">
        <f>B1705</f>
        <v>55</v>
      </c>
      <c r="C1729" t="str">
        <v>Kait Horizontal Tump.</v>
      </c>
      <c r="D1729">
        <f>VLOOKUP(D1705,'Detail Balok'!$C$10:$BJ$140,46,FALSE)</f>
        <v>0</v>
      </c>
      <c r="E1729" t="str">
        <v>D</v>
      </c>
      <c r="F1729">
        <f>VLOOKUP(D1705,'Detail Balok'!$C$10:$BJ$140,48,FALSE)</f>
        <v>0</v>
      </c>
      <c r="G1729" t="str">
        <v>-</v>
      </c>
      <c r="H1729">
        <f>VLOOKUP(D1705,'Detail Balok'!$C$10:$BJ$140,50,FALSE)</f>
        <v>100</v>
      </c>
      <c r="J1729">
        <f>(D1706-2*F$5)/1000</f>
        <v>0.12</v>
      </c>
      <c r="K1729" t="str">
        <v>+</v>
      </c>
      <c r="L1729">
        <f>IF(D1729=0,2*MAX(6*F1729,75),(D1729-1)*2*MAX(6*F1729,75))/1000</f>
        <v>0.15</v>
      </c>
      <c r="M1729" t="str">
        <v>=</v>
      </c>
      <c r="N1729">
        <f>J1729+L1729</f>
        <v>0.27</v>
      </c>
      <c r="T1729" t="str">
        <v>x</v>
      </c>
      <c r="U1729">
        <f>0.006165*F1729^2</f>
        <v>0</v>
      </c>
      <c r="V1729" t="str">
        <v>x</v>
      </c>
      <c r="W1729">
        <f>W1725</f>
        <v>6</v>
      </c>
      <c r="X1729" t="str">
        <v>x</v>
      </c>
      <c r="Y1729">
        <f>D1715</f>
        <v>3</v>
      </c>
      <c r="Z1729" t="str">
        <v>=</v>
      </c>
      <c r="AA1729">
        <f>N1729*U1729*W1729*Y1729</f>
        <v>0</v>
      </c>
    </row>
    <row r="1730">
      <c r="A1730" t="str">
        <f>A1705</f>
        <v>Lantai 1</v>
      </c>
      <c r="B1730">
        <f>B1705</f>
        <v>55</v>
      </c>
      <c r="C1730" t="str">
        <v>Kait Horizontal Lap.</v>
      </c>
      <c r="D1730">
        <f>VLOOKUP(D1705,'Detail Balok'!$C$10:$BJ$140,51,FALSE)</f>
        <v>0</v>
      </c>
      <c r="E1730" t="str">
        <v>D</v>
      </c>
      <c r="F1730">
        <f>VLOOKUP(D1705,'Detail Balok'!$C$10:$BJ$140,53,FALSE)</f>
        <v>0</v>
      </c>
      <c r="G1730" t="str">
        <v>-</v>
      </c>
      <c r="H1730">
        <f>VLOOKUP(D1705,'Detail Balok'!$C$10:$BJ$140,55,FALSE)</f>
        <v>100</v>
      </c>
      <c r="J1730">
        <f>(D1706-2*F$5)/1000</f>
        <v>0.12</v>
      </c>
      <c r="K1730" t="str">
        <v>+</v>
      </c>
      <c r="L1730">
        <f>IF(D1730=0,2*MAX(6*F1730,75),(D1730-1)*2*MAX(6*F1730,75))/1000</f>
        <v>0.15</v>
      </c>
      <c r="M1730" t="str">
        <v>=</v>
      </c>
      <c r="N1730">
        <f>J1730+L1730</f>
        <v>0.27</v>
      </c>
      <c r="T1730" t="str">
        <v>x</v>
      </c>
      <c r="U1730">
        <f>0.006165*F1730^2</f>
        <v>0</v>
      </c>
      <c r="V1730" t="str">
        <v>x</v>
      </c>
      <c r="W1730">
        <f>W1726</f>
        <v>1</v>
      </c>
      <c r="X1730" t="str">
        <v>x</v>
      </c>
      <c r="Y1730">
        <f>D1715</f>
        <v>3</v>
      </c>
      <c r="Z1730" t="str">
        <v>=</v>
      </c>
      <c r="AA1730">
        <f>N1730*U1730*W1730*Y1730</f>
        <v>0</v>
      </c>
    </row>
    <row r="1731">
      <c r="A1731" t="str">
        <f>A1705</f>
        <v>Lantai 1</v>
      </c>
      <c r="B1731">
        <f>B1705</f>
        <v>55</v>
      </c>
      <c r="C1731" t="str">
        <v>Kait Horizontal Tump.</v>
      </c>
      <c r="D1731">
        <f>VLOOKUP(D1705,'Detail Balok'!$C$10:$BJ$140,56,FALSE)</f>
        <v>0</v>
      </c>
      <c r="E1731" t="str">
        <v>D</v>
      </c>
      <c r="F1731">
        <f>VLOOKUP(D1705,'Detail Balok'!$C$10:$BJ$140,58,FALSE)</f>
        <v>0</v>
      </c>
      <c r="G1731" t="str">
        <v>-</v>
      </c>
      <c r="H1731">
        <f>VLOOKUP(D1705,'Detail Balok'!$C$10:$BJ$140,60,FALSE)</f>
        <v>100</v>
      </c>
      <c r="J1731">
        <f>(D1706-2*F$5)/1000</f>
        <v>0.12</v>
      </c>
      <c r="K1731" t="str">
        <v>+</v>
      </c>
      <c r="L1731">
        <f>IF(D1731=0,2*MAX(6*F1731,75),(D1731-1)*2*MAX(6*F1731,75))/1000</f>
        <v>0.15</v>
      </c>
      <c r="M1731" t="str">
        <v>=</v>
      </c>
      <c r="N1731">
        <f>J1731+L1731</f>
        <v>0.27</v>
      </c>
      <c r="T1731" t="str">
        <v>x</v>
      </c>
      <c r="U1731">
        <f>0.006165*F1731^2</f>
        <v>0</v>
      </c>
      <c r="V1731" t="str">
        <v>x</v>
      </c>
      <c r="W1731">
        <f>W1727</f>
        <v>6</v>
      </c>
      <c r="X1731" t="str">
        <v>x</v>
      </c>
      <c r="Y1731">
        <f>D1715</f>
        <v>3</v>
      </c>
      <c r="Z1731" t="str">
        <v>=</v>
      </c>
      <c r="AA1731">
        <f>N1731*U1731*W1731*Y1731</f>
        <v>0</v>
      </c>
    </row>
    <row r="1735">
      <c r="A1735" t="str">
        <f>A1705</f>
        <v>Lantai 1</v>
      </c>
      <c r="B1735">
        <f>B1705+1</f>
        <v>56</v>
      </c>
      <c r="C1735" t="str">
        <f>CONCATENATE(A1735," no. ",B1735)</f>
        <v>Lantai 1 no. 56</v>
      </c>
      <c r="D1735" t="str">
        <f>VLOOKUP(C1735,'Data Panjang Balok'!$C$9:$N$254,2,FALSE)</f>
        <v>S36-1</v>
      </c>
    </row>
    <row r="1736">
      <c r="C1736" t="str">
        <v>Dimensi</v>
      </c>
      <c r="D1736">
        <f>VLOOKUP(D1735,'Detail Balok'!$C$10:$AU$140,2,FALSE)</f>
        <v>300</v>
      </c>
      <c r="F1736" t="str">
        <v>x</v>
      </c>
      <c r="G1736">
        <f>VLOOKUP(D1735,'Detail Balok'!$C$10:$AU$140,3,FALSE)</f>
        <v>600</v>
      </c>
    </row>
    <row r="1737">
      <c r="C1737" t="str">
        <v>Panjang as ke as</v>
      </c>
      <c r="D1737">
        <f>VLOOKUP(C1735,'Data Panjang Balok'!$C$9:$N$254,4,FALSE)</f>
        <v>5690</v>
      </c>
    </row>
    <row r="1738">
      <c r="C1738" t="str">
        <v>Panjang netto</v>
      </c>
      <c r="D1738">
        <f>VLOOKUP(C1735,'Data Panjang Balok'!$C$9:$N$254,7,FALSE)</f>
        <v>5690</v>
      </c>
    </row>
    <row r="1739">
      <c r="C1739" t="str">
        <v>Kolom / balok kiri</v>
      </c>
      <c r="D1739">
        <f>VLOOKUP(C1735,'Data Panjang Balok'!$C$9:$N$254,9,FALSE)</f>
        <v>0</v>
      </c>
    </row>
    <row r="1740">
      <c r="C1740" t="str">
        <v>Kolom / balok kanan</v>
      </c>
      <c r="D1740">
        <f>VLOOKUP(C1735,'Data Panjang Balok'!$C$9:$N$254,10,FALSE)</f>
        <v>0</v>
      </c>
    </row>
    <row r="1741">
      <c r="C1741" t="str">
        <v>Jumlah</v>
      </c>
      <c r="D1741">
        <f>VLOOKUP(C1735,'Data Panjang Balok'!$C$9:$N$254,3,FALSE)</f>
        <v>1</v>
      </c>
    </row>
    <row r="1742">
      <c r="A1742" t="str">
        <f>A1735</f>
        <v>Lantai 1</v>
      </c>
      <c r="B1742">
        <f>B1735</f>
        <v>56</v>
      </c>
      <c r="C1742" t="str">
        <v>Tul Atas Tumpuan</v>
      </c>
      <c r="D1742">
        <f>VLOOKUP(D1735,'Detail Balok'!$C$10:$AU$140,4,FALSE)</f>
        <v>4</v>
      </c>
      <c r="E1742" t="str">
        <v>D</v>
      </c>
      <c r="F1742">
        <f>VLOOKUP(D1735,'Detail Balok'!$C$10:$AU$140,6,FALSE)</f>
        <v>16</v>
      </c>
      <c r="I1742" t="str">
        <v>(</v>
      </c>
      <c r="J1742">
        <f>+D1737/4/1000</f>
        <v>1.4225</v>
      </c>
      <c r="K1742" t="str">
        <v>+</v>
      </c>
      <c r="L1742">
        <f>MAX(VLOOKUP(F1742,N$6:P$15,3,FALSE)/1000,2/3*D1739/1000)+F$16*F1742/1000</f>
        <v>0.192</v>
      </c>
      <c r="M1742" t="str">
        <v>=</v>
      </c>
      <c r="N1742">
        <f>J1742+L1742</f>
        <v>1.6145</v>
      </c>
      <c r="O1742" t="str">
        <v>+</v>
      </c>
      <c r="P1742">
        <f>D1742-D1743</f>
        <v>0</v>
      </c>
      <c r="Q1742" t="str">
        <v>x</v>
      </c>
      <c r="R1742">
        <f>IF(P1742&gt;0,$F$18*F1742/1000,0)</f>
        <v>0</v>
      </c>
      <c r="S1742" t="str">
        <v>)</v>
      </c>
      <c r="T1742" t="str">
        <v>x</v>
      </c>
      <c r="U1742">
        <f>0.006165*F1742^2</f>
        <v>1.57824</v>
      </c>
      <c r="X1742" t="str">
        <v>x</v>
      </c>
      <c r="Y1742">
        <f>D1741</f>
        <v>1</v>
      </c>
      <c r="Z1742" t="str">
        <v>=</v>
      </c>
      <c r="AA1742">
        <f>IF(AA1745=0,(D1742*N1742+P1742*R1742)*U1742*Y1742,0)</f>
        <v>0</v>
      </c>
    </row>
    <row r="1743">
      <c r="A1743" t="str">
        <f>A1735</f>
        <v>Lantai 1</v>
      </c>
      <c r="B1743">
        <f>B1735</f>
        <v>56</v>
      </c>
      <c r="C1743" t="str">
        <v>Tul Atas Lapangan</v>
      </c>
      <c r="D1743">
        <f>VLOOKUP(D1735,'Detail Balok'!$C$10:$AU$140,7,FALSE)</f>
        <v>4</v>
      </c>
      <c r="E1743" t="str">
        <v>D</v>
      </c>
      <c r="F1743">
        <f>VLOOKUP(D1735,'Detail Balok'!$C$10:$AU$140,9,FALSE)</f>
        <v>16</v>
      </c>
      <c r="I1743" t="str">
        <v>(</v>
      </c>
      <c r="J1743">
        <f>+D1737/2/1000</f>
        <v>2.845</v>
      </c>
      <c r="K1743" t="str">
        <v>+</v>
      </c>
      <c r="M1743" t="str">
        <v>=</v>
      </c>
      <c r="N1743">
        <f>J1743+L1743</f>
        <v>2.845</v>
      </c>
      <c r="O1743" t="str">
        <v>+</v>
      </c>
      <c r="P1743">
        <f>MAX(D1743-D1742,D1743-D1744)</f>
        <v>0</v>
      </c>
      <c r="Q1743" t="str">
        <v>x</v>
      </c>
      <c r="R1743">
        <f>IF(P1743&gt;0,2*(1-2*$F$19-1/2)*D1738/1000,0)</f>
        <v>0</v>
      </c>
      <c r="S1743" t="str">
        <v>)</v>
      </c>
      <c r="T1743" t="str">
        <v>x</v>
      </c>
      <c r="U1743">
        <f>0.006165*F1743^2</f>
        <v>1.57824</v>
      </c>
      <c r="X1743" t="str">
        <v>x</v>
      </c>
      <c r="Y1743">
        <f>D1741</f>
        <v>1</v>
      </c>
      <c r="Z1743" t="str">
        <v>=</v>
      </c>
      <c r="AA1743">
        <f>IF(AA1745=0,(D1743*N1743+P1743*R1743)*U1743*Y1743,0)</f>
        <v>0</v>
      </c>
    </row>
    <row r="1744">
      <c r="A1744" t="str">
        <f>A1735</f>
        <v>Lantai 1</v>
      </c>
      <c r="B1744">
        <f>B1735</f>
        <v>56</v>
      </c>
      <c r="C1744" t="str">
        <v>Tul Atas Tumpuan</v>
      </c>
      <c r="D1744">
        <f>VLOOKUP(D1735,'Detail Balok'!$C$10:$AU$140,10,FALSE)</f>
        <v>4</v>
      </c>
      <c r="E1744" t="str">
        <v>D</v>
      </c>
      <c r="F1744">
        <f>VLOOKUP(D1735,'Detail Balok'!$C$10:$AU$140,12,FALSE)</f>
        <v>16</v>
      </c>
      <c r="I1744" t="str">
        <v>(</v>
      </c>
      <c r="J1744">
        <f>+D1737/4/1000</f>
        <v>1.4225</v>
      </c>
      <c r="K1744" t="str">
        <v>+</v>
      </c>
      <c r="L1744">
        <f>MAX(VLOOKUP(F1744,N$6:P$15,3,FALSE)/1000,2/3*D1739/1000)+F$16*F1744/1000</f>
        <v>0.192</v>
      </c>
      <c r="M1744" t="str">
        <v>=</v>
      </c>
      <c r="N1744">
        <f>J1744+L1744</f>
        <v>1.6145</v>
      </c>
      <c r="O1744" t="str">
        <v>+</v>
      </c>
      <c r="P1744">
        <f>D1744-D1743</f>
        <v>0</v>
      </c>
      <c r="Q1744" t="str">
        <v>x</v>
      </c>
      <c r="R1744">
        <f>IF(P1744&gt;0,$F$18*F1744/1000,0)</f>
        <v>0</v>
      </c>
      <c r="S1744" t="str">
        <v>)</v>
      </c>
      <c r="T1744" t="str">
        <v>x</v>
      </c>
      <c r="U1744">
        <f>0.006165*F1744^2</f>
        <v>1.57824</v>
      </c>
      <c r="X1744" t="str">
        <v>x</v>
      </c>
      <c r="Y1744">
        <f>D1741</f>
        <v>1</v>
      </c>
      <c r="Z1744" t="str">
        <v>=</v>
      </c>
      <c r="AA1744">
        <f>IF(AA1745=0,(D1744*N1744+P1744*R1744)*U1744*Y1744,0)</f>
        <v>0</v>
      </c>
    </row>
    <row r="1745">
      <c r="A1745" t="str">
        <f>A1735</f>
        <v>Lantai 1</v>
      </c>
      <c r="B1745">
        <f>B1735</f>
        <v>56</v>
      </c>
      <c r="D1745">
        <f>IF(AND(D1742=D1743,D1743=D1744,D1742=D1744),D1742,0)</f>
        <v>4</v>
      </c>
      <c r="E1745" t="str">
        <v>D</v>
      </c>
      <c r="F1745">
        <f>IF(AND(F1742=F1743,F1742=F1744,F1743=F1744),F1742,0)</f>
        <v>16</v>
      </c>
      <c r="L1745" t="str">
        <v>Total panjang per balok</v>
      </c>
      <c r="M1745" t="str">
        <v>=</v>
      </c>
      <c r="N1745">
        <f>IF(AND(D1742=D1743,D1742=D1744,D1743=D1744,F1742=F1743,F1742=F1744,F1743=F1744),SUM(N1742:N1744),0)</f>
        <v>6.074</v>
      </c>
      <c r="O1745" t="str">
        <v>+</v>
      </c>
      <c r="P1745">
        <f>IF(N1745&gt;12,ROUNDDOWN(N1745/12,0),0)</f>
        <v>0</v>
      </c>
      <c r="Q1745" t="str">
        <v>x</v>
      </c>
      <c r="R1745">
        <f>IF(P1745&gt;0,MAX(VLOOKUP(F1745,$D$6:$G$15,3,FALSE),600),0)/1000</f>
        <v>0</v>
      </c>
      <c r="T1745" t="str">
        <v>x</v>
      </c>
      <c r="U1745">
        <f>U1744</f>
        <v>1.57824</v>
      </c>
      <c r="V1745" t="str">
        <v>x</v>
      </c>
      <c r="W1745">
        <f>D1745</f>
        <v>4</v>
      </c>
      <c r="X1745" t="str">
        <v>x</v>
      </c>
      <c r="Y1745">
        <f>Y1744</f>
        <v>1</v>
      </c>
      <c r="Z1745" t="str">
        <v>=</v>
      </c>
      <c r="AA1745">
        <f>(N1745+P1745*R1745/1000)*U1745*W1745*Y1745</f>
        <v>38.34491904</v>
      </c>
    </row>
    <row r="1747">
      <c r="A1747" t="str">
        <f>A1735</f>
        <v>Lantai 1</v>
      </c>
      <c r="B1747">
        <f>B1735</f>
        <v>56</v>
      </c>
      <c r="C1747" t="str">
        <v>Tul Peminggang</v>
      </c>
      <c r="D1747">
        <f>VLOOKUP(D1735,'Detail Balok'!$C$10:$AU$140,13,FALSE)</f>
        <v>2</v>
      </c>
      <c r="E1747" t="str">
        <v>D</v>
      </c>
      <c r="F1747">
        <f>VLOOKUP(D1735,'Detail Balok'!$C$10:$AU$140,15,FALSE)</f>
        <v>10</v>
      </c>
      <c r="J1747">
        <f>+D1737/1000</f>
        <v>5.69</v>
      </c>
      <c r="K1747" t="str">
        <v>+</v>
      </c>
      <c r="L1747">
        <f>2*$F$16*F1747/1000</f>
        <v>0.24</v>
      </c>
      <c r="M1747" t="str">
        <v>=</v>
      </c>
      <c r="N1747">
        <f>J1747+L1747</f>
        <v>5.930000000000001</v>
      </c>
      <c r="O1747" t="str">
        <v>+</v>
      </c>
      <c r="P1747">
        <f>IF(N1747&gt;12,ROUNDDOWN(N1747/12,0),0)</f>
        <v>0</v>
      </c>
      <c r="Q1747" t="str">
        <v>x</v>
      </c>
      <c r="R1747">
        <f>IF(P1747&gt;0,MAX(VLOOKUP(F1747,$D$6:$G$15,3,FALSE),600),0)/1000</f>
        <v>0</v>
      </c>
      <c r="T1747" t="str">
        <v>x</v>
      </c>
      <c r="U1747">
        <f>0.006165*F1747^2</f>
        <v>0.6165</v>
      </c>
      <c r="V1747" t="str">
        <v>x</v>
      </c>
      <c r="W1747">
        <f>+D1747</f>
        <v>2</v>
      </c>
      <c r="X1747" t="str">
        <v>x</v>
      </c>
      <c r="Y1747">
        <f>D1741</f>
        <v>1</v>
      </c>
      <c r="Z1747" t="str">
        <v>=</v>
      </c>
      <c r="AA1747">
        <f>(N1747+P1747*R1747/1000)*U1747*W1747*Y1747</f>
        <v>7.311690000000001</v>
      </c>
    </row>
    <row r="1750">
      <c r="A1750" t="str">
        <f>A1735</f>
        <v>Lantai 1</v>
      </c>
      <c r="B1750">
        <f>B1735</f>
        <v>56</v>
      </c>
      <c r="C1750" t="str">
        <v>Tul Bawah Tumpuan</v>
      </c>
      <c r="D1750">
        <f>VLOOKUP(D1735,'Detail Balok'!$C$10:$AU$140,22,FALSE)</f>
        <v>4</v>
      </c>
      <c r="E1750" t="str">
        <v>D</v>
      </c>
      <c r="F1750">
        <f>VLOOKUP(D1735,'Detail Balok'!$C$10:$AU$140,24,FALSE)</f>
        <v>16</v>
      </c>
      <c r="I1750" t="str">
        <v>(</v>
      </c>
      <c r="J1750">
        <f>+J1742</f>
        <v>1.4225</v>
      </c>
      <c r="K1750" t="str">
        <v>+</v>
      </c>
      <c r="L1750">
        <f>MAX(VLOOKUP(F1750,N$6:P$15,3,FALSE)/1000,2/3*D1740/1000)+F$16*F1750/1000</f>
        <v>0.192</v>
      </c>
      <c r="M1750" t="str">
        <v>=</v>
      </c>
      <c r="N1750">
        <f>J1750+L1750</f>
        <v>1.6145</v>
      </c>
      <c r="O1750" t="str">
        <v>+</v>
      </c>
      <c r="P1750">
        <f>D1750-D1751</f>
        <v>0</v>
      </c>
      <c r="Q1750" t="str">
        <v>x</v>
      </c>
      <c r="R1750">
        <f>IF(P1750&gt;0,$F$18*F1750/1000,0)</f>
        <v>0</v>
      </c>
      <c r="S1750" t="str">
        <v>)</v>
      </c>
      <c r="T1750" t="str">
        <v>x</v>
      </c>
      <c r="U1750">
        <f>0.006165*F1750^2</f>
        <v>1.57824</v>
      </c>
      <c r="X1750" t="str">
        <v>x</v>
      </c>
      <c r="Y1750">
        <f>D1741</f>
        <v>1</v>
      </c>
      <c r="Z1750" t="str">
        <v>=</v>
      </c>
      <c r="AA1750">
        <f>IF(AA1753=0,(D1750*N1750+P1750*R1750)*U1750*Y1750,0)</f>
        <v>0</v>
      </c>
    </row>
    <row r="1751">
      <c r="A1751" t="str">
        <f>A1735</f>
        <v>Lantai 1</v>
      </c>
      <c r="B1751">
        <f>B1735</f>
        <v>56</v>
      </c>
      <c r="C1751" t="str">
        <v>Tul Bawah Lapangan</v>
      </c>
      <c r="D1751">
        <f>VLOOKUP(D1735,'Detail Balok'!$C$10:$AU$140,25,FALSE)</f>
        <v>4</v>
      </c>
      <c r="E1751" t="str">
        <v>D</v>
      </c>
      <c r="F1751">
        <f>VLOOKUP(D1735,'Detail Balok'!$C$10:$AU$140,27,FALSE)</f>
        <v>16</v>
      </c>
      <c r="I1751" t="str">
        <v>(</v>
      </c>
      <c r="J1751">
        <f>+J1743</f>
        <v>2.845</v>
      </c>
      <c r="K1751" t="str">
        <v>+</v>
      </c>
      <c r="M1751" t="str">
        <v>=</v>
      </c>
      <c r="N1751">
        <f>J1751+L1751</f>
        <v>2.845</v>
      </c>
      <c r="O1751" t="str">
        <v>+</v>
      </c>
      <c r="P1751">
        <f>MAX(D1751-D1750,D1751-D1752)</f>
        <v>0</v>
      </c>
      <c r="Q1751" t="str">
        <v>x</v>
      </c>
      <c r="R1751">
        <f>IF(P1751&gt;0,2*(1-2*$F$19-1/2)*D1738/1000,0)</f>
        <v>0</v>
      </c>
      <c r="S1751" t="str">
        <v>)</v>
      </c>
      <c r="T1751" t="str">
        <v>x</v>
      </c>
      <c r="U1751">
        <f>0.006165*F1751^2</f>
        <v>1.57824</v>
      </c>
      <c r="X1751" t="str">
        <v>x</v>
      </c>
      <c r="Y1751">
        <f>D1741</f>
        <v>1</v>
      </c>
      <c r="Z1751" t="str">
        <v>=</v>
      </c>
      <c r="AA1751">
        <f>IF(AA1753=0,(D1751*N1751+P1751*R1751)*U1751*Y1751,0)</f>
        <v>0</v>
      </c>
    </row>
    <row r="1752">
      <c r="A1752" t="str">
        <f>A1735</f>
        <v>Lantai 1</v>
      </c>
      <c r="B1752">
        <f>B1735</f>
        <v>56</v>
      </c>
      <c r="C1752" t="str">
        <v>Tul Bawah Tumpuan</v>
      </c>
      <c r="D1752">
        <f>VLOOKUP(D1735,'Detail Balok'!$C$10:$AU$140,28,FALSE)</f>
        <v>4</v>
      </c>
      <c r="E1752" t="str">
        <v>D</v>
      </c>
      <c r="F1752">
        <f>VLOOKUP(D1735,'Detail Balok'!$C$10:$AU$140,30,FALSE)</f>
        <v>16</v>
      </c>
      <c r="I1752" t="str">
        <v>(</v>
      </c>
      <c r="J1752">
        <f>+J1744</f>
        <v>1.4225</v>
      </c>
      <c r="K1752" t="str">
        <v>+</v>
      </c>
      <c r="L1752">
        <f>MAX(VLOOKUP(F1752,N$6:P$15,3,FALSE)/1000,2/3*D1740/1000)+F$16*F1752/1000</f>
        <v>0.192</v>
      </c>
      <c r="M1752" t="str">
        <v>=</v>
      </c>
      <c r="N1752">
        <f>J1752+L1752</f>
        <v>1.6145</v>
      </c>
      <c r="O1752" t="str">
        <v>+</v>
      </c>
      <c r="P1752">
        <f>D1752-D1751</f>
        <v>0</v>
      </c>
      <c r="Q1752" t="str">
        <v>x</v>
      </c>
      <c r="R1752">
        <f>IF(P1752&gt;0,$F$18*F1752/1000,0)</f>
        <v>0</v>
      </c>
      <c r="S1752" t="str">
        <v>)</v>
      </c>
      <c r="T1752" t="str">
        <v>x</v>
      </c>
      <c r="U1752">
        <f>0.006165*F1752^2</f>
        <v>1.57824</v>
      </c>
      <c r="X1752" t="str">
        <v>x</v>
      </c>
      <c r="Y1752">
        <f>D1741</f>
        <v>1</v>
      </c>
      <c r="Z1752" t="str">
        <v>=</v>
      </c>
      <c r="AA1752">
        <f>IF(AA1753=0,(D1752*N1752+P1752*R1752)*U1752*Y1752,0)</f>
        <v>0</v>
      </c>
    </row>
    <row r="1753">
      <c r="A1753" t="str">
        <f>A1735</f>
        <v>Lantai 1</v>
      </c>
      <c r="B1753">
        <f>B1735</f>
        <v>56</v>
      </c>
      <c r="D1753">
        <f>IF(AND(D1750=D1751,D1751=D1752,D1750=D1752),D1750,0)</f>
        <v>4</v>
      </c>
      <c r="E1753" t="str">
        <v>D</v>
      </c>
      <c r="F1753">
        <f>IF(AND(F1750=F1751,F1750=F1752,F1751=F1752),F1750,0)</f>
        <v>16</v>
      </c>
      <c r="L1753" t="str">
        <v>Total panjang per balok</v>
      </c>
      <c r="M1753" t="str">
        <v>=</v>
      </c>
      <c r="N1753">
        <f>IF(AND(D1750=D1751,D1750=D1752,D1751=D1752,F1750=F1751,F1750=F1752,F1751=F1752),SUM(N1750:N1752),0)</f>
        <v>6.074</v>
      </c>
      <c r="O1753" t="str">
        <v>+</v>
      </c>
      <c r="P1753">
        <f>IF(N1753&gt;12,ROUNDDOWN(N1753/12,0),0)</f>
        <v>0</v>
      </c>
      <c r="Q1753" t="str">
        <v>x</v>
      </c>
      <c r="R1753">
        <f>IF(P1753&gt;0,MAX(VLOOKUP(F1753,$D$6:$G$15,3,FALSE),600),0)/1000</f>
        <v>0</v>
      </c>
      <c r="T1753" t="str">
        <v>x</v>
      </c>
      <c r="U1753">
        <f>U1752</f>
        <v>1.57824</v>
      </c>
      <c r="V1753" t="str">
        <v>x</v>
      </c>
      <c r="W1753">
        <f>D1753</f>
        <v>4</v>
      </c>
      <c r="X1753" t="str">
        <v>x</v>
      </c>
      <c r="Y1753">
        <f>Y1752</f>
        <v>1</v>
      </c>
      <c r="Z1753" t="str">
        <v>=</v>
      </c>
      <c r="AA1753">
        <f>(N1753+P1753*R1753/1000)*U1753*W1753*Y1753</f>
        <v>38.34491904</v>
      </c>
    </row>
    <row r="1755">
      <c r="A1755" t="str">
        <f>A1735</f>
        <v>Lantai 1</v>
      </c>
      <c r="B1755">
        <f>B1735</f>
        <v>56</v>
      </c>
      <c r="C1755" t="str">
        <v>Sengkang Tumpuan</v>
      </c>
      <c r="D1755">
        <f>VLOOKUP(D1735,'Detail Balok'!$C$10:$AU$140,31,FALSE)</f>
        <v>0</v>
      </c>
      <c r="E1755" t="str">
        <v>D</v>
      </c>
      <c r="F1755">
        <f>VLOOKUP(D1735,'Detail Balok'!$C$10:$AU$140,33,FALSE)</f>
        <v>8</v>
      </c>
      <c r="G1755" t="str">
        <v>-</v>
      </c>
      <c r="H1755">
        <f>VLOOKUP(D1735,'Detail Balok'!$C$10:$AU$140,35,FALSE)</f>
        <v>150</v>
      </c>
      <c r="J1755">
        <f>(IF(D1755=0,(2*(D1736+G1736))-(F$5*8),IF(D1755=3,(2*(D1736+G1736))-(F$5*8)+(G1736-2*F$5),IF(D1755=4,(2*(D1736+G1736))-(F$5*8)+2*(G1736-2*F$5)))))/1000</f>
        <v>1.48</v>
      </c>
      <c r="K1755" t="str">
        <v>+</v>
      </c>
      <c r="L1755">
        <f>IF(D1755=0,2*MAX(6*F1755,75),(D1755-1)*2*MAX(6*F1755,75))/1000</f>
        <v>0.15</v>
      </c>
      <c r="M1755" t="str">
        <v>=</v>
      </c>
      <c r="N1755">
        <f>J1755+L1755</f>
        <v>1.63</v>
      </c>
      <c r="T1755" t="str">
        <v>x</v>
      </c>
      <c r="U1755">
        <f>0.006165*F1755^2</f>
        <v>0.39456</v>
      </c>
      <c r="V1755" t="str">
        <v>x</v>
      </c>
      <c r="W1755">
        <f>IF(D1738&gt;4*G1736,ROUND(MAX(D1738/4,2*G1736)/H1755,0)+1,ROUND(D1738/H1755,0)+1)</f>
        <v>10</v>
      </c>
      <c r="X1755" t="str">
        <v>x</v>
      </c>
      <c r="Y1755">
        <f>D1741</f>
        <v>1</v>
      </c>
      <c r="Z1755" t="str">
        <v>=</v>
      </c>
      <c r="AA1755">
        <f>N1755*U1755*W1755*Y1755</f>
        <v>6.431328</v>
      </c>
    </row>
    <row r="1756">
      <c r="A1756" t="str">
        <f>A1735</f>
        <v>Lantai 1</v>
      </c>
      <c r="B1756">
        <f>B1735</f>
        <v>56</v>
      </c>
      <c r="C1756" t="str">
        <v>Sengkang Lapangan</v>
      </c>
      <c r="D1756">
        <f>VLOOKUP(D1735,'Detail Balok'!$C$10:$AU$140,36,FALSE)</f>
        <v>0</v>
      </c>
      <c r="E1756" t="str">
        <v>D</v>
      </c>
      <c r="F1756">
        <f>VLOOKUP(D1735,'Detail Balok'!$C$10:$AU$140,38,FALSE)</f>
        <v>8</v>
      </c>
      <c r="G1756" t="str">
        <v>-</v>
      </c>
      <c r="H1756">
        <f>VLOOKUP(D1735,'Detail Balok'!$C$10:$AU$140,40,FALSE)</f>
        <v>200</v>
      </c>
      <c r="J1756">
        <f>(IF(D1756=0,(2*(D1736+G1736))-(F$5*8),IF(D1756=3,(2*(D1736+G1736))-(F$5*8)+(G1736-2*F$5),IF(D1756=4,(2*(D1736+G1736))-(F$5*8)+2*(G1736-2*F$5)))))/1000</f>
        <v>1.48</v>
      </c>
      <c r="K1756" t="str">
        <v>+</v>
      </c>
      <c r="L1756">
        <f>IF(D1756=0,2*MAX(6*F1756,75),(D1756-1)*2*MAX(6*F1756,75))/1000</f>
        <v>0.15</v>
      </c>
      <c r="M1756" t="str">
        <v>=</v>
      </c>
      <c r="N1756">
        <f>J1756+L1756</f>
        <v>1.63</v>
      </c>
      <c r="T1756" t="str">
        <v>x</v>
      </c>
      <c r="U1756">
        <f>0.006165*F1756^2</f>
        <v>0.39456</v>
      </c>
      <c r="V1756" t="str">
        <v>x</v>
      </c>
      <c r="W1756">
        <f>IF(D1738-MAX(D1738/4,2*G1736)*2&gt;0,ROUND((D1738-MAX(D1738/4,2*G1736)*2)/H1756,0),0)</f>
        <v>14</v>
      </c>
      <c r="X1756" t="str">
        <v>x</v>
      </c>
      <c r="Y1756">
        <f>D1741</f>
        <v>1</v>
      </c>
      <c r="Z1756" t="str">
        <v>=</v>
      </c>
      <c r="AA1756">
        <f>N1756*U1756*W1756*Y1756</f>
        <v>9.003859199999999</v>
      </c>
    </row>
    <row r="1757">
      <c r="A1757" t="str">
        <f>A1735</f>
        <v>Lantai 1</v>
      </c>
      <c r="B1757">
        <f>B1735</f>
        <v>56</v>
      </c>
      <c r="C1757" t="str">
        <v>Sengkang Tumpuan</v>
      </c>
      <c r="D1757">
        <f>VLOOKUP(D1735,'Detail Balok'!$C$10:$AU$140,41,FALSE)</f>
        <v>0</v>
      </c>
      <c r="E1757" t="str">
        <v>D</v>
      </c>
      <c r="F1757">
        <f>VLOOKUP(D1735,'Detail Balok'!$C$10:$AU$140,43,FALSE)</f>
        <v>8</v>
      </c>
      <c r="G1757" t="str">
        <v>-</v>
      </c>
      <c r="H1757">
        <f>VLOOKUP(D1735,'Detail Balok'!$C$10:$AU$140,45,FALSE)</f>
        <v>150</v>
      </c>
      <c r="J1757">
        <f>(IF(D1757=0,(2*(D1736+G1736))-(F$5*8),IF(D1757=3,(2*(D1736+G1736))-(F$5*8)+(G1736-2*F$5),IF(D1757=4,(2*(D1736+G1736))-(F$5*8)+2*(G1736-2*F$5)))))/1000</f>
        <v>1.48</v>
      </c>
      <c r="K1757" t="str">
        <v>+</v>
      </c>
      <c r="L1757">
        <f>IF(D1757=0,2*MAX(6*F1757,75),(D1757-1)*2*MAX(6*F1757,75))/1000</f>
        <v>0.15</v>
      </c>
      <c r="M1757" t="str">
        <v>=</v>
      </c>
      <c r="N1757">
        <f>J1757+L1757</f>
        <v>1.63</v>
      </c>
      <c r="T1757" t="str">
        <v>x</v>
      </c>
      <c r="U1757">
        <f>0.006165*F1757^2</f>
        <v>0.39456</v>
      </c>
      <c r="V1757" t="str">
        <v>x</v>
      </c>
      <c r="W1757">
        <f>IF(D1738&gt;4*G1736,ROUND(MAX(D1738/4,2*G1736)/H1757,0)+1,0)</f>
        <v>10</v>
      </c>
      <c r="X1757" t="str">
        <v>x</v>
      </c>
      <c r="Y1757">
        <f>D1741</f>
        <v>1</v>
      </c>
      <c r="Z1757" t="str">
        <v>=</v>
      </c>
      <c r="AA1757">
        <f>N1757*U1757*W1757*Y1757</f>
        <v>6.431328</v>
      </c>
    </row>
    <row r="1759">
      <c r="A1759" t="str">
        <f>A1735</f>
        <v>Lantai 1</v>
      </c>
      <c r="B1759">
        <f>B1735</f>
        <v>56</v>
      </c>
      <c r="C1759" t="str">
        <v>Kait Horizontal Tump.</v>
      </c>
      <c r="D1759">
        <f>VLOOKUP(D1735,'Detail Balok'!$C$10:$BJ$140,46,FALSE)</f>
        <v>0</v>
      </c>
      <c r="E1759" t="str">
        <v>D</v>
      </c>
      <c r="F1759">
        <f>VLOOKUP(D1735,'Detail Balok'!$C$10:$BJ$140,48,FALSE)</f>
        <v>0</v>
      </c>
      <c r="G1759" t="str">
        <v>-</v>
      </c>
      <c r="H1759">
        <f>VLOOKUP(D1735,'Detail Balok'!$C$10:$BJ$140,50,FALSE)</f>
        <v>100</v>
      </c>
      <c r="J1759">
        <f>(D1736-2*F$5)/1000</f>
        <v>0.22</v>
      </c>
      <c r="K1759" t="str">
        <v>+</v>
      </c>
      <c r="L1759">
        <f>IF(D1759=0,2*MAX(6*F1759,75),(D1759-1)*2*MAX(6*F1759,75))/1000</f>
        <v>0.15</v>
      </c>
      <c r="M1759" t="str">
        <v>=</v>
      </c>
      <c r="N1759">
        <f>J1759+L1759</f>
        <v>0.37</v>
      </c>
      <c r="T1759" t="str">
        <v>x</v>
      </c>
      <c r="U1759">
        <f>0.006165*F1759^2</f>
        <v>0</v>
      </c>
      <c r="V1759" t="str">
        <v>x</v>
      </c>
      <c r="W1759">
        <f>W1755</f>
        <v>10</v>
      </c>
      <c r="X1759" t="str">
        <v>x</v>
      </c>
      <c r="Y1759">
        <f>D1745</f>
        <v>4</v>
      </c>
      <c r="Z1759" t="str">
        <v>=</v>
      </c>
      <c r="AA1759">
        <f>N1759*U1759*W1759*Y1759</f>
        <v>0</v>
      </c>
    </row>
    <row r="1760">
      <c r="A1760" t="str">
        <f>A1735</f>
        <v>Lantai 1</v>
      </c>
      <c r="B1760">
        <f>B1735</f>
        <v>56</v>
      </c>
      <c r="C1760" t="str">
        <v>Kait Horizontal Lap.</v>
      </c>
      <c r="D1760">
        <f>VLOOKUP(D1735,'Detail Balok'!$C$10:$BJ$140,51,FALSE)</f>
        <v>0</v>
      </c>
      <c r="E1760" t="str">
        <v>D</v>
      </c>
      <c r="F1760">
        <f>VLOOKUP(D1735,'Detail Balok'!$C$10:$BJ$140,53,FALSE)</f>
        <v>0</v>
      </c>
      <c r="G1760" t="str">
        <v>-</v>
      </c>
      <c r="H1760">
        <f>VLOOKUP(D1735,'Detail Balok'!$C$10:$BJ$140,55,FALSE)</f>
        <v>100</v>
      </c>
      <c r="J1760">
        <f>(D1736-2*F$5)/1000</f>
        <v>0.22</v>
      </c>
      <c r="K1760" t="str">
        <v>+</v>
      </c>
      <c r="L1760">
        <f>IF(D1760=0,2*MAX(6*F1760,75),(D1760-1)*2*MAX(6*F1760,75))/1000</f>
        <v>0.15</v>
      </c>
      <c r="M1760" t="str">
        <v>=</v>
      </c>
      <c r="N1760">
        <f>J1760+L1760</f>
        <v>0.37</v>
      </c>
      <c r="T1760" t="str">
        <v>x</v>
      </c>
      <c r="U1760">
        <f>0.006165*F1760^2</f>
        <v>0</v>
      </c>
      <c r="V1760" t="str">
        <v>x</v>
      </c>
      <c r="W1760">
        <f>W1756</f>
        <v>14</v>
      </c>
      <c r="X1760" t="str">
        <v>x</v>
      </c>
      <c r="Y1760">
        <f>D1745</f>
        <v>4</v>
      </c>
      <c r="Z1760" t="str">
        <v>=</v>
      </c>
      <c r="AA1760">
        <f>N1760*U1760*W1760*Y1760</f>
        <v>0</v>
      </c>
    </row>
    <row r="1761">
      <c r="A1761" t="str">
        <f>A1735</f>
        <v>Lantai 1</v>
      </c>
      <c r="B1761">
        <f>B1735</f>
        <v>56</v>
      </c>
      <c r="C1761" t="str">
        <v>Kait Horizontal Tump.</v>
      </c>
      <c r="D1761">
        <f>VLOOKUP(D1735,'Detail Balok'!$C$10:$BJ$140,56,FALSE)</f>
        <v>0</v>
      </c>
      <c r="E1761" t="str">
        <v>D</v>
      </c>
      <c r="F1761">
        <f>VLOOKUP(D1735,'Detail Balok'!$C$10:$BJ$140,58,FALSE)</f>
        <v>0</v>
      </c>
      <c r="G1761" t="str">
        <v>-</v>
      </c>
      <c r="H1761">
        <f>VLOOKUP(D1735,'Detail Balok'!$C$10:$BJ$140,60,FALSE)</f>
        <v>100</v>
      </c>
      <c r="J1761">
        <f>(D1736-2*F$5)/1000</f>
        <v>0.22</v>
      </c>
      <c r="K1761" t="str">
        <v>+</v>
      </c>
      <c r="L1761">
        <f>IF(D1761=0,2*MAX(6*F1761,75),(D1761-1)*2*MAX(6*F1761,75))/1000</f>
        <v>0.15</v>
      </c>
      <c r="M1761" t="str">
        <v>=</v>
      </c>
      <c r="N1761">
        <f>J1761+L1761</f>
        <v>0.37</v>
      </c>
      <c r="T1761" t="str">
        <v>x</v>
      </c>
      <c r="U1761">
        <f>0.006165*F1761^2</f>
        <v>0</v>
      </c>
      <c r="V1761" t="str">
        <v>x</v>
      </c>
      <c r="W1761">
        <f>W1757</f>
        <v>10</v>
      </c>
      <c r="X1761" t="str">
        <v>x</v>
      </c>
      <c r="Y1761">
        <f>D1745</f>
        <v>4</v>
      </c>
      <c r="Z1761" t="str">
        <v>=</v>
      </c>
      <c r="AA1761">
        <f>N1761*U1761*W1761*Y1761</f>
        <v>0</v>
      </c>
    </row>
    <row r="1765">
      <c r="A1765" t="str">
        <f>A1735</f>
        <v>Lantai 1</v>
      </c>
      <c r="B1765">
        <f>B1735+1</f>
        <v>57</v>
      </c>
      <c r="C1765" t="str">
        <f>CONCATENATE(A1765," no. ",B1765)</f>
        <v>Lantai 1 no. 57</v>
      </c>
      <c r="D1765" t="str">
        <f>VLOOKUP(C1765,'Data Panjang Balok'!$C$9:$N$254,2,FALSE)</f>
        <v>S36-1</v>
      </c>
    </row>
    <row r="1766">
      <c r="C1766" t="str">
        <v>Dimensi</v>
      </c>
      <c r="D1766">
        <f>VLOOKUP(D1765,'Detail Balok'!$C$10:$AU$140,2,FALSE)</f>
        <v>300</v>
      </c>
      <c r="F1766" t="str">
        <v>x</v>
      </c>
      <c r="G1766">
        <f>VLOOKUP(D1765,'Detail Balok'!$C$10:$AU$140,3,FALSE)</f>
        <v>600</v>
      </c>
    </row>
    <row r="1767">
      <c r="C1767" t="str">
        <v>Panjang as ke as</v>
      </c>
      <c r="D1767">
        <f>VLOOKUP(C1765,'Data Panjang Balok'!$C$9:$N$254,4,FALSE)</f>
        <v>4000</v>
      </c>
    </row>
    <row r="1768">
      <c r="C1768" t="str">
        <v>Panjang netto</v>
      </c>
      <c r="D1768">
        <f>VLOOKUP(C1765,'Data Panjang Balok'!$C$9:$N$254,7,FALSE)</f>
        <v>4000</v>
      </c>
    </row>
    <row r="1769">
      <c r="C1769" t="str">
        <v>Kolom / balok kiri</v>
      </c>
      <c r="D1769">
        <f>VLOOKUP(C1765,'Data Panjang Balok'!$C$9:$N$254,9,FALSE)</f>
        <v>0</v>
      </c>
    </row>
    <row r="1770">
      <c r="C1770" t="str">
        <v>Kolom / balok kanan</v>
      </c>
      <c r="D1770">
        <f>VLOOKUP(C1765,'Data Panjang Balok'!$C$9:$N$254,10,FALSE)</f>
        <v>0</v>
      </c>
    </row>
    <row r="1771">
      <c r="C1771" t="str">
        <v>Jumlah</v>
      </c>
      <c r="D1771">
        <f>VLOOKUP(C1765,'Data Panjang Balok'!$C$9:$N$254,3,FALSE)</f>
        <v>1</v>
      </c>
    </row>
    <row r="1772">
      <c r="A1772" t="str">
        <f>A1765</f>
        <v>Lantai 1</v>
      </c>
      <c r="B1772">
        <f>B1765</f>
        <v>57</v>
      </c>
      <c r="C1772" t="str">
        <v>Tul Atas Tumpuan</v>
      </c>
      <c r="D1772">
        <f>VLOOKUP(D1765,'Detail Balok'!$C$10:$AU$140,4,FALSE)</f>
        <v>4</v>
      </c>
      <c r="E1772" t="str">
        <v>D</v>
      </c>
      <c r="F1772">
        <f>VLOOKUP(D1765,'Detail Balok'!$C$10:$AU$140,6,FALSE)</f>
        <v>16</v>
      </c>
      <c r="I1772" t="str">
        <v>(</v>
      </c>
      <c r="J1772">
        <f>+D1767/4/1000</f>
        <v>1</v>
      </c>
      <c r="K1772" t="str">
        <v>+</v>
      </c>
      <c r="L1772">
        <f>MAX(VLOOKUP(F1772,N$6:P$15,3,FALSE)/1000,2/3*D1769/1000)+F$16*F1772/1000</f>
        <v>0.192</v>
      </c>
      <c r="M1772" t="str">
        <v>=</v>
      </c>
      <c r="N1772">
        <f>J1772+L1772</f>
        <v>1.192</v>
      </c>
      <c r="O1772" t="str">
        <v>+</v>
      </c>
      <c r="P1772">
        <f>D1772-D1773</f>
        <v>0</v>
      </c>
      <c r="Q1772" t="str">
        <v>x</v>
      </c>
      <c r="R1772">
        <f>IF(P1772&gt;0,$F$18*F1772/1000,0)</f>
        <v>0</v>
      </c>
      <c r="S1772" t="str">
        <v>)</v>
      </c>
      <c r="T1772" t="str">
        <v>x</v>
      </c>
      <c r="U1772">
        <f>0.006165*F1772^2</f>
        <v>1.57824</v>
      </c>
      <c r="X1772" t="str">
        <v>x</v>
      </c>
      <c r="Y1772">
        <f>D1771</f>
        <v>1</v>
      </c>
      <c r="Z1772" t="str">
        <v>=</v>
      </c>
      <c r="AA1772">
        <f>IF(AA1775=0,(D1772*N1772+P1772*R1772)*U1772*Y1772,0)</f>
        <v>0</v>
      </c>
    </row>
    <row r="1773">
      <c r="A1773" t="str">
        <f>A1765</f>
        <v>Lantai 1</v>
      </c>
      <c r="B1773">
        <f>B1765</f>
        <v>57</v>
      </c>
      <c r="C1773" t="str">
        <v>Tul Atas Lapangan</v>
      </c>
      <c r="D1773">
        <f>VLOOKUP(D1765,'Detail Balok'!$C$10:$AU$140,7,FALSE)</f>
        <v>4</v>
      </c>
      <c r="E1773" t="str">
        <v>D</v>
      </c>
      <c r="F1773">
        <f>VLOOKUP(D1765,'Detail Balok'!$C$10:$AU$140,9,FALSE)</f>
        <v>16</v>
      </c>
      <c r="I1773" t="str">
        <v>(</v>
      </c>
      <c r="J1773">
        <f>+D1767/2/1000</f>
        <v>2</v>
      </c>
      <c r="K1773" t="str">
        <v>+</v>
      </c>
      <c r="M1773" t="str">
        <v>=</v>
      </c>
      <c r="N1773">
        <f>J1773+L1773</f>
        <v>2</v>
      </c>
      <c r="O1773" t="str">
        <v>+</v>
      </c>
      <c r="P1773">
        <f>MAX(D1773-D1772,D1773-D1774)</f>
        <v>0</v>
      </c>
      <c r="Q1773" t="str">
        <v>x</v>
      </c>
      <c r="R1773">
        <f>IF(P1773&gt;0,2*(1-2*$F$19-1/2)*D1768/1000,0)</f>
        <v>0</v>
      </c>
      <c r="S1773" t="str">
        <v>)</v>
      </c>
      <c r="T1773" t="str">
        <v>x</v>
      </c>
      <c r="U1773">
        <f>0.006165*F1773^2</f>
        <v>1.57824</v>
      </c>
      <c r="X1773" t="str">
        <v>x</v>
      </c>
      <c r="Y1773">
        <f>D1771</f>
        <v>1</v>
      </c>
      <c r="Z1773" t="str">
        <v>=</v>
      </c>
      <c r="AA1773">
        <f>IF(AA1775=0,(D1773*N1773+P1773*R1773)*U1773*Y1773,0)</f>
        <v>0</v>
      </c>
    </row>
    <row r="1774">
      <c r="A1774" t="str">
        <f>A1765</f>
        <v>Lantai 1</v>
      </c>
      <c r="B1774">
        <f>B1765</f>
        <v>57</v>
      </c>
      <c r="C1774" t="str">
        <v>Tul Atas Tumpuan</v>
      </c>
      <c r="D1774">
        <f>VLOOKUP(D1765,'Detail Balok'!$C$10:$AU$140,10,FALSE)</f>
        <v>4</v>
      </c>
      <c r="E1774" t="str">
        <v>D</v>
      </c>
      <c r="F1774">
        <f>VLOOKUP(D1765,'Detail Balok'!$C$10:$AU$140,12,FALSE)</f>
        <v>16</v>
      </c>
      <c r="I1774" t="str">
        <v>(</v>
      </c>
      <c r="J1774">
        <f>+D1767/4/1000</f>
        <v>1</v>
      </c>
      <c r="K1774" t="str">
        <v>+</v>
      </c>
      <c r="L1774">
        <f>MAX(VLOOKUP(F1774,N$6:P$15,3,FALSE)/1000,2/3*D1769/1000)+F$16*F1774/1000</f>
        <v>0.192</v>
      </c>
      <c r="M1774" t="str">
        <v>=</v>
      </c>
      <c r="N1774">
        <f>J1774+L1774</f>
        <v>1.192</v>
      </c>
      <c r="O1774" t="str">
        <v>+</v>
      </c>
      <c r="P1774">
        <f>D1774-D1773</f>
        <v>0</v>
      </c>
      <c r="Q1774" t="str">
        <v>x</v>
      </c>
      <c r="R1774">
        <f>IF(P1774&gt;0,$F$18*F1774/1000,0)</f>
        <v>0</v>
      </c>
      <c r="S1774" t="str">
        <v>)</v>
      </c>
      <c r="T1774" t="str">
        <v>x</v>
      </c>
      <c r="U1774">
        <f>0.006165*F1774^2</f>
        <v>1.57824</v>
      </c>
      <c r="X1774" t="str">
        <v>x</v>
      </c>
      <c r="Y1774">
        <f>D1771</f>
        <v>1</v>
      </c>
      <c r="Z1774" t="str">
        <v>=</v>
      </c>
      <c r="AA1774">
        <f>IF(AA1775=0,(D1774*N1774+P1774*R1774)*U1774*Y1774,0)</f>
        <v>0</v>
      </c>
    </row>
    <row r="1775">
      <c r="A1775" t="str">
        <f>A1765</f>
        <v>Lantai 1</v>
      </c>
      <c r="B1775">
        <f>B1765</f>
        <v>57</v>
      </c>
      <c r="D1775">
        <f>IF(AND(D1772=D1773,D1773=D1774,D1772=D1774),D1772,0)</f>
        <v>4</v>
      </c>
      <c r="E1775" t="str">
        <v>D</v>
      </c>
      <c r="F1775">
        <f>IF(AND(F1772=F1773,F1772=F1774,F1773=F1774),F1772,0)</f>
        <v>16</v>
      </c>
      <c r="L1775" t="str">
        <v>Total panjang per balok</v>
      </c>
      <c r="M1775" t="str">
        <v>=</v>
      </c>
      <c r="N1775">
        <f>IF(AND(D1772=D1773,D1772=D1774,D1773=D1774,F1772=F1773,F1772=F1774,F1773=F1774),SUM(N1772:N1774),0)</f>
        <v>4.384</v>
      </c>
      <c r="O1775" t="str">
        <v>+</v>
      </c>
      <c r="P1775">
        <f>IF(N1775&gt;12,ROUNDDOWN(N1775/12,0),0)</f>
        <v>0</v>
      </c>
      <c r="Q1775" t="str">
        <v>x</v>
      </c>
      <c r="R1775">
        <f>IF(P1775&gt;0,MAX(VLOOKUP(F1775,$D$6:$G$15,3,FALSE),600),0)/1000</f>
        <v>0</v>
      </c>
      <c r="T1775" t="str">
        <v>x</v>
      </c>
      <c r="U1775">
        <f>U1774</f>
        <v>1.57824</v>
      </c>
      <c r="V1775" t="str">
        <v>x</v>
      </c>
      <c r="W1775">
        <f>D1775</f>
        <v>4</v>
      </c>
      <c r="X1775" t="str">
        <v>x</v>
      </c>
      <c r="Y1775">
        <f>Y1774</f>
        <v>1</v>
      </c>
      <c r="Z1775" t="str">
        <v>=</v>
      </c>
      <c r="AA1775">
        <f>(N1775+P1775*R1775/1000)*U1775*W1775*Y1775</f>
        <v>27.676016640000004</v>
      </c>
    </row>
    <row r="1777">
      <c r="A1777" t="str">
        <f>A1765</f>
        <v>Lantai 1</v>
      </c>
      <c r="B1777">
        <f>B1765</f>
        <v>57</v>
      </c>
      <c r="C1777" t="str">
        <v>Tul Peminggang</v>
      </c>
      <c r="D1777">
        <f>VLOOKUP(D1765,'Detail Balok'!$C$10:$AU$140,13,FALSE)</f>
        <v>2</v>
      </c>
      <c r="E1777" t="str">
        <v>D</v>
      </c>
      <c r="F1777">
        <f>VLOOKUP(D1765,'Detail Balok'!$C$10:$AU$140,15,FALSE)</f>
        <v>10</v>
      </c>
      <c r="J1777">
        <f>+D1767/1000</f>
        <v>4</v>
      </c>
      <c r="K1777" t="str">
        <v>+</v>
      </c>
      <c r="L1777">
        <f>2*$F$16*F1777/1000</f>
        <v>0.24</v>
      </c>
      <c r="M1777" t="str">
        <v>=</v>
      </c>
      <c r="N1777">
        <f>J1777+L1777</f>
        <v>4.24</v>
      </c>
      <c r="O1777" t="str">
        <v>+</v>
      </c>
      <c r="P1777">
        <f>IF(N1777&gt;12,ROUNDDOWN(N1777/12,0),0)</f>
        <v>0</v>
      </c>
      <c r="Q1777" t="str">
        <v>x</v>
      </c>
      <c r="R1777">
        <f>IF(P1777&gt;0,MAX(VLOOKUP(F1777,$D$6:$G$15,3,FALSE),600),0)/1000</f>
        <v>0</v>
      </c>
      <c r="T1777" t="str">
        <v>x</v>
      </c>
      <c r="U1777">
        <f>0.006165*F1777^2</f>
        <v>0.6165</v>
      </c>
      <c r="V1777" t="str">
        <v>x</v>
      </c>
      <c r="W1777">
        <f>+D1777</f>
        <v>2</v>
      </c>
      <c r="X1777" t="str">
        <v>x</v>
      </c>
      <c r="Y1777">
        <f>D1771</f>
        <v>1</v>
      </c>
      <c r="Z1777" t="str">
        <v>=</v>
      </c>
      <c r="AA1777">
        <f>(N1777+P1777*R1777/1000)*U1777*W1777*Y1777</f>
        <v>5.227920000000001</v>
      </c>
    </row>
    <row r="1780">
      <c r="A1780" t="str">
        <f>A1765</f>
        <v>Lantai 1</v>
      </c>
      <c r="B1780">
        <f>B1765</f>
        <v>57</v>
      </c>
      <c r="C1780" t="str">
        <v>Tul Bawah Tumpuan</v>
      </c>
      <c r="D1780">
        <f>VLOOKUP(D1765,'Detail Balok'!$C$10:$AU$140,22,FALSE)</f>
        <v>4</v>
      </c>
      <c r="E1780" t="str">
        <v>D</v>
      </c>
      <c r="F1780">
        <f>VLOOKUP(D1765,'Detail Balok'!$C$10:$AU$140,24,FALSE)</f>
        <v>16</v>
      </c>
      <c r="I1780" t="str">
        <v>(</v>
      </c>
      <c r="J1780">
        <f>+J1772</f>
        <v>1</v>
      </c>
      <c r="K1780" t="str">
        <v>+</v>
      </c>
      <c r="L1780">
        <f>MAX(VLOOKUP(F1780,N$6:P$15,3,FALSE)/1000,2/3*D1770/1000)+F$16*F1780/1000</f>
        <v>0.192</v>
      </c>
      <c r="M1780" t="str">
        <v>=</v>
      </c>
      <c r="N1780">
        <f>J1780+L1780</f>
        <v>1.192</v>
      </c>
      <c r="O1780" t="str">
        <v>+</v>
      </c>
      <c r="P1780">
        <f>D1780-D1781</f>
        <v>0</v>
      </c>
      <c r="Q1780" t="str">
        <v>x</v>
      </c>
      <c r="R1780">
        <f>IF(P1780&gt;0,$F$18*F1780/1000,0)</f>
        <v>0</v>
      </c>
      <c r="S1780" t="str">
        <v>)</v>
      </c>
      <c r="T1780" t="str">
        <v>x</v>
      </c>
      <c r="U1780">
        <f>0.006165*F1780^2</f>
        <v>1.57824</v>
      </c>
      <c r="X1780" t="str">
        <v>x</v>
      </c>
      <c r="Y1780">
        <f>D1771</f>
        <v>1</v>
      </c>
      <c r="Z1780" t="str">
        <v>=</v>
      </c>
      <c r="AA1780">
        <f>IF(AA1783=0,(D1780*N1780+P1780*R1780)*U1780*Y1780,0)</f>
        <v>0</v>
      </c>
    </row>
    <row r="1781">
      <c r="A1781" t="str">
        <f>A1765</f>
        <v>Lantai 1</v>
      </c>
      <c r="B1781">
        <f>B1765</f>
        <v>57</v>
      </c>
      <c r="C1781" t="str">
        <v>Tul Bawah Lapangan</v>
      </c>
      <c r="D1781">
        <f>VLOOKUP(D1765,'Detail Balok'!$C$10:$AU$140,25,FALSE)</f>
        <v>4</v>
      </c>
      <c r="E1781" t="str">
        <v>D</v>
      </c>
      <c r="F1781">
        <f>VLOOKUP(D1765,'Detail Balok'!$C$10:$AU$140,27,FALSE)</f>
        <v>16</v>
      </c>
      <c r="I1781" t="str">
        <v>(</v>
      </c>
      <c r="J1781">
        <f>+J1773</f>
        <v>2</v>
      </c>
      <c r="K1781" t="str">
        <v>+</v>
      </c>
      <c r="M1781" t="str">
        <v>=</v>
      </c>
      <c r="N1781">
        <f>J1781+L1781</f>
        <v>2</v>
      </c>
      <c r="O1781" t="str">
        <v>+</v>
      </c>
      <c r="P1781">
        <f>MAX(D1781-D1780,D1781-D1782)</f>
        <v>0</v>
      </c>
      <c r="Q1781" t="str">
        <v>x</v>
      </c>
      <c r="R1781">
        <f>IF(P1781&gt;0,2*(1-2*$F$19-1/2)*D1768/1000,0)</f>
        <v>0</v>
      </c>
      <c r="S1781" t="str">
        <v>)</v>
      </c>
      <c r="T1781" t="str">
        <v>x</v>
      </c>
      <c r="U1781">
        <f>0.006165*F1781^2</f>
        <v>1.57824</v>
      </c>
      <c r="X1781" t="str">
        <v>x</v>
      </c>
      <c r="Y1781">
        <f>D1771</f>
        <v>1</v>
      </c>
      <c r="Z1781" t="str">
        <v>=</v>
      </c>
      <c r="AA1781">
        <f>IF(AA1783=0,(D1781*N1781+P1781*R1781)*U1781*Y1781,0)</f>
        <v>0</v>
      </c>
    </row>
    <row r="1782">
      <c r="A1782" t="str">
        <f>A1765</f>
        <v>Lantai 1</v>
      </c>
      <c r="B1782">
        <f>B1765</f>
        <v>57</v>
      </c>
      <c r="C1782" t="str">
        <v>Tul Bawah Tumpuan</v>
      </c>
      <c r="D1782">
        <f>VLOOKUP(D1765,'Detail Balok'!$C$10:$AU$140,28,FALSE)</f>
        <v>4</v>
      </c>
      <c r="E1782" t="str">
        <v>D</v>
      </c>
      <c r="F1782">
        <f>VLOOKUP(D1765,'Detail Balok'!$C$10:$AU$140,30,FALSE)</f>
        <v>16</v>
      </c>
      <c r="I1782" t="str">
        <v>(</v>
      </c>
      <c r="J1782">
        <f>+J1774</f>
        <v>1</v>
      </c>
      <c r="K1782" t="str">
        <v>+</v>
      </c>
      <c r="L1782">
        <f>MAX(VLOOKUP(F1782,N$6:P$15,3,FALSE)/1000,2/3*D1770/1000)+F$16*F1782/1000</f>
        <v>0.192</v>
      </c>
      <c r="M1782" t="str">
        <v>=</v>
      </c>
      <c r="N1782">
        <f>J1782+L1782</f>
        <v>1.192</v>
      </c>
      <c r="O1782" t="str">
        <v>+</v>
      </c>
      <c r="P1782">
        <f>D1782-D1781</f>
        <v>0</v>
      </c>
      <c r="Q1782" t="str">
        <v>x</v>
      </c>
      <c r="R1782">
        <f>IF(P1782&gt;0,$F$18*F1782/1000,0)</f>
        <v>0</v>
      </c>
      <c r="S1782" t="str">
        <v>)</v>
      </c>
      <c r="T1782" t="str">
        <v>x</v>
      </c>
      <c r="U1782">
        <f>0.006165*F1782^2</f>
        <v>1.57824</v>
      </c>
      <c r="X1782" t="str">
        <v>x</v>
      </c>
      <c r="Y1782">
        <f>D1771</f>
        <v>1</v>
      </c>
      <c r="Z1782" t="str">
        <v>=</v>
      </c>
      <c r="AA1782">
        <f>IF(AA1783=0,(D1782*N1782+P1782*R1782)*U1782*Y1782,0)</f>
        <v>0</v>
      </c>
    </row>
    <row r="1783">
      <c r="A1783" t="str">
        <f>A1765</f>
        <v>Lantai 1</v>
      </c>
      <c r="B1783">
        <f>B1765</f>
        <v>57</v>
      </c>
      <c r="D1783">
        <f>IF(AND(D1780=D1781,D1781=D1782,D1780=D1782),D1780,0)</f>
        <v>4</v>
      </c>
      <c r="E1783" t="str">
        <v>D</v>
      </c>
      <c r="F1783">
        <f>IF(AND(F1780=F1781,F1780=F1782,F1781=F1782),F1780,0)</f>
        <v>16</v>
      </c>
      <c r="L1783" t="str">
        <v>Total panjang per balok</v>
      </c>
      <c r="M1783" t="str">
        <v>=</v>
      </c>
      <c r="N1783">
        <f>IF(AND(D1780=D1781,D1780=D1782,D1781=D1782,F1780=F1781,F1780=F1782,F1781=F1782),SUM(N1780:N1782),0)</f>
        <v>4.384</v>
      </c>
      <c r="O1783" t="str">
        <v>+</v>
      </c>
      <c r="P1783">
        <f>IF(N1783&gt;12,ROUNDDOWN(N1783/12,0),0)</f>
        <v>0</v>
      </c>
      <c r="Q1783" t="str">
        <v>x</v>
      </c>
      <c r="R1783">
        <f>IF(P1783&gt;0,MAX(VLOOKUP(F1783,$D$6:$G$15,3,FALSE),600),0)/1000</f>
        <v>0</v>
      </c>
      <c r="T1783" t="str">
        <v>x</v>
      </c>
      <c r="U1783">
        <f>U1782</f>
        <v>1.57824</v>
      </c>
      <c r="V1783" t="str">
        <v>x</v>
      </c>
      <c r="W1783">
        <f>D1783</f>
        <v>4</v>
      </c>
      <c r="X1783" t="str">
        <v>x</v>
      </c>
      <c r="Y1783">
        <f>Y1782</f>
        <v>1</v>
      </c>
      <c r="Z1783" t="str">
        <v>=</v>
      </c>
      <c r="AA1783">
        <f>(N1783+P1783*R1783/1000)*U1783*W1783*Y1783</f>
        <v>27.676016640000004</v>
      </c>
    </row>
    <row r="1785">
      <c r="A1785" t="str">
        <f>A1765</f>
        <v>Lantai 1</v>
      </c>
      <c r="B1785">
        <f>B1765</f>
        <v>57</v>
      </c>
      <c r="C1785" t="str">
        <v>Sengkang Tumpuan</v>
      </c>
      <c r="D1785">
        <f>VLOOKUP(D1765,'Detail Balok'!$C$10:$AU$140,31,FALSE)</f>
        <v>0</v>
      </c>
      <c r="E1785" t="str">
        <v>D</v>
      </c>
      <c r="F1785">
        <f>VLOOKUP(D1765,'Detail Balok'!$C$10:$AU$140,33,FALSE)</f>
        <v>8</v>
      </c>
      <c r="G1785" t="str">
        <v>-</v>
      </c>
      <c r="H1785">
        <f>VLOOKUP(D1765,'Detail Balok'!$C$10:$AU$140,35,FALSE)</f>
        <v>150</v>
      </c>
      <c r="J1785">
        <f>(IF(D1785=0,(2*(D1766+G1766))-(F$5*8),IF(D1785=3,(2*(D1766+G1766))-(F$5*8)+(G1766-2*F$5),IF(D1785=4,(2*(D1766+G1766))-(F$5*8)+2*(G1766-2*F$5)))))/1000</f>
        <v>1.48</v>
      </c>
      <c r="K1785" t="str">
        <v>+</v>
      </c>
      <c r="L1785">
        <f>IF(D1785=0,2*MAX(6*F1785,75),(D1785-1)*2*MAX(6*F1785,75))/1000</f>
        <v>0.15</v>
      </c>
      <c r="M1785" t="str">
        <v>=</v>
      </c>
      <c r="N1785">
        <f>J1785+L1785</f>
        <v>1.63</v>
      </c>
      <c r="T1785" t="str">
        <v>x</v>
      </c>
      <c r="U1785">
        <f>0.006165*F1785^2</f>
        <v>0.39456</v>
      </c>
      <c r="V1785" t="str">
        <v>x</v>
      </c>
      <c r="W1785">
        <f>IF(D1768&gt;4*G1766,ROUND(MAX(D1768/4,2*G1766)/H1785,0)+1,ROUND(D1768/H1785,0)+1)</f>
        <v>9</v>
      </c>
      <c r="X1785" t="str">
        <v>x</v>
      </c>
      <c r="Y1785">
        <f>D1771</f>
        <v>1</v>
      </c>
      <c r="Z1785" t="str">
        <v>=</v>
      </c>
      <c r="AA1785">
        <f>N1785*U1785*W1785*Y1785</f>
        <v>5.7881952</v>
      </c>
    </row>
    <row r="1786">
      <c r="A1786" t="str">
        <f>A1765</f>
        <v>Lantai 1</v>
      </c>
      <c r="B1786">
        <f>B1765</f>
        <v>57</v>
      </c>
      <c r="C1786" t="str">
        <v>Sengkang Lapangan</v>
      </c>
      <c r="D1786">
        <f>VLOOKUP(D1765,'Detail Balok'!$C$10:$AU$140,36,FALSE)</f>
        <v>0</v>
      </c>
      <c r="E1786" t="str">
        <v>D</v>
      </c>
      <c r="F1786">
        <f>VLOOKUP(D1765,'Detail Balok'!$C$10:$AU$140,38,FALSE)</f>
        <v>8</v>
      </c>
      <c r="G1786" t="str">
        <v>-</v>
      </c>
      <c r="H1786">
        <f>VLOOKUP(D1765,'Detail Balok'!$C$10:$AU$140,40,FALSE)</f>
        <v>200</v>
      </c>
      <c r="J1786">
        <f>(IF(D1786=0,(2*(D1766+G1766))-(F$5*8),IF(D1786=3,(2*(D1766+G1766))-(F$5*8)+(G1766-2*F$5),IF(D1786=4,(2*(D1766+G1766))-(F$5*8)+2*(G1766-2*F$5)))))/1000</f>
        <v>1.48</v>
      </c>
      <c r="K1786" t="str">
        <v>+</v>
      </c>
      <c r="L1786">
        <f>IF(D1786=0,2*MAX(6*F1786,75),(D1786-1)*2*MAX(6*F1786,75))/1000</f>
        <v>0.15</v>
      </c>
      <c r="M1786" t="str">
        <v>=</v>
      </c>
      <c r="N1786">
        <f>J1786+L1786</f>
        <v>1.63</v>
      </c>
      <c r="T1786" t="str">
        <v>x</v>
      </c>
      <c r="U1786">
        <f>0.006165*F1786^2</f>
        <v>0.39456</v>
      </c>
      <c r="V1786" t="str">
        <v>x</v>
      </c>
      <c r="W1786">
        <f>IF(D1768-MAX(D1768/4,2*G1766)*2&gt;0,ROUND((D1768-MAX(D1768/4,2*G1766)*2)/H1786,0),0)</f>
        <v>8</v>
      </c>
      <c r="X1786" t="str">
        <v>x</v>
      </c>
      <c r="Y1786">
        <f>D1771</f>
        <v>1</v>
      </c>
      <c r="Z1786" t="str">
        <v>=</v>
      </c>
      <c r="AA1786">
        <f>N1786*U1786*W1786*Y1786</f>
        <v>5.1450624</v>
      </c>
    </row>
    <row r="1787">
      <c r="A1787" t="str">
        <f>A1765</f>
        <v>Lantai 1</v>
      </c>
      <c r="B1787">
        <f>B1765</f>
        <v>57</v>
      </c>
      <c r="C1787" t="str">
        <v>Sengkang Tumpuan</v>
      </c>
      <c r="D1787">
        <f>VLOOKUP(D1765,'Detail Balok'!$C$10:$AU$140,41,FALSE)</f>
        <v>0</v>
      </c>
      <c r="E1787" t="str">
        <v>D</v>
      </c>
      <c r="F1787">
        <f>VLOOKUP(D1765,'Detail Balok'!$C$10:$AU$140,43,FALSE)</f>
        <v>8</v>
      </c>
      <c r="G1787" t="str">
        <v>-</v>
      </c>
      <c r="H1787">
        <f>VLOOKUP(D1765,'Detail Balok'!$C$10:$AU$140,45,FALSE)</f>
        <v>150</v>
      </c>
      <c r="J1787">
        <f>(IF(D1787=0,(2*(D1766+G1766))-(F$5*8),IF(D1787=3,(2*(D1766+G1766))-(F$5*8)+(G1766-2*F$5),IF(D1787=4,(2*(D1766+G1766))-(F$5*8)+2*(G1766-2*F$5)))))/1000</f>
        <v>1.48</v>
      </c>
      <c r="K1787" t="str">
        <v>+</v>
      </c>
      <c r="L1787">
        <f>IF(D1787=0,2*MAX(6*F1787,75),(D1787-1)*2*MAX(6*F1787,75))/1000</f>
        <v>0.15</v>
      </c>
      <c r="M1787" t="str">
        <v>=</v>
      </c>
      <c r="N1787">
        <f>J1787+L1787</f>
        <v>1.63</v>
      </c>
      <c r="T1787" t="str">
        <v>x</v>
      </c>
      <c r="U1787">
        <f>0.006165*F1787^2</f>
        <v>0.39456</v>
      </c>
      <c r="V1787" t="str">
        <v>x</v>
      </c>
      <c r="W1787">
        <f>IF(D1768&gt;4*G1766,ROUND(MAX(D1768/4,2*G1766)/H1787,0)+1,0)</f>
        <v>9</v>
      </c>
      <c r="X1787" t="str">
        <v>x</v>
      </c>
      <c r="Y1787">
        <f>D1771</f>
        <v>1</v>
      </c>
      <c r="Z1787" t="str">
        <v>=</v>
      </c>
      <c r="AA1787">
        <f>N1787*U1787*W1787*Y1787</f>
        <v>5.7881952</v>
      </c>
    </row>
    <row r="1789">
      <c r="A1789" t="str">
        <f>A1765</f>
        <v>Lantai 1</v>
      </c>
      <c r="B1789">
        <f>B1765</f>
        <v>57</v>
      </c>
      <c r="C1789" t="str">
        <v>Kait Horizontal Tump.</v>
      </c>
      <c r="D1789">
        <f>VLOOKUP(D1765,'Detail Balok'!$C$10:$BJ$140,46,FALSE)</f>
        <v>0</v>
      </c>
      <c r="E1789" t="str">
        <v>D</v>
      </c>
      <c r="F1789">
        <f>VLOOKUP(D1765,'Detail Balok'!$C$10:$BJ$140,48,FALSE)</f>
        <v>0</v>
      </c>
      <c r="G1789" t="str">
        <v>-</v>
      </c>
      <c r="H1789">
        <f>VLOOKUP(D1765,'Detail Balok'!$C$10:$BJ$140,50,FALSE)</f>
        <v>100</v>
      </c>
      <c r="J1789">
        <f>(D1766-2*F$5)/1000</f>
        <v>0.22</v>
      </c>
      <c r="K1789" t="str">
        <v>+</v>
      </c>
      <c r="L1789">
        <f>IF(D1789=0,2*MAX(6*F1789,75),(D1789-1)*2*MAX(6*F1789,75))/1000</f>
        <v>0.15</v>
      </c>
      <c r="M1789" t="str">
        <v>=</v>
      </c>
      <c r="N1789">
        <f>J1789+L1789</f>
        <v>0.37</v>
      </c>
      <c r="T1789" t="str">
        <v>x</v>
      </c>
      <c r="U1789">
        <f>0.006165*F1789^2</f>
        <v>0</v>
      </c>
      <c r="V1789" t="str">
        <v>x</v>
      </c>
      <c r="W1789">
        <f>W1785</f>
        <v>9</v>
      </c>
      <c r="X1789" t="str">
        <v>x</v>
      </c>
      <c r="Y1789">
        <f>D1775</f>
        <v>4</v>
      </c>
      <c r="Z1789" t="str">
        <v>=</v>
      </c>
      <c r="AA1789">
        <f>N1789*U1789*W1789*Y1789</f>
        <v>0</v>
      </c>
    </row>
    <row r="1790">
      <c r="A1790" t="str">
        <f>A1765</f>
        <v>Lantai 1</v>
      </c>
      <c r="B1790">
        <f>B1765</f>
        <v>57</v>
      </c>
      <c r="C1790" t="str">
        <v>Kait Horizontal Lap.</v>
      </c>
      <c r="D1790">
        <f>VLOOKUP(D1765,'Detail Balok'!$C$10:$BJ$140,51,FALSE)</f>
        <v>0</v>
      </c>
      <c r="E1790" t="str">
        <v>D</v>
      </c>
      <c r="F1790">
        <f>VLOOKUP(D1765,'Detail Balok'!$C$10:$BJ$140,53,FALSE)</f>
        <v>0</v>
      </c>
      <c r="G1790" t="str">
        <v>-</v>
      </c>
      <c r="H1790">
        <f>VLOOKUP(D1765,'Detail Balok'!$C$10:$BJ$140,55,FALSE)</f>
        <v>100</v>
      </c>
      <c r="J1790">
        <f>(D1766-2*F$5)/1000</f>
        <v>0.22</v>
      </c>
      <c r="K1790" t="str">
        <v>+</v>
      </c>
      <c r="L1790">
        <f>IF(D1790=0,2*MAX(6*F1790,75),(D1790-1)*2*MAX(6*F1790,75))/1000</f>
        <v>0.15</v>
      </c>
      <c r="M1790" t="str">
        <v>=</v>
      </c>
      <c r="N1790">
        <f>J1790+L1790</f>
        <v>0.37</v>
      </c>
      <c r="T1790" t="str">
        <v>x</v>
      </c>
      <c r="U1790">
        <f>0.006165*F1790^2</f>
        <v>0</v>
      </c>
      <c r="V1790" t="str">
        <v>x</v>
      </c>
      <c r="W1790">
        <f>W1786</f>
        <v>8</v>
      </c>
      <c r="X1790" t="str">
        <v>x</v>
      </c>
      <c r="Y1790">
        <f>D1775</f>
        <v>4</v>
      </c>
      <c r="Z1790" t="str">
        <v>=</v>
      </c>
      <c r="AA1790">
        <f>N1790*U1790*W1790*Y1790</f>
        <v>0</v>
      </c>
    </row>
    <row r="1791">
      <c r="A1791" t="str">
        <f>A1765</f>
        <v>Lantai 1</v>
      </c>
      <c r="B1791">
        <f>B1765</f>
        <v>57</v>
      </c>
      <c r="C1791" t="str">
        <v>Kait Horizontal Tump.</v>
      </c>
      <c r="D1791">
        <f>VLOOKUP(D1765,'Detail Balok'!$C$10:$BJ$140,56,FALSE)</f>
        <v>0</v>
      </c>
      <c r="E1791" t="str">
        <v>D</v>
      </c>
      <c r="F1791">
        <f>VLOOKUP(D1765,'Detail Balok'!$C$10:$BJ$140,58,FALSE)</f>
        <v>0</v>
      </c>
      <c r="G1791" t="str">
        <v>-</v>
      </c>
      <c r="H1791">
        <f>VLOOKUP(D1765,'Detail Balok'!$C$10:$BJ$140,60,FALSE)</f>
        <v>100</v>
      </c>
      <c r="J1791">
        <f>(D1766-2*F$5)/1000</f>
        <v>0.22</v>
      </c>
      <c r="K1791" t="str">
        <v>+</v>
      </c>
      <c r="L1791">
        <f>IF(D1791=0,2*MAX(6*F1791,75),(D1791-1)*2*MAX(6*F1791,75))/1000</f>
        <v>0.15</v>
      </c>
      <c r="M1791" t="str">
        <v>=</v>
      </c>
      <c r="N1791">
        <f>J1791+L1791</f>
        <v>0.37</v>
      </c>
      <c r="T1791" t="str">
        <v>x</v>
      </c>
      <c r="U1791">
        <f>0.006165*F1791^2</f>
        <v>0</v>
      </c>
      <c r="V1791" t="str">
        <v>x</v>
      </c>
      <c r="W1791">
        <f>W1787</f>
        <v>9</v>
      </c>
      <c r="X1791" t="str">
        <v>x</v>
      </c>
      <c r="Y1791">
        <f>D1775</f>
        <v>4</v>
      </c>
      <c r="Z1791" t="str">
        <v>=</v>
      </c>
      <c r="AA1791">
        <f>N1791*U1791*W1791*Y1791</f>
        <v>0</v>
      </c>
    </row>
    <row r="1795">
      <c r="A1795" t="str">
        <f>A1765</f>
        <v>Lantai 1</v>
      </c>
      <c r="B1795">
        <f>B1765+1</f>
        <v>58</v>
      </c>
      <c r="C1795" t="str">
        <f>CONCATENATE(A1795," no. ",B1795)</f>
        <v>Lantai 1 no. 58</v>
      </c>
      <c r="D1795" t="str">
        <f>VLOOKUP(C1795,'Data Panjang Balok'!$C$9:$N$254,2,FALSE)</f>
        <v>S25-1</v>
      </c>
    </row>
    <row r="1796">
      <c r="C1796" t="str">
        <v>Dimensi</v>
      </c>
      <c r="D1796">
        <f>VLOOKUP(D1795,'Detail Balok'!$C$10:$AU$140,2,FALSE)</f>
        <v>200</v>
      </c>
      <c r="F1796" t="str">
        <v>x</v>
      </c>
      <c r="G1796">
        <f>VLOOKUP(D1795,'Detail Balok'!$C$10:$AU$140,3,FALSE)</f>
        <v>500</v>
      </c>
    </row>
    <row r="1797">
      <c r="C1797" t="str">
        <v>Panjang as ke as</v>
      </c>
      <c r="D1797">
        <f>VLOOKUP(C1795,'Data Panjang Balok'!$C$9:$N$254,4,FALSE)</f>
        <v>1600</v>
      </c>
    </row>
    <row r="1798">
      <c r="C1798" t="str">
        <v>Panjang netto</v>
      </c>
      <c r="D1798">
        <f>VLOOKUP(C1795,'Data Panjang Balok'!$C$9:$N$254,7,FALSE)</f>
        <v>1600</v>
      </c>
    </row>
    <row r="1799">
      <c r="C1799" t="str">
        <v>Kolom / balok kiri</v>
      </c>
      <c r="D1799">
        <f>VLOOKUP(C1795,'Data Panjang Balok'!$C$9:$N$254,9,FALSE)</f>
        <v>0</v>
      </c>
    </row>
    <row r="1800">
      <c r="C1800" t="str">
        <v>Kolom / balok kanan</v>
      </c>
      <c r="D1800">
        <f>VLOOKUP(C1795,'Data Panjang Balok'!$C$9:$N$254,10,FALSE)</f>
        <v>0</v>
      </c>
    </row>
    <row r="1801">
      <c r="C1801" t="str">
        <v>Jumlah</v>
      </c>
      <c r="D1801">
        <f>VLOOKUP(C1795,'Data Panjang Balok'!$C$9:$N$254,3,FALSE)</f>
        <v>1</v>
      </c>
    </row>
    <row r="1802">
      <c r="A1802" t="str">
        <f>A1795</f>
        <v>Lantai 1</v>
      </c>
      <c r="B1802">
        <f>B1795</f>
        <v>58</v>
      </c>
      <c r="C1802" t="str">
        <v>Tul Atas Tumpuan</v>
      </c>
      <c r="D1802">
        <f>VLOOKUP(D1795,'Detail Balok'!$C$10:$AU$140,4,FALSE)</f>
        <v>3</v>
      </c>
      <c r="E1802" t="str">
        <v>D</v>
      </c>
      <c r="F1802">
        <f>VLOOKUP(D1795,'Detail Balok'!$C$10:$AU$140,6,FALSE)</f>
        <v>16</v>
      </c>
      <c r="I1802" t="str">
        <v>(</v>
      </c>
      <c r="J1802">
        <f>+D1797/4/1000</f>
        <v>0.4</v>
      </c>
      <c r="K1802" t="str">
        <v>+</v>
      </c>
      <c r="L1802">
        <f>MAX(VLOOKUP(F1802,N$6:P$15,3,FALSE)/1000,2/3*D1799/1000)+F$16*F1802/1000</f>
        <v>0.192</v>
      </c>
      <c r="M1802" t="str">
        <v>=</v>
      </c>
      <c r="N1802">
        <f>J1802+L1802</f>
        <v>0.5920000000000001</v>
      </c>
      <c r="O1802" t="str">
        <v>+</v>
      </c>
      <c r="P1802">
        <f>D1802-D1803</f>
        <v>0</v>
      </c>
      <c r="Q1802" t="str">
        <v>x</v>
      </c>
      <c r="R1802">
        <f>IF(P1802&gt;0,$F$18*F1802/1000,0)</f>
        <v>0</v>
      </c>
      <c r="S1802" t="str">
        <v>)</v>
      </c>
      <c r="T1802" t="str">
        <v>x</v>
      </c>
      <c r="U1802">
        <f>0.006165*F1802^2</f>
        <v>1.57824</v>
      </c>
      <c r="X1802" t="str">
        <v>x</v>
      </c>
      <c r="Y1802">
        <f>D1801</f>
        <v>1</v>
      </c>
      <c r="Z1802" t="str">
        <v>=</v>
      </c>
      <c r="AA1802">
        <f>IF(AA1805=0,(D1802*N1802+P1802*R1802)*U1802*Y1802,0)</f>
        <v>0</v>
      </c>
    </row>
    <row r="1803">
      <c r="A1803" t="str">
        <f>A1795</f>
        <v>Lantai 1</v>
      </c>
      <c r="B1803">
        <f>B1795</f>
        <v>58</v>
      </c>
      <c r="C1803" t="str">
        <v>Tul Atas Lapangan</v>
      </c>
      <c r="D1803">
        <f>VLOOKUP(D1795,'Detail Balok'!$C$10:$AU$140,7,FALSE)</f>
        <v>3</v>
      </c>
      <c r="E1803" t="str">
        <v>D</v>
      </c>
      <c r="F1803">
        <f>VLOOKUP(D1795,'Detail Balok'!$C$10:$AU$140,9,FALSE)</f>
        <v>16</v>
      </c>
      <c r="I1803" t="str">
        <v>(</v>
      </c>
      <c r="J1803">
        <f>+D1797/2/1000</f>
        <v>0.8</v>
      </c>
      <c r="K1803" t="str">
        <v>+</v>
      </c>
      <c r="M1803" t="str">
        <v>=</v>
      </c>
      <c r="N1803">
        <f>J1803+L1803</f>
        <v>0.8</v>
      </c>
      <c r="O1803" t="str">
        <v>+</v>
      </c>
      <c r="P1803">
        <f>MAX(D1803-D1802,D1803-D1804)</f>
        <v>0</v>
      </c>
      <c r="Q1803" t="str">
        <v>x</v>
      </c>
      <c r="R1803">
        <f>IF(P1803&gt;0,2*(1-2*$F$19-1/2)*D1798/1000,0)</f>
        <v>0</v>
      </c>
      <c r="S1803" t="str">
        <v>)</v>
      </c>
      <c r="T1803" t="str">
        <v>x</v>
      </c>
      <c r="U1803">
        <f>0.006165*F1803^2</f>
        <v>1.57824</v>
      </c>
      <c r="X1803" t="str">
        <v>x</v>
      </c>
      <c r="Y1803">
        <f>D1801</f>
        <v>1</v>
      </c>
      <c r="Z1803" t="str">
        <v>=</v>
      </c>
      <c r="AA1803">
        <f>IF(AA1805=0,(D1803*N1803+P1803*R1803)*U1803*Y1803,0)</f>
        <v>0</v>
      </c>
    </row>
    <row r="1804">
      <c r="A1804" t="str">
        <f>A1795</f>
        <v>Lantai 1</v>
      </c>
      <c r="B1804">
        <f>B1795</f>
        <v>58</v>
      </c>
      <c r="C1804" t="str">
        <v>Tul Atas Tumpuan</v>
      </c>
      <c r="D1804">
        <f>VLOOKUP(D1795,'Detail Balok'!$C$10:$AU$140,10,FALSE)</f>
        <v>3</v>
      </c>
      <c r="E1804" t="str">
        <v>D</v>
      </c>
      <c r="F1804">
        <f>VLOOKUP(D1795,'Detail Balok'!$C$10:$AU$140,12,FALSE)</f>
        <v>16</v>
      </c>
      <c r="I1804" t="str">
        <v>(</v>
      </c>
      <c r="J1804">
        <f>+D1797/4/1000</f>
        <v>0.4</v>
      </c>
      <c r="K1804" t="str">
        <v>+</v>
      </c>
      <c r="L1804">
        <f>MAX(VLOOKUP(F1804,N$6:P$15,3,FALSE)/1000,2/3*D1799/1000)+F$16*F1804/1000</f>
        <v>0.192</v>
      </c>
      <c r="M1804" t="str">
        <v>=</v>
      </c>
      <c r="N1804">
        <f>J1804+L1804</f>
        <v>0.5920000000000001</v>
      </c>
      <c r="O1804" t="str">
        <v>+</v>
      </c>
      <c r="P1804">
        <f>D1804-D1803</f>
        <v>0</v>
      </c>
      <c r="Q1804" t="str">
        <v>x</v>
      </c>
      <c r="R1804">
        <f>IF(P1804&gt;0,$F$18*F1804/1000,0)</f>
        <v>0</v>
      </c>
      <c r="S1804" t="str">
        <v>)</v>
      </c>
      <c r="T1804" t="str">
        <v>x</v>
      </c>
      <c r="U1804">
        <f>0.006165*F1804^2</f>
        <v>1.57824</v>
      </c>
      <c r="X1804" t="str">
        <v>x</v>
      </c>
      <c r="Y1804">
        <f>D1801</f>
        <v>1</v>
      </c>
      <c r="Z1804" t="str">
        <v>=</v>
      </c>
      <c r="AA1804">
        <f>IF(AA1805=0,(D1804*N1804+P1804*R1804)*U1804*Y1804,0)</f>
        <v>0</v>
      </c>
    </row>
    <row r="1805">
      <c r="A1805" t="str">
        <f>A1795</f>
        <v>Lantai 1</v>
      </c>
      <c r="B1805">
        <f>B1795</f>
        <v>58</v>
      </c>
      <c r="D1805">
        <f>IF(AND(D1802=D1803,D1803=D1804,D1802=D1804),D1802,0)</f>
        <v>3</v>
      </c>
      <c r="E1805" t="str">
        <v>D</v>
      </c>
      <c r="F1805">
        <f>IF(AND(F1802=F1803,F1802=F1804,F1803=F1804),F1802,0)</f>
        <v>16</v>
      </c>
      <c r="L1805" t="str">
        <v>Total panjang per balok</v>
      </c>
      <c r="M1805" t="str">
        <v>=</v>
      </c>
      <c r="N1805">
        <f>IF(AND(D1802=D1803,D1802=D1804,D1803=D1804,F1802=F1803,F1802=F1804,F1803=F1804),SUM(N1802:N1804),0)</f>
        <v>1.9840000000000002</v>
      </c>
      <c r="O1805" t="str">
        <v>+</v>
      </c>
      <c r="P1805">
        <f>IF(N1805&gt;12,ROUNDDOWN(N1805/12,0),0)</f>
        <v>0</v>
      </c>
      <c r="Q1805" t="str">
        <v>x</v>
      </c>
      <c r="R1805">
        <f>IF(P1805&gt;0,MAX(VLOOKUP(F1805,$D$6:$G$15,3,FALSE),600),0)/1000</f>
        <v>0</v>
      </c>
      <c r="T1805" t="str">
        <v>x</v>
      </c>
      <c r="U1805">
        <f>U1804</f>
        <v>1.57824</v>
      </c>
      <c r="V1805" t="str">
        <v>x</v>
      </c>
      <c r="W1805">
        <f>D1805</f>
        <v>3</v>
      </c>
      <c r="X1805" t="str">
        <v>x</v>
      </c>
      <c r="Y1805">
        <f>Y1804</f>
        <v>1</v>
      </c>
      <c r="Z1805" t="str">
        <v>=</v>
      </c>
      <c r="AA1805">
        <f>(N1805+P1805*R1805/1000)*U1805*W1805*Y1805</f>
        <v>9.393684480000001</v>
      </c>
    </row>
    <row r="1807">
      <c r="A1807" t="str">
        <f>A1795</f>
        <v>Lantai 1</v>
      </c>
      <c r="B1807">
        <f>B1795</f>
        <v>58</v>
      </c>
      <c r="C1807" t="str">
        <v>Tul Peminggang</v>
      </c>
      <c r="D1807">
        <f>VLOOKUP(D1795,'Detail Balok'!$C$10:$AU$140,13,FALSE)</f>
        <v>2</v>
      </c>
      <c r="E1807" t="str">
        <v>D</v>
      </c>
      <c r="F1807">
        <f>VLOOKUP(D1795,'Detail Balok'!$C$10:$AU$140,15,FALSE)</f>
        <v>10</v>
      </c>
      <c r="J1807">
        <f>+D1797/1000</f>
        <v>1.6</v>
      </c>
      <c r="K1807" t="str">
        <v>+</v>
      </c>
      <c r="L1807">
        <f>2*$F$16*F1807/1000</f>
        <v>0.24</v>
      </c>
      <c r="M1807" t="str">
        <v>=</v>
      </c>
      <c r="N1807">
        <f>J1807+L1807</f>
        <v>1.84</v>
      </c>
      <c r="O1807" t="str">
        <v>+</v>
      </c>
      <c r="P1807">
        <f>IF(N1807&gt;12,ROUNDDOWN(N1807/12,0),0)</f>
        <v>0</v>
      </c>
      <c r="Q1807" t="str">
        <v>x</v>
      </c>
      <c r="R1807">
        <f>IF(P1807&gt;0,MAX(VLOOKUP(F1807,$D$6:$G$15,3,FALSE),600),0)/1000</f>
        <v>0</v>
      </c>
      <c r="T1807" t="str">
        <v>x</v>
      </c>
      <c r="U1807">
        <f>0.006165*F1807^2</f>
        <v>0.6165</v>
      </c>
      <c r="V1807" t="str">
        <v>x</v>
      </c>
      <c r="W1807">
        <f>+D1807</f>
        <v>2</v>
      </c>
      <c r="X1807" t="str">
        <v>x</v>
      </c>
      <c r="Y1807">
        <f>D1801</f>
        <v>1</v>
      </c>
      <c r="Z1807" t="str">
        <v>=</v>
      </c>
      <c r="AA1807">
        <f>(N1807+P1807*R1807/1000)*U1807*W1807*Y1807</f>
        <v>2.26872</v>
      </c>
    </row>
    <row r="1810">
      <c r="A1810" t="str">
        <f>A1795</f>
        <v>Lantai 1</v>
      </c>
      <c r="B1810">
        <f>B1795</f>
        <v>58</v>
      </c>
      <c r="C1810" t="str">
        <v>Tul Bawah Tumpuan</v>
      </c>
      <c r="D1810">
        <f>VLOOKUP(D1795,'Detail Balok'!$C$10:$AU$140,22,FALSE)</f>
        <v>3</v>
      </c>
      <c r="E1810" t="str">
        <v>D</v>
      </c>
      <c r="F1810">
        <f>VLOOKUP(D1795,'Detail Balok'!$C$10:$AU$140,24,FALSE)</f>
        <v>16</v>
      </c>
      <c r="I1810" t="str">
        <v>(</v>
      </c>
      <c r="J1810">
        <f>+J1802</f>
        <v>0.4</v>
      </c>
      <c r="K1810" t="str">
        <v>+</v>
      </c>
      <c r="L1810">
        <f>MAX(VLOOKUP(F1810,N$6:P$15,3,FALSE)/1000,2/3*D1800/1000)+F$16*F1810/1000</f>
        <v>0.192</v>
      </c>
      <c r="M1810" t="str">
        <v>=</v>
      </c>
      <c r="N1810">
        <f>J1810+L1810</f>
        <v>0.5920000000000001</v>
      </c>
      <c r="O1810" t="str">
        <v>+</v>
      </c>
      <c r="P1810">
        <f>D1810-D1811</f>
        <v>0</v>
      </c>
      <c r="Q1810" t="str">
        <v>x</v>
      </c>
      <c r="R1810">
        <f>IF(P1810&gt;0,$F$18*F1810/1000,0)</f>
        <v>0</v>
      </c>
      <c r="S1810" t="str">
        <v>)</v>
      </c>
      <c r="T1810" t="str">
        <v>x</v>
      </c>
      <c r="U1810">
        <f>0.006165*F1810^2</f>
        <v>1.57824</v>
      </c>
      <c r="X1810" t="str">
        <v>x</v>
      </c>
      <c r="Y1810">
        <f>D1801</f>
        <v>1</v>
      </c>
      <c r="Z1810" t="str">
        <v>=</v>
      </c>
      <c r="AA1810">
        <f>IF(AA1813=0,(D1810*N1810+P1810*R1810)*U1810*Y1810,0)</f>
        <v>0</v>
      </c>
    </row>
    <row r="1811">
      <c r="A1811" t="str">
        <f>A1795</f>
        <v>Lantai 1</v>
      </c>
      <c r="B1811">
        <f>B1795</f>
        <v>58</v>
      </c>
      <c r="C1811" t="str">
        <v>Tul Bawah Lapangan</v>
      </c>
      <c r="D1811">
        <f>VLOOKUP(D1795,'Detail Balok'!$C$10:$AU$140,25,FALSE)</f>
        <v>3</v>
      </c>
      <c r="E1811" t="str">
        <v>D</v>
      </c>
      <c r="F1811">
        <f>VLOOKUP(D1795,'Detail Balok'!$C$10:$AU$140,27,FALSE)</f>
        <v>16</v>
      </c>
      <c r="I1811" t="str">
        <v>(</v>
      </c>
      <c r="J1811">
        <f>+J1803</f>
        <v>0.8</v>
      </c>
      <c r="K1811" t="str">
        <v>+</v>
      </c>
      <c r="M1811" t="str">
        <v>=</v>
      </c>
      <c r="N1811">
        <f>J1811+L1811</f>
        <v>0.8</v>
      </c>
      <c r="O1811" t="str">
        <v>+</v>
      </c>
      <c r="P1811">
        <f>MAX(D1811-D1810,D1811-D1812)</f>
        <v>0</v>
      </c>
      <c r="Q1811" t="str">
        <v>x</v>
      </c>
      <c r="R1811">
        <f>IF(P1811&gt;0,2*(1-2*$F$19-1/2)*D1798/1000,0)</f>
        <v>0</v>
      </c>
      <c r="S1811" t="str">
        <v>)</v>
      </c>
      <c r="T1811" t="str">
        <v>x</v>
      </c>
      <c r="U1811">
        <f>0.006165*F1811^2</f>
        <v>1.57824</v>
      </c>
      <c r="X1811" t="str">
        <v>x</v>
      </c>
      <c r="Y1811">
        <f>D1801</f>
        <v>1</v>
      </c>
      <c r="Z1811" t="str">
        <v>=</v>
      </c>
      <c r="AA1811">
        <f>IF(AA1813=0,(D1811*N1811+P1811*R1811)*U1811*Y1811,0)</f>
        <v>0</v>
      </c>
    </row>
    <row r="1812">
      <c r="A1812" t="str">
        <f>A1795</f>
        <v>Lantai 1</v>
      </c>
      <c r="B1812">
        <f>B1795</f>
        <v>58</v>
      </c>
      <c r="C1812" t="str">
        <v>Tul Bawah Tumpuan</v>
      </c>
      <c r="D1812">
        <f>VLOOKUP(D1795,'Detail Balok'!$C$10:$AU$140,28,FALSE)</f>
        <v>3</v>
      </c>
      <c r="E1812" t="str">
        <v>D</v>
      </c>
      <c r="F1812">
        <f>VLOOKUP(D1795,'Detail Balok'!$C$10:$AU$140,30,FALSE)</f>
        <v>16</v>
      </c>
      <c r="I1812" t="str">
        <v>(</v>
      </c>
      <c r="J1812">
        <f>+J1804</f>
        <v>0.4</v>
      </c>
      <c r="K1812" t="str">
        <v>+</v>
      </c>
      <c r="L1812">
        <f>MAX(VLOOKUP(F1812,N$6:P$15,3,FALSE)/1000,2/3*D1800/1000)+F$16*F1812/1000</f>
        <v>0.192</v>
      </c>
      <c r="M1812" t="str">
        <v>=</v>
      </c>
      <c r="N1812">
        <f>J1812+L1812</f>
        <v>0.5920000000000001</v>
      </c>
      <c r="O1812" t="str">
        <v>+</v>
      </c>
      <c r="P1812">
        <f>D1812-D1811</f>
        <v>0</v>
      </c>
      <c r="Q1812" t="str">
        <v>x</v>
      </c>
      <c r="R1812">
        <f>IF(P1812&gt;0,$F$18*F1812/1000,0)</f>
        <v>0</v>
      </c>
      <c r="S1812" t="str">
        <v>)</v>
      </c>
      <c r="T1812" t="str">
        <v>x</v>
      </c>
      <c r="U1812">
        <f>0.006165*F1812^2</f>
        <v>1.57824</v>
      </c>
      <c r="X1812" t="str">
        <v>x</v>
      </c>
      <c r="Y1812">
        <f>D1801</f>
        <v>1</v>
      </c>
      <c r="Z1812" t="str">
        <v>=</v>
      </c>
      <c r="AA1812">
        <f>IF(AA1813=0,(D1812*N1812+P1812*R1812)*U1812*Y1812,0)</f>
        <v>0</v>
      </c>
    </row>
    <row r="1813">
      <c r="A1813" t="str">
        <f>A1795</f>
        <v>Lantai 1</v>
      </c>
      <c r="B1813">
        <f>B1795</f>
        <v>58</v>
      </c>
      <c r="D1813">
        <f>IF(AND(D1810=D1811,D1811=D1812,D1810=D1812),D1810,0)</f>
        <v>3</v>
      </c>
      <c r="E1813" t="str">
        <v>D</v>
      </c>
      <c r="F1813">
        <f>IF(AND(F1810=F1811,F1810=F1812,F1811=F1812),F1810,0)</f>
        <v>16</v>
      </c>
      <c r="L1813" t="str">
        <v>Total panjang per balok</v>
      </c>
      <c r="M1813" t="str">
        <v>=</v>
      </c>
      <c r="N1813">
        <f>IF(AND(D1810=D1811,D1810=D1812,D1811=D1812,F1810=F1811,F1810=F1812,F1811=F1812),SUM(N1810:N1812),0)</f>
        <v>1.9840000000000002</v>
      </c>
      <c r="O1813" t="str">
        <v>+</v>
      </c>
      <c r="P1813">
        <f>IF(N1813&gt;12,ROUNDDOWN(N1813/12,0),0)</f>
        <v>0</v>
      </c>
      <c r="Q1813" t="str">
        <v>x</v>
      </c>
      <c r="R1813">
        <f>IF(P1813&gt;0,MAX(VLOOKUP(F1813,$D$6:$G$15,3,FALSE),600),0)/1000</f>
        <v>0</v>
      </c>
      <c r="T1813" t="str">
        <v>x</v>
      </c>
      <c r="U1813">
        <f>U1812</f>
        <v>1.57824</v>
      </c>
      <c r="V1813" t="str">
        <v>x</v>
      </c>
      <c r="W1813">
        <f>D1813</f>
        <v>3</v>
      </c>
      <c r="X1813" t="str">
        <v>x</v>
      </c>
      <c r="Y1813">
        <f>Y1812</f>
        <v>1</v>
      </c>
      <c r="Z1813" t="str">
        <v>=</v>
      </c>
      <c r="AA1813">
        <f>(N1813+P1813*R1813/1000)*U1813*W1813*Y1813</f>
        <v>9.393684480000001</v>
      </c>
    </row>
    <row r="1815">
      <c r="A1815" t="str">
        <f>A1795</f>
        <v>Lantai 1</v>
      </c>
      <c r="B1815">
        <f>B1795</f>
        <v>58</v>
      </c>
      <c r="C1815" t="str">
        <v>Sengkang Tumpuan</v>
      </c>
      <c r="D1815">
        <f>VLOOKUP(D1795,'Detail Balok'!$C$10:$AU$140,31,FALSE)</f>
        <v>0</v>
      </c>
      <c r="E1815" t="str">
        <v>D</v>
      </c>
      <c r="F1815">
        <f>VLOOKUP(D1795,'Detail Balok'!$C$10:$AU$140,33,FALSE)</f>
        <v>8</v>
      </c>
      <c r="G1815" t="str">
        <v>-</v>
      </c>
      <c r="H1815">
        <f>VLOOKUP(D1795,'Detail Balok'!$C$10:$AU$140,35,FALSE)</f>
        <v>150</v>
      </c>
      <c r="J1815">
        <f>(IF(D1815=0,(2*(D1796+G1796))-(F$5*8),IF(D1815=3,(2*(D1796+G1796))-(F$5*8)+(G1796-2*F$5),IF(D1815=4,(2*(D1796+G1796))-(F$5*8)+2*(G1796-2*F$5)))))/1000</f>
        <v>1.08</v>
      </c>
      <c r="K1815" t="str">
        <v>+</v>
      </c>
      <c r="L1815">
        <f>IF(D1815=0,2*MAX(6*F1815,75),(D1815-1)*2*MAX(6*F1815,75))/1000</f>
        <v>0.15</v>
      </c>
      <c r="M1815" t="str">
        <v>=</v>
      </c>
      <c r="N1815">
        <f>J1815+L1815</f>
        <v>1.23</v>
      </c>
      <c r="T1815" t="str">
        <v>x</v>
      </c>
      <c r="U1815">
        <f>0.006165*F1815^2</f>
        <v>0.39456</v>
      </c>
      <c r="V1815" t="str">
        <v>x</v>
      </c>
      <c r="W1815">
        <f>IF(D1798&gt;4*G1796,ROUND(MAX(D1798/4,2*G1796)/H1815,0)+1,ROUND(D1798/H1815,0)+1)</f>
        <v>12</v>
      </c>
      <c r="X1815" t="str">
        <v>x</v>
      </c>
      <c r="Y1815">
        <f>D1801</f>
        <v>1</v>
      </c>
      <c r="Z1815" t="str">
        <v>=</v>
      </c>
      <c r="AA1815">
        <f>N1815*U1815*W1815*Y1815</f>
        <v>5.8237056</v>
      </c>
    </row>
    <row r="1816">
      <c r="A1816" t="str">
        <f>A1795</f>
        <v>Lantai 1</v>
      </c>
      <c r="B1816">
        <f>B1795</f>
        <v>58</v>
      </c>
      <c r="C1816" t="str">
        <v>Sengkang Lapangan</v>
      </c>
      <c r="D1816">
        <f>VLOOKUP(D1795,'Detail Balok'!$C$10:$AU$140,36,FALSE)</f>
        <v>0</v>
      </c>
      <c r="E1816" t="str">
        <v>D</v>
      </c>
      <c r="F1816">
        <f>VLOOKUP(D1795,'Detail Balok'!$C$10:$AU$140,38,FALSE)</f>
        <v>8</v>
      </c>
      <c r="G1816" t="str">
        <v>-</v>
      </c>
      <c r="H1816">
        <f>VLOOKUP(D1795,'Detail Balok'!$C$10:$AU$140,40,FALSE)</f>
        <v>200</v>
      </c>
      <c r="J1816">
        <f>(IF(D1816=0,(2*(D1796+G1796))-(F$5*8),IF(D1816=3,(2*(D1796+G1796))-(F$5*8)+(G1796-2*F$5),IF(D1816=4,(2*(D1796+G1796))-(F$5*8)+2*(G1796-2*F$5)))))/1000</f>
        <v>1.08</v>
      </c>
      <c r="K1816" t="str">
        <v>+</v>
      </c>
      <c r="L1816">
        <f>IF(D1816=0,2*MAX(6*F1816,75),(D1816-1)*2*MAX(6*F1816,75))/1000</f>
        <v>0.15</v>
      </c>
      <c r="M1816" t="str">
        <v>=</v>
      </c>
      <c r="N1816">
        <f>J1816+L1816</f>
        <v>1.23</v>
      </c>
      <c r="T1816" t="str">
        <v>x</v>
      </c>
      <c r="U1816">
        <f>0.006165*F1816^2</f>
        <v>0.39456</v>
      </c>
      <c r="V1816" t="str">
        <v>x</v>
      </c>
      <c r="W1816">
        <f>IF(D1798-MAX(D1798/4,2*G1796)*2&gt;0,ROUND((D1798-MAX(D1798/4,2*G1796)*2)/H1816,0),0)</f>
        <v>0</v>
      </c>
      <c r="X1816" t="str">
        <v>x</v>
      </c>
      <c r="Y1816">
        <f>D1801</f>
        <v>1</v>
      </c>
      <c r="Z1816" t="str">
        <v>=</v>
      </c>
      <c r="AA1816">
        <f>N1816*U1816*W1816*Y1816</f>
        <v>0</v>
      </c>
    </row>
    <row r="1817">
      <c r="A1817" t="str">
        <f>A1795</f>
        <v>Lantai 1</v>
      </c>
      <c r="B1817">
        <f>B1795</f>
        <v>58</v>
      </c>
      <c r="C1817" t="str">
        <v>Sengkang Tumpuan</v>
      </c>
      <c r="D1817">
        <f>VLOOKUP(D1795,'Detail Balok'!$C$10:$AU$140,41,FALSE)</f>
        <v>0</v>
      </c>
      <c r="E1817" t="str">
        <v>D</v>
      </c>
      <c r="F1817">
        <f>VLOOKUP(D1795,'Detail Balok'!$C$10:$AU$140,43,FALSE)</f>
        <v>8</v>
      </c>
      <c r="G1817" t="str">
        <v>-</v>
      </c>
      <c r="H1817">
        <f>VLOOKUP(D1795,'Detail Balok'!$C$10:$AU$140,45,FALSE)</f>
        <v>150</v>
      </c>
      <c r="J1817">
        <f>(IF(D1817=0,(2*(D1796+G1796))-(F$5*8),IF(D1817=3,(2*(D1796+G1796))-(F$5*8)+(G1796-2*F$5),IF(D1817=4,(2*(D1796+G1796))-(F$5*8)+2*(G1796-2*F$5)))))/1000</f>
        <v>1.08</v>
      </c>
      <c r="K1817" t="str">
        <v>+</v>
      </c>
      <c r="L1817">
        <f>IF(D1817=0,2*MAX(6*F1817,75),(D1817-1)*2*MAX(6*F1817,75))/1000</f>
        <v>0.15</v>
      </c>
      <c r="M1817" t="str">
        <v>=</v>
      </c>
      <c r="N1817">
        <f>J1817+L1817</f>
        <v>1.23</v>
      </c>
      <c r="T1817" t="str">
        <v>x</v>
      </c>
      <c r="U1817">
        <f>0.006165*F1817^2</f>
        <v>0.39456</v>
      </c>
      <c r="V1817" t="str">
        <v>x</v>
      </c>
      <c r="W1817">
        <f>IF(D1798&gt;4*G1796,ROUND(MAX(D1798/4,2*G1796)/H1817,0)+1,0)</f>
        <v>0</v>
      </c>
      <c r="X1817" t="str">
        <v>x</v>
      </c>
      <c r="Y1817">
        <f>D1801</f>
        <v>1</v>
      </c>
      <c r="Z1817" t="str">
        <v>=</v>
      </c>
      <c r="AA1817">
        <f>N1817*U1817*W1817*Y1817</f>
        <v>0</v>
      </c>
    </row>
    <row r="1819">
      <c r="A1819" t="str">
        <f>A1795</f>
        <v>Lantai 1</v>
      </c>
      <c r="B1819">
        <f>B1795</f>
        <v>58</v>
      </c>
      <c r="C1819" t="str">
        <v>Kait Horizontal Tump.</v>
      </c>
      <c r="D1819">
        <f>VLOOKUP(D1795,'Detail Balok'!$C$10:$BJ$140,46,FALSE)</f>
        <v>0</v>
      </c>
      <c r="E1819" t="str">
        <v>D</v>
      </c>
      <c r="F1819">
        <f>VLOOKUP(D1795,'Detail Balok'!$C$10:$BJ$140,48,FALSE)</f>
        <v>0</v>
      </c>
      <c r="G1819" t="str">
        <v>-</v>
      </c>
      <c r="H1819">
        <f>VLOOKUP(D1795,'Detail Balok'!$C$10:$BJ$140,50,FALSE)</f>
        <v>100</v>
      </c>
      <c r="J1819">
        <f>(D1796-2*F$5)/1000</f>
        <v>0.12</v>
      </c>
      <c r="K1819" t="str">
        <v>+</v>
      </c>
      <c r="L1819">
        <f>IF(D1819=0,2*MAX(6*F1819,75),(D1819-1)*2*MAX(6*F1819,75))/1000</f>
        <v>0.15</v>
      </c>
      <c r="M1819" t="str">
        <v>=</v>
      </c>
      <c r="N1819">
        <f>J1819+L1819</f>
        <v>0.27</v>
      </c>
      <c r="T1819" t="str">
        <v>x</v>
      </c>
      <c r="U1819">
        <f>0.006165*F1819^2</f>
        <v>0</v>
      </c>
      <c r="V1819" t="str">
        <v>x</v>
      </c>
      <c r="W1819">
        <f>W1815</f>
        <v>12</v>
      </c>
      <c r="X1819" t="str">
        <v>x</v>
      </c>
      <c r="Y1819">
        <f>D1805</f>
        <v>3</v>
      </c>
      <c r="Z1819" t="str">
        <v>=</v>
      </c>
      <c r="AA1819">
        <f>N1819*U1819*W1819*Y1819</f>
        <v>0</v>
      </c>
    </row>
    <row r="1820">
      <c r="A1820" t="str">
        <f>A1795</f>
        <v>Lantai 1</v>
      </c>
      <c r="B1820">
        <f>B1795</f>
        <v>58</v>
      </c>
      <c r="C1820" t="str">
        <v>Kait Horizontal Lap.</v>
      </c>
      <c r="D1820">
        <f>VLOOKUP(D1795,'Detail Balok'!$C$10:$BJ$140,51,FALSE)</f>
        <v>0</v>
      </c>
      <c r="E1820" t="str">
        <v>D</v>
      </c>
      <c r="F1820">
        <f>VLOOKUP(D1795,'Detail Balok'!$C$10:$BJ$140,53,FALSE)</f>
        <v>0</v>
      </c>
      <c r="G1820" t="str">
        <v>-</v>
      </c>
      <c r="H1820">
        <f>VLOOKUP(D1795,'Detail Balok'!$C$10:$BJ$140,55,FALSE)</f>
        <v>100</v>
      </c>
      <c r="J1820">
        <f>(D1796-2*F$5)/1000</f>
        <v>0.12</v>
      </c>
      <c r="K1820" t="str">
        <v>+</v>
      </c>
      <c r="L1820">
        <f>IF(D1820=0,2*MAX(6*F1820,75),(D1820-1)*2*MAX(6*F1820,75))/1000</f>
        <v>0.15</v>
      </c>
      <c r="M1820" t="str">
        <v>=</v>
      </c>
      <c r="N1820">
        <f>J1820+L1820</f>
        <v>0.27</v>
      </c>
      <c r="T1820" t="str">
        <v>x</v>
      </c>
      <c r="U1820">
        <f>0.006165*F1820^2</f>
        <v>0</v>
      </c>
      <c r="V1820" t="str">
        <v>x</v>
      </c>
      <c r="W1820">
        <f>W1816</f>
        <v>0</v>
      </c>
      <c r="X1820" t="str">
        <v>x</v>
      </c>
      <c r="Y1820">
        <f>D1805</f>
        <v>3</v>
      </c>
      <c r="Z1820" t="str">
        <v>=</v>
      </c>
      <c r="AA1820">
        <f>N1820*U1820*W1820*Y1820</f>
        <v>0</v>
      </c>
    </row>
    <row r="1821">
      <c r="A1821" t="str">
        <f>A1795</f>
        <v>Lantai 1</v>
      </c>
      <c r="B1821">
        <f>B1795</f>
        <v>58</v>
      </c>
      <c r="C1821" t="str">
        <v>Kait Horizontal Tump.</v>
      </c>
      <c r="D1821">
        <f>VLOOKUP(D1795,'Detail Balok'!$C$10:$BJ$140,56,FALSE)</f>
        <v>0</v>
      </c>
      <c r="E1821" t="str">
        <v>D</v>
      </c>
      <c r="F1821">
        <f>VLOOKUP(D1795,'Detail Balok'!$C$10:$BJ$140,58,FALSE)</f>
        <v>0</v>
      </c>
      <c r="G1821" t="str">
        <v>-</v>
      </c>
      <c r="H1821">
        <f>VLOOKUP(D1795,'Detail Balok'!$C$10:$BJ$140,60,FALSE)</f>
        <v>100</v>
      </c>
      <c r="J1821">
        <f>(D1796-2*F$5)/1000</f>
        <v>0.12</v>
      </c>
      <c r="K1821" t="str">
        <v>+</v>
      </c>
      <c r="L1821">
        <f>IF(D1821=0,2*MAX(6*F1821,75),(D1821-1)*2*MAX(6*F1821,75))/1000</f>
        <v>0.15</v>
      </c>
      <c r="M1821" t="str">
        <v>=</v>
      </c>
      <c r="N1821">
        <f>J1821+L1821</f>
        <v>0.27</v>
      </c>
      <c r="T1821" t="str">
        <v>x</v>
      </c>
      <c r="U1821">
        <f>0.006165*F1821^2</f>
        <v>0</v>
      </c>
      <c r="V1821" t="str">
        <v>x</v>
      </c>
      <c r="W1821">
        <f>W1817</f>
        <v>0</v>
      </c>
      <c r="X1821" t="str">
        <v>x</v>
      </c>
      <c r="Y1821">
        <f>D1805</f>
        <v>3</v>
      </c>
      <c r="Z1821" t="str">
        <v>=</v>
      </c>
      <c r="AA1821">
        <f>N1821*U1821*W1821*Y1821</f>
        <v>0</v>
      </c>
    </row>
    <row r="1825">
      <c r="A1825" t="str">
        <f>A1795</f>
        <v>Lantai 1</v>
      </c>
      <c r="B1825">
        <f>B1795+1</f>
        <v>59</v>
      </c>
      <c r="C1825" t="str">
        <f>CONCATENATE(A1825," no. ",B1825)</f>
        <v>Lantai 1 no. 59</v>
      </c>
      <c r="D1825" t="str">
        <f>VLOOKUP(C1825,'Data Panjang Balok'!$C$9:$N$254,2,FALSE)</f>
        <v>S24-1</v>
      </c>
    </row>
    <row r="1826">
      <c r="C1826" t="str">
        <v>Dimensi</v>
      </c>
      <c r="D1826">
        <f>VLOOKUP(D1825,'Detail Balok'!$C$10:$AU$140,2,FALSE)</f>
        <v>200</v>
      </c>
      <c r="F1826" t="str">
        <v>x</v>
      </c>
      <c r="G1826">
        <f>VLOOKUP(D1825,'Detail Balok'!$C$10:$AU$140,3,FALSE)</f>
        <v>400</v>
      </c>
    </row>
    <row r="1827">
      <c r="C1827" t="str">
        <v>Panjang as ke as</v>
      </c>
      <c r="D1827">
        <f>VLOOKUP(C1825,'Data Panjang Balok'!$C$9:$N$254,4,FALSE)</f>
        <v>6975</v>
      </c>
    </row>
    <row r="1828">
      <c r="C1828" t="str">
        <v>Panjang netto</v>
      </c>
      <c r="D1828">
        <f>VLOOKUP(C1825,'Data Panjang Balok'!$C$9:$N$254,7,FALSE)</f>
        <v>6975</v>
      </c>
    </row>
    <row r="1829">
      <c r="C1829" t="str">
        <v>Kolom / balok kiri</v>
      </c>
      <c r="D1829">
        <f>VLOOKUP(C1825,'Data Panjang Balok'!$C$9:$N$254,9,FALSE)</f>
        <v>0</v>
      </c>
    </row>
    <row r="1830">
      <c r="C1830" t="str">
        <v>Kolom / balok kanan</v>
      </c>
      <c r="D1830">
        <f>VLOOKUP(C1825,'Data Panjang Balok'!$C$9:$N$254,10,FALSE)</f>
        <v>0</v>
      </c>
    </row>
    <row r="1831">
      <c r="C1831" t="str">
        <v>Jumlah</v>
      </c>
      <c r="D1831">
        <f>VLOOKUP(C1825,'Data Panjang Balok'!$C$9:$N$254,3,FALSE)</f>
        <v>1</v>
      </c>
    </row>
    <row r="1832">
      <c r="A1832" t="str">
        <f>A1825</f>
        <v>Lantai 1</v>
      </c>
      <c r="B1832">
        <f>B1825</f>
        <v>59</v>
      </c>
      <c r="C1832" t="str">
        <v>Tul Atas Tumpuan</v>
      </c>
      <c r="D1832">
        <f>VLOOKUP(D1825,'Detail Balok'!$C$10:$AU$140,4,FALSE)</f>
        <v>3</v>
      </c>
      <c r="E1832" t="str">
        <v>D</v>
      </c>
      <c r="F1832">
        <f>VLOOKUP(D1825,'Detail Balok'!$C$10:$AU$140,6,FALSE)</f>
        <v>13</v>
      </c>
      <c r="I1832" t="str">
        <v>(</v>
      </c>
      <c r="J1832">
        <f>+D1827/4/1000</f>
        <v>1.74375</v>
      </c>
      <c r="K1832" t="str">
        <v>+</v>
      </c>
      <c r="L1832">
        <f>MAX(VLOOKUP(F1832,N$6:P$15,3,FALSE)/1000,2/3*D1829/1000)+F$16*F1832/1000</f>
        <v>0.156</v>
      </c>
      <c r="M1832" t="str">
        <v>=</v>
      </c>
      <c r="N1832">
        <f>J1832+L1832</f>
        <v>1.8997499999999998</v>
      </c>
      <c r="O1832" t="str">
        <v>+</v>
      </c>
      <c r="P1832">
        <f>D1832-D1833</f>
        <v>0</v>
      </c>
      <c r="Q1832" t="str">
        <v>x</v>
      </c>
      <c r="R1832">
        <f>IF(P1832&gt;0,$F$18*F1832/1000,0)</f>
        <v>0</v>
      </c>
      <c r="S1832" t="str">
        <v>)</v>
      </c>
      <c r="T1832" t="str">
        <v>x</v>
      </c>
      <c r="U1832">
        <f>0.006165*F1832^2</f>
        <v>1.041885</v>
      </c>
      <c r="X1832" t="str">
        <v>x</v>
      </c>
      <c r="Y1832">
        <f>D1831</f>
        <v>1</v>
      </c>
      <c r="Z1832" t="str">
        <v>=</v>
      </c>
      <c r="AA1832">
        <f>IF(AA1835=0,(D1832*N1832+P1832*R1832)*U1832*Y1832,0)</f>
        <v>0</v>
      </c>
    </row>
    <row r="1833">
      <c r="A1833" t="str">
        <f>A1825</f>
        <v>Lantai 1</v>
      </c>
      <c r="B1833">
        <f>B1825</f>
        <v>59</v>
      </c>
      <c r="C1833" t="str">
        <v>Tul Atas Lapangan</v>
      </c>
      <c r="D1833">
        <f>VLOOKUP(D1825,'Detail Balok'!$C$10:$AU$140,7,FALSE)</f>
        <v>3</v>
      </c>
      <c r="E1833" t="str">
        <v>D</v>
      </c>
      <c r="F1833">
        <f>VLOOKUP(D1825,'Detail Balok'!$C$10:$AU$140,9,FALSE)</f>
        <v>13</v>
      </c>
      <c r="I1833" t="str">
        <v>(</v>
      </c>
      <c r="J1833">
        <f>+D1827/2/1000</f>
        <v>3.4875</v>
      </c>
      <c r="K1833" t="str">
        <v>+</v>
      </c>
      <c r="M1833" t="str">
        <v>=</v>
      </c>
      <c r="N1833">
        <f>J1833+L1833</f>
        <v>3.4875</v>
      </c>
      <c r="O1833" t="str">
        <v>+</v>
      </c>
      <c r="P1833">
        <f>MAX(D1833-D1832,D1833-D1834)</f>
        <v>0</v>
      </c>
      <c r="Q1833" t="str">
        <v>x</v>
      </c>
      <c r="R1833">
        <f>IF(P1833&gt;0,2*(1-2*$F$19-1/2)*D1828/1000,0)</f>
        <v>0</v>
      </c>
      <c r="S1833" t="str">
        <v>)</v>
      </c>
      <c r="T1833" t="str">
        <v>x</v>
      </c>
      <c r="U1833">
        <f>0.006165*F1833^2</f>
        <v>1.041885</v>
      </c>
      <c r="X1833" t="str">
        <v>x</v>
      </c>
      <c r="Y1833">
        <f>D1831</f>
        <v>1</v>
      </c>
      <c r="Z1833" t="str">
        <v>=</v>
      </c>
      <c r="AA1833">
        <f>IF(AA1835=0,(D1833*N1833+P1833*R1833)*U1833*Y1833,0)</f>
        <v>0</v>
      </c>
    </row>
    <row r="1834">
      <c r="A1834" t="str">
        <f>A1825</f>
        <v>Lantai 1</v>
      </c>
      <c r="B1834">
        <f>B1825</f>
        <v>59</v>
      </c>
      <c r="C1834" t="str">
        <v>Tul Atas Tumpuan</v>
      </c>
      <c r="D1834">
        <f>VLOOKUP(D1825,'Detail Balok'!$C$10:$AU$140,10,FALSE)</f>
        <v>3</v>
      </c>
      <c r="E1834" t="str">
        <v>D</v>
      </c>
      <c r="F1834">
        <f>VLOOKUP(D1825,'Detail Balok'!$C$10:$AU$140,12,FALSE)</f>
        <v>13</v>
      </c>
      <c r="I1834" t="str">
        <v>(</v>
      </c>
      <c r="J1834">
        <f>+D1827/4/1000</f>
        <v>1.74375</v>
      </c>
      <c r="K1834" t="str">
        <v>+</v>
      </c>
      <c r="L1834">
        <f>MAX(VLOOKUP(F1834,N$6:P$15,3,FALSE)/1000,2/3*D1829/1000)+F$16*F1834/1000</f>
        <v>0.156</v>
      </c>
      <c r="M1834" t="str">
        <v>=</v>
      </c>
      <c r="N1834">
        <f>J1834+L1834</f>
        <v>1.8997499999999998</v>
      </c>
      <c r="O1834" t="str">
        <v>+</v>
      </c>
      <c r="P1834">
        <f>D1834-D1833</f>
        <v>0</v>
      </c>
      <c r="Q1834" t="str">
        <v>x</v>
      </c>
      <c r="R1834">
        <f>IF(P1834&gt;0,$F$18*F1834/1000,0)</f>
        <v>0</v>
      </c>
      <c r="S1834" t="str">
        <v>)</v>
      </c>
      <c r="T1834" t="str">
        <v>x</v>
      </c>
      <c r="U1834">
        <f>0.006165*F1834^2</f>
        <v>1.041885</v>
      </c>
      <c r="X1834" t="str">
        <v>x</v>
      </c>
      <c r="Y1834">
        <f>D1831</f>
        <v>1</v>
      </c>
      <c r="Z1834" t="str">
        <v>=</v>
      </c>
      <c r="AA1834">
        <f>IF(AA1835=0,(D1834*N1834+P1834*R1834)*U1834*Y1834,0)</f>
        <v>0</v>
      </c>
    </row>
    <row r="1835">
      <c r="A1835" t="str">
        <f>A1825</f>
        <v>Lantai 1</v>
      </c>
      <c r="B1835">
        <f>B1825</f>
        <v>59</v>
      </c>
      <c r="D1835">
        <f>IF(AND(D1832=D1833,D1833=D1834,D1832=D1834),D1832,0)</f>
        <v>3</v>
      </c>
      <c r="E1835" t="str">
        <v>D</v>
      </c>
      <c r="F1835">
        <f>IF(AND(F1832=F1833,F1832=F1834,F1833=F1834),F1832,0)</f>
        <v>13</v>
      </c>
      <c r="L1835" t="str">
        <v>Total panjang per balok</v>
      </c>
      <c r="M1835" t="str">
        <v>=</v>
      </c>
      <c r="N1835">
        <f>IF(AND(D1832=D1833,D1832=D1834,D1833=D1834,F1832=F1833,F1832=F1834,F1833=F1834),SUM(N1832:N1834),0)</f>
        <v>7.287</v>
      </c>
      <c r="O1835" t="str">
        <v>+</v>
      </c>
      <c r="P1835">
        <f>IF(N1835&gt;12,ROUNDDOWN(N1835/12,0),0)</f>
        <v>0</v>
      </c>
      <c r="Q1835" t="str">
        <v>x</v>
      </c>
      <c r="R1835">
        <f>IF(P1835&gt;0,MAX(VLOOKUP(F1835,$D$6:$G$15,3,FALSE),600),0)/1000</f>
        <v>0</v>
      </c>
      <c r="T1835" t="str">
        <v>x</v>
      </c>
      <c r="U1835">
        <f>U1834</f>
        <v>1.041885</v>
      </c>
      <c r="V1835" t="str">
        <v>x</v>
      </c>
      <c r="W1835">
        <f>D1835</f>
        <v>3</v>
      </c>
      <c r="X1835" t="str">
        <v>x</v>
      </c>
      <c r="Y1835">
        <f>Y1834</f>
        <v>1</v>
      </c>
      <c r="Z1835" t="str">
        <v>=</v>
      </c>
      <c r="AA1835">
        <f>(N1835+P1835*R1835/1000)*U1835*W1835*Y1835</f>
        <v>22.776647984999997</v>
      </c>
    </row>
    <row r="1837">
      <c r="A1837" t="str">
        <f>A1825</f>
        <v>Lantai 1</v>
      </c>
      <c r="B1837">
        <f>B1825</f>
        <v>59</v>
      </c>
      <c r="C1837" t="str">
        <v>Tul Peminggang</v>
      </c>
      <c r="D1837">
        <f>VLOOKUP(D1825,'Detail Balok'!$C$10:$AU$140,13,FALSE)</f>
        <v>0</v>
      </c>
      <c r="E1837" t="str">
        <v>D</v>
      </c>
      <c r="F1837">
        <f>VLOOKUP(D1825,'Detail Balok'!$C$10:$AU$140,15,FALSE)</f>
        <v>8</v>
      </c>
      <c r="J1837">
        <f>+D1827/1000</f>
        <v>6.975</v>
      </c>
      <c r="K1837" t="str">
        <v>+</v>
      </c>
      <c r="L1837">
        <f>2*$F$16*F1837/1000</f>
        <v>0.192</v>
      </c>
      <c r="M1837" t="str">
        <v>=</v>
      </c>
      <c r="N1837">
        <f>J1837+L1837</f>
        <v>7.167</v>
      </c>
      <c r="O1837" t="str">
        <v>+</v>
      </c>
      <c r="P1837">
        <f>IF(N1837&gt;12,ROUNDDOWN(N1837/12,0),0)</f>
        <v>0</v>
      </c>
      <c r="Q1837" t="str">
        <v>x</v>
      </c>
      <c r="R1837">
        <f>IF(P1837&gt;0,MAX(VLOOKUP(F1837,$D$6:$G$15,3,FALSE),600),0)/1000</f>
        <v>0</v>
      </c>
      <c r="T1837" t="str">
        <v>x</v>
      </c>
      <c r="U1837">
        <f>0.006165*F1837^2</f>
        <v>0.39456</v>
      </c>
      <c r="V1837" t="str">
        <v>x</v>
      </c>
      <c r="W1837">
        <f>+D1837</f>
        <v>0</v>
      </c>
      <c r="X1837" t="str">
        <v>x</v>
      </c>
      <c r="Y1837">
        <f>D1831</f>
        <v>1</v>
      </c>
      <c r="Z1837" t="str">
        <v>=</v>
      </c>
      <c r="AA1837">
        <f>(N1837+P1837*R1837/1000)*U1837*W1837*Y1837</f>
        <v>0</v>
      </c>
    </row>
    <row r="1840">
      <c r="A1840" t="str">
        <f>A1825</f>
        <v>Lantai 1</v>
      </c>
      <c r="B1840">
        <f>B1825</f>
        <v>59</v>
      </c>
      <c r="C1840" t="str">
        <v>Tul Bawah Tumpuan</v>
      </c>
      <c r="D1840">
        <f>VLOOKUP(D1825,'Detail Balok'!$C$10:$AU$140,22,FALSE)</f>
        <v>3</v>
      </c>
      <c r="E1840" t="str">
        <v>D</v>
      </c>
      <c r="F1840">
        <f>VLOOKUP(D1825,'Detail Balok'!$C$10:$AU$140,24,FALSE)</f>
        <v>13</v>
      </c>
      <c r="I1840" t="str">
        <v>(</v>
      </c>
      <c r="J1840">
        <f>+J1832</f>
        <v>1.74375</v>
      </c>
      <c r="K1840" t="str">
        <v>+</v>
      </c>
      <c r="L1840">
        <f>MAX(VLOOKUP(F1840,N$6:P$15,3,FALSE)/1000,2/3*D1830/1000)+F$16*F1840/1000</f>
        <v>0.156</v>
      </c>
      <c r="M1840" t="str">
        <v>=</v>
      </c>
      <c r="N1840">
        <f>J1840+L1840</f>
        <v>1.8997499999999998</v>
      </c>
      <c r="O1840" t="str">
        <v>+</v>
      </c>
      <c r="P1840">
        <f>D1840-D1841</f>
        <v>0</v>
      </c>
      <c r="Q1840" t="str">
        <v>x</v>
      </c>
      <c r="R1840">
        <f>IF(P1840&gt;0,$F$18*F1840/1000,0)</f>
        <v>0</v>
      </c>
      <c r="S1840" t="str">
        <v>)</v>
      </c>
      <c r="T1840" t="str">
        <v>x</v>
      </c>
      <c r="U1840">
        <f>0.006165*F1840^2</f>
        <v>1.041885</v>
      </c>
      <c r="X1840" t="str">
        <v>x</v>
      </c>
      <c r="Y1840">
        <f>D1831</f>
        <v>1</v>
      </c>
      <c r="Z1840" t="str">
        <v>=</v>
      </c>
      <c r="AA1840">
        <f>IF(AA1843=0,(D1840*N1840+P1840*R1840)*U1840*Y1840,0)</f>
        <v>0</v>
      </c>
    </row>
    <row r="1841">
      <c r="A1841" t="str">
        <f>A1825</f>
        <v>Lantai 1</v>
      </c>
      <c r="B1841">
        <f>B1825</f>
        <v>59</v>
      </c>
      <c r="C1841" t="str">
        <v>Tul Bawah Lapangan</v>
      </c>
      <c r="D1841">
        <f>VLOOKUP(D1825,'Detail Balok'!$C$10:$AU$140,25,FALSE)</f>
        <v>3</v>
      </c>
      <c r="E1841" t="str">
        <v>D</v>
      </c>
      <c r="F1841">
        <f>VLOOKUP(D1825,'Detail Balok'!$C$10:$AU$140,27,FALSE)</f>
        <v>13</v>
      </c>
      <c r="I1841" t="str">
        <v>(</v>
      </c>
      <c r="J1841">
        <f>+J1833</f>
        <v>3.4875</v>
      </c>
      <c r="K1841" t="str">
        <v>+</v>
      </c>
      <c r="M1841" t="str">
        <v>=</v>
      </c>
      <c r="N1841">
        <f>J1841+L1841</f>
        <v>3.4875</v>
      </c>
      <c r="O1841" t="str">
        <v>+</v>
      </c>
      <c r="P1841">
        <f>MAX(D1841-D1840,D1841-D1842)</f>
        <v>0</v>
      </c>
      <c r="Q1841" t="str">
        <v>x</v>
      </c>
      <c r="R1841">
        <f>IF(P1841&gt;0,2*(1-2*$F$19-1/2)*D1828/1000,0)</f>
        <v>0</v>
      </c>
      <c r="S1841" t="str">
        <v>)</v>
      </c>
      <c r="T1841" t="str">
        <v>x</v>
      </c>
      <c r="U1841">
        <f>0.006165*F1841^2</f>
        <v>1.041885</v>
      </c>
      <c r="X1841" t="str">
        <v>x</v>
      </c>
      <c r="Y1841">
        <f>D1831</f>
        <v>1</v>
      </c>
      <c r="Z1841" t="str">
        <v>=</v>
      </c>
      <c r="AA1841">
        <f>IF(AA1843=0,(D1841*N1841+P1841*R1841)*U1841*Y1841,0)</f>
        <v>0</v>
      </c>
    </row>
    <row r="1842">
      <c r="A1842" t="str">
        <f>A1825</f>
        <v>Lantai 1</v>
      </c>
      <c r="B1842">
        <f>B1825</f>
        <v>59</v>
      </c>
      <c r="C1842" t="str">
        <v>Tul Bawah Tumpuan</v>
      </c>
      <c r="D1842">
        <f>VLOOKUP(D1825,'Detail Balok'!$C$10:$AU$140,28,FALSE)</f>
        <v>3</v>
      </c>
      <c r="E1842" t="str">
        <v>D</v>
      </c>
      <c r="F1842">
        <f>VLOOKUP(D1825,'Detail Balok'!$C$10:$AU$140,30,FALSE)</f>
        <v>13</v>
      </c>
      <c r="I1842" t="str">
        <v>(</v>
      </c>
      <c r="J1842">
        <f>+J1834</f>
        <v>1.74375</v>
      </c>
      <c r="K1842" t="str">
        <v>+</v>
      </c>
      <c r="L1842">
        <f>MAX(VLOOKUP(F1842,N$6:P$15,3,FALSE)/1000,2/3*D1830/1000)+F$16*F1842/1000</f>
        <v>0.156</v>
      </c>
      <c r="M1842" t="str">
        <v>=</v>
      </c>
      <c r="N1842">
        <f>J1842+L1842</f>
        <v>1.8997499999999998</v>
      </c>
      <c r="O1842" t="str">
        <v>+</v>
      </c>
      <c r="P1842">
        <f>D1842-D1841</f>
        <v>0</v>
      </c>
      <c r="Q1842" t="str">
        <v>x</v>
      </c>
      <c r="R1842">
        <f>IF(P1842&gt;0,$F$18*F1842/1000,0)</f>
        <v>0</v>
      </c>
      <c r="S1842" t="str">
        <v>)</v>
      </c>
      <c r="T1842" t="str">
        <v>x</v>
      </c>
      <c r="U1842">
        <f>0.006165*F1842^2</f>
        <v>1.041885</v>
      </c>
      <c r="X1842" t="str">
        <v>x</v>
      </c>
      <c r="Y1842">
        <f>D1831</f>
        <v>1</v>
      </c>
      <c r="Z1842" t="str">
        <v>=</v>
      </c>
      <c r="AA1842">
        <f>IF(AA1843=0,(D1842*N1842+P1842*R1842)*U1842*Y1842,0)</f>
        <v>0</v>
      </c>
    </row>
    <row r="1843">
      <c r="A1843" t="str">
        <f>A1825</f>
        <v>Lantai 1</v>
      </c>
      <c r="B1843">
        <f>B1825</f>
        <v>59</v>
      </c>
      <c r="D1843">
        <f>IF(AND(D1840=D1841,D1841=D1842,D1840=D1842),D1840,0)</f>
        <v>3</v>
      </c>
      <c r="E1843" t="str">
        <v>D</v>
      </c>
      <c r="F1843">
        <f>IF(AND(F1840=F1841,F1840=F1842,F1841=F1842),F1840,0)</f>
        <v>13</v>
      </c>
      <c r="L1843" t="str">
        <v>Total panjang per balok</v>
      </c>
      <c r="M1843" t="str">
        <v>=</v>
      </c>
      <c r="N1843">
        <f>IF(AND(D1840=D1841,D1840=D1842,D1841=D1842,F1840=F1841,F1840=F1842,F1841=F1842),SUM(N1840:N1842),0)</f>
        <v>7.287</v>
      </c>
      <c r="O1843" t="str">
        <v>+</v>
      </c>
      <c r="P1843">
        <f>IF(N1843&gt;12,ROUNDDOWN(N1843/12,0),0)</f>
        <v>0</v>
      </c>
      <c r="Q1843" t="str">
        <v>x</v>
      </c>
      <c r="R1843">
        <f>IF(P1843&gt;0,MAX(VLOOKUP(F1843,$D$6:$G$15,3,FALSE),600),0)/1000</f>
        <v>0</v>
      </c>
      <c r="T1843" t="str">
        <v>x</v>
      </c>
      <c r="U1843">
        <f>U1842</f>
        <v>1.041885</v>
      </c>
      <c r="V1843" t="str">
        <v>x</v>
      </c>
      <c r="W1843">
        <f>D1843</f>
        <v>3</v>
      </c>
      <c r="X1843" t="str">
        <v>x</v>
      </c>
      <c r="Y1843">
        <f>Y1842</f>
        <v>1</v>
      </c>
      <c r="Z1843" t="str">
        <v>=</v>
      </c>
      <c r="AA1843">
        <f>(N1843+P1843*R1843/1000)*U1843*W1843*Y1843</f>
        <v>22.776647984999997</v>
      </c>
    </row>
    <row r="1845">
      <c r="A1845" t="str">
        <f>A1825</f>
        <v>Lantai 1</v>
      </c>
      <c r="B1845">
        <f>B1825</f>
        <v>59</v>
      </c>
      <c r="C1845" t="str">
        <v>Sengkang Tumpuan</v>
      </c>
      <c r="D1845">
        <f>VLOOKUP(D1825,'Detail Balok'!$C$10:$AU$140,31,FALSE)</f>
        <v>0</v>
      </c>
      <c r="E1845" t="str">
        <v>D</v>
      </c>
      <c r="F1845">
        <f>VLOOKUP(D1825,'Detail Balok'!$C$10:$AU$140,33,FALSE)</f>
        <v>8</v>
      </c>
      <c r="G1845" t="str">
        <v>-</v>
      </c>
      <c r="H1845">
        <f>VLOOKUP(D1825,'Detail Balok'!$C$10:$AU$140,35,FALSE)</f>
        <v>150</v>
      </c>
      <c r="J1845">
        <f>(IF(D1845=0,(2*(D1826+G1826))-(F$5*8),IF(D1845=3,(2*(D1826+G1826))-(F$5*8)+(G1826-2*F$5),IF(D1845=4,(2*(D1826+G1826))-(F$5*8)+2*(G1826-2*F$5)))))/1000</f>
        <v>0.88</v>
      </c>
      <c r="K1845" t="str">
        <v>+</v>
      </c>
      <c r="L1845">
        <f>IF(D1845=0,2*MAX(6*F1845,75),(D1845-1)*2*MAX(6*F1845,75))/1000</f>
        <v>0.15</v>
      </c>
      <c r="M1845" t="str">
        <v>=</v>
      </c>
      <c r="N1845">
        <f>J1845+L1845</f>
        <v>1.03</v>
      </c>
      <c r="T1845" t="str">
        <v>x</v>
      </c>
      <c r="U1845">
        <f>0.006165*F1845^2</f>
        <v>0.39456</v>
      </c>
      <c r="V1845" t="str">
        <v>x</v>
      </c>
      <c r="W1845">
        <f>IF(D1828&gt;4*G1826,ROUND(MAX(D1828/4,2*G1826)/H1845,0)+1,ROUND(D1828/H1845,0)+1)</f>
        <v>13</v>
      </c>
      <c r="X1845" t="str">
        <v>x</v>
      </c>
      <c r="Y1845">
        <f>D1831</f>
        <v>1</v>
      </c>
      <c r="Z1845" t="str">
        <v>=</v>
      </c>
      <c r="AA1845">
        <f>N1845*U1845*W1845*Y1845</f>
        <v>5.2831584000000005</v>
      </c>
    </row>
    <row r="1846">
      <c r="A1846" t="str">
        <f>A1825</f>
        <v>Lantai 1</v>
      </c>
      <c r="B1846">
        <f>B1825</f>
        <v>59</v>
      </c>
      <c r="C1846" t="str">
        <v>Sengkang Lapangan</v>
      </c>
      <c r="D1846">
        <f>VLOOKUP(D1825,'Detail Balok'!$C$10:$AU$140,36,FALSE)</f>
        <v>0</v>
      </c>
      <c r="E1846" t="str">
        <v>D</v>
      </c>
      <c r="F1846">
        <f>VLOOKUP(D1825,'Detail Balok'!$C$10:$AU$140,38,FALSE)</f>
        <v>8</v>
      </c>
      <c r="G1846" t="str">
        <v>-</v>
      </c>
      <c r="H1846">
        <f>VLOOKUP(D1825,'Detail Balok'!$C$10:$AU$140,40,FALSE)</f>
        <v>200</v>
      </c>
      <c r="J1846">
        <f>(IF(D1846=0,(2*(D1826+G1826))-(F$5*8),IF(D1846=3,(2*(D1826+G1826))-(F$5*8)+(G1826-2*F$5),IF(D1846=4,(2*(D1826+G1826))-(F$5*8)+2*(G1826-2*F$5)))))/1000</f>
        <v>0.88</v>
      </c>
      <c r="K1846" t="str">
        <v>+</v>
      </c>
      <c r="L1846">
        <f>IF(D1846=0,2*MAX(6*F1846,75),(D1846-1)*2*MAX(6*F1846,75))/1000</f>
        <v>0.15</v>
      </c>
      <c r="M1846" t="str">
        <v>=</v>
      </c>
      <c r="N1846">
        <f>J1846+L1846</f>
        <v>1.03</v>
      </c>
      <c r="T1846" t="str">
        <v>x</v>
      </c>
      <c r="U1846">
        <f>0.006165*F1846^2</f>
        <v>0.39456</v>
      </c>
      <c r="V1846" t="str">
        <v>x</v>
      </c>
      <c r="W1846">
        <f>IF(D1828-MAX(D1828/4,2*G1826)*2&gt;0,ROUND((D1828-MAX(D1828/4,2*G1826)*2)/H1846,0),0)</f>
        <v>17</v>
      </c>
      <c r="X1846" t="str">
        <v>x</v>
      </c>
      <c r="Y1846">
        <f>D1831</f>
        <v>1</v>
      </c>
      <c r="Z1846" t="str">
        <v>=</v>
      </c>
      <c r="AA1846">
        <f>N1846*U1846*W1846*Y1846</f>
        <v>6.908745600000001</v>
      </c>
    </row>
    <row r="1847">
      <c r="A1847" t="str">
        <f>A1825</f>
        <v>Lantai 1</v>
      </c>
      <c r="B1847">
        <f>B1825</f>
        <v>59</v>
      </c>
      <c r="C1847" t="str">
        <v>Sengkang Tumpuan</v>
      </c>
      <c r="D1847">
        <f>VLOOKUP(D1825,'Detail Balok'!$C$10:$AU$140,41,FALSE)</f>
        <v>0</v>
      </c>
      <c r="E1847" t="str">
        <v>D</v>
      </c>
      <c r="F1847">
        <f>VLOOKUP(D1825,'Detail Balok'!$C$10:$AU$140,43,FALSE)</f>
        <v>8</v>
      </c>
      <c r="G1847" t="str">
        <v>-</v>
      </c>
      <c r="H1847">
        <f>VLOOKUP(D1825,'Detail Balok'!$C$10:$AU$140,45,FALSE)</f>
        <v>150</v>
      </c>
      <c r="J1847">
        <f>(IF(D1847=0,(2*(D1826+G1826))-(F$5*8),IF(D1847=3,(2*(D1826+G1826))-(F$5*8)+(G1826-2*F$5),IF(D1847=4,(2*(D1826+G1826))-(F$5*8)+2*(G1826-2*F$5)))))/1000</f>
        <v>0.88</v>
      </c>
      <c r="K1847" t="str">
        <v>+</v>
      </c>
      <c r="L1847">
        <f>IF(D1847=0,2*MAX(6*F1847,75),(D1847-1)*2*MAX(6*F1847,75))/1000</f>
        <v>0.15</v>
      </c>
      <c r="M1847" t="str">
        <v>=</v>
      </c>
      <c r="N1847">
        <f>J1847+L1847</f>
        <v>1.03</v>
      </c>
      <c r="T1847" t="str">
        <v>x</v>
      </c>
      <c r="U1847">
        <f>0.006165*F1847^2</f>
        <v>0.39456</v>
      </c>
      <c r="V1847" t="str">
        <v>x</v>
      </c>
      <c r="W1847">
        <f>IF(D1828&gt;4*G1826,ROUND(MAX(D1828/4,2*G1826)/H1847,0)+1,0)</f>
        <v>13</v>
      </c>
      <c r="X1847" t="str">
        <v>x</v>
      </c>
      <c r="Y1847">
        <f>D1831</f>
        <v>1</v>
      </c>
      <c r="Z1847" t="str">
        <v>=</v>
      </c>
      <c r="AA1847">
        <f>N1847*U1847*W1847*Y1847</f>
        <v>5.2831584000000005</v>
      </c>
    </row>
    <row r="1849">
      <c r="A1849" t="str">
        <f>A1825</f>
        <v>Lantai 1</v>
      </c>
      <c r="B1849">
        <f>B1825</f>
        <v>59</v>
      </c>
      <c r="C1849" t="str">
        <v>Kait Horizontal Tump.</v>
      </c>
      <c r="D1849">
        <f>VLOOKUP(D1825,'Detail Balok'!$C$10:$BJ$140,46,FALSE)</f>
        <v>0</v>
      </c>
      <c r="E1849" t="str">
        <v>D</v>
      </c>
      <c r="F1849">
        <f>VLOOKUP(D1825,'Detail Balok'!$C$10:$BJ$140,48,FALSE)</f>
        <v>0</v>
      </c>
      <c r="G1849" t="str">
        <v>-</v>
      </c>
      <c r="H1849">
        <f>VLOOKUP(D1825,'Detail Balok'!$C$10:$BJ$140,50,FALSE)</f>
        <v>100</v>
      </c>
      <c r="J1849">
        <f>(D1826-2*F$5)/1000</f>
        <v>0.12</v>
      </c>
      <c r="K1849" t="str">
        <v>+</v>
      </c>
      <c r="L1849">
        <f>IF(D1849=0,2*MAX(6*F1849,75),(D1849-1)*2*MAX(6*F1849,75))/1000</f>
        <v>0.15</v>
      </c>
      <c r="M1849" t="str">
        <v>=</v>
      </c>
      <c r="N1849">
        <f>J1849+L1849</f>
        <v>0.27</v>
      </c>
      <c r="T1849" t="str">
        <v>x</v>
      </c>
      <c r="U1849">
        <f>0.006165*F1849^2</f>
        <v>0</v>
      </c>
      <c r="V1849" t="str">
        <v>x</v>
      </c>
      <c r="W1849">
        <f>W1845</f>
        <v>13</v>
      </c>
      <c r="X1849" t="str">
        <v>x</v>
      </c>
      <c r="Y1849">
        <f>D1835</f>
        <v>3</v>
      </c>
      <c r="Z1849" t="str">
        <v>=</v>
      </c>
      <c r="AA1849">
        <f>N1849*U1849*W1849*Y1849</f>
        <v>0</v>
      </c>
    </row>
    <row r="1850">
      <c r="A1850" t="str">
        <f>A1825</f>
        <v>Lantai 1</v>
      </c>
      <c r="B1850">
        <f>B1825</f>
        <v>59</v>
      </c>
      <c r="C1850" t="str">
        <v>Kait Horizontal Lap.</v>
      </c>
      <c r="D1850">
        <f>VLOOKUP(D1825,'Detail Balok'!$C$10:$BJ$140,51,FALSE)</f>
        <v>0</v>
      </c>
      <c r="E1850" t="str">
        <v>D</v>
      </c>
      <c r="F1850">
        <f>VLOOKUP(D1825,'Detail Balok'!$C$10:$BJ$140,53,FALSE)</f>
        <v>0</v>
      </c>
      <c r="G1850" t="str">
        <v>-</v>
      </c>
      <c r="H1850">
        <f>VLOOKUP(D1825,'Detail Balok'!$C$10:$BJ$140,55,FALSE)</f>
        <v>100</v>
      </c>
      <c r="J1850">
        <f>(D1826-2*F$5)/1000</f>
        <v>0.12</v>
      </c>
      <c r="K1850" t="str">
        <v>+</v>
      </c>
      <c r="L1850">
        <f>IF(D1850=0,2*MAX(6*F1850,75),(D1850-1)*2*MAX(6*F1850,75))/1000</f>
        <v>0.15</v>
      </c>
      <c r="M1850" t="str">
        <v>=</v>
      </c>
      <c r="N1850">
        <f>J1850+L1850</f>
        <v>0.27</v>
      </c>
      <c r="T1850" t="str">
        <v>x</v>
      </c>
      <c r="U1850">
        <f>0.006165*F1850^2</f>
        <v>0</v>
      </c>
      <c r="V1850" t="str">
        <v>x</v>
      </c>
      <c r="W1850">
        <f>W1846</f>
        <v>17</v>
      </c>
      <c r="X1850" t="str">
        <v>x</v>
      </c>
      <c r="Y1850">
        <f>D1835</f>
        <v>3</v>
      </c>
      <c r="Z1850" t="str">
        <v>=</v>
      </c>
      <c r="AA1850">
        <f>N1850*U1850*W1850*Y1850</f>
        <v>0</v>
      </c>
    </row>
    <row r="1851">
      <c r="A1851" t="str">
        <f>A1825</f>
        <v>Lantai 1</v>
      </c>
      <c r="B1851">
        <f>B1825</f>
        <v>59</v>
      </c>
      <c r="C1851" t="str">
        <v>Kait Horizontal Tump.</v>
      </c>
      <c r="D1851">
        <f>VLOOKUP(D1825,'Detail Balok'!$C$10:$BJ$140,56,FALSE)</f>
        <v>0</v>
      </c>
      <c r="E1851" t="str">
        <v>D</v>
      </c>
      <c r="F1851">
        <f>VLOOKUP(D1825,'Detail Balok'!$C$10:$BJ$140,58,FALSE)</f>
        <v>0</v>
      </c>
      <c r="G1851" t="str">
        <v>-</v>
      </c>
      <c r="H1851">
        <f>VLOOKUP(D1825,'Detail Balok'!$C$10:$BJ$140,60,FALSE)</f>
        <v>100</v>
      </c>
      <c r="J1851">
        <f>(D1826-2*F$5)/1000</f>
        <v>0.12</v>
      </c>
      <c r="K1851" t="str">
        <v>+</v>
      </c>
      <c r="L1851">
        <f>IF(D1851=0,2*MAX(6*F1851,75),(D1851-1)*2*MAX(6*F1851,75))/1000</f>
        <v>0.15</v>
      </c>
      <c r="M1851" t="str">
        <v>=</v>
      </c>
      <c r="N1851">
        <f>J1851+L1851</f>
        <v>0.27</v>
      </c>
      <c r="T1851" t="str">
        <v>x</v>
      </c>
      <c r="U1851">
        <f>0.006165*F1851^2</f>
        <v>0</v>
      </c>
      <c r="V1851" t="str">
        <v>x</v>
      </c>
      <c r="W1851">
        <f>W1847</f>
        <v>13</v>
      </c>
      <c r="X1851" t="str">
        <v>x</v>
      </c>
      <c r="Y1851">
        <f>D1835</f>
        <v>3</v>
      </c>
      <c r="Z1851" t="str">
        <v>=</v>
      </c>
      <c r="AA1851">
        <f>N1851*U1851*W1851*Y1851</f>
        <v>0</v>
      </c>
    </row>
    <row r="1855">
      <c r="A1855" t="str">
        <f>A1825</f>
        <v>Lantai 1</v>
      </c>
      <c r="B1855">
        <f>B1825+1</f>
        <v>60</v>
      </c>
      <c r="C1855" t="str">
        <f>CONCATENATE(A1855," no. ",B1855)</f>
        <v>Lantai 1 no. 60</v>
      </c>
      <c r="D1855" t="str">
        <f>VLOOKUP(C1855,'Data Panjang Balok'!$C$9:$N$254,2,FALSE)</f>
        <v>S24-1</v>
      </c>
    </row>
    <row r="1856">
      <c r="C1856" t="str">
        <v>Dimensi</v>
      </c>
      <c r="D1856">
        <f>VLOOKUP(D1855,'Detail Balok'!$C$10:$AU$140,2,FALSE)</f>
        <v>200</v>
      </c>
      <c r="F1856" t="str">
        <v>x</v>
      </c>
      <c r="G1856">
        <f>VLOOKUP(D1855,'Detail Balok'!$C$10:$AU$140,3,FALSE)</f>
        <v>400</v>
      </c>
    </row>
    <row r="1857">
      <c r="C1857" t="str">
        <v>Panjang as ke as</v>
      </c>
      <c r="D1857">
        <f>VLOOKUP(C1855,'Data Panjang Balok'!$C$9:$N$254,4,FALSE)</f>
        <v>17030</v>
      </c>
    </row>
    <row r="1858">
      <c r="C1858" t="str">
        <v>Panjang netto</v>
      </c>
      <c r="D1858">
        <f>VLOOKUP(C1855,'Data Panjang Balok'!$C$9:$N$254,7,FALSE)</f>
        <v>17030</v>
      </c>
    </row>
    <row r="1859">
      <c r="C1859" t="str">
        <v>Kolom / balok kiri</v>
      </c>
      <c r="D1859">
        <f>VLOOKUP(C1855,'Data Panjang Balok'!$C$9:$N$254,9,FALSE)</f>
        <v>0</v>
      </c>
    </row>
    <row r="1860">
      <c r="C1860" t="str">
        <v>Kolom / balok kanan</v>
      </c>
      <c r="D1860">
        <f>VLOOKUP(C1855,'Data Panjang Balok'!$C$9:$N$254,10,FALSE)</f>
        <v>0</v>
      </c>
    </row>
    <row r="1861">
      <c r="C1861" t="str">
        <v>Jumlah</v>
      </c>
      <c r="D1861">
        <f>VLOOKUP(C1855,'Data Panjang Balok'!$C$9:$N$254,3,FALSE)</f>
        <v>1</v>
      </c>
    </row>
    <row r="1862">
      <c r="A1862" t="str">
        <f>A1855</f>
        <v>Lantai 1</v>
      </c>
      <c r="B1862">
        <f>B1855</f>
        <v>60</v>
      </c>
      <c r="C1862" t="str">
        <v>Tul Atas Tumpuan</v>
      </c>
      <c r="D1862">
        <f>VLOOKUP(D1855,'Detail Balok'!$C$10:$AU$140,4,FALSE)</f>
        <v>3</v>
      </c>
      <c r="E1862" t="str">
        <v>D</v>
      </c>
      <c r="F1862">
        <f>VLOOKUP(D1855,'Detail Balok'!$C$10:$AU$140,6,FALSE)</f>
        <v>13</v>
      </c>
      <c r="I1862" t="str">
        <v>(</v>
      </c>
      <c r="J1862">
        <f>+D1857/4/1000</f>
        <v>4.2575</v>
      </c>
      <c r="K1862" t="str">
        <v>+</v>
      </c>
      <c r="L1862">
        <f>MAX(VLOOKUP(F1862,N$6:P$15,3,FALSE)/1000,2/3*D1859/1000)+F$16*F1862/1000</f>
        <v>0.156</v>
      </c>
      <c r="M1862" t="str">
        <v>=</v>
      </c>
      <c r="N1862">
        <f>J1862+L1862</f>
        <v>4.4135</v>
      </c>
      <c r="O1862" t="str">
        <v>+</v>
      </c>
      <c r="P1862">
        <f>D1862-D1863</f>
        <v>0</v>
      </c>
      <c r="Q1862" t="str">
        <v>x</v>
      </c>
      <c r="R1862">
        <f>IF(P1862&gt;0,$F$18*F1862/1000,0)</f>
        <v>0</v>
      </c>
      <c r="S1862" t="str">
        <v>)</v>
      </c>
      <c r="T1862" t="str">
        <v>x</v>
      </c>
      <c r="U1862">
        <f>0.006165*F1862^2</f>
        <v>1.041885</v>
      </c>
      <c r="X1862" t="str">
        <v>x</v>
      </c>
      <c r="Y1862">
        <f>D1861</f>
        <v>1</v>
      </c>
      <c r="Z1862" t="str">
        <v>=</v>
      </c>
      <c r="AA1862">
        <f>IF(AA1865=0,(D1862*N1862+P1862*R1862)*U1862*Y1862,0)</f>
        <v>0</v>
      </c>
    </row>
    <row r="1863">
      <c r="A1863" t="str">
        <f>A1855</f>
        <v>Lantai 1</v>
      </c>
      <c r="B1863">
        <f>B1855</f>
        <v>60</v>
      </c>
      <c r="C1863" t="str">
        <v>Tul Atas Lapangan</v>
      </c>
      <c r="D1863">
        <f>VLOOKUP(D1855,'Detail Balok'!$C$10:$AU$140,7,FALSE)</f>
        <v>3</v>
      </c>
      <c r="E1863" t="str">
        <v>D</v>
      </c>
      <c r="F1863">
        <f>VLOOKUP(D1855,'Detail Balok'!$C$10:$AU$140,9,FALSE)</f>
        <v>13</v>
      </c>
      <c r="I1863" t="str">
        <v>(</v>
      </c>
      <c r="J1863">
        <f>+D1857/2/1000</f>
        <v>8.515</v>
      </c>
      <c r="K1863" t="str">
        <v>+</v>
      </c>
      <c r="M1863" t="str">
        <v>=</v>
      </c>
      <c r="N1863">
        <f>J1863+L1863</f>
        <v>8.515</v>
      </c>
      <c r="O1863" t="str">
        <v>+</v>
      </c>
      <c r="P1863">
        <f>MAX(D1863-D1862,D1863-D1864)</f>
        <v>0</v>
      </c>
      <c r="Q1863" t="str">
        <v>x</v>
      </c>
      <c r="R1863">
        <f>IF(P1863&gt;0,2*(1-2*$F$19-1/2)*D1858/1000,0)</f>
        <v>0</v>
      </c>
      <c r="S1863" t="str">
        <v>)</v>
      </c>
      <c r="T1863" t="str">
        <v>x</v>
      </c>
      <c r="U1863">
        <f>0.006165*F1863^2</f>
        <v>1.041885</v>
      </c>
      <c r="X1863" t="str">
        <v>x</v>
      </c>
      <c r="Y1863">
        <f>D1861</f>
        <v>1</v>
      </c>
      <c r="Z1863" t="str">
        <v>=</v>
      </c>
      <c r="AA1863">
        <f>IF(AA1865=0,(D1863*N1863+P1863*R1863)*U1863*Y1863,0)</f>
        <v>0</v>
      </c>
    </row>
    <row r="1864">
      <c r="A1864" t="str">
        <f>A1855</f>
        <v>Lantai 1</v>
      </c>
      <c r="B1864">
        <f>B1855</f>
        <v>60</v>
      </c>
      <c r="C1864" t="str">
        <v>Tul Atas Tumpuan</v>
      </c>
      <c r="D1864">
        <f>VLOOKUP(D1855,'Detail Balok'!$C$10:$AU$140,10,FALSE)</f>
        <v>3</v>
      </c>
      <c r="E1864" t="str">
        <v>D</v>
      </c>
      <c r="F1864">
        <f>VLOOKUP(D1855,'Detail Balok'!$C$10:$AU$140,12,FALSE)</f>
        <v>13</v>
      </c>
      <c r="I1864" t="str">
        <v>(</v>
      </c>
      <c r="J1864">
        <f>+D1857/4/1000</f>
        <v>4.2575</v>
      </c>
      <c r="K1864" t="str">
        <v>+</v>
      </c>
      <c r="L1864">
        <f>MAX(VLOOKUP(F1864,N$6:P$15,3,FALSE)/1000,2/3*D1859/1000)+F$16*F1864/1000</f>
        <v>0.156</v>
      </c>
      <c r="M1864" t="str">
        <v>=</v>
      </c>
      <c r="N1864">
        <f>J1864+L1864</f>
        <v>4.4135</v>
      </c>
      <c r="O1864" t="str">
        <v>+</v>
      </c>
      <c r="P1864">
        <f>D1864-D1863</f>
        <v>0</v>
      </c>
      <c r="Q1864" t="str">
        <v>x</v>
      </c>
      <c r="R1864">
        <f>IF(P1864&gt;0,$F$18*F1864/1000,0)</f>
        <v>0</v>
      </c>
      <c r="S1864" t="str">
        <v>)</v>
      </c>
      <c r="T1864" t="str">
        <v>x</v>
      </c>
      <c r="U1864">
        <f>0.006165*F1864^2</f>
        <v>1.041885</v>
      </c>
      <c r="X1864" t="str">
        <v>x</v>
      </c>
      <c r="Y1864">
        <f>D1861</f>
        <v>1</v>
      </c>
      <c r="Z1864" t="str">
        <v>=</v>
      </c>
      <c r="AA1864">
        <f>IF(AA1865=0,(D1864*N1864+P1864*R1864)*U1864*Y1864,0)</f>
        <v>0</v>
      </c>
    </row>
    <row r="1865">
      <c r="A1865" t="str">
        <f>A1855</f>
        <v>Lantai 1</v>
      </c>
      <c r="B1865">
        <f>B1855</f>
        <v>60</v>
      </c>
      <c r="D1865">
        <f>IF(AND(D1862=D1863,D1863=D1864,D1862=D1864),D1862,0)</f>
        <v>3</v>
      </c>
      <c r="E1865" t="str">
        <v>D</v>
      </c>
      <c r="F1865">
        <f>IF(AND(F1862=F1863,F1862=F1864,F1863=F1864),F1862,0)</f>
        <v>13</v>
      </c>
      <c r="L1865" t="str">
        <v>Total panjang per balok</v>
      </c>
      <c r="M1865" t="str">
        <v>=</v>
      </c>
      <c r="N1865">
        <f>IF(AND(D1862=D1863,D1862=D1864,D1863=D1864,F1862=F1863,F1862=F1864,F1863=F1864),SUM(N1862:N1864),0)</f>
        <v>17.342</v>
      </c>
      <c r="O1865" t="str">
        <v>+</v>
      </c>
      <c r="P1865">
        <f>IF(N1865&gt;12,ROUNDDOWN(N1865/12,0),0)</f>
        <v>1</v>
      </c>
      <c r="Q1865" t="str">
        <v>x</v>
      </c>
      <c r="R1865">
        <f>IF(P1865&gt;0,MAX(VLOOKUP(F1865,$D$6:$G$15,3,FALSE),600),0)/1000</f>
        <v>0.65</v>
      </c>
      <c r="T1865" t="str">
        <v>x</v>
      </c>
      <c r="U1865">
        <f>U1864</f>
        <v>1.041885</v>
      </c>
      <c r="V1865" t="str">
        <v>x</v>
      </c>
      <c r="W1865">
        <f>D1865</f>
        <v>3</v>
      </c>
      <c r="X1865" t="str">
        <v>x</v>
      </c>
      <c r="Y1865">
        <f>Y1864</f>
        <v>1</v>
      </c>
      <c r="Z1865" t="str">
        <v>=</v>
      </c>
      <c r="AA1865">
        <f>(N1865+P1865*R1865/1000)*U1865*W1865*Y1865</f>
        <v>54.20714068574999</v>
      </c>
    </row>
    <row r="1867">
      <c r="A1867" t="str">
        <f>A1855</f>
        <v>Lantai 1</v>
      </c>
      <c r="B1867">
        <f>B1855</f>
        <v>60</v>
      </c>
      <c r="C1867" t="str">
        <v>Tul Peminggang</v>
      </c>
      <c r="D1867">
        <f>VLOOKUP(D1855,'Detail Balok'!$C$10:$AU$140,13,FALSE)</f>
        <v>0</v>
      </c>
      <c r="E1867" t="str">
        <v>D</v>
      </c>
      <c r="F1867">
        <f>VLOOKUP(D1855,'Detail Balok'!$C$10:$AU$140,15,FALSE)</f>
        <v>8</v>
      </c>
      <c r="J1867">
        <f>+D1857/1000</f>
        <v>17.03</v>
      </c>
      <c r="K1867" t="str">
        <v>+</v>
      </c>
      <c r="L1867">
        <f>2*$F$16*F1867/1000</f>
        <v>0.192</v>
      </c>
      <c r="M1867" t="str">
        <v>=</v>
      </c>
      <c r="N1867">
        <f>J1867+L1867</f>
        <v>17.222</v>
      </c>
      <c r="O1867" t="str">
        <v>+</v>
      </c>
      <c r="P1867">
        <f>IF(N1867&gt;12,ROUNDDOWN(N1867/12,0),0)</f>
        <v>1</v>
      </c>
      <c r="Q1867" t="str">
        <v>x</v>
      </c>
      <c r="R1867">
        <f>IF(P1867&gt;0,MAX(VLOOKUP(F1867,$D$6:$G$15,3,FALSE),600),0)/1000</f>
        <v>0.6</v>
      </c>
      <c r="T1867" t="str">
        <v>x</v>
      </c>
      <c r="U1867">
        <f>0.006165*F1867^2</f>
        <v>0.39456</v>
      </c>
      <c r="V1867" t="str">
        <v>x</v>
      </c>
      <c r="W1867">
        <f>+D1867</f>
        <v>0</v>
      </c>
      <c r="X1867" t="str">
        <v>x</v>
      </c>
      <c r="Y1867">
        <f>D1861</f>
        <v>1</v>
      </c>
      <c r="Z1867" t="str">
        <v>=</v>
      </c>
      <c r="AA1867">
        <f>(N1867+P1867*R1867/1000)*U1867*W1867*Y1867</f>
        <v>0</v>
      </c>
    </row>
    <row r="1870">
      <c r="A1870" t="str">
        <f>A1855</f>
        <v>Lantai 1</v>
      </c>
      <c r="B1870">
        <f>B1855</f>
        <v>60</v>
      </c>
      <c r="C1870" t="str">
        <v>Tul Bawah Tumpuan</v>
      </c>
      <c r="D1870">
        <f>VLOOKUP(D1855,'Detail Balok'!$C$10:$AU$140,22,FALSE)</f>
        <v>3</v>
      </c>
      <c r="E1870" t="str">
        <v>D</v>
      </c>
      <c r="F1870">
        <f>VLOOKUP(D1855,'Detail Balok'!$C$10:$AU$140,24,FALSE)</f>
        <v>13</v>
      </c>
      <c r="I1870" t="str">
        <v>(</v>
      </c>
      <c r="J1870">
        <f>+J1862</f>
        <v>4.2575</v>
      </c>
      <c r="K1870" t="str">
        <v>+</v>
      </c>
      <c r="L1870">
        <f>MAX(VLOOKUP(F1870,N$6:P$15,3,FALSE)/1000,2/3*D1860/1000)+F$16*F1870/1000</f>
        <v>0.156</v>
      </c>
      <c r="M1870" t="str">
        <v>=</v>
      </c>
      <c r="N1870">
        <f>J1870+L1870</f>
        <v>4.4135</v>
      </c>
      <c r="O1870" t="str">
        <v>+</v>
      </c>
      <c r="P1870">
        <f>D1870-D1871</f>
        <v>0</v>
      </c>
      <c r="Q1870" t="str">
        <v>x</v>
      </c>
      <c r="R1870">
        <f>IF(P1870&gt;0,$F$18*F1870/1000,0)</f>
        <v>0</v>
      </c>
      <c r="S1870" t="str">
        <v>)</v>
      </c>
      <c r="T1870" t="str">
        <v>x</v>
      </c>
      <c r="U1870">
        <f>0.006165*F1870^2</f>
        <v>1.041885</v>
      </c>
      <c r="X1870" t="str">
        <v>x</v>
      </c>
      <c r="Y1870">
        <f>D1861</f>
        <v>1</v>
      </c>
      <c r="Z1870" t="str">
        <v>=</v>
      </c>
      <c r="AA1870">
        <f>IF(AA1873=0,(D1870*N1870+P1870*R1870)*U1870*Y1870,0)</f>
        <v>0</v>
      </c>
    </row>
    <row r="1871">
      <c r="A1871" t="str">
        <f>A1855</f>
        <v>Lantai 1</v>
      </c>
      <c r="B1871">
        <f>B1855</f>
        <v>60</v>
      </c>
      <c r="C1871" t="str">
        <v>Tul Bawah Lapangan</v>
      </c>
      <c r="D1871">
        <f>VLOOKUP(D1855,'Detail Balok'!$C$10:$AU$140,25,FALSE)</f>
        <v>3</v>
      </c>
      <c r="E1871" t="str">
        <v>D</v>
      </c>
      <c r="F1871">
        <f>VLOOKUP(D1855,'Detail Balok'!$C$10:$AU$140,27,FALSE)</f>
        <v>13</v>
      </c>
      <c r="I1871" t="str">
        <v>(</v>
      </c>
      <c r="J1871">
        <f>+J1863</f>
        <v>8.515</v>
      </c>
      <c r="K1871" t="str">
        <v>+</v>
      </c>
      <c r="M1871" t="str">
        <v>=</v>
      </c>
      <c r="N1871">
        <f>J1871+L1871</f>
        <v>8.515</v>
      </c>
      <c r="O1871" t="str">
        <v>+</v>
      </c>
      <c r="P1871">
        <f>MAX(D1871-D1870,D1871-D1872)</f>
        <v>0</v>
      </c>
      <c r="Q1871" t="str">
        <v>x</v>
      </c>
      <c r="R1871">
        <f>IF(P1871&gt;0,2*(1-2*$F$19-1/2)*D1858/1000,0)</f>
        <v>0</v>
      </c>
      <c r="S1871" t="str">
        <v>)</v>
      </c>
      <c r="T1871" t="str">
        <v>x</v>
      </c>
      <c r="U1871">
        <f>0.006165*F1871^2</f>
        <v>1.041885</v>
      </c>
      <c r="X1871" t="str">
        <v>x</v>
      </c>
      <c r="Y1871">
        <f>D1861</f>
        <v>1</v>
      </c>
      <c r="Z1871" t="str">
        <v>=</v>
      </c>
      <c r="AA1871">
        <f>IF(AA1873=0,(D1871*N1871+P1871*R1871)*U1871*Y1871,0)</f>
        <v>0</v>
      </c>
    </row>
    <row r="1872">
      <c r="A1872" t="str">
        <f>A1855</f>
        <v>Lantai 1</v>
      </c>
      <c r="B1872">
        <f>B1855</f>
        <v>60</v>
      </c>
      <c r="C1872" t="str">
        <v>Tul Bawah Tumpuan</v>
      </c>
      <c r="D1872">
        <f>VLOOKUP(D1855,'Detail Balok'!$C$10:$AU$140,28,FALSE)</f>
        <v>3</v>
      </c>
      <c r="E1872" t="str">
        <v>D</v>
      </c>
      <c r="F1872">
        <f>VLOOKUP(D1855,'Detail Balok'!$C$10:$AU$140,30,FALSE)</f>
        <v>13</v>
      </c>
      <c r="I1872" t="str">
        <v>(</v>
      </c>
      <c r="J1872">
        <f>+J1864</f>
        <v>4.2575</v>
      </c>
      <c r="K1872" t="str">
        <v>+</v>
      </c>
      <c r="L1872">
        <f>MAX(VLOOKUP(F1872,N$6:P$15,3,FALSE)/1000,2/3*D1860/1000)+F$16*F1872/1000</f>
        <v>0.156</v>
      </c>
      <c r="M1872" t="str">
        <v>=</v>
      </c>
      <c r="N1872">
        <f>J1872+L1872</f>
        <v>4.4135</v>
      </c>
      <c r="O1872" t="str">
        <v>+</v>
      </c>
      <c r="P1872">
        <f>D1872-D1871</f>
        <v>0</v>
      </c>
      <c r="Q1872" t="str">
        <v>x</v>
      </c>
      <c r="R1872">
        <f>IF(P1872&gt;0,$F$18*F1872/1000,0)</f>
        <v>0</v>
      </c>
      <c r="S1872" t="str">
        <v>)</v>
      </c>
      <c r="T1872" t="str">
        <v>x</v>
      </c>
      <c r="U1872">
        <f>0.006165*F1872^2</f>
        <v>1.041885</v>
      </c>
      <c r="X1872" t="str">
        <v>x</v>
      </c>
      <c r="Y1872">
        <f>D1861</f>
        <v>1</v>
      </c>
      <c r="Z1872" t="str">
        <v>=</v>
      </c>
      <c r="AA1872">
        <f>IF(AA1873=0,(D1872*N1872+P1872*R1872)*U1872*Y1872,0)</f>
        <v>0</v>
      </c>
    </row>
    <row r="1873">
      <c r="A1873" t="str">
        <f>A1855</f>
        <v>Lantai 1</v>
      </c>
      <c r="B1873">
        <f>B1855</f>
        <v>60</v>
      </c>
      <c r="D1873">
        <f>IF(AND(D1870=D1871,D1871=D1872,D1870=D1872),D1870,0)</f>
        <v>3</v>
      </c>
      <c r="E1873" t="str">
        <v>D</v>
      </c>
      <c r="F1873">
        <f>IF(AND(F1870=F1871,F1870=F1872,F1871=F1872),F1870,0)</f>
        <v>13</v>
      </c>
      <c r="L1873" t="str">
        <v>Total panjang per balok</v>
      </c>
      <c r="M1873" t="str">
        <v>=</v>
      </c>
      <c r="N1873">
        <f>IF(AND(D1870=D1871,D1870=D1872,D1871=D1872,F1870=F1871,F1870=F1872,F1871=F1872),SUM(N1870:N1872),0)</f>
        <v>17.342</v>
      </c>
      <c r="O1873" t="str">
        <v>+</v>
      </c>
      <c r="P1873">
        <f>IF(N1873&gt;12,ROUNDDOWN(N1873/12,0),0)</f>
        <v>1</v>
      </c>
      <c r="Q1873" t="str">
        <v>x</v>
      </c>
      <c r="R1873">
        <f>IF(P1873&gt;0,MAX(VLOOKUP(F1873,$D$6:$G$15,3,FALSE),600),0)/1000</f>
        <v>0.65</v>
      </c>
      <c r="T1873" t="str">
        <v>x</v>
      </c>
      <c r="U1873">
        <f>U1872</f>
        <v>1.041885</v>
      </c>
      <c r="V1873" t="str">
        <v>x</v>
      </c>
      <c r="W1873">
        <f>D1873</f>
        <v>3</v>
      </c>
      <c r="X1873" t="str">
        <v>x</v>
      </c>
      <c r="Y1873">
        <f>Y1872</f>
        <v>1</v>
      </c>
      <c r="Z1873" t="str">
        <v>=</v>
      </c>
      <c r="AA1873">
        <f>(N1873+P1873*R1873/1000)*U1873*W1873*Y1873</f>
        <v>54.20714068574999</v>
      </c>
    </row>
    <row r="1875">
      <c r="A1875" t="str">
        <f>A1855</f>
        <v>Lantai 1</v>
      </c>
      <c r="B1875">
        <f>B1855</f>
        <v>60</v>
      </c>
      <c r="C1875" t="str">
        <v>Sengkang Tumpuan</v>
      </c>
      <c r="D1875">
        <f>VLOOKUP(D1855,'Detail Balok'!$C$10:$AU$140,31,FALSE)</f>
        <v>0</v>
      </c>
      <c r="E1875" t="str">
        <v>D</v>
      </c>
      <c r="F1875">
        <f>VLOOKUP(D1855,'Detail Balok'!$C$10:$AU$140,33,FALSE)</f>
        <v>8</v>
      </c>
      <c r="G1875" t="str">
        <v>-</v>
      </c>
      <c r="H1875">
        <f>VLOOKUP(D1855,'Detail Balok'!$C$10:$AU$140,35,FALSE)</f>
        <v>150</v>
      </c>
      <c r="J1875">
        <f>(IF(D1875=0,(2*(D1856+G1856))-(F$5*8),IF(D1875=3,(2*(D1856+G1856))-(F$5*8)+(G1856-2*F$5),IF(D1875=4,(2*(D1856+G1856))-(F$5*8)+2*(G1856-2*F$5)))))/1000</f>
        <v>0.88</v>
      </c>
      <c r="K1875" t="str">
        <v>+</v>
      </c>
      <c r="L1875">
        <f>IF(D1875=0,2*MAX(6*F1875,75),(D1875-1)*2*MAX(6*F1875,75))/1000</f>
        <v>0.15</v>
      </c>
      <c r="M1875" t="str">
        <v>=</v>
      </c>
      <c r="N1875">
        <f>J1875+L1875</f>
        <v>1.03</v>
      </c>
      <c r="T1875" t="str">
        <v>x</v>
      </c>
      <c r="U1875">
        <f>0.006165*F1875^2</f>
        <v>0.39456</v>
      </c>
      <c r="V1875" t="str">
        <v>x</v>
      </c>
      <c r="W1875">
        <f>IF(D1858&gt;4*G1856,ROUND(MAX(D1858/4,2*G1856)/H1875,0)+1,ROUND(D1858/H1875,0)+1)</f>
        <v>29</v>
      </c>
      <c r="X1875" t="str">
        <v>x</v>
      </c>
      <c r="Y1875">
        <f>D1861</f>
        <v>1</v>
      </c>
      <c r="Z1875" t="str">
        <v>=</v>
      </c>
      <c r="AA1875">
        <f>N1875*U1875*W1875*Y1875</f>
        <v>11.785507200000001</v>
      </c>
    </row>
    <row r="1876">
      <c r="A1876" t="str">
        <f>A1855</f>
        <v>Lantai 1</v>
      </c>
      <c r="B1876">
        <f>B1855</f>
        <v>60</v>
      </c>
      <c r="C1876" t="str">
        <v>Sengkang Lapangan</v>
      </c>
      <c r="D1876">
        <f>VLOOKUP(D1855,'Detail Balok'!$C$10:$AU$140,36,FALSE)</f>
        <v>0</v>
      </c>
      <c r="E1876" t="str">
        <v>D</v>
      </c>
      <c r="F1876">
        <f>VLOOKUP(D1855,'Detail Balok'!$C$10:$AU$140,38,FALSE)</f>
        <v>8</v>
      </c>
      <c r="G1876" t="str">
        <v>-</v>
      </c>
      <c r="H1876">
        <f>VLOOKUP(D1855,'Detail Balok'!$C$10:$AU$140,40,FALSE)</f>
        <v>200</v>
      </c>
      <c r="J1876">
        <f>(IF(D1876=0,(2*(D1856+G1856))-(F$5*8),IF(D1876=3,(2*(D1856+G1856))-(F$5*8)+(G1856-2*F$5),IF(D1876=4,(2*(D1856+G1856))-(F$5*8)+2*(G1856-2*F$5)))))/1000</f>
        <v>0.88</v>
      </c>
      <c r="K1876" t="str">
        <v>+</v>
      </c>
      <c r="L1876">
        <f>IF(D1876=0,2*MAX(6*F1876,75),(D1876-1)*2*MAX(6*F1876,75))/1000</f>
        <v>0.15</v>
      </c>
      <c r="M1876" t="str">
        <v>=</v>
      </c>
      <c r="N1876">
        <f>J1876+L1876</f>
        <v>1.03</v>
      </c>
      <c r="T1876" t="str">
        <v>x</v>
      </c>
      <c r="U1876">
        <f>0.006165*F1876^2</f>
        <v>0.39456</v>
      </c>
      <c r="V1876" t="str">
        <v>x</v>
      </c>
      <c r="W1876">
        <f>IF(D1858-MAX(D1858/4,2*G1856)*2&gt;0,ROUND((D1858-MAX(D1858/4,2*G1856)*2)/H1876,0),0)</f>
        <v>43</v>
      </c>
      <c r="X1876" t="str">
        <v>x</v>
      </c>
      <c r="Y1876">
        <f>D1861</f>
        <v>1</v>
      </c>
      <c r="Z1876" t="str">
        <v>=</v>
      </c>
      <c r="AA1876">
        <f>N1876*U1876*W1876*Y1876</f>
        <v>17.475062400000002</v>
      </c>
    </row>
    <row r="1877">
      <c r="A1877" t="str">
        <f>A1855</f>
        <v>Lantai 1</v>
      </c>
      <c r="B1877">
        <f>B1855</f>
        <v>60</v>
      </c>
      <c r="C1877" t="str">
        <v>Sengkang Tumpuan</v>
      </c>
      <c r="D1877">
        <f>VLOOKUP(D1855,'Detail Balok'!$C$10:$AU$140,41,FALSE)</f>
        <v>0</v>
      </c>
      <c r="E1877" t="str">
        <v>D</v>
      </c>
      <c r="F1877">
        <f>VLOOKUP(D1855,'Detail Balok'!$C$10:$AU$140,43,FALSE)</f>
        <v>8</v>
      </c>
      <c r="G1877" t="str">
        <v>-</v>
      </c>
      <c r="H1877">
        <f>VLOOKUP(D1855,'Detail Balok'!$C$10:$AU$140,45,FALSE)</f>
        <v>150</v>
      </c>
      <c r="J1877">
        <f>(IF(D1877=0,(2*(D1856+G1856))-(F$5*8),IF(D1877=3,(2*(D1856+G1856))-(F$5*8)+(G1856-2*F$5),IF(D1877=4,(2*(D1856+G1856))-(F$5*8)+2*(G1856-2*F$5)))))/1000</f>
        <v>0.88</v>
      </c>
      <c r="K1877" t="str">
        <v>+</v>
      </c>
      <c r="L1877">
        <f>IF(D1877=0,2*MAX(6*F1877,75),(D1877-1)*2*MAX(6*F1877,75))/1000</f>
        <v>0.15</v>
      </c>
      <c r="M1877" t="str">
        <v>=</v>
      </c>
      <c r="N1877">
        <f>J1877+L1877</f>
        <v>1.03</v>
      </c>
      <c r="T1877" t="str">
        <v>x</v>
      </c>
      <c r="U1877">
        <f>0.006165*F1877^2</f>
        <v>0.39456</v>
      </c>
      <c r="V1877" t="str">
        <v>x</v>
      </c>
      <c r="W1877">
        <f>IF(D1858&gt;4*G1856,ROUND(MAX(D1858/4,2*G1856)/H1877,0)+1,0)</f>
        <v>29</v>
      </c>
      <c r="X1877" t="str">
        <v>x</v>
      </c>
      <c r="Y1877">
        <f>D1861</f>
        <v>1</v>
      </c>
      <c r="Z1877" t="str">
        <v>=</v>
      </c>
      <c r="AA1877">
        <f>N1877*U1877*W1877*Y1877</f>
        <v>11.785507200000001</v>
      </c>
    </row>
    <row r="1879">
      <c r="A1879" t="str">
        <f>A1855</f>
        <v>Lantai 1</v>
      </c>
      <c r="B1879">
        <f>B1855</f>
        <v>60</v>
      </c>
      <c r="C1879" t="str">
        <v>Kait Horizontal Tump.</v>
      </c>
      <c r="D1879">
        <f>VLOOKUP(D1855,'Detail Balok'!$C$10:$BJ$140,46,FALSE)</f>
        <v>0</v>
      </c>
      <c r="E1879" t="str">
        <v>D</v>
      </c>
      <c r="F1879">
        <f>VLOOKUP(D1855,'Detail Balok'!$C$10:$BJ$140,48,FALSE)</f>
        <v>0</v>
      </c>
      <c r="G1879" t="str">
        <v>-</v>
      </c>
      <c r="H1879">
        <f>VLOOKUP(D1855,'Detail Balok'!$C$10:$BJ$140,50,FALSE)</f>
        <v>100</v>
      </c>
      <c r="J1879">
        <f>(D1856-2*F$5)/1000</f>
        <v>0.12</v>
      </c>
      <c r="K1879" t="str">
        <v>+</v>
      </c>
      <c r="L1879">
        <f>IF(D1879=0,2*MAX(6*F1879,75),(D1879-1)*2*MAX(6*F1879,75))/1000</f>
        <v>0.15</v>
      </c>
      <c r="M1879" t="str">
        <v>=</v>
      </c>
      <c r="N1879">
        <f>J1879+L1879</f>
        <v>0.27</v>
      </c>
      <c r="T1879" t="str">
        <v>x</v>
      </c>
      <c r="U1879">
        <f>0.006165*F1879^2</f>
        <v>0</v>
      </c>
      <c r="V1879" t="str">
        <v>x</v>
      </c>
      <c r="W1879">
        <f>W1875</f>
        <v>29</v>
      </c>
      <c r="X1879" t="str">
        <v>x</v>
      </c>
      <c r="Y1879">
        <f>D1865</f>
        <v>3</v>
      </c>
      <c r="Z1879" t="str">
        <v>=</v>
      </c>
      <c r="AA1879">
        <f>N1879*U1879*W1879*Y1879</f>
        <v>0</v>
      </c>
    </row>
    <row r="1880">
      <c r="A1880" t="str">
        <f>A1855</f>
        <v>Lantai 1</v>
      </c>
      <c r="B1880">
        <f>B1855</f>
        <v>60</v>
      </c>
      <c r="C1880" t="str">
        <v>Kait Horizontal Lap.</v>
      </c>
      <c r="D1880">
        <f>VLOOKUP(D1855,'Detail Balok'!$C$10:$BJ$140,51,FALSE)</f>
        <v>0</v>
      </c>
      <c r="E1880" t="str">
        <v>D</v>
      </c>
      <c r="F1880">
        <f>VLOOKUP(D1855,'Detail Balok'!$C$10:$BJ$140,53,FALSE)</f>
        <v>0</v>
      </c>
      <c r="G1880" t="str">
        <v>-</v>
      </c>
      <c r="H1880">
        <f>VLOOKUP(D1855,'Detail Balok'!$C$10:$BJ$140,55,FALSE)</f>
        <v>100</v>
      </c>
      <c r="J1880">
        <f>(D1856-2*F$5)/1000</f>
        <v>0.12</v>
      </c>
      <c r="K1880" t="str">
        <v>+</v>
      </c>
      <c r="L1880">
        <f>IF(D1880=0,2*MAX(6*F1880,75),(D1880-1)*2*MAX(6*F1880,75))/1000</f>
        <v>0.15</v>
      </c>
      <c r="M1880" t="str">
        <v>=</v>
      </c>
      <c r="N1880">
        <f>J1880+L1880</f>
        <v>0.27</v>
      </c>
      <c r="T1880" t="str">
        <v>x</v>
      </c>
      <c r="U1880">
        <f>0.006165*F1880^2</f>
        <v>0</v>
      </c>
      <c r="V1880" t="str">
        <v>x</v>
      </c>
      <c r="W1880">
        <f>W1876</f>
        <v>43</v>
      </c>
      <c r="X1880" t="str">
        <v>x</v>
      </c>
      <c r="Y1880">
        <f>D1865</f>
        <v>3</v>
      </c>
      <c r="Z1880" t="str">
        <v>=</v>
      </c>
      <c r="AA1880">
        <f>N1880*U1880*W1880*Y1880</f>
        <v>0</v>
      </c>
    </row>
    <row r="1881">
      <c r="A1881" t="str">
        <f>A1855</f>
        <v>Lantai 1</v>
      </c>
      <c r="B1881">
        <f>B1855</f>
        <v>60</v>
      </c>
      <c r="C1881" t="str">
        <v>Kait Horizontal Tump.</v>
      </c>
      <c r="D1881">
        <f>VLOOKUP(D1855,'Detail Balok'!$C$10:$BJ$140,56,FALSE)</f>
        <v>0</v>
      </c>
      <c r="E1881" t="str">
        <v>D</v>
      </c>
      <c r="F1881">
        <f>VLOOKUP(D1855,'Detail Balok'!$C$10:$BJ$140,58,FALSE)</f>
        <v>0</v>
      </c>
      <c r="G1881" t="str">
        <v>-</v>
      </c>
      <c r="H1881">
        <f>VLOOKUP(D1855,'Detail Balok'!$C$10:$BJ$140,60,FALSE)</f>
        <v>100</v>
      </c>
      <c r="J1881">
        <f>(D1856-2*F$5)/1000</f>
        <v>0.12</v>
      </c>
      <c r="K1881" t="str">
        <v>+</v>
      </c>
      <c r="L1881">
        <f>IF(D1881=0,2*MAX(6*F1881,75),(D1881-1)*2*MAX(6*F1881,75))/1000</f>
        <v>0.15</v>
      </c>
      <c r="M1881" t="str">
        <v>=</v>
      </c>
      <c r="N1881">
        <f>J1881+L1881</f>
        <v>0.27</v>
      </c>
      <c r="T1881" t="str">
        <v>x</v>
      </c>
      <c r="U1881">
        <f>0.006165*F1881^2</f>
        <v>0</v>
      </c>
      <c r="V1881" t="str">
        <v>x</v>
      </c>
      <c r="W1881">
        <f>W1877</f>
        <v>29</v>
      </c>
      <c r="X1881" t="str">
        <v>x</v>
      </c>
      <c r="Y1881">
        <f>D1865</f>
        <v>3</v>
      </c>
      <c r="Z1881" t="str">
        <v>=</v>
      </c>
      <c r="AA1881">
        <f>N1881*U1881*W1881*Y1881</f>
        <v>0</v>
      </c>
    </row>
    <row r="1885">
      <c r="A1885" t="str">
        <f>A1855</f>
        <v>Lantai 1</v>
      </c>
      <c r="B1885">
        <f>B1855+1</f>
        <v>61</v>
      </c>
      <c r="C1885" t="str">
        <f>CONCATENATE(A1885," no. ",B1885)</f>
        <v>Lantai 1 no. 61</v>
      </c>
      <c r="D1885" t="str">
        <f>VLOOKUP(C1885,'Data Panjang Balok'!$C$9:$N$254,2,FALSE)</f>
        <v>S24-1</v>
      </c>
    </row>
    <row r="1886">
      <c r="C1886" t="str">
        <v>Dimensi</v>
      </c>
      <c r="D1886">
        <f>VLOOKUP(D1885,'Detail Balok'!$C$10:$AU$140,2,FALSE)</f>
        <v>200</v>
      </c>
      <c r="F1886" t="str">
        <v>x</v>
      </c>
      <c r="G1886">
        <f>VLOOKUP(D1885,'Detail Balok'!$C$10:$AU$140,3,FALSE)</f>
        <v>400</v>
      </c>
    </row>
    <row r="1887">
      <c r="C1887" t="str">
        <v>Panjang as ke as</v>
      </c>
      <c r="D1887">
        <f>VLOOKUP(C1885,'Data Panjang Balok'!$C$9:$N$254,4,FALSE)</f>
        <v>5675</v>
      </c>
    </row>
    <row r="1888">
      <c r="C1888" t="str">
        <v>Panjang netto</v>
      </c>
      <c r="D1888">
        <f>VLOOKUP(C1885,'Data Panjang Balok'!$C$9:$N$254,7,FALSE)</f>
        <v>5675</v>
      </c>
    </row>
    <row r="1889">
      <c r="C1889" t="str">
        <v>Kolom / balok kiri</v>
      </c>
      <c r="D1889">
        <f>VLOOKUP(C1885,'Data Panjang Balok'!$C$9:$N$254,9,FALSE)</f>
        <v>0</v>
      </c>
    </row>
    <row r="1890">
      <c r="C1890" t="str">
        <v>Kolom / balok kanan</v>
      </c>
      <c r="D1890">
        <f>VLOOKUP(C1885,'Data Panjang Balok'!$C$9:$N$254,10,FALSE)</f>
        <v>0</v>
      </c>
    </row>
    <row r="1891">
      <c r="C1891" t="str">
        <v>Jumlah</v>
      </c>
      <c r="D1891">
        <f>VLOOKUP(C1885,'Data Panjang Balok'!$C$9:$N$254,3,FALSE)</f>
        <v>1</v>
      </c>
    </row>
    <row r="1892">
      <c r="A1892" t="str">
        <f>A1885</f>
        <v>Lantai 1</v>
      </c>
      <c r="B1892">
        <f>B1885</f>
        <v>61</v>
      </c>
      <c r="C1892" t="str">
        <v>Tul Atas Tumpuan</v>
      </c>
      <c r="D1892">
        <f>VLOOKUP(D1885,'Detail Balok'!$C$10:$AU$140,4,FALSE)</f>
        <v>3</v>
      </c>
      <c r="E1892" t="str">
        <v>D</v>
      </c>
      <c r="F1892">
        <f>VLOOKUP(D1885,'Detail Balok'!$C$10:$AU$140,6,FALSE)</f>
        <v>13</v>
      </c>
      <c r="I1892" t="str">
        <v>(</v>
      </c>
      <c r="J1892">
        <f>+D1887/4/1000</f>
        <v>1.41875</v>
      </c>
      <c r="K1892" t="str">
        <v>+</v>
      </c>
      <c r="L1892">
        <f>MAX(VLOOKUP(F1892,N$6:P$15,3,FALSE)/1000,2/3*D1889/1000)+F$16*F1892/1000</f>
        <v>0.156</v>
      </c>
      <c r="M1892" t="str">
        <v>=</v>
      </c>
      <c r="N1892">
        <f>J1892+L1892</f>
        <v>1.5747499999999999</v>
      </c>
      <c r="O1892" t="str">
        <v>+</v>
      </c>
      <c r="P1892">
        <f>D1892-D1893</f>
        <v>0</v>
      </c>
      <c r="Q1892" t="str">
        <v>x</v>
      </c>
      <c r="R1892">
        <f>IF(P1892&gt;0,$F$18*F1892/1000,0)</f>
        <v>0</v>
      </c>
      <c r="S1892" t="str">
        <v>)</v>
      </c>
      <c r="T1892" t="str">
        <v>x</v>
      </c>
      <c r="U1892">
        <f>0.006165*F1892^2</f>
        <v>1.041885</v>
      </c>
      <c r="X1892" t="str">
        <v>x</v>
      </c>
      <c r="Y1892">
        <f>D1891</f>
        <v>1</v>
      </c>
      <c r="Z1892" t="str">
        <v>=</v>
      </c>
      <c r="AA1892">
        <f>IF(AA1895=0,(D1892*N1892+P1892*R1892)*U1892*Y1892,0)</f>
        <v>0</v>
      </c>
    </row>
    <row r="1893">
      <c r="A1893" t="str">
        <f>A1885</f>
        <v>Lantai 1</v>
      </c>
      <c r="B1893">
        <f>B1885</f>
        <v>61</v>
      </c>
      <c r="C1893" t="str">
        <v>Tul Atas Lapangan</v>
      </c>
      <c r="D1893">
        <f>VLOOKUP(D1885,'Detail Balok'!$C$10:$AU$140,7,FALSE)</f>
        <v>3</v>
      </c>
      <c r="E1893" t="str">
        <v>D</v>
      </c>
      <c r="F1893">
        <f>VLOOKUP(D1885,'Detail Balok'!$C$10:$AU$140,9,FALSE)</f>
        <v>13</v>
      </c>
      <c r="I1893" t="str">
        <v>(</v>
      </c>
      <c r="J1893">
        <f>+D1887/2/1000</f>
        <v>2.8375</v>
      </c>
      <c r="K1893" t="str">
        <v>+</v>
      </c>
      <c r="M1893" t="str">
        <v>=</v>
      </c>
      <c r="N1893">
        <f>J1893+L1893</f>
        <v>2.8375</v>
      </c>
      <c r="O1893" t="str">
        <v>+</v>
      </c>
      <c r="P1893">
        <f>MAX(D1893-D1892,D1893-D1894)</f>
        <v>0</v>
      </c>
      <c r="Q1893" t="str">
        <v>x</v>
      </c>
      <c r="R1893">
        <f>IF(P1893&gt;0,2*(1-2*$F$19-1/2)*D1888/1000,0)</f>
        <v>0</v>
      </c>
      <c r="S1893" t="str">
        <v>)</v>
      </c>
      <c r="T1893" t="str">
        <v>x</v>
      </c>
      <c r="U1893">
        <f>0.006165*F1893^2</f>
        <v>1.041885</v>
      </c>
      <c r="X1893" t="str">
        <v>x</v>
      </c>
      <c r="Y1893">
        <f>D1891</f>
        <v>1</v>
      </c>
      <c r="Z1893" t="str">
        <v>=</v>
      </c>
      <c r="AA1893">
        <f>IF(AA1895=0,(D1893*N1893+P1893*R1893)*U1893*Y1893,0)</f>
        <v>0</v>
      </c>
    </row>
    <row r="1894">
      <c r="A1894" t="str">
        <f>A1885</f>
        <v>Lantai 1</v>
      </c>
      <c r="B1894">
        <f>B1885</f>
        <v>61</v>
      </c>
      <c r="C1894" t="str">
        <v>Tul Atas Tumpuan</v>
      </c>
      <c r="D1894">
        <f>VLOOKUP(D1885,'Detail Balok'!$C$10:$AU$140,10,FALSE)</f>
        <v>3</v>
      </c>
      <c r="E1894" t="str">
        <v>D</v>
      </c>
      <c r="F1894">
        <f>VLOOKUP(D1885,'Detail Balok'!$C$10:$AU$140,12,FALSE)</f>
        <v>13</v>
      </c>
      <c r="I1894" t="str">
        <v>(</v>
      </c>
      <c r="J1894">
        <f>+D1887/4/1000</f>
        <v>1.41875</v>
      </c>
      <c r="K1894" t="str">
        <v>+</v>
      </c>
      <c r="L1894">
        <f>MAX(VLOOKUP(F1894,N$6:P$15,3,FALSE)/1000,2/3*D1889/1000)+F$16*F1894/1000</f>
        <v>0.156</v>
      </c>
      <c r="M1894" t="str">
        <v>=</v>
      </c>
      <c r="N1894">
        <f>J1894+L1894</f>
        <v>1.5747499999999999</v>
      </c>
      <c r="O1894" t="str">
        <v>+</v>
      </c>
      <c r="P1894">
        <f>D1894-D1893</f>
        <v>0</v>
      </c>
      <c r="Q1894" t="str">
        <v>x</v>
      </c>
      <c r="R1894">
        <f>IF(P1894&gt;0,$F$18*F1894/1000,0)</f>
        <v>0</v>
      </c>
      <c r="S1894" t="str">
        <v>)</v>
      </c>
      <c r="T1894" t="str">
        <v>x</v>
      </c>
      <c r="U1894">
        <f>0.006165*F1894^2</f>
        <v>1.041885</v>
      </c>
      <c r="X1894" t="str">
        <v>x</v>
      </c>
      <c r="Y1894">
        <f>D1891</f>
        <v>1</v>
      </c>
      <c r="Z1894" t="str">
        <v>=</v>
      </c>
      <c r="AA1894">
        <f>IF(AA1895=0,(D1894*N1894+P1894*R1894)*U1894*Y1894,0)</f>
        <v>0</v>
      </c>
    </row>
    <row r="1895">
      <c r="A1895" t="str">
        <f>A1885</f>
        <v>Lantai 1</v>
      </c>
      <c r="B1895">
        <f>B1885</f>
        <v>61</v>
      </c>
      <c r="D1895">
        <f>IF(AND(D1892=D1893,D1893=D1894,D1892=D1894),D1892,0)</f>
        <v>3</v>
      </c>
      <c r="E1895" t="str">
        <v>D</v>
      </c>
      <c r="F1895">
        <f>IF(AND(F1892=F1893,F1892=F1894,F1893=F1894),F1892,0)</f>
        <v>13</v>
      </c>
      <c r="L1895" t="str">
        <v>Total panjang per balok</v>
      </c>
      <c r="M1895" t="str">
        <v>=</v>
      </c>
      <c r="N1895">
        <f>IF(AND(D1892=D1893,D1892=D1894,D1893=D1894,F1892=F1893,F1892=F1894,F1893=F1894),SUM(N1892:N1894),0)</f>
        <v>5.987</v>
      </c>
      <c r="O1895" t="str">
        <v>+</v>
      </c>
      <c r="P1895">
        <f>IF(N1895&gt;12,ROUNDDOWN(N1895/12,0),0)</f>
        <v>0</v>
      </c>
      <c r="Q1895" t="str">
        <v>x</v>
      </c>
      <c r="R1895">
        <f>IF(P1895&gt;0,MAX(VLOOKUP(F1895,$D$6:$G$15,3,FALSE),600),0)/1000</f>
        <v>0</v>
      </c>
      <c r="T1895" t="str">
        <v>x</v>
      </c>
      <c r="U1895">
        <f>U1894</f>
        <v>1.041885</v>
      </c>
      <c r="V1895" t="str">
        <v>x</v>
      </c>
      <c r="W1895">
        <f>D1895</f>
        <v>3</v>
      </c>
      <c r="X1895" t="str">
        <v>x</v>
      </c>
      <c r="Y1895">
        <f>Y1894</f>
        <v>1</v>
      </c>
      <c r="Z1895" t="str">
        <v>=</v>
      </c>
      <c r="AA1895">
        <f>(N1895+P1895*R1895/1000)*U1895*W1895*Y1895</f>
        <v>18.713296485</v>
      </c>
    </row>
    <row r="1897">
      <c r="A1897" t="str">
        <f>A1885</f>
        <v>Lantai 1</v>
      </c>
      <c r="B1897">
        <f>B1885</f>
        <v>61</v>
      </c>
      <c r="C1897" t="str">
        <v>Tul Peminggang</v>
      </c>
      <c r="D1897">
        <f>VLOOKUP(D1885,'Detail Balok'!$C$10:$AU$140,13,FALSE)</f>
        <v>0</v>
      </c>
      <c r="E1897" t="str">
        <v>D</v>
      </c>
      <c r="F1897">
        <f>VLOOKUP(D1885,'Detail Balok'!$C$10:$AU$140,15,FALSE)</f>
        <v>8</v>
      </c>
      <c r="J1897">
        <f>+D1887/1000</f>
        <v>5.675</v>
      </c>
      <c r="K1897" t="str">
        <v>+</v>
      </c>
      <c r="L1897">
        <f>2*$F$16*F1897/1000</f>
        <v>0.192</v>
      </c>
      <c r="M1897" t="str">
        <v>=</v>
      </c>
      <c r="N1897">
        <f>J1897+L1897</f>
        <v>5.867</v>
      </c>
      <c r="O1897" t="str">
        <v>+</v>
      </c>
      <c r="P1897">
        <f>IF(N1897&gt;12,ROUNDDOWN(N1897/12,0),0)</f>
        <v>0</v>
      </c>
      <c r="Q1897" t="str">
        <v>x</v>
      </c>
      <c r="R1897">
        <f>IF(P1897&gt;0,MAX(VLOOKUP(F1897,$D$6:$G$15,3,FALSE),600),0)/1000</f>
        <v>0</v>
      </c>
      <c r="T1897" t="str">
        <v>x</v>
      </c>
      <c r="U1897">
        <f>0.006165*F1897^2</f>
        <v>0.39456</v>
      </c>
      <c r="V1897" t="str">
        <v>x</v>
      </c>
      <c r="W1897">
        <f>+D1897</f>
        <v>0</v>
      </c>
      <c r="X1897" t="str">
        <v>x</v>
      </c>
      <c r="Y1897">
        <f>D1891</f>
        <v>1</v>
      </c>
      <c r="Z1897" t="str">
        <v>=</v>
      </c>
      <c r="AA1897">
        <f>(N1897+P1897*R1897/1000)*U1897*W1897*Y1897</f>
        <v>0</v>
      </c>
    </row>
    <row r="1900">
      <c r="A1900" t="str">
        <f>A1885</f>
        <v>Lantai 1</v>
      </c>
      <c r="B1900">
        <f>B1885</f>
        <v>61</v>
      </c>
      <c r="C1900" t="str">
        <v>Tul Bawah Tumpuan</v>
      </c>
      <c r="D1900">
        <f>VLOOKUP(D1885,'Detail Balok'!$C$10:$AU$140,22,FALSE)</f>
        <v>3</v>
      </c>
      <c r="E1900" t="str">
        <v>D</v>
      </c>
      <c r="F1900">
        <f>VLOOKUP(D1885,'Detail Balok'!$C$10:$AU$140,24,FALSE)</f>
        <v>13</v>
      </c>
      <c r="I1900" t="str">
        <v>(</v>
      </c>
      <c r="J1900">
        <f>+J1892</f>
        <v>1.41875</v>
      </c>
      <c r="K1900" t="str">
        <v>+</v>
      </c>
      <c r="L1900">
        <f>MAX(VLOOKUP(F1900,N$6:P$15,3,FALSE)/1000,2/3*D1890/1000)+F$16*F1900/1000</f>
        <v>0.156</v>
      </c>
      <c r="M1900" t="str">
        <v>=</v>
      </c>
      <c r="N1900">
        <f>J1900+L1900</f>
        <v>1.5747499999999999</v>
      </c>
      <c r="O1900" t="str">
        <v>+</v>
      </c>
      <c r="P1900">
        <f>D1900-D1901</f>
        <v>0</v>
      </c>
      <c r="Q1900" t="str">
        <v>x</v>
      </c>
      <c r="R1900">
        <f>IF(P1900&gt;0,$F$18*F1900/1000,0)</f>
        <v>0</v>
      </c>
      <c r="S1900" t="str">
        <v>)</v>
      </c>
      <c r="T1900" t="str">
        <v>x</v>
      </c>
      <c r="U1900">
        <f>0.006165*F1900^2</f>
        <v>1.041885</v>
      </c>
      <c r="X1900" t="str">
        <v>x</v>
      </c>
      <c r="Y1900">
        <f>D1891</f>
        <v>1</v>
      </c>
      <c r="Z1900" t="str">
        <v>=</v>
      </c>
      <c r="AA1900">
        <f>IF(AA1903=0,(D1900*N1900+P1900*R1900)*U1900*Y1900,0)</f>
        <v>0</v>
      </c>
    </row>
    <row r="1901">
      <c r="A1901" t="str">
        <f>A1885</f>
        <v>Lantai 1</v>
      </c>
      <c r="B1901">
        <f>B1885</f>
        <v>61</v>
      </c>
      <c r="C1901" t="str">
        <v>Tul Bawah Lapangan</v>
      </c>
      <c r="D1901">
        <f>VLOOKUP(D1885,'Detail Balok'!$C$10:$AU$140,25,FALSE)</f>
        <v>3</v>
      </c>
      <c r="E1901" t="str">
        <v>D</v>
      </c>
      <c r="F1901">
        <f>VLOOKUP(D1885,'Detail Balok'!$C$10:$AU$140,27,FALSE)</f>
        <v>13</v>
      </c>
      <c r="I1901" t="str">
        <v>(</v>
      </c>
      <c r="J1901">
        <f>+J1893</f>
        <v>2.8375</v>
      </c>
      <c r="K1901" t="str">
        <v>+</v>
      </c>
      <c r="M1901" t="str">
        <v>=</v>
      </c>
      <c r="N1901">
        <f>J1901+L1901</f>
        <v>2.8375</v>
      </c>
      <c r="O1901" t="str">
        <v>+</v>
      </c>
      <c r="P1901">
        <f>MAX(D1901-D1900,D1901-D1902)</f>
        <v>0</v>
      </c>
      <c r="Q1901" t="str">
        <v>x</v>
      </c>
      <c r="R1901">
        <f>IF(P1901&gt;0,2*(1-2*$F$19-1/2)*D1888/1000,0)</f>
        <v>0</v>
      </c>
      <c r="S1901" t="str">
        <v>)</v>
      </c>
      <c r="T1901" t="str">
        <v>x</v>
      </c>
      <c r="U1901">
        <f>0.006165*F1901^2</f>
        <v>1.041885</v>
      </c>
      <c r="X1901" t="str">
        <v>x</v>
      </c>
      <c r="Y1901">
        <f>D1891</f>
        <v>1</v>
      </c>
      <c r="Z1901" t="str">
        <v>=</v>
      </c>
      <c r="AA1901">
        <f>IF(AA1903=0,(D1901*N1901+P1901*R1901)*U1901*Y1901,0)</f>
        <v>0</v>
      </c>
    </row>
    <row r="1902">
      <c r="A1902" t="str">
        <f>A1885</f>
        <v>Lantai 1</v>
      </c>
      <c r="B1902">
        <f>B1885</f>
        <v>61</v>
      </c>
      <c r="C1902" t="str">
        <v>Tul Bawah Tumpuan</v>
      </c>
      <c r="D1902">
        <f>VLOOKUP(D1885,'Detail Balok'!$C$10:$AU$140,28,FALSE)</f>
        <v>3</v>
      </c>
      <c r="E1902" t="str">
        <v>D</v>
      </c>
      <c r="F1902">
        <f>VLOOKUP(D1885,'Detail Balok'!$C$10:$AU$140,30,FALSE)</f>
        <v>13</v>
      </c>
      <c r="I1902" t="str">
        <v>(</v>
      </c>
      <c r="J1902">
        <f>+J1894</f>
        <v>1.41875</v>
      </c>
      <c r="K1902" t="str">
        <v>+</v>
      </c>
      <c r="L1902">
        <f>MAX(VLOOKUP(F1902,N$6:P$15,3,FALSE)/1000,2/3*D1890/1000)+F$16*F1902/1000</f>
        <v>0.156</v>
      </c>
      <c r="M1902" t="str">
        <v>=</v>
      </c>
      <c r="N1902">
        <f>J1902+L1902</f>
        <v>1.5747499999999999</v>
      </c>
      <c r="O1902" t="str">
        <v>+</v>
      </c>
      <c r="P1902">
        <f>D1902-D1901</f>
        <v>0</v>
      </c>
      <c r="Q1902" t="str">
        <v>x</v>
      </c>
      <c r="R1902">
        <f>IF(P1902&gt;0,$F$18*F1902/1000,0)</f>
        <v>0</v>
      </c>
      <c r="S1902" t="str">
        <v>)</v>
      </c>
      <c r="T1902" t="str">
        <v>x</v>
      </c>
      <c r="U1902">
        <f>0.006165*F1902^2</f>
        <v>1.041885</v>
      </c>
      <c r="X1902" t="str">
        <v>x</v>
      </c>
      <c r="Y1902">
        <f>D1891</f>
        <v>1</v>
      </c>
      <c r="Z1902" t="str">
        <v>=</v>
      </c>
      <c r="AA1902">
        <f>IF(AA1903=0,(D1902*N1902+P1902*R1902)*U1902*Y1902,0)</f>
        <v>0</v>
      </c>
    </row>
    <row r="1903">
      <c r="A1903" t="str">
        <f>A1885</f>
        <v>Lantai 1</v>
      </c>
      <c r="B1903">
        <f>B1885</f>
        <v>61</v>
      </c>
      <c r="D1903">
        <f>IF(AND(D1900=D1901,D1901=D1902,D1900=D1902),D1900,0)</f>
        <v>3</v>
      </c>
      <c r="E1903" t="str">
        <v>D</v>
      </c>
      <c r="F1903">
        <f>IF(AND(F1900=F1901,F1900=F1902,F1901=F1902),F1900,0)</f>
        <v>13</v>
      </c>
      <c r="L1903" t="str">
        <v>Total panjang per balok</v>
      </c>
      <c r="M1903" t="str">
        <v>=</v>
      </c>
      <c r="N1903">
        <f>IF(AND(D1900=D1901,D1900=D1902,D1901=D1902,F1900=F1901,F1900=F1902,F1901=F1902),SUM(N1900:N1902),0)</f>
        <v>5.987</v>
      </c>
      <c r="O1903" t="str">
        <v>+</v>
      </c>
      <c r="P1903">
        <f>IF(N1903&gt;12,ROUNDDOWN(N1903/12,0),0)</f>
        <v>0</v>
      </c>
      <c r="Q1903" t="str">
        <v>x</v>
      </c>
      <c r="R1903">
        <f>IF(P1903&gt;0,MAX(VLOOKUP(F1903,$D$6:$G$15,3,FALSE),600),0)/1000</f>
        <v>0</v>
      </c>
      <c r="T1903" t="str">
        <v>x</v>
      </c>
      <c r="U1903">
        <f>U1902</f>
        <v>1.041885</v>
      </c>
      <c r="V1903" t="str">
        <v>x</v>
      </c>
      <c r="W1903">
        <f>D1903</f>
        <v>3</v>
      </c>
      <c r="X1903" t="str">
        <v>x</v>
      </c>
      <c r="Y1903">
        <f>Y1902</f>
        <v>1</v>
      </c>
      <c r="Z1903" t="str">
        <v>=</v>
      </c>
      <c r="AA1903">
        <f>(N1903+P1903*R1903/1000)*U1903*W1903*Y1903</f>
        <v>18.713296485</v>
      </c>
    </row>
    <row r="1905">
      <c r="A1905" t="str">
        <f>A1885</f>
        <v>Lantai 1</v>
      </c>
      <c r="B1905">
        <f>B1885</f>
        <v>61</v>
      </c>
      <c r="C1905" t="str">
        <v>Sengkang Tumpuan</v>
      </c>
      <c r="D1905">
        <f>VLOOKUP(D1885,'Detail Balok'!$C$10:$AU$140,31,FALSE)</f>
        <v>0</v>
      </c>
      <c r="E1905" t="str">
        <v>D</v>
      </c>
      <c r="F1905">
        <f>VLOOKUP(D1885,'Detail Balok'!$C$10:$AU$140,33,FALSE)</f>
        <v>8</v>
      </c>
      <c r="G1905" t="str">
        <v>-</v>
      </c>
      <c r="H1905">
        <f>VLOOKUP(D1885,'Detail Balok'!$C$10:$AU$140,35,FALSE)</f>
        <v>150</v>
      </c>
      <c r="J1905">
        <f>(IF(D1905=0,(2*(D1886+G1886))-(F$5*8),IF(D1905=3,(2*(D1886+G1886))-(F$5*8)+(G1886-2*F$5),IF(D1905=4,(2*(D1886+G1886))-(F$5*8)+2*(G1886-2*F$5)))))/1000</f>
        <v>0.88</v>
      </c>
      <c r="K1905" t="str">
        <v>+</v>
      </c>
      <c r="L1905">
        <f>IF(D1905=0,2*MAX(6*F1905,75),(D1905-1)*2*MAX(6*F1905,75))/1000</f>
        <v>0.15</v>
      </c>
      <c r="M1905" t="str">
        <v>=</v>
      </c>
      <c r="N1905">
        <f>J1905+L1905</f>
        <v>1.03</v>
      </c>
      <c r="T1905" t="str">
        <v>x</v>
      </c>
      <c r="U1905">
        <f>0.006165*F1905^2</f>
        <v>0.39456</v>
      </c>
      <c r="V1905" t="str">
        <v>x</v>
      </c>
      <c r="W1905">
        <f>IF(D1888&gt;4*G1886,ROUND(MAX(D1888/4,2*G1886)/H1905,0)+1,ROUND(D1888/H1905,0)+1)</f>
        <v>10</v>
      </c>
      <c r="X1905" t="str">
        <v>x</v>
      </c>
      <c r="Y1905">
        <f>D1891</f>
        <v>1</v>
      </c>
      <c r="Z1905" t="str">
        <v>=</v>
      </c>
      <c r="AA1905">
        <f>N1905*U1905*W1905*Y1905</f>
        <v>4.063968000000001</v>
      </c>
    </row>
    <row r="1906">
      <c r="A1906" t="str">
        <f>A1885</f>
        <v>Lantai 1</v>
      </c>
      <c r="B1906">
        <f>B1885</f>
        <v>61</v>
      </c>
      <c r="C1906" t="str">
        <v>Sengkang Lapangan</v>
      </c>
      <c r="D1906">
        <f>VLOOKUP(D1885,'Detail Balok'!$C$10:$AU$140,36,FALSE)</f>
        <v>0</v>
      </c>
      <c r="E1906" t="str">
        <v>D</v>
      </c>
      <c r="F1906">
        <f>VLOOKUP(D1885,'Detail Balok'!$C$10:$AU$140,38,FALSE)</f>
        <v>8</v>
      </c>
      <c r="G1906" t="str">
        <v>-</v>
      </c>
      <c r="H1906">
        <f>VLOOKUP(D1885,'Detail Balok'!$C$10:$AU$140,40,FALSE)</f>
        <v>200</v>
      </c>
      <c r="J1906">
        <f>(IF(D1906=0,(2*(D1886+G1886))-(F$5*8),IF(D1906=3,(2*(D1886+G1886))-(F$5*8)+(G1886-2*F$5),IF(D1906=4,(2*(D1886+G1886))-(F$5*8)+2*(G1886-2*F$5)))))/1000</f>
        <v>0.88</v>
      </c>
      <c r="K1906" t="str">
        <v>+</v>
      </c>
      <c r="L1906">
        <f>IF(D1906=0,2*MAX(6*F1906,75),(D1906-1)*2*MAX(6*F1906,75))/1000</f>
        <v>0.15</v>
      </c>
      <c r="M1906" t="str">
        <v>=</v>
      </c>
      <c r="N1906">
        <f>J1906+L1906</f>
        <v>1.03</v>
      </c>
      <c r="T1906" t="str">
        <v>x</v>
      </c>
      <c r="U1906">
        <f>0.006165*F1906^2</f>
        <v>0.39456</v>
      </c>
      <c r="V1906" t="str">
        <v>x</v>
      </c>
      <c r="W1906">
        <f>IF(D1888-MAX(D1888/4,2*G1886)*2&gt;0,ROUND((D1888-MAX(D1888/4,2*G1886)*2)/H1906,0),0)</f>
        <v>14</v>
      </c>
      <c r="X1906" t="str">
        <v>x</v>
      </c>
      <c r="Y1906">
        <f>D1891</f>
        <v>1</v>
      </c>
      <c r="Z1906" t="str">
        <v>=</v>
      </c>
      <c r="AA1906">
        <f>N1906*U1906*W1906*Y1906</f>
        <v>5.689555200000001</v>
      </c>
    </row>
    <row r="1907">
      <c r="A1907" t="str">
        <f>A1885</f>
        <v>Lantai 1</v>
      </c>
      <c r="B1907">
        <f>B1885</f>
        <v>61</v>
      </c>
      <c r="C1907" t="str">
        <v>Sengkang Tumpuan</v>
      </c>
      <c r="D1907">
        <f>VLOOKUP(D1885,'Detail Balok'!$C$10:$AU$140,41,FALSE)</f>
        <v>0</v>
      </c>
      <c r="E1907" t="str">
        <v>D</v>
      </c>
      <c r="F1907">
        <f>VLOOKUP(D1885,'Detail Balok'!$C$10:$AU$140,43,FALSE)</f>
        <v>8</v>
      </c>
      <c r="G1907" t="str">
        <v>-</v>
      </c>
      <c r="H1907">
        <f>VLOOKUP(D1885,'Detail Balok'!$C$10:$AU$140,45,FALSE)</f>
        <v>150</v>
      </c>
      <c r="J1907">
        <f>(IF(D1907=0,(2*(D1886+G1886))-(F$5*8),IF(D1907=3,(2*(D1886+G1886))-(F$5*8)+(G1886-2*F$5),IF(D1907=4,(2*(D1886+G1886))-(F$5*8)+2*(G1886-2*F$5)))))/1000</f>
        <v>0.88</v>
      </c>
      <c r="K1907" t="str">
        <v>+</v>
      </c>
      <c r="L1907">
        <f>IF(D1907=0,2*MAX(6*F1907,75),(D1907-1)*2*MAX(6*F1907,75))/1000</f>
        <v>0.15</v>
      </c>
      <c r="M1907" t="str">
        <v>=</v>
      </c>
      <c r="N1907">
        <f>J1907+L1907</f>
        <v>1.03</v>
      </c>
      <c r="T1907" t="str">
        <v>x</v>
      </c>
      <c r="U1907">
        <f>0.006165*F1907^2</f>
        <v>0.39456</v>
      </c>
      <c r="V1907" t="str">
        <v>x</v>
      </c>
      <c r="W1907">
        <f>IF(D1888&gt;4*G1886,ROUND(MAX(D1888/4,2*G1886)/H1907,0)+1,0)</f>
        <v>10</v>
      </c>
      <c r="X1907" t="str">
        <v>x</v>
      </c>
      <c r="Y1907">
        <f>D1891</f>
        <v>1</v>
      </c>
      <c r="Z1907" t="str">
        <v>=</v>
      </c>
      <c r="AA1907">
        <f>N1907*U1907*W1907*Y1907</f>
        <v>4.063968000000001</v>
      </c>
    </row>
    <row r="1909">
      <c r="A1909" t="str">
        <f>A1885</f>
        <v>Lantai 1</v>
      </c>
      <c r="B1909">
        <f>B1885</f>
        <v>61</v>
      </c>
      <c r="C1909" t="str">
        <v>Kait Horizontal Tump.</v>
      </c>
      <c r="D1909">
        <f>VLOOKUP(D1885,'Detail Balok'!$C$10:$BJ$140,46,FALSE)</f>
        <v>0</v>
      </c>
      <c r="E1909" t="str">
        <v>D</v>
      </c>
      <c r="F1909">
        <f>VLOOKUP(D1885,'Detail Balok'!$C$10:$BJ$140,48,FALSE)</f>
        <v>0</v>
      </c>
      <c r="G1909" t="str">
        <v>-</v>
      </c>
      <c r="H1909">
        <f>VLOOKUP(D1885,'Detail Balok'!$C$10:$BJ$140,50,FALSE)</f>
        <v>100</v>
      </c>
      <c r="J1909">
        <f>(D1886-2*F$5)/1000</f>
        <v>0.12</v>
      </c>
      <c r="K1909" t="str">
        <v>+</v>
      </c>
      <c r="L1909">
        <f>IF(D1909=0,2*MAX(6*F1909,75),(D1909-1)*2*MAX(6*F1909,75))/1000</f>
        <v>0.15</v>
      </c>
      <c r="M1909" t="str">
        <v>=</v>
      </c>
      <c r="N1909">
        <f>J1909+L1909</f>
        <v>0.27</v>
      </c>
      <c r="T1909" t="str">
        <v>x</v>
      </c>
      <c r="U1909">
        <f>0.006165*F1909^2</f>
        <v>0</v>
      </c>
      <c r="V1909" t="str">
        <v>x</v>
      </c>
      <c r="W1909">
        <f>W1905</f>
        <v>10</v>
      </c>
      <c r="X1909" t="str">
        <v>x</v>
      </c>
      <c r="Y1909">
        <f>D1895</f>
        <v>3</v>
      </c>
      <c r="Z1909" t="str">
        <v>=</v>
      </c>
      <c r="AA1909">
        <f>N1909*U1909*W1909*Y1909</f>
        <v>0</v>
      </c>
    </row>
    <row r="1910">
      <c r="A1910" t="str">
        <f>A1885</f>
        <v>Lantai 1</v>
      </c>
      <c r="B1910">
        <f>B1885</f>
        <v>61</v>
      </c>
      <c r="C1910" t="str">
        <v>Kait Horizontal Lap.</v>
      </c>
      <c r="D1910">
        <f>VLOOKUP(D1885,'Detail Balok'!$C$10:$BJ$140,51,FALSE)</f>
        <v>0</v>
      </c>
      <c r="E1910" t="str">
        <v>D</v>
      </c>
      <c r="F1910">
        <f>VLOOKUP(D1885,'Detail Balok'!$C$10:$BJ$140,53,FALSE)</f>
        <v>0</v>
      </c>
      <c r="G1910" t="str">
        <v>-</v>
      </c>
      <c r="H1910">
        <f>VLOOKUP(D1885,'Detail Balok'!$C$10:$BJ$140,55,FALSE)</f>
        <v>100</v>
      </c>
      <c r="J1910">
        <f>(D1886-2*F$5)/1000</f>
        <v>0.12</v>
      </c>
      <c r="K1910" t="str">
        <v>+</v>
      </c>
      <c r="L1910">
        <f>IF(D1910=0,2*MAX(6*F1910,75),(D1910-1)*2*MAX(6*F1910,75))/1000</f>
        <v>0.15</v>
      </c>
      <c r="M1910" t="str">
        <v>=</v>
      </c>
      <c r="N1910">
        <f>J1910+L1910</f>
        <v>0.27</v>
      </c>
      <c r="T1910" t="str">
        <v>x</v>
      </c>
      <c r="U1910">
        <f>0.006165*F1910^2</f>
        <v>0</v>
      </c>
      <c r="V1910" t="str">
        <v>x</v>
      </c>
      <c r="W1910">
        <f>W1906</f>
        <v>14</v>
      </c>
      <c r="X1910" t="str">
        <v>x</v>
      </c>
      <c r="Y1910">
        <f>D1895</f>
        <v>3</v>
      </c>
      <c r="Z1910" t="str">
        <v>=</v>
      </c>
      <c r="AA1910">
        <f>N1910*U1910*W1910*Y1910</f>
        <v>0</v>
      </c>
    </row>
    <row r="1911">
      <c r="A1911" t="str">
        <f>A1885</f>
        <v>Lantai 1</v>
      </c>
      <c r="B1911">
        <f>B1885</f>
        <v>61</v>
      </c>
      <c r="C1911" t="str">
        <v>Kait Horizontal Tump.</v>
      </c>
      <c r="D1911">
        <f>VLOOKUP(D1885,'Detail Balok'!$C$10:$BJ$140,56,FALSE)</f>
        <v>0</v>
      </c>
      <c r="E1911" t="str">
        <v>D</v>
      </c>
      <c r="F1911">
        <f>VLOOKUP(D1885,'Detail Balok'!$C$10:$BJ$140,58,FALSE)</f>
        <v>0</v>
      </c>
      <c r="G1911" t="str">
        <v>-</v>
      </c>
      <c r="H1911">
        <f>VLOOKUP(D1885,'Detail Balok'!$C$10:$BJ$140,60,FALSE)</f>
        <v>100</v>
      </c>
      <c r="J1911">
        <f>(D1886-2*F$5)/1000</f>
        <v>0.12</v>
      </c>
      <c r="K1911" t="str">
        <v>+</v>
      </c>
      <c r="L1911">
        <f>IF(D1911=0,2*MAX(6*F1911,75),(D1911-1)*2*MAX(6*F1911,75))/1000</f>
        <v>0.15</v>
      </c>
      <c r="M1911" t="str">
        <v>=</v>
      </c>
      <c r="N1911">
        <f>J1911+L1911</f>
        <v>0.27</v>
      </c>
      <c r="T1911" t="str">
        <v>x</v>
      </c>
      <c r="U1911">
        <f>0.006165*F1911^2</f>
        <v>0</v>
      </c>
      <c r="V1911" t="str">
        <v>x</v>
      </c>
      <c r="W1911">
        <f>W1907</f>
        <v>10</v>
      </c>
      <c r="X1911" t="str">
        <v>x</v>
      </c>
      <c r="Y1911">
        <f>D1895</f>
        <v>3</v>
      </c>
      <c r="Z1911" t="str">
        <v>=</v>
      </c>
      <c r="AA1911">
        <f>N1911*U1911*W1911*Y1911</f>
        <v>0</v>
      </c>
    </row>
    <row r="1915">
      <c r="A1915" t="str">
        <f>A1885</f>
        <v>Lantai 1</v>
      </c>
      <c r="B1915">
        <f>B1885+1</f>
        <v>62</v>
      </c>
      <c r="C1915" t="str">
        <f>CONCATENATE(A1915," no. ",B1915)</f>
        <v>Lantai 1 no. 62</v>
      </c>
      <c r="D1915" t="str">
        <f>VLOOKUP(C1915,'Data Panjang Balok'!$C$9:$N$254,2,FALSE)</f>
        <v>S25-1</v>
      </c>
    </row>
    <row r="1916">
      <c r="C1916" t="str">
        <v>Dimensi</v>
      </c>
      <c r="D1916">
        <f>VLOOKUP(D1915,'Detail Balok'!$C$10:$AU$140,2,FALSE)</f>
        <v>200</v>
      </c>
      <c r="F1916" t="str">
        <v>x</v>
      </c>
      <c r="G1916">
        <f>VLOOKUP(D1915,'Detail Balok'!$C$10:$AU$140,3,FALSE)</f>
        <v>500</v>
      </c>
    </row>
    <row r="1917">
      <c r="C1917" t="str">
        <v>Panjang as ke as</v>
      </c>
      <c r="D1917">
        <f>VLOOKUP(C1915,'Data Panjang Balok'!$C$9:$N$254,4,FALSE)</f>
        <v>4300</v>
      </c>
    </row>
    <row r="1918">
      <c r="C1918" t="str">
        <v>Panjang netto</v>
      </c>
      <c r="D1918">
        <f>VLOOKUP(C1915,'Data Panjang Balok'!$C$9:$N$254,7,FALSE)</f>
        <v>4300</v>
      </c>
    </row>
    <row r="1919">
      <c r="C1919" t="str">
        <v>Kolom / balok kiri</v>
      </c>
      <c r="D1919">
        <f>VLOOKUP(C1915,'Data Panjang Balok'!$C$9:$N$254,9,FALSE)</f>
        <v>0</v>
      </c>
    </row>
    <row r="1920">
      <c r="C1920" t="str">
        <v>Kolom / balok kanan</v>
      </c>
      <c r="D1920">
        <f>VLOOKUP(C1915,'Data Panjang Balok'!$C$9:$N$254,10,FALSE)</f>
        <v>0</v>
      </c>
    </row>
    <row r="1921">
      <c r="C1921" t="str">
        <v>Jumlah</v>
      </c>
      <c r="D1921">
        <f>VLOOKUP(C1915,'Data Panjang Balok'!$C$9:$N$254,3,FALSE)</f>
        <v>1</v>
      </c>
    </row>
    <row r="1922">
      <c r="A1922" t="str">
        <f>A1915</f>
        <v>Lantai 1</v>
      </c>
      <c r="B1922">
        <f>B1915</f>
        <v>62</v>
      </c>
      <c r="C1922" t="str">
        <v>Tul Atas Tumpuan</v>
      </c>
      <c r="D1922">
        <f>VLOOKUP(D1915,'Detail Balok'!$C$10:$AU$140,4,FALSE)</f>
        <v>3</v>
      </c>
      <c r="E1922" t="str">
        <v>D</v>
      </c>
      <c r="F1922">
        <f>VLOOKUP(D1915,'Detail Balok'!$C$10:$AU$140,6,FALSE)</f>
        <v>16</v>
      </c>
      <c r="I1922" t="str">
        <v>(</v>
      </c>
      <c r="J1922">
        <f>+D1917/4/1000</f>
        <v>1.075</v>
      </c>
      <c r="K1922" t="str">
        <v>+</v>
      </c>
      <c r="L1922">
        <f>MAX(VLOOKUP(F1922,N$6:P$15,3,FALSE)/1000,2/3*D1919/1000)+F$16*F1922/1000</f>
        <v>0.192</v>
      </c>
      <c r="M1922" t="str">
        <v>=</v>
      </c>
      <c r="N1922">
        <f>J1922+L1922</f>
        <v>1.267</v>
      </c>
      <c r="O1922" t="str">
        <v>+</v>
      </c>
      <c r="P1922">
        <f>D1922-D1923</f>
        <v>0</v>
      </c>
      <c r="Q1922" t="str">
        <v>x</v>
      </c>
      <c r="R1922">
        <f>IF(P1922&gt;0,$F$18*F1922/1000,0)</f>
        <v>0</v>
      </c>
      <c r="S1922" t="str">
        <v>)</v>
      </c>
      <c r="T1922" t="str">
        <v>x</v>
      </c>
      <c r="U1922">
        <f>0.006165*F1922^2</f>
        <v>1.57824</v>
      </c>
      <c r="X1922" t="str">
        <v>x</v>
      </c>
      <c r="Y1922">
        <f>D1921</f>
        <v>1</v>
      </c>
      <c r="Z1922" t="str">
        <v>=</v>
      </c>
      <c r="AA1922">
        <f>IF(AA1925=0,(D1922*N1922+P1922*R1922)*U1922*Y1922,0)</f>
        <v>0</v>
      </c>
    </row>
    <row r="1923">
      <c r="A1923" t="str">
        <f>A1915</f>
        <v>Lantai 1</v>
      </c>
      <c r="B1923">
        <f>B1915</f>
        <v>62</v>
      </c>
      <c r="C1923" t="str">
        <v>Tul Atas Lapangan</v>
      </c>
      <c r="D1923">
        <f>VLOOKUP(D1915,'Detail Balok'!$C$10:$AU$140,7,FALSE)</f>
        <v>3</v>
      </c>
      <c r="E1923" t="str">
        <v>D</v>
      </c>
      <c r="F1923">
        <f>VLOOKUP(D1915,'Detail Balok'!$C$10:$AU$140,9,FALSE)</f>
        <v>16</v>
      </c>
      <c r="I1923" t="str">
        <v>(</v>
      </c>
      <c r="J1923">
        <f>+D1917/2/1000</f>
        <v>2.15</v>
      </c>
      <c r="K1923" t="str">
        <v>+</v>
      </c>
      <c r="M1923" t="str">
        <v>=</v>
      </c>
      <c r="N1923">
        <f>J1923+L1923</f>
        <v>2.15</v>
      </c>
      <c r="O1923" t="str">
        <v>+</v>
      </c>
      <c r="P1923">
        <f>MAX(D1923-D1922,D1923-D1924)</f>
        <v>0</v>
      </c>
      <c r="Q1923" t="str">
        <v>x</v>
      </c>
      <c r="R1923">
        <f>IF(P1923&gt;0,2*(1-2*$F$19-1/2)*D1918/1000,0)</f>
        <v>0</v>
      </c>
      <c r="S1923" t="str">
        <v>)</v>
      </c>
      <c r="T1923" t="str">
        <v>x</v>
      </c>
      <c r="U1923">
        <f>0.006165*F1923^2</f>
        <v>1.57824</v>
      </c>
      <c r="X1923" t="str">
        <v>x</v>
      </c>
      <c r="Y1923">
        <f>D1921</f>
        <v>1</v>
      </c>
      <c r="Z1923" t="str">
        <v>=</v>
      </c>
      <c r="AA1923">
        <f>IF(AA1925=0,(D1923*N1923+P1923*R1923)*U1923*Y1923,0)</f>
        <v>0</v>
      </c>
    </row>
    <row r="1924">
      <c r="A1924" t="str">
        <f>A1915</f>
        <v>Lantai 1</v>
      </c>
      <c r="B1924">
        <f>B1915</f>
        <v>62</v>
      </c>
      <c r="C1924" t="str">
        <v>Tul Atas Tumpuan</v>
      </c>
      <c r="D1924">
        <f>VLOOKUP(D1915,'Detail Balok'!$C$10:$AU$140,10,FALSE)</f>
        <v>3</v>
      </c>
      <c r="E1924" t="str">
        <v>D</v>
      </c>
      <c r="F1924">
        <f>VLOOKUP(D1915,'Detail Balok'!$C$10:$AU$140,12,FALSE)</f>
        <v>16</v>
      </c>
      <c r="I1924" t="str">
        <v>(</v>
      </c>
      <c r="J1924">
        <f>+D1917/4/1000</f>
        <v>1.075</v>
      </c>
      <c r="K1924" t="str">
        <v>+</v>
      </c>
      <c r="L1924">
        <f>MAX(VLOOKUP(F1924,N$6:P$15,3,FALSE)/1000,2/3*D1919/1000)+F$16*F1924/1000</f>
        <v>0.192</v>
      </c>
      <c r="M1924" t="str">
        <v>=</v>
      </c>
      <c r="N1924">
        <f>J1924+L1924</f>
        <v>1.267</v>
      </c>
      <c r="O1924" t="str">
        <v>+</v>
      </c>
      <c r="P1924">
        <f>D1924-D1923</f>
        <v>0</v>
      </c>
      <c r="Q1924" t="str">
        <v>x</v>
      </c>
      <c r="R1924">
        <f>IF(P1924&gt;0,$F$18*F1924/1000,0)</f>
        <v>0</v>
      </c>
      <c r="S1924" t="str">
        <v>)</v>
      </c>
      <c r="T1924" t="str">
        <v>x</v>
      </c>
      <c r="U1924">
        <f>0.006165*F1924^2</f>
        <v>1.57824</v>
      </c>
      <c r="X1924" t="str">
        <v>x</v>
      </c>
      <c r="Y1924">
        <f>D1921</f>
        <v>1</v>
      </c>
      <c r="Z1924" t="str">
        <v>=</v>
      </c>
      <c r="AA1924">
        <f>IF(AA1925=0,(D1924*N1924+P1924*R1924)*U1924*Y1924,0)</f>
        <v>0</v>
      </c>
    </row>
    <row r="1925">
      <c r="A1925" t="str">
        <f>A1915</f>
        <v>Lantai 1</v>
      </c>
      <c r="B1925">
        <f>B1915</f>
        <v>62</v>
      </c>
      <c r="D1925">
        <f>IF(AND(D1922=D1923,D1923=D1924,D1922=D1924),D1922,0)</f>
        <v>3</v>
      </c>
      <c r="E1925" t="str">
        <v>D</v>
      </c>
      <c r="F1925">
        <f>IF(AND(F1922=F1923,F1922=F1924,F1923=F1924),F1922,0)</f>
        <v>16</v>
      </c>
      <c r="L1925" t="str">
        <v>Total panjang per balok</v>
      </c>
      <c r="M1925" t="str">
        <v>=</v>
      </c>
      <c r="N1925">
        <f>IF(AND(D1922=D1923,D1922=D1924,D1923=D1924,F1922=F1923,F1922=F1924,F1923=F1924),SUM(N1922:N1924),0)</f>
        <v>4.683999999999999</v>
      </c>
      <c r="O1925" t="str">
        <v>+</v>
      </c>
      <c r="P1925">
        <f>IF(N1925&gt;12,ROUNDDOWN(N1925/12,0),0)</f>
        <v>0</v>
      </c>
      <c r="Q1925" t="str">
        <v>x</v>
      </c>
      <c r="R1925">
        <f>IF(P1925&gt;0,MAX(VLOOKUP(F1925,$D$6:$G$15,3,FALSE),600),0)/1000</f>
        <v>0</v>
      </c>
      <c r="T1925" t="str">
        <v>x</v>
      </c>
      <c r="U1925">
        <f>U1924</f>
        <v>1.57824</v>
      </c>
      <c r="V1925" t="str">
        <v>x</v>
      </c>
      <c r="W1925">
        <f>D1925</f>
        <v>3</v>
      </c>
      <c r="X1925" t="str">
        <v>x</v>
      </c>
      <c r="Y1925">
        <f>Y1924</f>
        <v>1</v>
      </c>
      <c r="Z1925" t="str">
        <v>=</v>
      </c>
      <c r="AA1925">
        <f>(N1925+P1925*R1925/1000)*U1925*W1925*Y1925</f>
        <v>22.177428479999996</v>
      </c>
    </row>
    <row r="1927">
      <c r="A1927" t="str">
        <f>A1915</f>
        <v>Lantai 1</v>
      </c>
      <c r="B1927">
        <f>B1915</f>
        <v>62</v>
      </c>
      <c r="C1927" t="str">
        <v>Tul Peminggang</v>
      </c>
      <c r="D1927">
        <f>VLOOKUP(D1915,'Detail Balok'!$C$10:$AU$140,13,FALSE)</f>
        <v>2</v>
      </c>
      <c r="E1927" t="str">
        <v>D</v>
      </c>
      <c r="F1927">
        <f>VLOOKUP(D1915,'Detail Balok'!$C$10:$AU$140,15,FALSE)</f>
        <v>10</v>
      </c>
      <c r="J1927">
        <f>+D1917/1000</f>
        <v>4.3</v>
      </c>
      <c r="K1927" t="str">
        <v>+</v>
      </c>
      <c r="L1927">
        <f>2*$F$16*F1927/1000</f>
        <v>0.24</v>
      </c>
      <c r="M1927" t="str">
        <v>=</v>
      </c>
      <c r="N1927">
        <f>J1927+L1927</f>
        <v>4.54</v>
      </c>
      <c r="O1927" t="str">
        <v>+</v>
      </c>
      <c r="P1927">
        <f>IF(N1927&gt;12,ROUNDDOWN(N1927/12,0),0)</f>
        <v>0</v>
      </c>
      <c r="Q1927" t="str">
        <v>x</v>
      </c>
      <c r="R1927">
        <f>IF(P1927&gt;0,MAX(VLOOKUP(F1927,$D$6:$G$15,3,FALSE),600),0)/1000</f>
        <v>0</v>
      </c>
      <c r="T1927" t="str">
        <v>x</v>
      </c>
      <c r="U1927">
        <f>0.006165*F1927^2</f>
        <v>0.6165</v>
      </c>
      <c r="V1927" t="str">
        <v>x</v>
      </c>
      <c r="W1927">
        <f>+D1927</f>
        <v>2</v>
      </c>
      <c r="X1927" t="str">
        <v>x</v>
      </c>
      <c r="Y1927">
        <f>D1921</f>
        <v>1</v>
      </c>
      <c r="Z1927" t="str">
        <v>=</v>
      </c>
      <c r="AA1927">
        <f>(N1927+P1927*R1927/1000)*U1927*W1927*Y1927</f>
        <v>5.5978200000000005</v>
      </c>
    </row>
    <row r="1930">
      <c r="A1930" t="str">
        <f>A1915</f>
        <v>Lantai 1</v>
      </c>
      <c r="B1930">
        <f>B1915</f>
        <v>62</v>
      </c>
      <c r="C1930" t="str">
        <v>Tul Bawah Tumpuan</v>
      </c>
      <c r="D1930">
        <f>VLOOKUP(D1915,'Detail Balok'!$C$10:$AU$140,22,FALSE)</f>
        <v>3</v>
      </c>
      <c r="E1930" t="str">
        <v>D</v>
      </c>
      <c r="F1930">
        <f>VLOOKUP(D1915,'Detail Balok'!$C$10:$AU$140,24,FALSE)</f>
        <v>16</v>
      </c>
      <c r="I1930" t="str">
        <v>(</v>
      </c>
      <c r="J1930">
        <f>+J1922</f>
        <v>1.075</v>
      </c>
      <c r="K1930" t="str">
        <v>+</v>
      </c>
      <c r="L1930">
        <f>MAX(VLOOKUP(F1930,N$6:P$15,3,FALSE)/1000,2/3*D1920/1000)+F$16*F1930/1000</f>
        <v>0.192</v>
      </c>
      <c r="M1930" t="str">
        <v>=</v>
      </c>
      <c r="N1930">
        <f>J1930+L1930</f>
        <v>1.267</v>
      </c>
      <c r="O1930" t="str">
        <v>+</v>
      </c>
      <c r="P1930">
        <f>D1930-D1931</f>
        <v>0</v>
      </c>
      <c r="Q1930" t="str">
        <v>x</v>
      </c>
      <c r="R1930">
        <f>IF(P1930&gt;0,$F$18*F1930/1000,0)</f>
        <v>0</v>
      </c>
      <c r="S1930" t="str">
        <v>)</v>
      </c>
      <c r="T1930" t="str">
        <v>x</v>
      </c>
      <c r="U1930">
        <f>0.006165*F1930^2</f>
        <v>1.57824</v>
      </c>
      <c r="X1930" t="str">
        <v>x</v>
      </c>
      <c r="Y1930">
        <f>D1921</f>
        <v>1</v>
      </c>
      <c r="Z1930" t="str">
        <v>=</v>
      </c>
      <c r="AA1930">
        <f>IF(AA1933=0,(D1930*N1930+P1930*R1930)*U1930*Y1930,0)</f>
        <v>0</v>
      </c>
    </row>
    <row r="1931">
      <c r="A1931" t="str">
        <f>A1915</f>
        <v>Lantai 1</v>
      </c>
      <c r="B1931">
        <f>B1915</f>
        <v>62</v>
      </c>
      <c r="C1931" t="str">
        <v>Tul Bawah Lapangan</v>
      </c>
      <c r="D1931">
        <f>VLOOKUP(D1915,'Detail Balok'!$C$10:$AU$140,25,FALSE)</f>
        <v>3</v>
      </c>
      <c r="E1931" t="str">
        <v>D</v>
      </c>
      <c r="F1931">
        <f>VLOOKUP(D1915,'Detail Balok'!$C$10:$AU$140,27,FALSE)</f>
        <v>16</v>
      </c>
      <c r="I1931" t="str">
        <v>(</v>
      </c>
      <c r="J1931">
        <f>+J1923</f>
        <v>2.15</v>
      </c>
      <c r="K1931" t="str">
        <v>+</v>
      </c>
      <c r="M1931" t="str">
        <v>=</v>
      </c>
      <c r="N1931">
        <f>J1931+L1931</f>
        <v>2.15</v>
      </c>
      <c r="O1931" t="str">
        <v>+</v>
      </c>
      <c r="P1931">
        <f>MAX(D1931-D1930,D1931-D1932)</f>
        <v>0</v>
      </c>
      <c r="Q1931" t="str">
        <v>x</v>
      </c>
      <c r="R1931">
        <f>IF(P1931&gt;0,2*(1-2*$F$19-1/2)*D1918/1000,0)</f>
        <v>0</v>
      </c>
      <c r="S1931" t="str">
        <v>)</v>
      </c>
      <c r="T1931" t="str">
        <v>x</v>
      </c>
      <c r="U1931">
        <f>0.006165*F1931^2</f>
        <v>1.57824</v>
      </c>
      <c r="X1931" t="str">
        <v>x</v>
      </c>
      <c r="Y1931">
        <f>D1921</f>
        <v>1</v>
      </c>
      <c r="Z1931" t="str">
        <v>=</v>
      </c>
      <c r="AA1931">
        <f>IF(AA1933=0,(D1931*N1931+P1931*R1931)*U1931*Y1931,0)</f>
        <v>0</v>
      </c>
    </row>
    <row r="1932">
      <c r="A1932" t="str">
        <f>A1915</f>
        <v>Lantai 1</v>
      </c>
      <c r="B1932">
        <f>B1915</f>
        <v>62</v>
      </c>
      <c r="C1932" t="str">
        <v>Tul Bawah Tumpuan</v>
      </c>
      <c r="D1932">
        <f>VLOOKUP(D1915,'Detail Balok'!$C$10:$AU$140,28,FALSE)</f>
        <v>3</v>
      </c>
      <c r="E1932" t="str">
        <v>D</v>
      </c>
      <c r="F1932">
        <f>VLOOKUP(D1915,'Detail Balok'!$C$10:$AU$140,30,FALSE)</f>
        <v>16</v>
      </c>
      <c r="I1932" t="str">
        <v>(</v>
      </c>
      <c r="J1932">
        <f>+J1924</f>
        <v>1.075</v>
      </c>
      <c r="K1932" t="str">
        <v>+</v>
      </c>
      <c r="L1932">
        <f>MAX(VLOOKUP(F1932,N$6:P$15,3,FALSE)/1000,2/3*D1920/1000)+F$16*F1932/1000</f>
        <v>0.192</v>
      </c>
      <c r="M1932" t="str">
        <v>=</v>
      </c>
      <c r="N1932">
        <f>J1932+L1932</f>
        <v>1.267</v>
      </c>
      <c r="O1932" t="str">
        <v>+</v>
      </c>
      <c r="P1932">
        <f>D1932-D1931</f>
        <v>0</v>
      </c>
      <c r="Q1932" t="str">
        <v>x</v>
      </c>
      <c r="R1932">
        <f>IF(P1932&gt;0,$F$18*F1932/1000,0)</f>
        <v>0</v>
      </c>
      <c r="S1932" t="str">
        <v>)</v>
      </c>
      <c r="T1932" t="str">
        <v>x</v>
      </c>
      <c r="U1932">
        <f>0.006165*F1932^2</f>
        <v>1.57824</v>
      </c>
      <c r="X1932" t="str">
        <v>x</v>
      </c>
      <c r="Y1932">
        <f>D1921</f>
        <v>1</v>
      </c>
      <c r="Z1932" t="str">
        <v>=</v>
      </c>
      <c r="AA1932">
        <f>IF(AA1933=0,(D1932*N1932+P1932*R1932)*U1932*Y1932,0)</f>
        <v>0</v>
      </c>
    </row>
    <row r="1933">
      <c r="A1933" t="str">
        <f>A1915</f>
        <v>Lantai 1</v>
      </c>
      <c r="B1933">
        <f>B1915</f>
        <v>62</v>
      </c>
      <c r="D1933">
        <f>IF(AND(D1930=D1931,D1931=D1932,D1930=D1932),D1930,0)</f>
        <v>3</v>
      </c>
      <c r="E1933" t="str">
        <v>D</v>
      </c>
      <c r="F1933">
        <f>IF(AND(F1930=F1931,F1930=F1932,F1931=F1932),F1930,0)</f>
        <v>16</v>
      </c>
      <c r="L1933" t="str">
        <v>Total panjang per balok</v>
      </c>
      <c r="M1933" t="str">
        <v>=</v>
      </c>
      <c r="N1933">
        <f>IF(AND(D1930=D1931,D1930=D1932,D1931=D1932,F1930=F1931,F1930=F1932,F1931=F1932),SUM(N1930:N1932),0)</f>
        <v>4.683999999999999</v>
      </c>
      <c r="O1933" t="str">
        <v>+</v>
      </c>
      <c r="P1933">
        <f>IF(N1933&gt;12,ROUNDDOWN(N1933/12,0),0)</f>
        <v>0</v>
      </c>
      <c r="Q1933" t="str">
        <v>x</v>
      </c>
      <c r="R1933">
        <f>IF(P1933&gt;0,MAX(VLOOKUP(F1933,$D$6:$G$15,3,FALSE),600),0)/1000</f>
        <v>0</v>
      </c>
      <c r="T1933" t="str">
        <v>x</v>
      </c>
      <c r="U1933">
        <f>U1932</f>
        <v>1.57824</v>
      </c>
      <c r="V1933" t="str">
        <v>x</v>
      </c>
      <c r="W1933">
        <f>D1933</f>
        <v>3</v>
      </c>
      <c r="X1933" t="str">
        <v>x</v>
      </c>
      <c r="Y1933">
        <f>Y1932</f>
        <v>1</v>
      </c>
      <c r="Z1933" t="str">
        <v>=</v>
      </c>
      <c r="AA1933">
        <f>(N1933+P1933*R1933/1000)*U1933*W1933*Y1933</f>
        <v>22.177428479999996</v>
      </c>
    </row>
    <row r="1935">
      <c r="A1935" t="str">
        <f>A1915</f>
        <v>Lantai 1</v>
      </c>
      <c r="B1935">
        <f>B1915</f>
        <v>62</v>
      </c>
      <c r="C1935" t="str">
        <v>Sengkang Tumpuan</v>
      </c>
      <c r="D1935">
        <f>VLOOKUP(D1915,'Detail Balok'!$C$10:$AU$140,31,FALSE)</f>
        <v>0</v>
      </c>
      <c r="E1935" t="str">
        <v>D</v>
      </c>
      <c r="F1935">
        <f>VLOOKUP(D1915,'Detail Balok'!$C$10:$AU$140,33,FALSE)</f>
        <v>8</v>
      </c>
      <c r="G1935" t="str">
        <v>-</v>
      </c>
      <c r="H1935">
        <f>VLOOKUP(D1915,'Detail Balok'!$C$10:$AU$140,35,FALSE)</f>
        <v>150</v>
      </c>
      <c r="J1935">
        <f>(IF(D1935=0,(2*(D1916+G1916))-(F$5*8),IF(D1935=3,(2*(D1916+G1916))-(F$5*8)+(G1916-2*F$5),IF(D1935=4,(2*(D1916+G1916))-(F$5*8)+2*(G1916-2*F$5)))))/1000</f>
        <v>1.08</v>
      </c>
      <c r="K1935" t="str">
        <v>+</v>
      </c>
      <c r="L1935">
        <f>IF(D1935=0,2*MAX(6*F1935,75),(D1935-1)*2*MAX(6*F1935,75))/1000</f>
        <v>0.15</v>
      </c>
      <c r="M1935" t="str">
        <v>=</v>
      </c>
      <c r="N1935">
        <f>J1935+L1935</f>
        <v>1.23</v>
      </c>
      <c r="T1935" t="str">
        <v>x</v>
      </c>
      <c r="U1935">
        <f>0.006165*F1935^2</f>
        <v>0.39456</v>
      </c>
      <c r="V1935" t="str">
        <v>x</v>
      </c>
      <c r="W1935">
        <f>IF(D1918&gt;4*G1916,ROUND(MAX(D1918/4,2*G1916)/H1935,0)+1,ROUND(D1918/H1935,0)+1)</f>
        <v>8</v>
      </c>
      <c r="X1935" t="str">
        <v>x</v>
      </c>
      <c r="Y1935">
        <f>D1921</f>
        <v>1</v>
      </c>
      <c r="Z1935" t="str">
        <v>=</v>
      </c>
      <c r="AA1935">
        <f>N1935*U1935*W1935*Y1935</f>
        <v>3.8824704000000003</v>
      </c>
    </row>
    <row r="1936">
      <c r="A1936" t="str">
        <f>A1915</f>
        <v>Lantai 1</v>
      </c>
      <c r="B1936">
        <f>B1915</f>
        <v>62</v>
      </c>
      <c r="C1936" t="str">
        <v>Sengkang Lapangan</v>
      </c>
      <c r="D1936">
        <f>VLOOKUP(D1915,'Detail Balok'!$C$10:$AU$140,36,FALSE)</f>
        <v>0</v>
      </c>
      <c r="E1936" t="str">
        <v>D</v>
      </c>
      <c r="F1936">
        <f>VLOOKUP(D1915,'Detail Balok'!$C$10:$AU$140,38,FALSE)</f>
        <v>8</v>
      </c>
      <c r="G1936" t="str">
        <v>-</v>
      </c>
      <c r="H1936">
        <f>VLOOKUP(D1915,'Detail Balok'!$C$10:$AU$140,40,FALSE)</f>
        <v>200</v>
      </c>
      <c r="J1936">
        <f>(IF(D1936=0,(2*(D1916+G1916))-(F$5*8),IF(D1936=3,(2*(D1916+G1916))-(F$5*8)+(G1916-2*F$5),IF(D1936=4,(2*(D1916+G1916))-(F$5*8)+2*(G1916-2*F$5)))))/1000</f>
        <v>1.08</v>
      </c>
      <c r="K1936" t="str">
        <v>+</v>
      </c>
      <c r="L1936">
        <f>IF(D1936=0,2*MAX(6*F1936,75),(D1936-1)*2*MAX(6*F1936,75))/1000</f>
        <v>0.15</v>
      </c>
      <c r="M1936" t="str">
        <v>=</v>
      </c>
      <c r="N1936">
        <f>J1936+L1936</f>
        <v>1.23</v>
      </c>
      <c r="T1936" t="str">
        <v>x</v>
      </c>
      <c r="U1936">
        <f>0.006165*F1936^2</f>
        <v>0.39456</v>
      </c>
      <c r="V1936" t="str">
        <v>x</v>
      </c>
      <c r="W1936">
        <f>IF(D1918-MAX(D1918/4,2*G1916)*2&gt;0,ROUND((D1918-MAX(D1918/4,2*G1916)*2)/H1936,0),0)</f>
        <v>11</v>
      </c>
      <c r="X1936" t="str">
        <v>x</v>
      </c>
      <c r="Y1936">
        <f>D1921</f>
        <v>1</v>
      </c>
      <c r="Z1936" t="str">
        <v>=</v>
      </c>
      <c r="AA1936">
        <f>N1936*U1936*W1936*Y1936</f>
        <v>5.338396800000001</v>
      </c>
    </row>
    <row r="1937">
      <c r="A1937" t="str">
        <f>A1915</f>
        <v>Lantai 1</v>
      </c>
      <c r="B1937">
        <f>B1915</f>
        <v>62</v>
      </c>
      <c r="C1937" t="str">
        <v>Sengkang Tumpuan</v>
      </c>
      <c r="D1937">
        <f>VLOOKUP(D1915,'Detail Balok'!$C$10:$AU$140,41,FALSE)</f>
        <v>0</v>
      </c>
      <c r="E1937" t="str">
        <v>D</v>
      </c>
      <c r="F1937">
        <f>VLOOKUP(D1915,'Detail Balok'!$C$10:$AU$140,43,FALSE)</f>
        <v>8</v>
      </c>
      <c r="G1937" t="str">
        <v>-</v>
      </c>
      <c r="H1937">
        <f>VLOOKUP(D1915,'Detail Balok'!$C$10:$AU$140,45,FALSE)</f>
        <v>150</v>
      </c>
      <c r="J1937">
        <f>(IF(D1937=0,(2*(D1916+G1916))-(F$5*8),IF(D1937=3,(2*(D1916+G1916))-(F$5*8)+(G1916-2*F$5),IF(D1937=4,(2*(D1916+G1916))-(F$5*8)+2*(G1916-2*F$5)))))/1000</f>
        <v>1.08</v>
      </c>
      <c r="K1937" t="str">
        <v>+</v>
      </c>
      <c r="L1937">
        <f>IF(D1937=0,2*MAX(6*F1937,75),(D1937-1)*2*MAX(6*F1937,75))/1000</f>
        <v>0.15</v>
      </c>
      <c r="M1937" t="str">
        <v>=</v>
      </c>
      <c r="N1937">
        <f>J1937+L1937</f>
        <v>1.23</v>
      </c>
      <c r="T1937" t="str">
        <v>x</v>
      </c>
      <c r="U1937">
        <f>0.006165*F1937^2</f>
        <v>0.39456</v>
      </c>
      <c r="V1937" t="str">
        <v>x</v>
      </c>
      <c r="W1937">
        <f>IF(D1918&gt;4*G1916,ROUND(MAX(D1918/4,2*G1916)/H1937,0)+1,0)</f>
        <v>8</v>
      </c>
      <c r="X1937" t="str">
        <v>x</v>
      </c>
      <c r="Y1937">
        <f>D1921</f>
        <v>1</v>
      </c>
      <c r="Z1937" t="str">
        <v>=</v>
      </c>
      <c r="AA1937">
        <f>N1937*U1937*W1937*Y1937</f>
        <v>3.8824704000000003</v>
      </c>
    </row>
    <row r="1939">
      <c r="A1939" t="str">
        <f>A1915</f>
        <v>Lantai 1</v>
      </c>
      <c r="B1939">
        <f>B1915</f>
        <v>62</v>
      </c>
      <c r="C1939" t="str">
        <v>Kait Horizontal Tump.</v>
      </c>
      <c r="D1939">
        <f>VLOOKUP(D1915,'Detail Balok'!$C$10:$BJ$140,46,FALSE)</f>
        <v>0</v>
      </c>
      <c r="E1939" t="str">
        <v>D</v>
      </c>
      <c r="F1939">
        <f>VLOOKUP(D1915,'Detail Balok'!$C$10:$BJ$140,48,FALSE)</f>
        <v>0</v>
      </c>
      <c r="G1939" t="str">
        <v>-</v>
      </c>
      <c r="H1939">
        <f>VLOOKUP(D1915,'Detail Balok'!$C$10:$BJ$140,50,FALSE)</f>
        <v>100</v>
      </c>
      <c r="J1939">
        <f>(D1916-2*F$5)/1000</f>
        <v>0.12</v>
      </c>
      <c r="K1939" t="str">
        <v>+</v>
      </c>
      <c r="L1939">
        <f>IF(D1939=0,2*MAX(6*F1939,75),(D1939-1)*2*MAX(6*F1939,75))/1000</f>
        <v>0.15</v>
      </c>
      <c r="M1939" t="str">
        <v>=</v>
      </c>
      <c r="N1939">
        <f>J1939+L1939</f>
        <v>0.27</v>
      </c>
      <c r="T1939" t="str">
        <v>x</v>
      </c>
      <c r="U1939">
        <f>0.006165*F1939^2</f>
        <v>0</v>
      </c>
      <c r="V1939" t="str">
        <v>x</v>
      </c>
      <c r="W1939">
        <f>W1935</f>
        <v>8</v>
      </c>
      <c r="X1939" t="str">
        <v>x</v>
      </c>
      <c r="Y1939">
        <f>D1925</f>
        <v>3</v>
      </c>
      <c r="Z1939" t="str">
        <v>=</v>
      </c>
      <c r="AA1939">
        <f>N1939*U1939*W1939*Y1939</f>
        <v>0</v>
      </c>
    </row>
    <row r="1940">
      <c r="A1940" t="str">
        <f>A1915</f>
        <v>Lantai 1</v>
      </c>
      <c r="B1940">
        <f>B1915</f>
        <v>62</v>
      </c>
      <c r="C1940" t="str">
        <v>Kait Horizontal Lap.</v>
      </c>
      <c r="D1940">
        <f>VLOOKUP(D1915,'Detail Balok'!$C$10:$BJ$140,51,FALSE)</f>
        <v>0</v>
      </c>
      <c r="E1940" t="str">
        <v>D</v>
      </c>
      <c r="F1940">
        <f>VLOOKUP(D1915,'Detail Balok'!$C$10:$BJ$140,53,FALSE)</f>
        <v>0</v>
      </c>
      <c r="G1940" t="str">
        <v>-</v>
      </c>
      <c r="H1940">
        <f>VLOOKUP(D1915,'Detail Balok'!$C$10:$BJ$140,55,FALSE)</f>
        <v>100</v>
      </c>
      <c r="J1940">
        <f>(D1916-2*F$5)/1000</f>
        <v>0.12</v>
      </c>
      <c r="K1940" t="str">
        <v>+</v>
      </c>
      <c r="L1940">
        <f>IF(D1940=0,2*MAX(6*F1940,75),(D1940-1)*2*MAX(6*F1940,75))/1000</f>
        <v>0.15</v>
      </c>
      <c r="M1940" t="str">
        <v>=</v>
      </c>
      <c r="N1940">
        <f>J1940+L1940</f>
        <v>0.27</v>
      </c>
      <c r="T1940" t="str">
        <v>x</v>
      </c>
      <c r="U1940">
        <f>0.006165*F1940^2</f>
        <v>0</v>
      </c>
      <c r="V1940" t="str">
        <v>x</v>
      </c>
      <c r="W1940">
        <f>W1936</f>
        <v>11</v>
      </c>
      <c r="X1940" t="str">
        <v>x</v>
      </c>
      <c r="Y1940">
        <f>D1925</f>
        <v>3</v>
      </c>
      <c r="Z1940" t="str">
        <v>=</v>
      </c>
      <c r="AA1940">
        <f>N1940*U1940*W1940*Y1940</f>
        <v>0</v>
      </c>
    </row>
    <row r="1941">
      <c r="A1941" t="str">
        <f>A1915</f>
        <v>Lantai 1</v>
      </c>
      <c r="B1941">
        <f>B1915</f>
        <v>62</v>
      </c>
      <c r="C1941" t="str">
        <v>Kait Horizontal Tump.</v>
      </c>
      <c r="D1941">
        <f>VLOOKUP(D1915,'Detail Balok'!$C$10:$BJ$140,56,FALSE)</f>
        <v>0</v>
      </c>
      <c r="E1941" t="str">
        <v>D</v>
      </c>
      <c r="F1941">
        <f>VLOOKUP(D1915,'Detail Balok'!$C$10:$BJ$140,58,FALSE)</f>
        <v>0</v>
      </c>
      <c r="G1941" t="str">
        <v>-</v>
      </c>
      <c r="H1941">
        <f>VLOOKUP(D1915,'Detail Balok'!$C$10:$BJ$140,60,FALSE)</f>
        <v>100</v>
      </c>
      <c r="J1941">
        <f>(D1916-2*F$5)/1000</f>
        <v>0.12</v>
      </c>
      <c r="K1941" t="str">
        <v>+</v>
      </c>
      <c r="L1941">
        <f>IF(D1941=0,2*MAX(6*F1941,75),(D1941-1)*2*MAX(6*F1941,75))/1000</f>
        <v>0.15</v>
      </c>
      <c r="M1941" t="str">
        <v>=</v>
      </c>
      <c r="N1941">
        <f>J1941+L1941</f>
        <v>0.27</v>
      </c>
      <c r="T1941" t="str">
        <v>x</v>
      </c>
      <c r="U1941">
        <f>0.006165*F1941^2</f>
        <v>0</v>
      </c>
      <c r="V1941" t="str">
        <v>x</v>
      </c>
      <c r="W1941">
        <f>W1937</f>
        <v>8</v>
      </c>
      <c r="X1941" t="str">
        <v>x</v>
      </c>
      <c r="Y1941">
        <f>D1925</f>
        <v>3</v>
      </c>
      <c r="Z1941" t="str">
        <v>=</v>
      </c>
      <c r="AA1941">
        <f>N1941*U1941*W1941*Y1941</f>
        <v>0</v>
      </c>
    </row>
    <row r="1945">
      <c r="A1945" t="str">
        <f>A1915</f>
        <v>Lantai 1</v>
      </c>
      <c r="B1945">
        <f>B1915+1</f>
        <v>63</v>
      </c>
      <c r="C1945" t="str">
        <f>CONCATENATE(A1945," no. ",B1945)</f>
        <v>Lantai 1 no. 63</v>
      </c>
      <c r="D1945" t="str">
        <f>VLOOKUP(C1945,'Data Panjang Balok'!$C$9:$N$254,2,FALSE)</f>
        <v>S24-1</v>
      </c>
    </row>
    <row r="1946">
      <c r="C1946" t="str">
        <v>Dimensi</v>
      </c>
      <c r="D1946">
        <f>VLOOKUP(D1945,'Detail Balok'!$C$10:$AU$140,2,FALSE)</f>
        <v>200</v>
      </c>
      <c r="F1946" t="str">
        <v>x</v>
      </c>
      <c r="G1946">
        <f>VLOOKUP(D1945,'Detail Balok'!$C$10:$AU$140,3,FALSE)</f>
        <v>400</v>
      </c>
    </row>
    <row r="1947">
      <c r="C1947" t="str">
        <v>Panjang as ke as</v>
      </c>
      <c r="D1947">
        <f>VLOOKUP(C1945,'Data Panjang Balok'!$C$9:$N$254,4,FALSE)</f>
        <v>2100</v>
      </c>
    </row>
    <row r="1948">
      <c r="C1948" t="str">
        <v>Panjang netto</v>
      </c>
      <c r="D1948">
        <f>VLOOKUP(C1945,'Data Panjang Balok'!$C$9:$N$254,7,FALSE)</f>
        <v>2100</v>
      </c>
    </row>
    <row r="1949">
      <c r="C1949" t="str">
        <v>Kolom / balok kiri</v>
      </c>
      <c r="D1949">
        <f>VLOOKUP(C1945,'Data Panjang Balok'!$C$9:$N$254,9,FALSE)</f>
        <v>0</v>
      </c>
    </row>
    <row r="1950">
      <c r="C1950" t="str">
        <v>Kolom / balok kanan</v>
      </c>
      <c r="D1950">
        <f>VLOOKUP(C1945,'Data Panjang Balok'!$C$9:$N$254,10,FALSE)</f>
        <v>0</v>
      </c>
    </row>
    <row r="1951">
      <c r="C1951" t="str">
        <v>Jumlah</v>
      </c>
      <c r="D1951">
        <f>VLOOKUP(C1945,'Data Panjang Balok'!$C$9:$N$254,3,FALSE)</f>
        <v>1</v>
      </c>
    </row>
    <row r="1952">
      <c r="A1952" t="str">
        <f>A1945</f>
        <v>Lantai 1</v>
      </c>
      <c r="B1952">
        <f>B1945</f>
        <v>63</v>
      </c>
      <c r="C1952" t="str">
        <v>Tul Atas Tumpuan</v>
      </c>
      <c r="D1952">
        <f>VLOOKUP(D1945,'Detail Balok'!$C$10:$AU$140,4,FALSE)</f>
        <v>3</v>
      </c>
      <c r="E1952" t="str">
        <v>D</v>
      </c>
      <c r="F1952">
        <f>VLOOKUP(D1945,'Detail Balok'!$C$10:$AU$140,6,FALSE)</f>
        <v>13</v>
      </c>
      <c r="I1952" t="str">
        <v>(</v>
      </c>
      <c r="J1952">
        <f>+D1947/4/1000</f>
        <v>0.525</v>
      </c>
      <c r="K1952" t="str">
        <v>+</v>
      </c>
      <c r="L1952">
        <f>MAX(VLOOKUP(F1952,N$6:P$15,3,FALSE)/1000,2/3*D1949/1000)+F$16*F1952/1000</f>
        <v>0.156</v>
      </c>
      <c r="M1952" t="str">
        <v>=</v>
      </c>
      <c r="N1952">
        <f>J1952+L1952</f>
        <v>0.681</v>
      </c>
      <c r="O1952" t="str">
        <v>+</v>
      </c>
      <c r="P1952">
        <f>D1952-D1953</f>
        <v>0</v>
      </c>
      <c r="Q1952" t="str">
        <v>x</v>
      </c>
      <c r="R1952">
        <f>IF(P1952&gt;0,$F$18*F1952/1000,0)</f>
        <v>0</v>
      </c>
      <c r="S1952" t="str">
        <v>)</v>
      </c>
      <c r="T1952" t="str">
        <v>x</v>
      </c>
      <c r="U1952">
        <f>0.006165*F1952^2</f>
        <v>1.041885</v>
      </c>
      <c r="X1952" t="str">
        <v>x</v>
      </c>
      <c r="Y1952">
        <f>D1951</f>
        <v>1</v>
      </c>
      <c r="Z1952" t="str">
        <v>=</v>
      </c>
      <c r="AA1952">
        <f>IF(AA1955=0,(D1952*N1952+P1952*R1952)*U1952*Y1952,0)</f>
        <v>0</v>
      </c>
    </row>
    <row r="1953">
      <c r="A1953" t="str">
        <f>A1945</f>
        <v>Lantai 1</v>
      </c>
      <c r="B1953">
        <f>B1945</f>
        <v>63</v>
      </c>
      <c r="C1953" t="str">
        <v>Tul Atas Lapangan</v>
      </c>
      <c r="D1953">
        <f>VLOOKUP(D1945,'Detail Balok'!$C$10:$AU$140,7,FALSE)</f>
        <v>3</v>
      </c>
      <c r="E1953" t="str">
        <v>D</v>
      </c>
      <c r="F1953">
        <f>VLOOKUP(D1945,'Detail Balok'!$C$10:$AU$140,9,FALSE)</f>
        <v>13</v>
      </c>
      <c r="I1953" t="str">
        <v>(</v>
      </c>
      <c r="J1953">
        <f>+D1947/2/1000</f>
        <v>1.05</v>
      </c>
      <c r="K1953" t="str">
        <v>+</v>
      </c>
      <c r="M1953" t="str">
        <v>=</v>
      </c>
      <c r="N1953">
        <f>J1953+L1953</f>
        <v>1.05</v>
      </c>
      <c r="O1953" t="str">
        <v>+</v>
      </c>
      <c r="P1953">
        <f>MAX(D1953-D1952,D1953-D1954)</f>
        <v>0</v>
      </c>
      <c r="Q1953" t="str">
        <v>x</v>
      </c>
      <c r="R1953">
        <f>IF(P1953&gt;0,2*(1-2*$F$19-1/2)*D1948/1000,0)</f>
        <v>0</v>
      </c>
      <c r="S1953" t="str">
        <v>)</v>
      </c>
      <c r="T1953" t="str">
        <v>x</v>
      </c>
      <c r="U1953">
        <f>0.006165*F1953^2</f>
        <v>1.041885</v>
      </c>
      <c r="X1953" t="str">
        <v>x</v>
      </c>
      <c r="Y1953">
        <f>D1951</f>
        <v>1</v>
      </c>
      <c r="Z1953" t="str">
        <v>=</v>
      </c>
      <c r="AA1953">
        <f>IF(AA1955=0,(D1953*N1953+P1953*R1953)*U1953*Y1953,0)</f>
        <v>0</v>
      </c>
    </row>
    <row r="1954">
      <c r="A1954" t="str">
        <f>A1945</f>
        <v>Lantai 1</v>
      </c>
      <c r="B1954">
        <f>B1945</f>
        <v>63</v>
      </c>
      <c r="C1954" t="str">
        <v>Tul Atas Tumpuan</v>
      </c>
      <c r="D1954">
        <f>VLOOKUP(D1945,'Detail Balok'!$C$10:$AU$140,10,FALSE)</f>
        <v>3</v>
      </c>
      <c r="E1954" t="str">
        <v>D</v>
      </c>
      <c r="F1954">
        <f>VLOOKUP(D1945,'Detail Balok'!$C$10:$AU$140,12,FALSE)</f>
        <v>13</v>
      </c>
      <c r="I1954" t="str">
        <v>(</v>
      </c>
      <c r="J1954">
        <f>+D1947/4/1000</f>
        <v>0.525</v>
      </c>
      <c r="K1954" t="str">
        <v>+</v>
      </c>
      <c r="L1954">
        <f>MAX(VLOOKUP(F1954,N$6:P$15,3,FALSE)/1000,2/3*D1949/1000)+F$16*F1954/1000</f>
        <v>0.156</v>
      </c>
      <c r="M1954" t="str">
        <v>=</v>
      </c>
      <c r="N1954">
        <f>J1954+L1954</f>
        <v>0.681</v>
      </c>
      <c r="O1954" t="str">
        <v>+</v>
      </c>
      <c r="P1954">
        <f>D1954-D1953</f>
        <v>0</v>
      </c>
      <c r="Q1954" t="str">
        <v>x</v>
      </c>
      <c r="R1954">
        <f>IF(P1954&gt;0,$F$18*F1954/1000,0)</f>
        <v>0</v>
      </c>
      <c r="S1954" t="str">
        <v>)</v>
      </c>
      <c r="T1954" t="str">
        <v>x</v>
      </c>
      <c r="U1954">
        <f>0.006165*F1954^2</f>
        <v>1.041885</v>
      </c>
      <c r="X1954" t="str">
        <v>x</v>
      </c>
      <c r="Y1954">
        <f>D1951</f>
        <v>1</v>
      </c>
      <c r="Z1954" t="str">
        <v>=</v>
      </c>
      <c r="AA1954">
        <f>IF(AA1955=0,(D1954*N1954+P1954*R1954)*U1954*Y1954,0)</f>
        <v>0</v>
      </c>
    </row>
    <row r="1955">
      <c r="A1955" t="str">
        <f>A1945</f>
        <v>Lantai 1</v>
      </c>
      <c r="B1955">
        <f>B1945</f>
        <v>63</v>
      </c>
      <c r="D1955">
        <f>IF(AND(D1952=D1953,D1953=D1954,D1952=D1954),D1952,0)</f>
        <v>3</v>
      </c>
      <c r="E1955" t="str">
        <v>D</v>
      </c>
      <c r="F1955">
        <f>IF(AND(F1952=F1953,F1952=F1954,F1953=F1954),F1952,0)</f>
        <v>13</v>
      </c>
      <c r="L1955" t="str">
        <v>Total panjang per balok</v>
      </c>
      <c r="M1955" t="str">
        <v>=</v>
      </c>
      <c r="N1955">
        <f>IF(AND(D1952=D1953,D1952=D1954,D1953=D1954,F1952=F1953,F1952=F1954,F1953=F1954),SUM(N1952:N1954),0)</f>
        <v>2.412</v>
      </c>
      <c r="O1955" t="str">
        <v>+</v>
      </c>
      <c r="P1955">
        <f>IF(N1955&gt;12,ROUNDDOWN(N1955/12,0),0)</f>
        <v>0</v>
      </c>
      <c r="Q1955" t="str">
        <v>x</v>
      </c>
      <c r="R1955">
        <f>IF(P1955&gt;0,MAX(VLOOKUP(F1955,$D$6:$G$15,3,FALSE),600),0)/1000</f>
        <v>0</v>
      </c>
      <c r="T1955" t="str">
        <v>x</v>
      </c>
      <c r="U1955">
        <f>U1954</f>
        <v>1.041885</v>
      </c>
      <c r="V1955" t="str">
        <v>x</v>
      </c>
      <c r="W1955">
        <f>D1955</f>
        <v>3</v>
      </c>
      <c r="X1955" t="str">
        <v>x</v>
      </c>
      <c r="Y1955">
        <f>Y1954</f>
        <v>1</v>
      </c>
      <c r="Z1955" t="str">
        <v>=</v>
      </c>
      <c r="AA1955">
        <f>(N1955+P1955*R1955/1000)*U1955*W1955*Y1955</f>
        <v>7.539079859999999</v>
      </c>
    </row>
    <row r="1957">
      <c r="A1957" t="str">
        <f>A1945</f>
        <v>Lantai 1</v>
      </c>
      <c r="B1957">
        <f>B1945</f>
        <v>63</v>
      </c>
      <c r="C1957" t="str">
        <v>Tul Peminggang</v>
      </c>
      <c r="D1957">
        <f>VLOOKUP(D1945,'Detail Balok'!$C$10:$AU$140,13,FALSE)</f>
        <v>0</v>
      </c>
      <c r="E1957" t="str">
        <v>D</v>
      </c>
      <c r="F1957">
        <f>VLOOKUP(D1945,'Detail Balok'!$C$10:$AU$140,15,FALSE)</f>
        <v>8</v>
      </c>
      <c r="J1957">
        <f>+D1947/1000</f>
        <v>2.1</v>
      </c>
      <c r="K1957" t="str">
        <v>+</v>
      </c>
      <c r="L1957">
        <f>2*$F$16*F1957/1000</f>
        <v>0.192</v>
      </c>
      <c r="M1957" t="str">
        <v>=</v>
      </c>
      <c r="N1957">
        <f>J1957+L1957</f>
        <v>2.2920000000000003</v>
      </c>
      <c r="O1957" t="str">
        <v>+</v>
      </c>
      <c r="P1957">
        <f>IF(N1957&gt;12,ROUNDDOWN(N1957/12,0),0)</f>
        <v>0</v>
      </c>
      <c r="Q1957" t="str">
        <v>x</v>
      </c>
      <c r="R1957">
        <f>IF(P1957&gt;0,MAX(VLOOKUP(F1957,$D$6:$G$15,3,FALSE),600),0)/1000</f>
        <v>0</v>
      </c>
      <c r="T1957" t="str">
        <v>x</v>
      </c>
      <c r="U1957">
        <f>0.006165*F1957^2</f>
        <v>0.39456</v>
      </c>
      <c r="V1957" t="str">
        <v>x</v>
      </c>
      <c r="W1957">
        <f>+D1957</f>
        <v>0</v>
      </c>
      <c r="X1957" t="str">
        <v>x</v>
      </c>
      <c r="Y1957">
        <f>D1951</f>
        <v>1</v>
      </c>
      <c r="Z1957" t="str">
        <v>=</v>
      </c>
      <c r="AA1957">
        <f>(N1957+P1957*R1957/1000)*U1957*W1957*Y1957</f>
        <v>0</v>
      </c>
    </row>
    <row r="1960">
      <c r="A1960" t="str">
        <f>A1945</f>
        <v>Lantai 1</v>
      </c>
      <c r="B1960">
        <f>B1945</f>
        <v>63</v>
      </c>
      <c r="C1960" t="str">
        <v>Tul Bawah Tumpuan</v>
      </c>
      <c r="D1960">
        <f>VLOOKUP(D1945,'Detail Balok'!$C$10:$AU$140,22,FALSE)</f>
        <v>3</v>
      </c>
      <c r="E1960" t="str">
        <v>D</v>
      </c>
      <c r="F1960">
        <f>VLOOKUP(D1945,'Detail Balok'!$C$10:$AU$140,24,FALSE)</f>
        <v>13</v>
      </c>
      <c r="I1960" t="str">
        <v>(</v>
      </c>
      <c r="J1960">
        <f>+J1952</f>
        <v>0.525</v>
      </c>
      <c r="K1960" t="str">
        <v>+</v>
      </c>
      <c r="L1960">
        <f>MAX(VLOOKUP(F1960,N$6:P$15,3,FALSE)/1000,2/3*D1950/1000)+F$16*F1960/1000</f>
        <v>0.156</v>
      </c>
      <c r="M1960" t="str">
        <v>=</v>
      </c>
      <c r="N1960">
        <f>J1960+L1960</f>
        <v>0.681</v>
      </c>
      <c r="O1960" t="str">
        <v>+</v>
      </c>
      <c r="P1960">
        <f>D1960-D1961</f>
        <v>0</v>
      </c>
      <c r="Q1960" t="str">
        <v>x</v>
      </c>
      <c r="R1960">
        <f>IF(P1960&gt;0,$F$18*F1960/1000,0)</f>
        <v>0</v>
      </c>
      <c r="S1960" t="str">
        <v>)</v>
      </c>
      <c r="T1960" t="str">
        <v>x</v>
      </c>
      <c r="U1960">
        <f>0.006165*F1960^2</f>
        <v>1.041885</v>
      </c>
      <c r="X1960" t="str">
        <v>x</v>
      </c>
      <c r="Y1960">
        <f>D1951</f>
        <v>1</v>
      </c>
      <c r="Z1960" t="str">
        <v>=</v>
      </c>
      <c r="AA1960">
        <f>IF(AA1963=0,(D1960*N1960+P1960*R1960)*U1960*Y1960,0)</f>
        <v>0</v>
      </c>
    </row>
    <row r="1961">
      <c r="A1961" t="str">
        <f>A1945</f>
        <v>Lantai 1</v>
      </c>
      <c r="B1961">
        <f>B1945</f>
        <v>63</v>
      </c>
      <c r="C1961" t="str">
        <v>Tul Bawah Lapangan</v>
      </c>
      <c r="D1961">
        <f>VLOOKUP(D1945,'Detail Balok'!$C$10:$AU$140,25,FALSE)</f>
        <v>3</v>
      </c>
      <c r="E1961" t="str">
        <v>D</v>
      </c>
      <c r="F1961">
        <f>VLOOKUP(D1945,'Detail Balok'!$C$10:$AU$140,27,FALSE)</f>
        <v>13</v>
      </c>
      <c r="I1961" t="str">
        <v>(</v>
      </c>
      <c r="J1961">
        <f>+J1953</f>
        <v>1.05</v>
      </c>
      <c r="K1961" t="str">
        <v>+</v>
      </c>
      <c r="M1961" t="str">
        <v>=</v>
      </c>
      <c r="N1961">
        <f>J1961+L1961</f>
        <v>1.05</v>
      </c>
      <c r="O1961" t="str">
        <v>+</v>
      </c>
      <c r="P1961">
        <f>MAX(D1961-D1960,D1961-D1962)</f>
        <v>0</v>
      </c>
      <c r="Q1961" t="str">
        <v>x</v>
      </c>
      <c r="R1961">
        <f>IF(P1961&gt;0,2*(1-2*$F$19-1/2)*D1948/1000,0)</f>
        <v>0</v>
      </c>
      <c r="S1961" t="str">
        <v>)</v>
      </c>
      <c r="T1961" t="str">
        <v>x</v>
      </c>
      <c r="U1961">
        <f>0.006165*F1961^2</f>
        <v>1.041885</v>
      </c>
      <c r="X1961" t="str">
        <v>x</v>
      </c>
      <c r="Y1961">
        <f>D1951</f>
        <v>1</v>
      </c>
      <c r="Z1961" t="str">
        <v>=</v>
      </c>
      <c r="AA1961">
        <f>IF(AA1963=0,(D1961*N1961+P1961*R1961)*U1961*Y1961,0)</f>
        <v>0</v>
      </c>
    </row>
    <row r="1962">
      <c r="A1962" t="str">
        <f>A1945</f>
        <v>Lantai 1</v>
      </c>
      <c r="B1962">
        <f>B1945</f>
        <v>63</v>
      </c>
      <c r="C1962" t="str">
        <v>Tul Bawah Tumpuan</v>
      </c>
      <c r="D1962">
        <f>VLOOKUP(D1945,'Detail Balok'!$C$10:$AU$140,28,FALSE)</f>
        <v>3</v>
      </c>
      <c r="E1962" t="str">
        <v>D</v>
      </c>
      <c r="F1962">
        <f>VLOOKUP(D1945,'Detail Balok'!$C$10:$AU$140,30,FALSE)</f>
        <v>13</v>
      </c>
      <c r="I1962" t="str">
        <v>(</v>
      </c>
      <c r="J1962">
        <f>+J1954</f>
        <v>0.525</v>
      </c>
      <c r="K1962" t="str">
        <v>+</v>
      </c>
      <c r="L1962">
        <f>MAX(VLOOKUP(F1962,N$6:P$15,3,FALSE)/1000,2/3*D1950/1000)+F$16*F1962/1000</f>
        <v>0.156</v>
      </c>
      <c r="M1962" t="str">
        <v>=</v>
      </c>
      <c r="N1962">
        <f>J1962+L1962</f>
        <v>0.681</v>
      </c>
      <c r="O1962" t="str">
        <v>+</v>
      </c>
      <c r="P1962">
        <f>D1962-D1961</f>
        <v>0</v>
      </c>
      <c r="Q1962" t="str">
        <v>x</v>
      </c>
      <c r="R1962">
        <f>IF(P1962&gt;0,$F$18*F1962/1000,0)</f>
        <v>0</v>
      </c>
      <c r="S1962" t="str">
        <v>)</v>
      </c>
      <c r="T1962" t="str">
        <v>x</v>
      </c>
      <c r="U1962">
        <f>0.006165*F1962^2</f>
        <v>1.041885</v>
      </c>
      <c r="X1962" t="str">
        <v>x</v>
      </c>
      <c r="Y1962">
        <f>D1951</f>
        <v>1</v>
      </c>
      <c r="Z1962" t="str">
        <v>=</v>
      </c>
      <c r="AA1962">
        <f>IF(AA1963=0,(D1962*N1962+P1962*R1962)*U1962*Y1962,0)</f>
        <v>0</v>
      </c>
    </row>
    <row r="1963">
      <c r="A1963" t="str">
        <f>A1945</f>
        <v>Lantai 1</v>
      </c>
      <c r="B1963">
        <f>B1945</f>
        <v>63</v>
      </c>
      <c r="D1963">
        <f>IF(AND(D1960=D1961,D1961=D1962,D1960=D1962),D1960,0)</f>
        <v>3</v>
      </c>
      <c r="E1963" t="str">
        <v>D</v>
      </c>
      <c r="F1963">
        <f>IF(AND(F1960=F1961,F1960=F1962,F1961=F1962),F1960,0)</f>
        <v>13</v>
      </c>
      <c r="L1963" t="str">
        <v>Total panjang per balok</v>
      </c>
      <c r="M1963" t="str">
        <v>=</v>
      </c>
      <c r="N1963">
        <f>IF(AND(D1960=D1961,D1960=D1962,D1961=D1962,F1960=F1961,F1960=F1962,F1961=F1962),SUM(N1960:N1962),0)</f>
        <v>2.412</v>
      </c>
      <c r="O1963" t="str">
        <v>+</v>
      </c>
      <c r="P1963">
        <f>IF(N1963&gt;12,ROUNDDOWN(N1963/12,0),0)</f>
        <v>0</v>
      </c>
      <c r="Q1963" t="str">
        <v>x</v>
      </c>
      <c r="R1963">
        <f>IF(P1963&gt;0,MAX(VLOOKUP(F1963,$D$6:$G$15,3,FALSE),600),0)/1000</f>
        <v>0</v>
      </c>
      <c r="T1963" t="str">
        <v>x</v>
      </c>
      <c r="U1963">
        <f>U1962</f>
        <v>1.041885</v>
      </c>
      <c r="V1963" t="str">
        <v>x</v>
      </c>
      <c r="W1963">
        <f>D1963</f>
        <v>3</v>
      </c>
      <c r="X1963" t="str">
        <v>x</v>
      </c>
      <c r="Y1963">
        <f>Y1962</f>
        <v>1</v>
      </c>
      <c r="Z1963" t="str">
        <v>=</v>
      </c>
      <c r="AA1963">
        <f>(N1963+P1963*R1963/1000)*U1963*W1963*Y1963</f>
        <v>7.539079859999999</v>
      </c>
    </row>
    <row r="1965">
      <c r="A1965" t="str">
        <f>A1945</f>
        <v>Lantai 1</v>
      </c>
      <c r="B1965">
        <f>B1945</f>
        <v>63</v>
      </c>
      <c r="C1965" t="str">
        <v>Sengkang Tumpuan</v>
      </c>
      <c r="D1965">
        <f>VLOOKUP(D1945,'Detail Balok'!$C$10:$AU$140,31,FALSE)</f>
        <v>0</v>
      </c>
      <c r="E1965" t="str">
        <v>D</v>
      </c>
      <c r="F1965">
        <f>VLOOKUP(D1945,'Detail Balok'!$C$10:$AU$140,33,FALSE)</f>
        <v>8</v>
      </c>
      <c r="G1965" t="str">
        <v>-</v>
      </c>
      <c r="H1965">
        <f>VLOOKUP(D1945,'Detail Balok'!$C$10:$AU$140,35,FALSE)</f>
        <v>150</v>
      </c>
      <c r="J1965">
        <f>(IF(D1965=0,(2*(D1946+G1946))-(F$5*8),IF(D1965=3,(2*(D1946+G1946))-(F$5*8)+(G1946-2*F$5),IF(D1965=4,(2*(D1946+G1946))-(F$5*8)+2*(G1946-2*F$5)))))/1000</f>
        <v>0.88</v>
      </c>
      <c r="K1965" t="str">
        <v>+</v>
      </c>
      <c r="L1965">
        <f>IF(D1965=0,2*MAX(6*F1965,75),(D1965-1)*2*MAX(6*F1965,75))/1000</f>
        <v>0.15</v>
      </c>
      <c r="M1965" t="str">
        <v>=</v>
      </c>
      <c r="N1965">
        <f>J1965+L1965</f>
        <v>1.03</v>
      </c>
      <c r="T1965" t="str">
        <v>x</v>
      </c>
      <c r="U1965">
        <f>0.006165*F1965^2</f>
        <v>0.39456</v>
      </c>
      <c r="V1965" t="str">
        <v>x</v>
      </c>
      <c r="W1965">
        <f>IF(D1948&gt;4*G1946,ROUND(MAX(D1948/4,2*G1946)/H1965,0)+1,ROUND(D1948/H1965,0)+1)</f>
        <v>6</v>
      </c>
      <c r="X1965" t="str">
        <v>x</v>
      </c>
      <c r="Y1965">
        <f>D1951</f>
        <v>1</v>
      </c>
      <c r="Z1965" t="str">
        <v>=</v>
      </c>
      <c r="AA1965">
        <f>N1965*U1965*W1965*Y1965</f>
        <v>2.4383808000000005</v>
      </c>
    </row>
    <row r="1966">
      <c r="A1966" t="str">
        <f>A1945</f>
        <v>Lantai 1</v>
      </c>
      <c r="B1966">
        <f>B1945</f>
        <v>63</v>
      </c>
      <c r="C1966" t="str">
        <v>Sengkang Lapangan</v>
      </c>
      <c r="D1966">
        <f>VLOOKUP(D1945,'Detail Balok'!$C$10:$AU$140,36,FALSE)</f>
        <v>0</v>
      </c>
      <c r="E1966" t="str">
        <v>D</v>
      </c>
      <c r="F1966">
        <f>VLOOKUP(D1945,'Detail Balok'!$C$10:$AU$140,38,FALSE)</f>
        <v>8</v>
      </c>
      <c r="G1966" t="str">
        <v>-</v>
      </c>
      <c r="H1966">
        <f>VLOOKUP(D1945,'Detail Balok'!$C$10:$AU$140,40,FALSE)</f>
        <v>200</v>
      </c>
      <c r="J1966">
        <f>(IF(D1966=0,(2*(D1946+G1946))-(F$5*8),IF(D1966=3,(2*(D1946+G1946))-(F$5*8)+(G1946-2*F$5),IF(D1966=4,(2*(D1946+G1946))-(F$5*8)+2*(G1946-2*F$5)))))/1000</f>
        <v>0.88</v>
      </c>
      <c r="K1966" t="str">
        <v>+</v>
      </c>
      <c r="L1966">
        <f>IF(D1966=0,2*MAX(6*F1966,75),(D1966-1)*2*MAX(6*F1966,75))/1000</f>
        <v>0.15</v>
      </c>
      <c r="M1966" t="str">
        <v>=</v>
      </c>
      <c r="N1966">
        <f>J1966+L1966</f>
        <v>1.03</v>
      </c>
      <c r="T1966" t="str">
        <v>x</v>
      </c>
      <c r="U1966">
        <f>0.006165*F1966^2</f>
        <v>0.39456</v>
      </c>
      <c r="V1966" t="str">
        <v>x</v>
      </c>
      <c r="W1966">
        <f>IF(D1948-MAX(D1948/4,2*G1946)*2&gt;0,ROUND((D1948-MAX(D1948/4,2*G1946)*2)/H1966,0),0)</f>
        <v>3</v>
      </c>
      <c r="X1966" t="str">
        <v>x</v>
      </c>
      <c r="Y1966">
        <f>D1951</f>
        <v>1</v>
      </c>
      <c r="Z1966" t="str">
        <v>=</v>
      </c>
      <c r="AA1966">
        <f>N1966*U1966*W1966*Y1966</f>
        <v>1.2191904000000002</v>
      </c>
    </row>
    <row r="1967">
      <c r="A1967" t="str">
        <f>A1945</f>
        <v>Lantai 1</v>
      </c>
      <c r="B1967">
        <f>B1945</f>
        <v>63</v>
      </c>
      <c r="C1967" t="str">
        <v>Sengkang Tumpuan</v>
      </c>
      <c r="D1967">
        <f>VLOOKUP(D1945,'Detail Balok'!$C$10:$AU$140,41,FALSE)</f>
        <v>0</v>
      </c>
      <c r="E1967" t="str">
        <v>D</v>
      </c>
      <c r="F1967">
        <f>VLOOKUP(D1945,'Detail Balok'!$C$10:$AU$140,43,FALSE)</f>
        <v>8</v>
      </c>
      <c r="G1967" t="str">
        <v>-</v>
      </c>
      <c r="H1967">
        <f>VLOOKUP(D1945,'Detail Balok'!$C$10:$AU$140,45,FALSE)</f>
        <v>150</v>
      </c>
      <c r="J1967">
        <f>(IF(D1967=0,(2*(D1946+G1946))-(F$5*8),IF(D1967=3,(2*(D1946+G1946))-(F$5*8)+(G1946-2*F$5),IF(D1967=4,(2*(D1946+G1946))-(F$5*8)+2*(G1946-2*F$5)))))/1000</f>
        <v>0.88</v>
      </c>
      <c r="K1967" t="str">
        <v>+</v>
      </c>
      <c r="L1967">
        <f>IF(D1967=0,2*MAX(6*F1967,75),(D1967-1)*2*MAX(6*F1967,75))/1000</f>
        <v>0.15</v>
      </c>
      <c r="M1967" t="str">
        <v>=</v>
      </c>
      <c r="N1967">
        <f>J1967+L1967</f>
        <v>1.03</v>
      </c>
      <c r="T1967" t="str">
        <v>x</v>
      </c>
      <c r="U1967">
        <f>0.006165*F1967^2</f>
        <v>0.39456</v>
      </c>
      <c r="V1967" t="str">
        <v>x</v>
      </c>
      <c r="W1967">
        <f>IF(D1948&gt;4*G1946,ROUND(MAX(D1948/4,2*G1946)/H1967,0)+1,0)</f>
        <v>6</v>
      </c>
      <c r="X1967" t="str">
        <v>x</v>
      </c>
      <c r="Y1967">
        <f>D1951</f>
        <v>1</v>
      </c>
      <c r="Z1967" t="str">
        <v>=</v>
      </c>
      <c r="AA1967">
        <f>N1967*U1967*W1967*Y1967</f>
        <v>2.4383808000000005</v>
      </c>
    </row>
    <row r="1969">
      <c r="A1969" t="str">
        <f>A1945</f>
        <v>Lantai 1</v>
      </c>
      <c r="B1969">
        <f>B1945</f>
        <v>63</v>
      </c>
      <c r="C1969" t="str">
        <v>Kait Horizontal Tump.</v>
      </c>
      <c r="D1969">
        <f>VLOOKUP(D1945,'Detail Balok'!$C$10:$BJ$140,46,FALSE)</f>
        <v>0</v>
      </c>
      <c r="E1969" t="str">
        <v>D</v>
      </c>
      <c r="F1969">
        <f>VLOOKUP(D1945,'Detail Balok'!$C$10:$BJ$140,48,FALSE)</f>
        <v>0</v>
      </c>
      <c r="G1969" t="str">
        <v>-</v>
      </c>
      <c r="H1969">
        <f>VLOOKUP(D1945,'Detail Balok'!$C$10:$BJ$140,50,FALSE)</f>
        <v>100</v>
      </c>
      <c r="J1969">
        <f>(D1946-2*F$5)/1000</f>
        <v>0.12</v>
      </c>
      <c r="K1969" t="str">
        <v>+</v>
      </c>
      <c r="L1969">
        <f>IF(D1969=0,2*MAX(6*F1969,75),(D1969-1)*2*MAX(6*F1969,75))/1000</f>
        <v>0.15</v>
      </c>
      <c r="M1969" t="str">
        <v>=</v>
      </c>
      <c r="N1969">
        <f>J1969+L1969</f>
        <v>0.27</v>
      </c>
      <c r="T1969" t="str">
        <v>x</v>
      </c>
      <c r="U1969">
        <f>0.006165*F1969^2</f>
        <v>0</v>
      </c>
      <c r="V1969" t="str">
        <v>x</v>
      </c>
      <c r="W1969">
        <f>W1965</f>
        <v>6</v>
      </c>
      <c r="X1969" t="str">
        <v>x</v>
      </c>
      <c r="Y1969">
        <f>D1955</f>
        <v>3</v>
      </c>
      <c r="Z1969" t="str">
        <v>=</v>
      </c>
      <c r="AA1969">
        <f>N1969*U1969*W1969*Y1969</f>
        <v>0</v>
      </c>
    </row>
    <row r="1970">
      <c r="A1970" t="str">
        <f>A1945</f>
        <v>Lantai 1</v>
      </c>
      <c r="B1970">
        <f>B1945</f>
        <v>63</v>
      </c>
      <c r="C1970" t="str">
        <v>Kait Horizontal Lap.</v>
      </c>
      <c r="D1970">
        <f>VLOOKUP(D1945,'Detail Balok'!$C$10:$BJ$140,51,FALSE)</f>
        <v>0</v>
      </c>
      <c r="E1970" t="str">
        <v>D</v>
      </c>
      <c r="F1970">
        <f>VLOOKUP(D1945,'Detail Balok'!$C$10:$BJ$140,53,FALSE)</f>
        <v>0</v>
      </c>
      <c r="G1970" t="str">
        <v>-</v>
      </c>
      <c r="H1970">
        <f>VLOOKUP(D1945,'Detail Balok'!$C$10:$BJ$140,55,FALSE)</f>
        <v>100</v>
      </c>
      <c r="J1970">
        <f>(D1946-2*F$5)/1000</f>
        <v>0.12</v>
      </c>
      <c r="K1970" t="str">
        <v>+</v>
      </c>
      <c r="L1970">
        <f>IF(D1970=0,2*MAX(6*F1970,75),(D1970-1)*2*MAX(6*F1970,75))/1000</f>
        <v>0.15</v>
      </c>
      <c r="M1970" t="str">
        <v>=</v>
      </c>
      <c r="N1970">
        <f>J1970+L1970</f>
        <v>0.27</v>
      </c>
      <c r="T1970" t="str">
        <v>x</v>
      </c>
      <c r="U1970">
        <f>0.006165*F1970^2</f>
        <v>0</v>
      </c>
      <c r="V1970" t="str">
        <v>x</v>
      </c>
      <c r="W1970">
        <f>W1966</f>
        <v>3</v>
      </c>
      <c r="X1970" t="str">
        <v>x</v>
      </c>
      <c r="Y1970">
        <f>D1955</f>
        <v>3</v>
      </c>
      <c r="Z1970" t="str">
        <v>=</v>
      </c>
      <c r="AA1970">
        <f>N1970*U1970*W1970*Y1970</f>
        <v>0</v>
      </c>
    </row>
    <row r="1971">
      <c r="A1971" t="str">
        <f>A1945</f>
        <v>Lantai 1</v>
      </c>
      <c r="B1971">
        <f>B1945</f>
        <v>63</v>
      </c>
      <c r="C1971" t="str">
        <v>Kait Horizontal Tump.</v>
      </c>
      <c r="D1971">
        <f>VLOOKUP(D1945,'Detail Balok'!$C$10:$BJ$140,56,FALSE)</f>
        <v>0</v>
      </c>
      <c r="E1971" t="str">
        <v>D</v>
      </c>
      <c r="F1971">
        <f>VLOOKUP(D1945,'Detail Balok'!$C$10:$BJ$140,58,FALSE)</f>
        <v>0</v>
      </c>
      <c r="G1971" t="str">
        <v>-</v>
      </c>
      <c r="H1971">
        <f>VLOOKUP(D1945,'Detail Balok'!$C$10:$BJ$140,60,FALSE)</f>
        <v>100</v>
      </c>
      <c r="J1971">
        <f>(D1946-2*F$5)/1000</f>
        <v>0.12</v>
      </c>
      <c r="K1971" t="str">
        <v>+</v>
      </c>
      <c r="L1971">
        <f>IF(D1971=0,2*MAX(6*F1971,75),(D1971-1)*2*MAX(6*F1971,75))/1000</f>
        <v>0.15</v>
      </c>
      <c r="M1971" t="str">
        <v>=</v>
      </c>
      <c r="N1971">
        <f>J1971+L1971</f>
        <v>0.27</v>
      </c>
      <c r="T1971" t="str">
        <v>x</v>
      </c>
      <c r="U1971">
        <f>0.006165*F1971^2</f>
        <v>0</v>
      </c>
      <c r="V1971" t="str">
        <v>x</v>
      </c>
      <c r="W1971">
        <f>W1967</f>
        <v>6</v>
      </c>
      <c r="X1971" t="str">
        <v>x</v>
      </c>
      <c r="Y1971">
        <f>D1955</f>
        <v>3</v>
      </c>
      <c r="Z1971" t="str">
        <v>=</v>
      </c>
      <c r="AA1971">
        <f>N1971*U1971*W1971*Y1971</f>
        <v>0</v>
      </c>
    </row>
    <row r="1975">
      <c r="A1975" t="str">
        <f>A1945</f>
        <v>Lantai 1</v>
      </c>
      <c r="B1975">
        <f>B1945+1</f>
        <v>64</v>
      </c>
      <c r="C1975" t="str">
        <f>CONCATENATE(A1975," no. ",B1975)</f>
        <v>Lantai 1 no. 64</v>
      </c>
      <c r="D1975" t="str">
        <f>VLOOKUP(C1975,'Data Panjang Balok'!$C$9:$N$254,2,FALSE)</f>
        <v>S24-1</v>
      </c>
    </row>
    <row r="1976">
      <c r="C1976" t="str">
        <v>Dimensi</v>
      </c>
      <c r="D1976">
        <f>VLOOKUP(D1975,'Detail Balok'!$C$10:$AU$140,2,FALSE)</f>
        <v>200</v>
      </c>
      <c r="F1976" t="str">
        <v>x</v>
      </c>
      <c r="G1976">
        <f>VLOOKUP(D1975,'Detail Balok'!$C$10:$AU$140,3,FALSE)</f>
        <v>400</v>
      </c>
    </row>
    <row r="1977">
      <c r="C1977" t="str">
        <v>Panjang as ke as</v>
      </c>
      <c r="D1977">
        <f>VLOOKUP(C1975,'Data Panjang Balok'!$C$9:$N$254,4,FALSE)</f>
        <v>925</v>
      </c>
    </row>
    <row r="1978">
      <c r="C1978" t="str">
        <v>Panjang netto</v>
      </c>
      <c r="D1978">
        <f>VLOOKUP(C1975,'Data Panjang Balok'!$C$9:$N$254,7,FALSE)</f>
        <v>925</v>
      </c>
    </row>
    <row r="1979">
      <c r="C1979" t="str">
        <v>Kolom / balok kiri</v>
      </c>
      <c r="D1979">
        <f>VLOOKUP(C1975,'Data Panjang Balok'!$C$9:$N$254,9,FALSE)</f>
        <v>0</v>
      </c>
    </row>
    <row r="1980">
      <c r="C1980" t="str">
        <v>Kolom / balok kanan</v>
      </c>
      <c r="D1980">
        <f>VLOOKUP(C1975,'Data Panjang Balok'!$C$9:$N$254,10,FALSE)</f>
        <v>0</v>
      </c>
    </row>
    <row r="1981">
      <c r="C1981" t="str">
        <v>Jumlah</v>
      </c>
      <c r="D1981">
        <f>VLOOKUP(C1975,'Data Panjang Balok'!$C$9:$N$254,3,FALSE)</f>
        <v>1</v>
      </c>
    </row>
    <row r="1982">
      <c r="A1982" t="str">
        <f>A1975</f>
        <v>Lantai 1</v>
      </c>
      <c r="B1982">
        <f>B1975</f>
        <v>64</v>
      </c>
      <c r="C1982" t="str">
        <v>Tul Atas Tumpuan</v>
      </c>
      <c r="D1982">
        <f>VLOOKUP(D1975,'Detail Balok'!$C$10:$AU$140,4,FALSE)</f>
        <v>3</v>
      </c>
      <c r="E1982" t="str">
        <v>D</v>
      </c>
      <c r="F1982">
        <f>VLOOKUP(D1975,'Detail Balok'!$C$10:$AU$140,6,FALSE)</f>
        <v>13</v>
      </c>
      <c r="I1982" t="str">
        <v>(</v>
      </c>
      <c r="J1982">
        <f>+D1977/4/1000</f>
        <v>0.23125</v>
      </c>
      <c r="K1982" t="str">
        <v>+</v>
      </c>
      <c r="L1982">
        <f>MAX(VLOOKUP(F1982,N$6:P$15,3,FALSE)/1000,2/3*D1979/1000)+F$16*F1982/1000</f>
        <v>0.156</v>
      </c>
      <c r="M1982" t="str">
        <v>=</v>
      </c>
      <c r="N1982">
        <f>J1982+L1982</f>
        <v>0.38725</v>
      </c>
      <c r="O1982" t="str">
        <v>+</v>
      </c>
      <c r="P1982">
        <f>D1982-D1983</f>
        <v>0</v>
      </c>
      <c r="Q1982" t="str">
        <v>x</v>
      </c>
      <c r="R1982">
        <f>IF(P1982&gt;0,$F$18*F1982/1000,0)</f>
        <v>0</v>
      </c>
      <c r="S1982" t="str">
        <v>)</v>
      </c>
      <c r="T1982" t="str">
        <v>x</v>
      </c>
      <c r="U1982">
        <f>0.006165*F1982^2</f>
        <v>1.041885</v>
      </c>
      <c r="X1982" t="str">
        <v>x</v>
      </c>
      <c r="Y1982">
        <f>D1981</f>
        <v>1</v>
      </c>
      <c r="Z1982" t="str">
        <v>=</v>
      </c>
      <c r="AA1982">
        <f>IF(AA1985=0,(D1982*N1982+P1982*R1982)*U1982*Y1982,0)</f>
        <v>0</v>
      </c>
    </row>
    <row r="1983">
      <c r="A1983" t="str">
        <f>A1975</f>
        <v>Lantai 1</v>
      </c>
      <c r="B1983">
        <f>B1975</f>
        <v>64</v>
      </c>
      <c r="C1983" t="str">
        <v>Tul Atas Lapangan</v>
      </c>
      <c r="D1983">
        <f>VLOOKUP(D1975,'Detail Balok'!$C$10:$AU$140,7,FALSE)</f>
        <v>3</v>
      </c>
      <c r="E1983" t="str">
        <v>D</v>
      </c>
      <c r="F1983">
        <f>VLOOKUP(D1975,'Detail Balok'!$C$10:$AU$140,9,FALSE)</f>
        <v>13</v>
      </c>
      <c r="I1983" t="str">
        <v>(</v>
      </c>
      <c r="J1983">
        <f>+D1977/2/1000</f>
        <v>0.4625</v>
      </c>
      <c r="K1983" t="str">
        <v>+</v>
      </c>
      <c r="M1983" t="str">
        <v>=</v>
      </c>
      <c r="N1983">
        <f>J1983+L1983</f>
        <v>0.4625</v>
      </c>
      <c r="O1983" t="str">
        <v>+</v>
      </c>
      <c r="P1983">
        <f>MAX(D1983-D1982,D1983-D1984)</f>
        <v>0</v>
      </c>
      <c r="Q1983" t="str">
        <v>x</v>
      </c>
      <c r="R1983">
        <f>IF(P1983&gt;0,2*(1-2*$F$19-1/2)*D1978/1000,0)</f>
        <v>0</v>
      </c>
      <c r="S1983" t="str">
        <v>)</v>
      </c>
      <c r="T1983" t="str">
        <v>x</v>
      </c>
      <c r="U1983">
        <f>0.006165*F1983^2</f>
        <v>1.041885</v>
      </c>
      <c r="X1983" t="str">
        <v>x</v>
      </c>
      <c r="Y1983">
        <f>D1981</f>
        <v>1</v>
      </c>
      <c r="Z1983" t="str">
        <v>=</v>
      </c>
      <c r="AA1983">
        <f>IF(AA1985=0,(D1983*N1983+P1983*R1983)*U1983*Y1983,0)</f>
        <v>0</v>
      </c>
    </row>
    <row r="1984">
      <c r="A1984" t="str">
        <f>A1975</f>
        <v>Lantai 1</v>
      </c>
      <c r="B1984">
        <f>B1975</f>
        <v>64</v>
      </c>
      <c r="C1984" t="str">
        <v>Tul Atas Tumpuan</v>
      </c>
      <c r="D1984">
        <f>VLOOKUP(D1975,'Detail Balok'!$C$10:$AU$140,10,FALSE)</f>
        <v>3</v>
      </c>
      <c r="E1984" t="str">
        <v>D</v>
      </c>
      <c r="F1984">
        <f>VLOOKUP(D1975,'Detail Balok'!$C$10:$AU$140,12,FALSE)</f>
        <v>13</v>
      </c>
      <c r="I1984" t="str">
        <v>(</v>
      </c>
      <c r="J1984">
        <f>+D1977/4/1000</f>
        <v>0.23125</v>
      </c>
      <c r="K1984" t="str">
        <v>+</v>
      </c>
      <c r="L1984">
        <f>MAX(VLOOKUP(F1984,N$6:P$15,3,FALSE)/1000,2/3*D1979/1000)+F$16*F1984/1000</f>
        <v>0.156</v>
      </c>
      <c r="M1984" t="str">
        <v>=</v>
      </c>
      <c r="N1984">
        <f>J1984+L1984</f>
        <v>0.38725</v>
      </c>
      <c r="O1984" t="str">
        <v>+</v>
      </c>
      <c r="P1984">
        <f>D1984-D1983</f>
        <v>0</v>
      </c>
      <c r="Q1984" t="str">
        <v>x</v>
      </c>
      <c r="R1984">
        <f>IF(P1984&gt;0,$F$18*F1984/1000,0)</f>
        <v>0</v>
      </c>
      <c r="S1984" t="str">
        <v>)</v>
      </c>
      <c r="T1984" t="str">
        <v>x</v>
      </c>
      <c r="U1984">
        <f>0.006165*F1984^2</f>
        <v>1.041885</v>
      </c>
      <c r="X1984" t="str">
        <v>x</v>
      </c>
      <c r="Y1984">
        <f>D1981</f>
        <v>1</v>
      </c>
      <c r="Z1984" t="str">
        <v>=</v>
      </c>
      <c r="AA1984">
        <f>IF(AA1985=0,(D1984*N1984+P1984*R1984)*U1984*Y1984,0)</f>
        <v>0</v>
      </c>
    </row>
    <row r="1985">
      <c r="A1985" t="str">
        <f>A1975</f>
        <v>Lantai 1</v>
      </c>
      <c r="B1985">
        <f>B1975</f>
        <v>64</v>
      </c>
      <c r="D1985">
        <f>IF(AND(D1982=D1983,D1983=D1984,D1982=D1984),D1982,0)</f>
        <v>3</v>
      </c>
      <c r="E1985" t="str">
        <v>D</v>
      </c>
      <c r="F1985">
        <f>IF(AND(F1982=F1983,F1982=F1984,F1983=F1984),F1982,0)</f>
        <v>13</v>
      </c>
      <c r="L1985" t="str">
        <v>Total panjang per balok</v>
      </c>
      <c r="M1985" t="str">
        <v>=</v>
      </c>
      <c r="N1985">
        <f>IF(AND(D1982=D1983,D1982=D1984,D1983=D1984,F1982=F1983,F1982=F1984,F1983=F1984),SUM(N1982:N1984),0)</f>
        <v>1.237</v>
      </c>
      <c r="O1985" t="str">
        <v>+</v>
      </c>
      <c r="P1985">
        <f>IF(N1985&gt;12,ROUNDDOWN(N1985/12,0),0)</f>
        <v>0</v>
      </c>
      <c r="Q1985" t="str">
        <v>x</v>
      </c>
      <c r="R1985">
        <f>IF(P1985&gt;0,MAX(VLOOKUP(F1985,$D$6:$G$15,3,FALSE),600),0)/1000</f>
        <v>0</v>
      </c>
      <c r="T1985" t="str">
        <v>x</v>
      </c>
      <c r="U1985">
        <f>U1984</f>
        <v>1.041885</v>
      </c>
      <c r="V1985" t="str">
        <v>x</v>
      </c>
      <c r="W1985">
        <f>D1985</f>
        <v>3</v>
      </c>
      <c r="X1985" t="str">
        <v>x</v>
      </c>
      <c r="Y1985">
        <f>Y1984</f>
        <v>1</v>
      </c>
      <c r="Z1985" t="str">
        <v>=</v>
      </c>
      <c r="AA1985">
        <f>(N1985+P1985*R1985/1000)*U1985*W1985*Y1985</f>
        <v>3.866435235</v>
      </c>
    </row>
    <row r="1987">
      <c r="A1987" t="str">
        <f>A1975</f>
        <v>Lantai 1</v>
      </c>
      <c r="B1987">
        <f>B1975</f>
        <v>64</v>
      </c>
      <c r="C1987" t="str">
        <v>Tul Peminggang</v>
      </c>
      <c r="D1987">
        <f>VLOOKUP(D1975,'Detail Balok'!$C$10:$AU$140,13,FALSE)</f>
        <v>0</v>
      </c>
      <c r="E1987" t="str">
        <v>D</v>
      </c>
      <c r="F1987">
        <f>VLOOKUP(D1975,'Detail Balok'!$C$10:$AU$140,15,FALSE)</f>
        <v>8</v>
      </c>
      <c r="J1987">
        <f>+D1977/1000</f>
        <v>0.925</v>
      </c>
      <c r="K1987" t="str">
        <v>+</v>
      </c>
      <c r="L1987">
        <f>2*$F$16*F1987/1000</f>
        <v>0.192</v>
      </c>
      <c r="M1987" t="str">
        <v>=</v>
      </c>
      <c r="N1987">
        <f>J1987+L1987</f>
        <v>1.117</v>
      </c>
      <c r="O1987" t="str">
        <v>+</v>
      </c>
      <c r="P1987">
        <f>IF(N1987&gt;12,ROUNDDOWN(N1987/12,0),0)</f>
        <v>0</v>
      </c>
      <c r="Q1987" t="str">
        <v>x</v>
      </c>
      <c r="R1987">
        <f>IF(P1987&gt;0,MAX(VLOOKUP(F1987,$D$6:$G$15,3,FALSE),600),0)/1000</f>
        <v>0</v>
      </c>
      <c r="T1987" t="str">
        <v>x</v>
      </c>
      <c r="U1987">
        <f>0.006165*F1987^2</f>
        <v>0.39456</v>
      </c>
      <c r="V1987" t="str">
        <v>x</v>
      </c>
      <c r="W1987">
        <f>+D1987</f>
        <v>0</v>
      </c>
      <c r="X1987" t="str">
        <v>x</v>
      </c>
      <c r="Y1987">
        <f>D1981</f>
        <v>1</v>
      </c>
      <c r="Z1987" t="str">
        <v>=</v>
      </c>
      <c r="AA1987">
        <f>(N1987+P1987*R1987/1000)*U1987*W1987*Y1987</f>
        <v>0</v>
      </c>
    </row>
    <row r="1990">
      <c r="A1990" t="str">
        <f>A1975</f>
        <v>Lantai 1</v>
      </c>
      <c r="B1990">
        <f>B1975</f>
        <v>64</v>
      </c>
      <c r="C1990" t="str">
        <v>Tul Bawah Tumpuan</v>
      </c>
      <c r="D1990">
        <f>VLOOKUP(D1975,'Detail Balok'!$C$10:$AU$140,22,FALSE)</f>
        <v>3</v>
      </c>
      <c r="E1990" t="str">
        <v>D</v>
      </c>
      <c r="F1990">
        <f>VLOOKUP(D1975,'Detail Balok'!$C$10:$AU$140,24,FALSE)</f>
        <v>13</v>
      </c>
      <c r="I1990" t="str">
        <v>(</v>
      </c>
      <c r="J1990">
        <f>+J1982</f>
        <v>0.23125</v>
      </c>
      <c r="K1990" t="str">
        <v>+</v>
      </c>
      <c r="L1990">
        <f>MAX(VLOOKUP(F1990,N$6:P$15,3,FALSE)/1000,2/3*D1980/1000)+F$16*F1990/1000</f>
        <v>0.156</v>
      </c>
      <c r="M1990" t="str">
        <v>=</v>
      </c>
      <c r="N1990">
        <f>J1990+L1990</f>
        <v>0.38725</v>
      </c>
      <c r="O1990" t="str">
        <v>+</v>
      </c>
      <c r="P1990">
        <f>D1990-D1991</f>
        <v>0</v>
      </c>
      <c r="Q1990" t="str">
        <v>x</v>
      </c>
      <c r="R1990">
        <f>IF(P1990&gt;0,$F$18*F1990/1000,0)</f>
        <v>0</v>
      </c>
      <c r="S1990" t="str">
        <v>)</v>
      </c>
      <c r="T1990" t="str">
        <v>x</v>
      </c>
      <c r="U1990">
        <f>0.006165*F1990^2</f>
        <v>1.041885</v>
      </c>
      <c r="X1990" t="str">
        <v>x</v>
      </c>
      <c r="Y1990">
        <f>D1981</f>
        <v>1</v>
      </c>
      <c r="Z1990" t="str">
        <v>=</v>
      </c>
      <c r="AA1990">
        <f>IF(AA1993=0,(D1990*N1990+P1990*R1990)*U1990*Y1990,0)</f>
        <v>0</v>
      </c>
    </row>
    <row r="1991">
      <c r="A1991" t="str">
        <f>A1975</f>
        <v>Lantai 1</v>
      </c>
      <c r="B1991">
        <f>B1975</f>
        <v>64</v>
      </c>
      <c r="C1991" t="str">
        <v>Tul Bawah Lapangan</v>
      </c>
      <c r="D1991">
        <f>VLOOKUP(D1975,'Detail Balok'!$C$10:$AU$140,25,FALSE)</f>
        <v>3</v>
      </c>
      <c r="E1991" t="str">
        <v>D</v>
      </c>
      <c r="F1991">
        <f>VLOOKUP(D1975,'Detail Balok'!$C$10:$AU$140,27,FALSE)</f>
        <v>13</v>
      </c>
      <c r="I1991" t="str">
        <v>(</v>
      </c>
      <c r="J1991">
        <f>+J1983</f>
        <v>0.4625</v>
      </c>
      <c r="K1991" t="str">
        <v>+</v>
      </c>
      <c r="M1991" t="str">
        <v>=</v>
      </c>
      <c r="N1991">
        <f>J1991+L1991</f>
        <v>0.4625</v>
      </c>
      <c r="O1991" t="str">
        <v>+</v>
      </c>
      <c r="P1991">
        <f>MAX(D1991-D1990,D1991-D1992)</f>
        <v>0</v>
      </c>
      <c r="Q1991" t="str">
        <v>x</v>
      </c>
      <c r="R1991">
        <f>IF(P1991&gt;0,2*(1-2*$F$19-1/2)*D1978/1000,0)</f>
        <v>0</v>
      </c>
      <c r="S1991" t="str">
        <v>)</v>
      </c>
      <c r="T1991" t="str">
        <v>x</v>
      </c>
      <c r="U1991">
        <f>0.006165*F1991^2</f>
        <v>1.041885</v>
      </c>
      <c r="X1991" t="str">
        <v>x</v>
      </c>
      <c r="Y1991">
        <f>D1981</f>
        <v>1</v>
      </c>
      <c r="Z1991" t="str">
        <v>=</v>
      </c>
      <c r="AA1991">
        <f>IF(AA1993=0,(D1991*N1991+P1991*R1991)*U1991*Y1991,0)</f>
        <v>0</v>
      </c>
    </row>
    <row r="1992">
      <c r="A1992" t="str">
        <f>A1975</f>
        <v>Lantai 1</v>
      </c>
      <c r="B1992">
        <f>B1975</f>
        <v>64</v>
      </c>
      <c r="C1992" t="str">
        <v>Tul Bawah Tumpuan</v>
      </c>
      <c r="D1992">
        <f>VLOOKUP(D1975,'Detail Balok'!$C$10:$AU$140,28,FALSE)</f>
        <v>3</v>
      </c>
      <c r="E1992" t="str">
        <v>D</v>
      </c>
      <c r="F1992">
        <f>VLOOKUP(D1975,'Detail Balok'!$C$10:$AU$140,30,FALSE)</f>
        <v>13</v>
      </c>
      <c r="I1992" t="str">
        <v>(</v>
      </c>
      <c r="J1992">
        <f>+J1984</f>
        <v>0.23125</v>
      </c>
      <c r="K1992" t="str">
        <v>+</v>
      </c>
      <c r="L1992">
        <f>MAX(VLOOKUP(F1992,N$6:P$15,3,FALSE)/1000,2/3*D1980/1000)+F$16*F1992/1000</f>
        <v>0.156</v>
      </c>
      <c r="M1992" t="str">
        <v>=</v>
      </c>
      <c r="N1992">
        <f>J1992+L1992</f>
        <v>0.38725</v>
      </c>
      <c r="O1992" t="str">
        <v>+</v>
      </c>
      <c r="P1992">
        <f>D1992-D1991</f>
        <v>0</v>
      </c>
      <c r="Q1992" t="str">
        <v>x</v>
      </c>
      <c r="R1992">
        <f>IF(P1992&gt;0,$F$18*F1992/1000,0)</f>
        <v>0</v>
      </c>
      <c r="S1992" t="str">
        <v>)</v>
      </c>
      <c r="T1992" t="str">
        <v>x</v>
      </c>
      <c r="U1992">
        <f>0.006165*F1992^2</f>
        <v>1.041885</v>
      </c>
      <c r="X1992" t="str">
        <v>x</v>
      </c>
      <c r="Y1992">
        <f>D1981</f>
        <v>1</v>
      </c>
      <c r="Z1992" t="str">
        <v>=</v>
      </c>
      <c r="AA1992">
        <f>IF(AA1993=0,(D1992*N1992+P1992*R1992)*U1992*Y1992,0)</f>
        <v>0</v>
      </c>
    </row>
    <row r="1993">
      <c r="A1993" t="str">
        <f>A1975</f>
        <v>Lantai 1</v>
      </c>
      <c r="B1993">
        <f>B1975</f>
        <v>64</v>
      </c>
      <c r="D1993">
        <f>IF(AND(D1990=D1991,D1991=D1992,D1990=D1992),D1990,0)</f>
        <v>3</v>
      </c>
      <c r="E1993" t="str">
        <v>D</v>
      </c>
      <c r="F1993">
        <f>IF(AND(F1990=F1991,F1990=F1992,F1991=F1992),F1990,0)</f>
        <v>13</v>
      </c>
      <c r="L1993" t="str">
        <v>Total panjang per balok</v>
      </c>
      <c r="M1993" t="str">
        <v>=</v>
      </c>
      <c r="N1993">
        <f>IF(AND(D1990=D1991,D1990=D1992,D1991=D1992,F1990=F1991,F1990=F1992,F1991=F1992),SUM(N1990:N1992),0)</f>
        <v>1.237</v>
      </c>
      <c r="O1993" t="str">
        <v>+</v>
      </c>
      <c r="P1993">
        <f>IF(N1993&gt;12,ROUNDDOWN(N1993/12,0),0)</f>
        <v>0</v>
      </c>
      <c r="Q1993" t="str">
        <v>x</v>
      </c>
      <c r="R1993">
        <f>IF(P1993&gt;0,MAX(VLOOKUP(F1993,$D$6:$G$15,3,FALSE),600),0)/1000</f>
        <v>0</v>
      </c>
      <c r="T1993" t="str">
        <v>x</v>
      </c>
      <c r="U1993">
        <f>U1992</f>
        <v>1.041885</v>
      </c>
      <c r="V1993" t="str">
        <v>x</v>
      </c>
      <c r="W1993">
        <f>D1993</f>
        <v>3</v>
      </c>
      <c r="X1993" t="str">
        <v>x</v>
      </c>
      <c r="Y1993">
        <f>Y1992</f>
        <v>1</v>
      </c>
      <c r="Z1993" t="str">
        <v>=</v>
      </c>
      <c r="AA1993">
        <f>(N1993+P1993*R1993/1000)*U1993*W1993*Y1993</f>
        <v>3.866435235</v>
      </c>
    </row>
    <row r="1995">
      <c r="A1995" t="str">
        <f>A1975</f>
        <v>Lantai 1</v>
      </c>
      <c r="B1995">
        <f>B1975</f>
        <v>64</v>
      </c>
      <c r="C1995" t="str">
        <v>Sengkang Tumpuan</v>
      </c>
      <c r="D1995">
        <f>VLOOKUP(D1975,'Detail Balok'!$C$10:$AU$140,31,FALSE)</f>
        <v>0</v>
      </c>
      <c r="E1995" t="str">
        <v>D</v>
      </c>
      <c r="F1995">
        <f>VLOOKUP(D1975,'Detail Balok'!$C$10:$AU$140,33,FALSE)</f>
        <v>8</v>
      </c>
      <c r="G1995" t="str">
        <v>-</v>
      </c>
      <c r="H1995">
        <f>VLOOKUP(D1975,'Detail Balok'!$C$10:$AU$140,35,FALSE)</f>
        <v>150</v>
      </c>
      <c r="J1995">
        <f>(IF(D1995=0,(2*(D1976+G1976))-(F$5*8),IF(D1995=3,(2*(D1976+G1976))-(F$5*8)+(G1976-2*F$5),IF(D1995=4,(2*(D1976+G1976))-(F$5*8)+2*(G1976-2*F$5)))))/1000</f>
        <v>0.88</v>
      </c>
      <c r="K1995" t="str">
        <v>+</v>
      </c>
      <c r="L1995">
        <f>IF(D1995=0,2*MAX(6*F1995,75),(D1995-1)*2*MAX(6*F1995,75))/1000</f>
        <v>0.15</v>
      </c>
      <c r="M1995" t="str">
        <v>=</v>
      </c>
      <c r="N1995">
        <f>J1995+L1995</f>
        <v>1.03</v>
      </c>
      <c r="T1995" t="str">
        <v>x</v>
      </c>
      <c r="U1995">
        <f>0.006165*F1995^2</f>
        <v>0.39456</v>
      </c>
      <c r="V1995" t="str">
        <v>x</v>
      </c>
      <c r="W1995">
        <f>IF(D1978&gt;4*G1976,ROUND(MAX(D1978/4,2*G1976)/H1995,0)+1,ROUND(D1978/H1995,0)+1)</f>
        <v>7</v>
      </c>
      <c r="X1995" t="str">
        <v>x</v>
      </c>
      <c r="Y1995">
        <f>D1981</f>
        <v>1</v>
      </c>
      <c r="Z1995" t="str">
        <v>=</v>
      </c>
      <c r="AA1995">
        <f>N1995*U1995*W1995*Y1995</f>
        <v>2.8447776000000005</v>
      </c>
    </row>
    <row r="1996">
      <c r="A1996" t="str">
        <f>A1975</f>
        <v>Lantai 1</v>
      </c>
      <c r="B1996">
        <f>B1975</f>
        <v>64</v>
      </c>
      <c r="C1996" t="str">
        <v>Sengkang Lapangan</v>
      </c>
      <c r="D1996">
        <f>VLOOKUP(D1975,'Detail Balok'!$C$10:$AU$140,36,FALSE)</f>
        <v>0</v>
      </c>
      <c r="E1996" t="str">
        <v>D</v>
      </c>
      <c r="F1996">
        <f>VLOOKUP(D1975,'Detail Balok'!$C$10:$AU$140,38,FALSE)</f>
        <v>8</v>
      </c>
      <c r="G1996" t="str">
        <v>-</v>
      </c>
      <c r="H1996">
        <f>VLOOKUP(D1975,'Detail Balok'!$C$10:$AU$140,40,FALSE)</f>
        <v>200</v>
      </c>
      <c r="J1996">
        <f>(IF(D1996=0,(2*(D1976+G1976))-(F$5*8),IF(D1996=3,(2*(D1976+G1976))-(F$5*8)+(G1976-2*F$5),IF(D1996=4,(2*(D1976+G1976))-(F$5*8)+2*(G1976-2*F$5)))))/1000</f>
        <v>0.88</v>
      </c>
      <c r="K1996" t="str">
        <v>+</v>
      </c>
      <c r="L1996">
        <f>IF(D1996=0,2*MAX(6*F1996,75),(D1996-1)*2*MAX(6*F1996,75))/1000</f>
        <v>0.15</v>
      </c>
      <c r="M1996" t="str">
        <v>=</v>
      </c>
      <c r="N1996">
        <f>J1996+L1996</f>
        <v>1.03</v>
      </c>
      <c r="T1996" t="str">
        <v>x</v>
      </c>
      <c r="U1996">
        <f>0.006165*F1996^2</f>
        <v>0.39456</v>
      </c>
      <c r="V1996" t="str">
        <v>x</v>
      </c>
      <c r="W1996">
        <f>IF(D1978-MAX(D1978/4,2*G1976)*2&gt;0,ROUND((D1978-MAX(D1978/4,2*G1976)*2)/H1996,0),0)</f>
        <v>0</v>
      </c>
      <c r="X1996" t="str">
        <v>x</v>
      </c>
      <c r="Y1996">
        <f>D1981</f>
        <v>1</v>
      </c>
      <c r="Z1996" t="str">
        <v>=</v>
      </c>
      <c r="AA1996">
        <f>N1996*U1996*W1996*Y1996</f>
        <v>0</v>
      </c>
    </row>
    <row r="1997">
      <c r="A1997" t="str">
        <f>A1975</f>
        <v>Lantai 1</v>
      </c>
      <c r="B1997">
        <f>B1975</f>
        <v>64</v>
      </c>
      <c r="C1997" t="str">
        <v>Sengkang Tumpuan</v>
      </c>
      <c r="D1997">
        <f>VLOOKUP(D1975,'Detail Balok'!$C$10:$AU$140,41,FALSE)</f>
        <v>0</v>
      </c>
      <c r="E1997" t="str">
        <v>D</v>
      </c>
      <c r="F1997">
        <f>VLOOKUP(D1975,'Detail Balok'!$C$10:$AU$140,43,FALSE)</f>
        <v>8</v>
      </c>
      <c r="G1997" t="str">
        <v>-</v>
      </c>
      <c r="H1997">
        <f>VLOOKUP(D1975,'Detail Balok'!$C$10:$AU$140,45,FALSE)</f>
        <v>150</v>
      </c>
      <c r="J1997">
        <f>(IF(D1997=0,(2*(D1976+G1976))-(F$5*8),IF(D1997=3,(2*(D1976+G1976))-(F$5*8)+(G1976-2*F$5),IF(D1997=4,(2*(D1976+G1976))-(F$5*8)+2*(G1976-2*F$5)))))/1000</f>
        <v>0.88</v>
      </c>
      <c r="K1997" t="str">
        <v>+</v>
      </c>
      <c r="L1997">
        <f>IF(D1997=0,2*MAX(6*F1997,75),(D1997-1)*2*MAX(6*F1997,75))/1000</f>
        <v>0.15</v>
      </c>
      <c r="M1997" t="str">
        <v>=</v>
      </c>
      <c r="N1997">
        <f>J1997+L1997</f>
        <v>1.03</v>
      </c>
      <c r="T1997" t="str">
        <v>x</v>
      </c>
      <c r="U1997">
        <f>0.006165*F1997^2</f>
        <v>0.39456</v>
      </c>
      <c r="V1997" t="str">
        <v>x</v>
      </c>
      <c r="W1997">
        <f>IF(D1978&gt;4*G1976,ROUND(MAX(D1978/4,2*G1976)/H1997,0)+1,0)</f>
        <v>0</v>
      </c>
      <c r="X1997" t="str">
        <v>x</v>
      </c>
      <c r="Y1997">
        <f>D1981</f>
        <v>1</v>
      </c>
      <c r="Z1997" t="str">
        <v>=</v>
      </c>
      <c r="AA1997">
        <f>N1997*U1997*W1997*Y1997</f>
        <v>0</v>
      </c>
    </row>
    <row r="1999">
      <c r="A1999" t="str">
        <f>A1975</f>
        <v>Lantai 1</v>
      </c>
      <c r="B1999">
        <f>B1975</f>
        <v>64</v>
      </c>
      <c r="C1999" t="str">
        <v>Kait Horizontal Tump.</v>
      </c>
      <c r="D1999">
        <f>VLOOKUP(D1975,'Detail Balok'!$C$10:$BJ$140,46,FALSE)</f>
        <v>0</v>
      </c>
      <c r="E1999" t="str">
        <v>D</v>
      </c>
      <c r="F1999">
        <f>VLOOKUP(D1975,'Detail Balok'!$C$10:$BJ$140,48,FALSE)</f>
        <v>0</v>
      </c>
      <c r="G1999" t="str">
        <v>-</v>
      </c>
      <c r="H1999">
        <f>VLOOKUP(D1975,'Detail Balok'!$C$10:$BJ$140,50,FALSE)</f>
        <v>100</v>
      </c>
      <c r="J1999">
        <f>(D1976-2*F$5)/1000</f>
        <v>0.12</v>
      </c>
      <c r="K1999" t="str">
        <v>+</v>
      </c>
      <c r="L1999">
        <f>IF(D1999=0,2*MAX(6*F1999,75),(D1999-1)*2*MAX(6*F1999,75))/1000</f>
        <v>0.15</v>
      </c>
      <c r="M1999" t="str">
        <v>=</v>
      </c>
      <c r="N1999">
        <f>J1999+L1999</f>
        <v>0.27</v>
      </c>
      <c r="T1999" t="str">
        <v>x</v>
      </c>
      <c r="U1999">
        <f>0.006165*F1999^2</f>
        <v>0</v>
      </c>
      <c r="V1999" t="str">
        <v>x</v>
      </c>
      <c r="W1999">
        <f>W1995</f>
        <v>7</v>
      </c>
      <c r="X1999" t="str">
        <v>x</v>
      </c>
      <c r="Y1999">
        <f>D1985</f>
        <v>3</v>
      </c>
      <c r="Z1999" t="str">
        <v>=</v>
      </c>
      <c r="AA1999">
        <f>N1999*U1999*W1999*Y1999</f>
        <v>0</v>
      </c>
    </row>
    <row r="2000">
      <c r="A2000" t="str">
        <f>A1975</f>
        <v>Lantai 1</v>
      </c>
      <c r="B2000">
        <f>B1975</f>
        <v>64</v>
      </c>
      <c r="C2000" t="str">
        <v>Kait Horizontal Lap.</v>
      </c>
      <c r="D2000">
        <f>VLOOKUP(D1975,'Detail Balok'!$C$10:$BJ$140,51,FALSE)</f>
        <v>0</v>
      </c>
      <c r="E2000" t="str">
        <v>D</v>
      </c>
      <c r="F2000">
        <f>VLOOKUP(D1975,'Detail Balok'!$C$10:$BJ$140,53,FALSE)</f>
        <v>0</v>
      </c>
      <c r="G2000" t="str">
        <v>-</v>
      </c>
      <c r="H2000">
        <f>VLOOKUP(D1975,'Detail Balok'!$C$10:$BJ$140,55,FALSE)</f>
        <v>100</v>
      </c>
      <c r="J2000">
        <f>(D1976-2*F$5)/1000</f>
        <v>0.12</v>
      </c>
      <c r="K2000" t="str">
        <v>+</v>
      </c>
      <c r="L2000">
        <f>IF(D2000=0,2*MAX(6*F2000,75),(D2000-1)*2*MAX(6*F2000,75))/1000</f>
        <v>0.15</v>
      </c>
      <c r="M2000" t="str">
        <v>=</v>
      </c>
      <c r="N2000">
        <f>J2000+L2000</f>
        <v>0.27</v>
      </c>
      <c r="T2000" t="str">
        <v>x</v>
      </c>
      <c r="U2000">
        <f>0.006165*F2000^2</f>
        <v>0</v>
      </c>
      <c r="V2000" t="str">
        <v>x</v>
      </c>
      <c r="W2000">
        <f>W1996</f>
        <v>0</v>
      </c>
      <c r="X2000" t="str">
        <v>x</v>
      </c>
      <c r="Y2000">
        <f>D1985</f>
        <v>3</v>
      </c>
      <c r="Z2000" t="str">
        <v>=</v>
      </c>
      <c r="AA2000">
        <f>N2000*U2000*W2000*Y2000</f>
        <v>0</v>
      </c>
    </row>
    <row r="2001">
      <c r="A2001" t="str">
        <f>A1975</f>
        <v>Lantai 1</v>
      </c>
      <c r="B2001">
        <f>B1975</f>
        <v>64</v>
      </c>
      <c r="C2001" t="str">
        <v>Kait Horizontal Tump.</v>
      </c>
      <c r="D2001">
        <f>VLOOKUP(D1975,'Detail Balok'!$C$10:$BJ$140,56,FALSE)</f>
        <v>0</v>
      </c>
      <c r="E2001" t="str">
        <v>D</v>
      </c>
      <c r="F2001">
        <f>VLOOKUP(D1975,'Detail Balok'!$C$10:$BJ$140,58,FALSE)</f>
        <v>0</v>
      </c>
      <c r="G2001" t="str">
        <v>-</v>
      </c>
      <c r="H2001">
        <f>VLOOKUP(D1975,'Detail Balok'!$C$10:$BJ$140,60,FALSE)</f>
        <v>100</v>
      </c>
      <c r="J2001">
        <f>(D1976-2*F$5)/1000</f>
        <v>0.12</v>
      </c>
      <c r="K2001" t="str">
        <v>+</v>
      </c>
      <c r="L2001">
        <f>IF(D2001=0,2*MAX(6*F2001,75),(D2001-1)*2*MAX(6*F2001,75))/1000</f>
        <v>0.15</v>
      </c>
      <c r="M2001" t="str">
        <v>=</v>
      </c>
      <c r="N2001">
        <f>J2001+L2001</f>
        <v>0.27</v>
      </c>
      <c r="T2001" t="str">
        <v>x</v>
      </c>
      <c r="U2001">
        <f>0.006165*F2001^2</f>
        <v>0</v>
      </c>
      <c r="V2001" t="str">
        <v>x</v>
      </c>
      <c r="W2001">
        <f>W1997</f>
        <v>0</v>
      </c>
      <c r="X2001" t="str">
        <v>x</v>
      </c>
      <c r="Y2001">
        <f>D1985</f>
        <v>3</v>
      </c>
      <c r="Z2001" t="str">
        <v>=</v>
      </c>
      <c r="AA2001">
        <f>N2001*U2001*W2001*Y2001</f>
        <v>0</v>
      </c>
    </row>
    <row r="2005">
      <c r="A2005" t="str">
        <f>A1975</f>
        <v>Lantai 1</v>
      </c>
      <c r="B2005">
        <f>B1975+1</f>
        <v>65</v>
      </c>
      <c r="C2005" t="str">
        <f>CONCATENATE(A2005," no. ",B2005)</f>
        <v>Lantai 1 no. 65</v>
      </c>
      <c r="D2005" t="str">
        <f>VLOOKUP(C2005,'Data Panjang Balok'!$C$9:$N$254,2,FALSE)</f>
        <v>S25-1</v>
      </c>
    </row>
    <row r="2006">
      <c r="C2006" t="str">
        <v>Dimensi</v>
      </c>
      <c r="D2006">
        <f>VLOOKUP(D2005,'Detail Balok'!$C$10:$AU$140,2,FALSE)</f>
        <v>200</v>
      </c>
      <c r="F2006" t="str">
        <v>x</v>
      </c>
      <c r="G2006">
        <f>VLOOKUP(D2005,'Detail Balok'!$C$10:$AU$140,3,FALSE)</f>
        <v>500</v>
      </c>
    </row>
    <row r="2007">
      <c r="C2007" t="str">
        <v>Panjang as ke as</v>
      </c>
      <c r="D2007">
        <f>VLOOKUP(C2005,'Data Panjang Balok'!$C$9:$N$254,4,FALSE)</f>
        <v>1875</v>
      </c>
    </row>
    <row r="2008">
      <c r="C2008" t="str">
        <v>Panjang netto</v>
      </c>
      <c r="D2008">
        <f>VLOOKUP(C2005,'Data Panjang Balok'!$C$9:$N$254,7,FALSE)</f>
        <v>1875</v>
      </c>
    </row>
    <row r="2009">
      <c r="C2009" t="str">
        <v>Kolom / balok kiri</v>
      </c>
      <c r="D2009">
        <f>VLOOKUP(C2005,'Data Panjang Balok'!$C$9:$N$254,9,FALSE)</f>
        <v>0</v>
      </c>
    </row>
    <row r="2010">
      <c r="C2010" t="str">
        <v>Kolom / balok kanan</v>
      </c>
      <c r="D2010">
        <f>VLOOKUP(C2005,'Data Panjang Balok'!$C$9:$N$254,10,FALSE)</f>
        <v>0</v>
      </c>
    </row>
    <row r="2011">
      <c r="C2011" t="str">
        <v>Jumlah</v>
      </c>
      <c r="D2011">
        <f>VLOOKUP(C2005,'Data Panjang Balok'!$C$9:$N$254,3,FALSE)</f>
        <v>1</v>
      </c>
    </row>
    <row r="2012">
      <c r="A2012" t="str">
        <f>A2005</f>
        <v>Lantai 1</v>
      </c>
      <c r="B2012">
        <f>B2005</f>
        <v>65</v>
      </c>
      <c r="C2012" t="str">
        <v>Tul Atas Tumpuan</v>
      </c>
      <c r="D2012">
        <f>VLOOKUP(D2005,'Detail Balok'!$C$10:$AU$140,4,FALSE)</f>
        <v>3</v>
      </c>
      <c r="E2012" t="str">
        <v>D</v>
      </c>
      <c r="F2012">
        <f>VLOOKUP(D2005,'Detail Balok'!$C$10:$AU$140,6,FALSE)</f>
        <v>16</v>
      </c>
      <c r="I2012" t="str">
        <v>(</v>
      </c>
      <c r="J2012">
        <f>+D2007/4/1000</f>
        <v>0.46875</v>
      </c>
      <c r="K2012" t="str">
        <v>+</v>
      </c>
      <c r="L2012">
        <f>MAX(VLOOKUP(F2012,N$6:P$15,3,FALSE)/1000,2/3*D2009/1000)+F$16*F2012/1000</f>
        <v>0.192</v>
      </c>
      <c r="M2012" t="str">
        <v>=</v>
      </c>
      <c r="N2012">
        <f>J2012+L2012</f>
        <v>0.66075</v>
      </c>
      <c r="O2012" t="str">
        <v>+</v>
      </c>
      <c r="P2012">
        <f>D2012-D2013</f>
        <v>0</v>
      </c>
      <c r="Q2012" t="str">
        <v>x</v>
      </c>
      <c r="R2012">
        <f>IF(P2012&gt;0,$F$18*F2012/1000,0)</f>
        <v>0</v>
      </c>
      <c r="S2012" t="str">
        <v>)</v>
      </c>
      <c r="T2012" t="str">
        <v>x</v>
      </c>
      <c r="U2012">
        <f>0.006165*F2012^2</f>
        <v>1.57824</v>
      </c>
      <c r="X2012" t="str">
        <v>x</v>
      </c>
      <c r="Y2012">
        <f>D2011</f>
        <v>1</v>
      </c>
      <c r="Z2012" t="str">
        <v>=</v>
      </c>
      <c r="AA2012">
        <f>IF(AA2015=0,(D2012*N2012+P2012*R2012)*U2012*Y2012,0)</f>
        <v>0</v>
      </c>
    </row>
    <row r="2013">
      <c r="A2013" t="str">
        <f>A2005</f>
        <v>Lantai 1</v>
      </c>
      <c r="B2013">
        <f>B2005</f>
        <v>65</v>
      </c>
      <c r="C2013" t="str">
        <v>Tul Atas Lapangan</v>
      </c>
      <c r="D2013">
        <f>VLOOKUP(D2005,'Detail Balok'!$C$10:$AU$140,7,FALSE)</f>
        <v>3</v>
      </c>
      <c r="E2013" t="str">
        <v>D</v>
      </c>
      <c r="F2013">
        <f>VLOOKUP(D2005,'Detail Balok'!$C$10:$AU$140,9,FALSE)</f>
        <v>16</v>
      </c>
      <c r="I2013" t="str">
        <v>(</v>
      </c>
      <c r="J2013">
        <f>+D2007/2/1000</f>
        <v>0.9375</v>
      </c>
      <c r="K2013" t="str">
        <v>+</v>
      </c>
      <c r="M2013" t="str">
        <v>=</v>
      </c>
      <c r="N2013">
        <f>J2013+L2013</f>
        <v>0.9375</v>
      </c>
      <c r="O2013" t="str">
        <v>+</v>
      </c>
      <c r="P2013">
        <f>MAX(D2013-D2012,D2013-D2014)</f>
        <v>0</v>
      </c>
      <c r="Q2013" t="str">
        <v>x</v>
      </c>
      <c r="R2013">
        <f>IF(P2013&gt;0,2*(1-2*$F$19-1/2)*D2008/1000,0)</f>
        <v>0</v>
      </c>
      <c r="S2013" t="str">
        <v>)</v>
      </c>
      <c r="T2013" t="str">
        <v>x</v>
      </c>
      <c r="U2013">
        <f>0.006165*F2013^2</f>
        <v>1.57824</v>
      </c>
      <c r="X2013" t="str">
        <v>x</v>
      </c>
      <c r="Y2013">
        <f>D2011</f>
        <v>1</v>
      </c>
      <c r="Z2013" t="str">
        <v>=</v>
      </c>
      <c r="AA2013">
        <f>IF(AA2015=0,(D2013*N2013+P2013*R2013)*U2013*Y2013,0)</f>
        <v>0</v>
      </c>
    </row>
    <row r="2014">
      <c r="A2014" t="str">
        <f>A2005</f>
        <v>Lantai 1</v>
      </c>
      <c r="B2014">
        <f>B2005</f>
        <v>65</v>
      </c>
      <c r="C2014" t="str">
        <v>Tul Atas Tumpuan</v>
      </c>
      <c r="D2014">
        <f>VLOOKUP(D2005,'Detail Balok'!$C$10:$AU$140,10,FALSE)</f>
        <v>3</v>
      </c>
      <c r="E2014" t="str">
        <v>D</v>
      </c>
      <c r="F2014">
        <f>VLOOKUP(D2005,'Detail Balok'!$C$10:$AU$140,12,FALSE)</f>
        <v>16</v>
      </c>
      <c r="I2014" t="str">
        <v>(</v>
      </c>
      <c r="J2014">
        <f>+D2007/4/1000</f>
        <v>0.46875</v>
      </c>
      <c r="K2014" t="str">
        <v>+</v>
      </c>
      <c r="L2014">
        <f>MAX(VLOOKUP(F2014,N$6:P$15,3,FALSE)/1000,2/3*D2009/1000)+F$16*F2014/1000</f>
        <v>0.192</v>
      </c>
      <c r="M2014" t="str">
        <v>=</v>
      </c>
      <c r="N2014">
        <f>J2014+L2014</f>
        <v>0.66075</v>
      </c>
      <c r="O2014" t="str">
        <v>+</v>
      </c>
      <c r="P2014">
        <f>D2014-D2013</f>
        <v>0</v>
      </c>
      <c r="Q2014" t="str">
        <v>x</v>
      </c>
      <c r="R2014">
        <f>IF(P2014&gt;0,$F$18*F2014/1000,0)</f>
        <v>0</v>
      </c>
      <c r="S2014" t="str">
        <v>)</v>
      </c>
      <c r="T2014" t="str">
        <v>x</v>
      </c>
      <c r="U2014">
        <f>0.006165*F2014^2</f>
        <v>1.57824</v>
      </c>
      <c r="X2014" t="str">
        <v>x</v>
      </c>
      <c r="Y2014">
        <f>D2011</f>
        <v>1</v>
      </c>
      <c r="Z2014" t="str">
        <v>=</v>
      </c>
      <c r="AA2014">
        <f>IF(AA2015=0,(D2014*N2014+P2014*R2014)*U2014*Y2014,0)</f>
        <v>0</v>
      </c>
    </row>
    <row r="2015">
      <c r="A2015" t="str">
        <f>A2005</f>
        <v>Lantai 1</v>
      </c>
      <c r="B2015">
        <f>B2005</f>
        <v>65</v>
      </c>
      <c r="D2015">
        <f>IF(AND(D2012=D2013,D2013=D2014,D2012=D2014),D2012,0)</f>
        <v>3</v>
      </c>
      <c r="E2015" t="str">
        <v>D</v>
      </c>
      <c r="F2015">
        <f>IF(AND(F2012=F2013,F2012=F2014,F2013=F2014),F2012,0)</f>
        <v>16</v>
      </c>
      <c r="L2015" t="str">
        <v>Total panjang per balok</v>
      </c>
      <c r="M2015" t="str">
        <v>=</v>
      </c>
      <c r="N2015">
        <f>IF(AND(D2012=D2013,D2012=D2014,D2013=D2014,F2012=F2013,F2012=F2014,F2013=F2014),SUM(N2012:N2014),0)</f>
        <v>2.259</v>
      </c>
      <c r="O2015" t="str">
        <v>+</v>
      </c>
      <c r="P2015">
        <f>IF(N2015&gt;12,ROUNDDOWN(N2015/12,0),0)</f>
        <v>0</v>
      </c>
      <c r="Q2015" t="str">
        <v>x</v>
      </c>
      <c r="R2015">
        <f>IF(P2015&gt;0,MAX(VLOOKUP(F2015,$D$6:$G$15,3,FALSE),600),0)/1000</f>
        <v>0</v>
      </c>
      <c r="T2015" t="str">
        <v>x</v>
      </c>
      <c r="U2015">
        <f>U2014</f>
        <v>1.57824</v>
      </c>
      <c r="V2015" t="str">
        <v>x</v>
      </c>
      <c r="W2015">
        <f>D2015</f>
        <v>3</v>
      </c>
      <c r="X2015" t="str">
        <v>x</v>
      </c>
      <c r="Y2015">
        <f>Y2014</f>
        <v>1</v>
      </c>
      <c r="Z2015" t="str">
        <v>=</v>
      </c>
      <c r="AA2015">
        <f>(N2015+P2015*R2015/1000)*U2015*W2015*Y2015</f>
        <v>10.69573248</v>
      </c>
    </row>
    <row r="2017">
      <c r="A2017" t="str">
        <f>A2005</f>
        <v>Lantai 1</v>
      </c>
      <c r="B2017">
        <f>B2005</f>
        <v>65</v>
      </c>
      <c r="C2017" t="str">
        <v>Tul Peminggang</v>
      </c>
      <c r="D2017">
        <f>VLOOKUP(D2005,'Detail Balok'!$C$10:$AU$140,13,FALSE)</f>
        <v>2</v>
      </c>
      <c r="E2017" t="str">
        <v>D</v>
      </c>
      <c r="F2017">
        <f>VLOOKUP(D2005,'Detail Balok'!$C$10:$AU$140,15,FALSE)</f>
        <v>10</v>
      </c>
      <c r="J2017">
        <f>+D2007/1000</f>
        <v>1.875</v>
      </c>
      <c r="K2017" t="str">
        <v>+</v>
      </c>
      <c r="L2017">
        <f>2*$F$16*F2017/1000</f>
        <v>0.24</v>
      </c>
      <c r="M2017" t="str">
        <v>=</v>
      </c>
      <c r="N2017">
        <f>J2017+L2017</f>
        <v>2.115</v>
      </c>
      <c r="O2017" t="str">
        <v>+</v>
      </c>
      <c r="P2017">
        <f>IF(N2017&gt;12,ROUNDDOWN(N2017/12,0),0)</f>
        <v>0</v>
      </c>
      <c r="Q2017" t="str">
        <v>x</v>
      </c>
      <c r="R2017">
        <f>IF(P2017&gt;0,MAX(VLOOKUP(F2017,$D$6:$G$15,3,FALSE),600),0)/1000</f>
        <v>0</v>
      </c>
      <c r="T2017" t="str">
        <v>x</v>
      </c>
      <c r="U2017">
        <f>0.006165*F2017^2</f>
        <v>0.6165</v>
      </c>
      <c r="V2017" t="str">
        <v>x</v>
      </c>
      <c r="W2017">
        <f>+D2017</f>
        <v>2</v>
      </c>
      <c r="X2017" t="str">
        <v>x</v>
      </c>
      <c r="Y2017">
        <f>D2011</f>
        <v>1</v>
      </c>
      <c r="Z2017" t="str">
        <v>=</v>
      </c>
      <c r="AA2017">
        <f>(N2017+P2017*R2017/1000)*U2017*W2017*Y2017</f>
        <v>2.6077950000000003</v>
      </c>
    </row>
    <row r="2020">
      <c r="A2020" t="str">
        <f>A2005</f>
        <v>Lantai 1</v>
      </c>
      <c r="B2020">
        <f>B2005</f>
        <v>65</v>
      </c>
      <c r="C2020" t="str">
        <v>Tul Bawah Tumpuan</v>
      </c>
      <c r="D2020">
        <f>VLOOKUP(D2005,'Detail Balok'!$C$10:$AU$140,22,FALSE)</f>
        <v>3</v>
      </c>
      <c r="E2020" t="str">
        <v>D</v>
      </c>
      <c r="F2020">
        <f>VLOOKUP(D2005,'Detail Balok'!$C$10:$AU$140,24,FALSE)</f>
        <v>16</v>
      </c>
      <c r="I2020" t="str">
        <v>(</v>
      </c>
      <c r="J2020">
        <f>+J2012</f>
        <v>0.46875</v>
      </c>
      <c r="K2020" t="str">
        <v>+</v>
      </c>
      <c r="L2020">
        <f>MAX(VLOOKUP(F2020,N$6:P$15,3,FALSE)/1000,2/3*D2010/1000)+F$16*F2020/1000</f>
        <v>0.192</v>
      </c>
      <c r="M2020" t="str">
        <v>=</v>
      </c>
      <c r="N2020">
        <f>J2020+L2020</f>
        <v>0.66075</v>
      </c>
      <c r="O2020" t="str">
        <v>+</v>
      </c>
      <c r="P2020">
        <f>D2020-D2021</f>
        <v>0</v>
      </c>
      <c r="Q2020" t="str">
        <v>x</v>
      </c>
      <c r="R2020">
        <f>IF(P2020&gt;0,$F$18*F2020/1000,0)</f>
        <v>0</v>
      </c>
      <c r="S2020" t="str">
        <v>)</v>
      </c>
      <c r="T2020" t="str">
        <v>x</v>
      </c>
      <c r="U2020">
        <f>0.006165*F2020^2</f>
        <v>1.57824</v>
      </c>
      <c r="X2020" t="str">
        <v>x</v>
      </c>
      <c r="Y2020">
        <f>D2011</f>
        <v>1</v>
      </c>
      <c r="Z2020" t="str">
        <v>=</v>
      </c>
      <c r="AA2020">
        <f>IF(AA2023=0,(D2020*N2020+P2020*R2020)*U2020*Y2020,0)</f>
        <v>0</v>
      </c>
    </row>
    <row r="2021">
      <c r="A2021" t="str">
        <f>A2005</f>
        <v>Lantai 1</v>
      </c>
      <c r="B2021">
        <f>B2005</f>
        <v>65</v>
      </c>
      <c r="C2021" t="str">
        <v>Tul Bawah Lapangan</v>
      </c>
      <c r="D2021">
        <f>VLOOKUP(D2005,'Detail Balok'!$C$10:$AU$140,25,FALSE)</f>
        <v>3</v>
      </c>
      <c r="E2021" t="str">
        <v>D</v>
      </c>
      <c r="F2021">
        <f>VLOOKUP(D2005,'Detail Balok'!$C$10:$AU$140,27,FALSE)</f>
        <v>16</v>
      </c>
      <c r="I2021" t="str">
        <v>(</v>
      </c>
      <c r="J2021">
        <f>+J2013</f>
        <v>0.9375</v>
      </c>
      <c r="K2021" t="str">
        <v>+</v>
      </c>
      <c r="M2021" t="str">
        <v>=</v>
      </c>
      <c r="N2021">
        <f>J2021+L2021</f>
        <v>0.9375</v>
      </c>
      <c r="O2021" t="str">
        <v>+</v>
      </c>
      <c r="P2021">
        <f>MAX(D2021-D2020,D2021-D2022)</f>
        <v>0</v>
      </c>
      <c r="Q2021" t="str">
        <v>x</v>
      </c>
      <c r="R2021">
        <f>IF(P2021&gt;0,2*(1-2*$F$19-1/2)*D2008/1000,0)</f>
        <v>0</v>
      </c>
      <c r="S2021" t="str">
        <v>)</v>
      </c>
      <c r="T2021" t="str">
        <v>x</v>
      </c>
      <c r="U2021">
        <f>0.006165*F2021^2</f>
        <v>1.57824</v>
      </c>
      <c r="X2021" t="str">
        <v>x</v>
      </c>
      <c r="Y2021">
        <f>D2011</f>
        <v>1</v>
      </c>
      <c r="Z2021" t="str">
        <v>=</v>
      </c>
      <c r="AA2021">
        <f>IF(AA2023=0,(D2021*N2021+P2021*R2021)*U2021*Y2021,0)</f>
        <v>0</v>
      </c>
    </row>
    <row r="2022">
      <c r="A2022" t="str">
        <f>A2005</f>
        <v>Lantai 1</v>
      </c>
      <c r="B2022">
        <f>B2005</f>
        <v>65</v>
      </c>
      <c r="C2022" t="str">
        <v>Tul Bawah Tumpuan</v>
      </c>
      <c r="D2022">
        <f>VLOOKUP(D2005,'Detail Balok'!$C$10:$AU$140,28,FALSE)</f>
        <v>3</v>
      </c>
      <c r="E2022" t="str">
        <v>D</v>
      </c>
      <c r="F2022">
        <f>VLOOKUP(D2005,'Detail Balok'!$C$10:$AU$140,30,FALSE)</f>
        <v>16</v>
      </c>
      <c r="I2022" t="str">
        <v>(</v>
      </c>
      <c r="J2022">
        <f>+J2014</f>
        <v>0.46875</v>
      </c>
      <c r="K2022" t="str">
        <v>+</v>
      </c>
      <c r="L2022">
        <f>MAX(VLOOKUP(F2022,N$6:P$15,3,FALSE)/1000,2/3*D2010/1000)+F$16*F2022/1000</f>
        <v>0.192</v>
      </c>
      <c r="M2022" t="str">
        <v>=</v>
      </c>
      <c r="N2022">
        <f>J2022+L2022</f>
        <v>0.66075</v>
      </c>
      <c r="O2022" t="str">
        <v>+</v>
      </c>
      <c r="P2022">
        <f>D2022-D2021</f>
        <v>0</v>
      </c>
      <c r="Q2022" t="str">
        <v>x</v>
      </c>
      <c r="R2022">
        <f>IF(P2022&gt;0,$F$18*F2022/1000,0)</f>
        <v>0</v>
      </c>
      <c r="S2022" t="str">
        <v>)</v>
      </c>
      <c r="T2022" t="str">
        <v>x</v>
      </c>
      <c r="U2022">
        <f>0.006165*F2022^2</f>
        <v>1.57824</v>
      </c>
      <c r="X2022" t="str">
        <v>x</v>
      </c>
      <c r="Y2022">
        <f>D2011</f>
        <v>1</v>
      </c>
      <c r="Z2022" t="str">
        <v>=</v>
      </c>
      <c r="AA2022">
        <f>IF(AA2023=0,(D2022*N2022+P2022*R2022)*U2022*Y2022,0)</f>
        <v>0</v>
      </c>
    </row>
    <row r="2023">
      <c r="A2023" t="str">
        <f>A2005</f>
        <v>Lantai 1</v>
      </c>
      <c r="B2023">
        <f>B2005</f>
        <v>65</v>
      </c>
      <c r="D2023">
        <f>IF(AND(D2020=D2021,D2021=D2022,D2020=D2022),D2020,0)</f>
        <v>3</v>
      </c>
      <c r="E2023" t="str">
        <v>D</v>
      </c>
      <c r="F2023">
        <f>IF(AND(F2020=F2021,F2020=F2022,F2021=F2022),F2020,0)</f>
        <v>16</v>
      </c>
      <c r="L2023" t="str">
        <v>Total panjang per balok</v>
      </c>
      <c r="M2023" t="str">
        <v>=</v>
      </c>
      <c r="N2023">
        <f>IF(AND(D2020=D2021,D2020=D2022,D2021=D2022,F2020=F2021,F2020=F2022,F2021=F2022),SUM(N2020:N2022),0)</f>
        <v>2.259</v>
      </c>
      <c r="O2023" t="str">
        <v>+</v>
      </c>
      <c r="P2023">
        <f>IF(N2023&gt;12,ROUNDDOWN(N2023/12,0),0)</f>
        <v>0</v>
      </c>
      <c r="Q2023" t="str">
        <v>x</v>
      </c>
      <c r="R2023">
        <f>IF(P2023&gt;0,MAX(VLOOKUP(F2023,$D$6:$G$15,3,FALSE),600),0)/1000</f>
        <v>0</v>
      </c>
      <c r="T2023" t="str">
        <v>x</v>
      </c>
      <c r="U2023">
        <f>U2022</f>
        <v>1.57824</v>
      </c>
      <c r="V2023" t="str">
        <v>x</v>
      </c>
      <c r="W2023">
        <f>D2023</f>
        <v>3</v>
      </c>
      <c r="X2023" t="str">
        <v>x</v>
      </c>
      <c r="Y2023">
        <f>Y2022</f>
        <v>1</v>
      </c>
      <c r="Z2023" t="str">
        <v>=</v>
      </c>
      <c r="AA2023">
        <f>(N2023+P2023*R2023/1000)*U2023*W2023*Y2023</f>
        <v>10.69573248</v>
      </c>
    </row>
    <row r="2025">
      <c r="A2025" t="str">
        <f>A2005</f>
        <v>Lantai 1</v>
      </c>
      <c r="B2025">
        <f>B2005</f>
        <v>65</v>
      </c>
      <c r="C2025" t="str">
        <v>Sengkang Tumpuan</v>
      </c>
      <c r="D2025">
        <f>VLOOKUP(D2005,'Detail Balok'!$C$10:$AU$140,31,FALSE)</f>
        <v>0</v>
      </c>
      <c r="E2025" t="str">
        <v>D</v>
      </c>
      <c r="F2025">
        <f>VLOOKUP(D2005,'Detail Balok'!$C$10:$AU$140,33,FALSE)</f>
        <v>8</v>
      </c>
      <c r="G2025" t="str">
        <v>-</v>
      </c>
      <c r="H2025">
        <f>VLOOKUP(D2005,'Detail Balok'!$C$10:$AU$140,35,FALSE)</f>
        <v>150</v>
      </c>
      <c r="J2025">
        <f>(IF(D2025=0,(2*(D2006+G2006))-(F$5*8),IF(D2025=3,(2*(D2006+G2006))-(F$5*8)+(G2006-2*F$5),IF(D2025=4,(2*(D2006+G2006))-(F$5*8)+2*(G2006-2*F$5)))))/1000</f>
        <v>1.08</v>
      </c>
      <c r="K2025" t="str">
        <v>+</v>
      </c>
      <c r="L2025">
        <f>IF(D2025=0,2*MAX(6*F2025,75),(D2025-1)*2*MAX(6*F2025,75))/1000</f>
        <v>0.15</v>
      </c>
      <c r="M2025" t="str">
        <v>=</v>
      </c>
      <c r="N2025">
        <f>J2025+L2025</f>
        <v>1.23</v>
      </c>
      <c r="T2025" t="str">
        <v>x</v>
      </c>
      <c r="U2025">
        <f>0.006165*F2025^2</f>
        <v>0.39456</v>
      </c>
      <c r="V2025" t="str">
        <v>x</v>
      </c>
      <c r="W2025">
        <f>IF(D2008&gt;4*G2006,ROUND(MAX(D2008/4,2*G2006)/H2025,0)+1,ROUND(D2008/H2025,0)+1)</f>
        <v>14</v>
      </c>
      <c r="X2025" t="str">
        <v>x</v>
      </c>
      <c r="Y2025">
        <f>D2011</f>
        <v>1</v>
      </c>
      <c r="Z2025" t="str">
        <v>=</v>
      </c>
      <c r="AA2025">
        <f>N2025*U2025*W2025*Y2025</f>
        <v>6.794323200000001</v>
      </c>
    </row>
    <row r="2026">
      <c r="A2026" t="str">
        <f>A2005</f>
        <v>Lantai 1</v>
      </c>
      <c r="B2026">
        <f>B2005</f>
        <v>65</v>
      </c>
      <c r="C2026" t="str">
        <v>Sengkang Lapangan</v>
      </c>
      <c r="D2026">
        <f>VLOOKUP(D2005,'Detail Balok'!$C$10:$AU$140,36,FALSE)</f>
        <v>0</v>
      </c>
      <c r="E2026" t="str">
        <v>D</v>
      </c>
      <c r="F2026">
        <f>VLOOKUP(D2005,'Detail Balok'!$C$10:$AU$140,38,FALSE)</f>
        <v>8</v>
      </c>
      <c r="G2026" t="str">
        <v>-</v>
      </c>
      <c r="H2026">
        <f>VLOOKUP(D2005,'Detail Balok'!$C$10:$AU$140,40,FALSE)</f>
        <v>200</v>
      </c>
      <c r="J2026">
        <f>(IF(D2026=0,(2*(D2006+G2006))-(F$5*8),IF(D2026=3,(2*(D2006+G2006))-(F$5*8)+(G2006-2*F$5),IF(D2026=4,(2*(D2006+G2006))-(F$5*8)+2*(G2006-2*F$5)))))/1000</f>
        <v>1.08</v>
      </c>
      <c r="K2026" t="str">
        <v>+</v>
      </c>
      <c r="L2026">
        <f>IF(D2026=0,2*MAX(6*F2026,75),(D2026-1)*2*MAX(6*F2026,75))/1000</f>
        <v>0.15</v>
      </c>
      <c r="M2026" t="str">
        <v>=</v>
      </c>
      <c r="N2026">
        <f>J2026+L2026</f>
        <v>1.23</v>
      </c>
      <c r="T2026" t="str">
        <v>x</v>
      </c>
      <c r="U2026">
        <f>0.006165*F2026^2</f>
        <v>0.39456</v>
      </c>
      <c r="V2026" t="str">
        <v>x</v>
      </c>
      <c r="W2026">
        <f>IF(D2008-MAX(D2008/4,2*G2006)*2&gt;0,ROUND((D2008-MAX(D2008/4,2*G2006)*2)/H2026,0),0)</f>
        <v>0</v>
      </c>
      <c r="X2026" t="str">
        <v>x</v>
      </c>
      <c r="Y2026">
        <f>D2011</f>
        <v>1</v>
      </c>
      <c r="Z2026" t="str">
        <v>=</v>
      </c>
      <c r="AA2026">
        <f>N2026*U2026*W2026*Y2026</f>
        <v>0</v>
      </c>
    </row>
    <row r="2027">
      <c r="A2027" t="str">
        <f>A2005</f>
        <v>Lantai 1</v>
      </c>
      <c r="B2027">
        <f>B2005</f>
        <v>65</v>
      </c>
      <c r="C2027" t="str">
        <v>Sengkang Tumpuan</v>
      </c>
      <c r="D2027">
        <f>VLOOKUP(D2005,'Detail Balok'!$C$10:$AU$140,41,FALSE)</f>
        <v>0</v>
      </c>
      <c r="E2027" t="str">
        <v>D</v>
      </c>
      <c r="F2027">
        <f>VLOOKUP(D2005,'Detail Balok'!$C$10:$AU$140,43,FALSE)</f>
        <v>8</v>
      </c>
      <c r="G2027" t="str">
        <v>-</v>
      </c>
      <c r="H2027">
        <f>VLOOKUP(D2005,'Detail Balok'!$C$10:$AU$140,45,FALSE)</f>
        <v>150</v>
      </c>
      <c r="J2027">
        <f>(IF(D2027=0,(2*(D2006+G2006))-(F$5*8),IF(D2027=3,(2*(D2006+G2006))-(F$5*8)+(G2006-2*F$5),IF(D2027=4,(2*(D2006+G2006))-(F$5*8)+2*(G2006-2*F$5)))))/1000</f>
        <v>1.08</v>
      </c>
      <c r="K2027" t="str">
        <v>+</v>
      </c>
      <c r="L2027">
        <f>IF(D2027=0,2*MAX(6*F2027,75),(D2027-1)*2*MAX(6*F2027,75))/1000</f>
        <v>0.15</v>
      </c>
      <c r="M2027" t="str">
        <v>=</v>
      </c>
      <c r="N2027">
        <f>J2027+L2027</f>
        <v>1.23</v>
      </c>
      <c r="T2027" t="str">
        <v>x</v>
      </c>
      <c r="U2027">
        <f>0.006165*F2027^2</f>
        <v>0.39456</v>
      </c>
      <c r="V2027" t="str">
        <v>x</v>
      </c>
      <c r="W2027">
        <f>IF(D2008&gt;4*G2006,ROUND(MAX(D2008/4,2*G2006)/H2027,0)+1,0)</f>
        <v>0</v>
      </c>
      <c r="X2027" t="str">
        <v>x</v>
      </c>
      <c r="Y2027">
        <f>D2011</f>
        <v>1</v>
      </c>
      <c r="Z2027" t="str">
        <v>=</v>
      </c>
      <c r="AA2027">
        <f>N2027*U2027*W2027*Y2027</f>
        <v>0</v>
      </c>
    </row>
    <row r="2029">
      <c r="A2029" t="str">
        <f>A2005</f>
        <v>Lantai 1</v>
      </c>
      <c r="B2029">
        <f>B2005</f>
        <v>65</v>
      </c>
      <c r="C2029" t="str">
        <v>Kait Horizontal Tump.</v>
      </c>
      <c r="D2029">
        <f>VLOOKUP(D2005,'Detail Balok'!$C$10:$BJ$140,46,FALSE)</f>
        <v>0</v>
      </c>
      <c r="E2029" t="str">
        <v>D</v>
      </c>
      <c r="F2029">
        <f>VLOOKUP(D2005,'Detail Balok'!$C$10:$BJ$140,48,FALSE)</f>
        <v>0</v>
      </c>
      <c r="G2029" t="str">
        <v>-</v>
      </c>
      <c r="H2029">
        <f>VLOOKUP(D2005,'Detail Balok'!$C$10:$BJ$140,50,FALSE)</f>
        <v>100</v>
      </c>
      <c r="J2029">
        <f>(D2006-2*F$5)/1000</f>
        <v>0.12</v>
      </c>
      <c r="K2029" t="str">
        <v>+</v>
      </c>
      <c r="L2029">
        <f>IF(D2029=0,2*MAX(6*F2029,75),(D2029-1)*2*MAX(6*F2029,75))/1000</f>
        <v>0.15</v>
      </c>
      <c r="M2029" t="str">
        <v>=</v>
      </c>
      <c r="N2029">
        <f>J2029+L2029</f>
        <v>0.27</v>
      </c>
      <c r="T2029" t="str">
        <v>x</v>
      </c>
      <c r="U2029">
        <f>0.006165*F2029^2</f>
        <v>0</v>
      </c>
      <c r="V2029" t="str">
        <v>x</v>
      </c>
      <c r="W2029">
        <f>W2025</f>
        <v>14</v>
      </c>
      <c r="X2029" t="str">
        <v>x</v>
      </c>
      <c r="Y2029">
        <f>D2015</f>
        <v>3</v>
      </c>
      <c r="Z2029" t="str">
        <v>=</v>
      </c>
      <c r="AA2029">
        <f>N2029*U2029*W2029*Y2029</f>
        <v>0</v>
      </c>
    </row>
    <row r="2030">
      <c r="A2030" t="str">
        <f>A2005</f>
        <v>Lantai 1</v>
      </c>
      <c r="B2030">
        <f>B2005</f>
        <v>65</v>
      </c>
      <c r="C2030" t="str">
        <v>Kait Horizontal Lap.</v>
      </c>
      <c r="D2030">
        <f>VLOOKUP(D2005,'Detail Balok'!$C$10:$BJ$140,51,FALSE)</f>
        <v>0</v>
      </c>
      <c r="E2030" t="str">
        <v>D</v>
      </c>
      <c r="F2030">
        <f>VLOOKUP(D2005,'Detail Balok'!$C$10:$BJ$140,53,FALSE)</f>
        <v>0</v>
      </c>
      <c r="G2030" t="str">
        <v>-</v>
      </c>
      <c r="H2030">
        <f>VLOOKUP(D2005,'Detail Balok'!$C$10:$BJ$140,55,FALSE)</f>
        <v>100</v>
      </c>
      <c r="J2030">
        <f>(D2006-2*F$5)/1000</f>
        <v>0.12</v>
      </c>
      <c r="K2030" t="str">
        <v>+</v>
      </c>
      <c r="L2030">
        <f>IF(D2030=0,2*MAX(6*F2030,75),(D2030-1)*2*MAX(6*F2030,75))/1000</f>
        <v>0.15</v>
      </c>
      <c r="M2030" t="str">
        <v>=</v>
      </c>
      <c r="N2030">
        <f>J2030+L2030</f>
        <v>0.27</v>
      </c>
      <c r="T2030" t="str">
        <v>x</v>
      </c>
      <c r="U2030">
        <f>0.006165*F2030^2</f>
        <v>0</v>
      </c>
      <c r="V2030" t="str">
        <v>x</v>
      </c>
      <c r="W2030">
        <f>W2026</f>
        <v>0</v>
      </c>
      <c r="X2030" t="str">
        <v>x</v>
      </c>
      <c r="Y2030">
        <f>D2015</f>
        <v>3</v>
      </c>
      <c r="Z2030" t="str">
        <v>=</v>
      </c>
      <c r="AA2030">
        <f>N2030*U2030*W2030*Y2030</f>
        <v>0</v>
      </c>
    </row>
    <row r="2031">
      <c r="A2031" t="str">
        <f>A2005</f>
        <v>Lantai 1</v>
      </c>
      <c r="B2031">
        <f>B2005</f>
        <v>65</v>
      </c>
      <c r="C2031" t="str">
        <v>Kait Horizontal Tump.</v>
      </c>
      <c r="D2031">
        <f>VLOOKUP(D2005,'Detail Balok'!$C$10:$BJ$140,56,FALSE)</f>
        <v>0</v>
      </c>
      <c r="E2031" t="str">
        <v>D</v>
      </c>
      <c r="F2031">
        <f>VLOOKUP(D2005,'Detail Balok'!$C$10:$BJ$140,58,FALSE)</f>
        <v>0</v>
      </c>
      <c r="G2031" t="str">
        <v>-</v>
      </c>
      <c r="H2031">
        <f>VLOOKUP(D2005,'Detail Balok'!$C$10:$BJ$140,60,FALSE)</f>
        <v>100</v>
      </c>
      <c r="J2031">
        <f>(D2006-2*F$5)/1000</f>
        <v>0.12</v>
      </c>
      <c r="K2031" t="str">
        <v>+</v>
      </c>
      <c r="L2031">
        <f>IF(D2031=0,2*MAX(6*F2031,75),(D2031-1)*2*MAX(6*F2031,75))/1000</f>
        <v>0.15</v>
      </c>
      <c r="M2031" t="str">
        <v>=</v>
      </c>
      <c r="N2031">
        <f>J2031+L2031</f>
        <v>0.27</v>
      </c>
      <c r="T2031" t="str">
        <v>x</v>
      </c>
      <c r="U2031">
        <f>0.006165*F2031^2</f>
        <v>0</v>
      </c>
      <c r="V2031" t="str">
        <v>x</v>
      </c>
      <c r="W2031">
        <f>W2027</f>
        <v>0</v>
      </c>
      <c r="X2031" t="str">
        <v>x</v>
      </c>
      <c r="Y2031">
        <f>D2015</f>
        <v>3</v>
      </c>
      <c r="Z2031" t="str">
        <v>=</v>
      </c>
      <c r="AA2031">
        <f>N2031*U2031*W2031*Y2031</f>
        <v>0</v>
      </c>
    </row>
    <row r="2035">
      <c r="A2035" t="str">
        <f>A2005</f>
        <v>Lantai 1</v>
      </c>
      <c r="B2035">
        <f>B2005+1</f>
        <v>66</v>
      </c>
      <c r="C2035" t="str">
        <f>CONCATENATE(A2035," no. ",B2035)</f>
        <v>Lantai 1 no. 66</v>
      </c>
      <c r="D2035" t="str">
        <f>VLOOKUP(C2035,'Data Panjang Balok'!$C$9:$N$254,2,FALSE)</f>
        <v>S24-1</v>
      </c>
    </row>
    <row r="2036">
      <c r="C2036" t="str">
        <v>Dimensi</v>
      </c>
      <c r="D2036">
        <f>VLOOKUP(D2035,'Detail Balok'!$C$10:$AU$140,2,FALSE)</f>
        <v>200</v>
      </c>
      <c r="F2036" t="str">
        <v>x</v>
      </c>
      <c r="G2036">
        <f>VLOOKUP(D2035,'Detail Balok'!$C$10:$AU$140,3,FALSE)</f>
        <v>400</v>
      </c>
    </row>
    <row r="2037">
      <c r="C2037" t="str">
        <v>Panjang as ke as</v>
      </c>
      <c r="D2037">
        <f>VLOOKUP(C2035,'Data Panjang Balok'!$C$9:$N$254,4,FALSE)</f>
        <v>2100</v>
      </c>
    </row>
    <row r="2038">
      <c r="C2038" t="str">
        <v>Panjang netto</v>
      </c>
      <c r="D2038">
        <f>VLOOKUP(C2035,'Data Panjang Balok'!$C$9:$N$254,7,FALSE)</f>
        <v>2100</v>
      </c>
    </row>
    <row r="2039">
      <c r="C2039" t="str">
        <v>Kolom / balok kiri</v>
      </c>
      <c r="D2039">
        <f>VLOOKUP(C2035,'Data Panjang Balok'!$C$9:$N$254,9,FALSE)</f>
        <v>0</v>
      </c>
    </row>
    <row r="2040">
      <c r="C2040" t="str">
        <v>Kolom / balok kanan</v>
      </c>
      <c r="D2040">
        <f>VLOOKUP(C2035,'Data Panjang Balok'!$C$9:$N$254,10,FALSE)</f>
        <v>0</v>
      </c>
    </row>
    <row r="2041">
      <c r="C2041" t="str">
        <v>Jumlah</v>
      </c>
      <c r="D2041">
        <f>VLOOKUP(C2035,'Data Panjang Balok'!$C$9:$N$254,3,FALSE)</f>
        <v>1</v>
      </c>
    </row>
    <row r="2042">
      <c r="A2042" t="str">
        <f>A2035</f>
        <v>Lantai 1</v>
      </c>
      <c r="B2042">
        <f>B2035</f>
        <v>66</v>
      </c>
      <c r="C2042" t="str">
        <v>Tul Atas Tumpuan</v>
      </c>
      <c r="D2042">
        <f>VLOOKUP(D2035,'Detail Balok'!$C$10:$AU$140,4,FALSE)</f>
        <v>3</v>
      </c>
      <c r="E2042" t="str">
        <v>D</v>
      </c>
      <c r="F2042">
        <f>VLOOKUP(D2035,'Detail Balok'!$C$10:$AU$140,6,FALSE)</f>
        <v>13</v>
      </c>
      <c r="I2042" t="str">
        <v>(</v>
      </c>
      <c r="J2042">
        <f>+D2037/4/1000</f>
        <v>0.525</v>
      </c>
      <c r="K2042" t="str">
        <v>+</v>
      </c>
      <c r="L2042">
        <f>MAX(VLOOKUP(F2042,N$6:P$15,3,FALSE)/1000,2/3*D2039/1000)+F$16*F2042/1000</f>
        <v>0.156</v>
      </c>
      <c r="M2042" t="str">
        <v>=</v>
      </c>
      <c r="N2042">
        <f>J2042+L2042</f>
        <v>0.681</v>
      </c>
      <c r="O2042" t="str">
        <v>+</v>
      </c>
      <c r="P2042">
        <f>D2042-D2043</f>
        <v>0</v>
      </c>
      <c r="Q2042" t="str">
        <v>x</v>
      </c>
      <c r="R2042">
        <f>IF(P2042&gt;0,$F$18*F2042/1000,0)</f>
        <v>0</v>
      </c>
      <c r="S2042" t="str">
        <v>)</v>
      </c>
      <c r="T2042" t="str">
        <v>x</v>
      </c>
      <c r="U2042">
        <f>0.006165*F2042^2</f>
        <v>1.041885</v>
      </c>
      <c r="X2042" t="str">
        <v>x</v>
      </c>
      <c r="Y2042">
        <f>D2041</f>
        <v>1</v>
      </c>
      <c r="Z2042" t="str">
        <v>=</v>
      </c>
      <c r="AA2042">
        <f>IF(AA2045=0,(D2042*N2042+P2042*R2042)*U2042*Y2042,0)</f>
        <v>0</v>
      </c>
    </row>
    <row r="2043">
      <c r="A2043" t="str">
        <f>A2035</f>
        <v>Lantai 1</v>
      </c>
      <c r="B2043">
        <f>B2035</f>
        <v>66</v>
      </c>
      <c r="C2043" t="str">
        <v>Tul Atas Lapangan</v>
      </c>
      <c r="D2043">
        <f>VLOOKUP(D2035,'Detail Balok'!$C$10:$AU$140,7,FALSE)</f>
        <v>3</v>
      </c>
      <c r="E2043" t="str">
        <v>D</v>
      </c>
      <c r="F2043">
        <f>VLOOKUP(D2035,'Detail Balok'!$C$10:$AU$140,9,FALSE)</f>
        <v>13</v>
      </c>
      <c r="I2043" t="str">
        <v>(</v>
      </c>
      <c r="J2043">
        <f>+D2037/2/1000</f>
        <v>1.05</v>
      </c>
      <c r="K2043" t="str">
        <v>+</v>
      </c>
      <c r="M2043" t="str">
        <v>=</v>
      </c>
      <c r="N2043">
        <f>J2043+L2043</f>
        <v>1.05</v>
      </c>
      <c r="O2043" t="str">
        <v>+</v>
      </c>
      <c r="P2043">
        <f>MAX(D2043-D2042,D2043-D2044)</f>
        <v>0</v>
      </c>
      <c r="Q2043" t="str">
        <v>x</v>
      </c>
      <c r="R2043">
        <f>IF(P2043&gt;0,2*(1-2*$F$19-1/2)*D2038/1000,0)</f>
        <v>0</v>
      </c>
      <c r="S2043" t="str">
        <v>)</v>
      </c>
      <c r="T2043" t="str">
        <v>x</v>
      </c>
      <c r="U2043">
        <f>0.006165*F2043^2</f>
        <v>1.041885</v>
      </c>
      <c r="X2043" t="str">
        <v>x</v>
      </c>
      <c r="Y2043">
        <f>D2041</f>
        <v>1</v>
      </c>
      <c r="Z2043" t="str">
        <v>=</v>
      </c>
      <c r="AA2043">
        <f>IF(AA2045=0,(D2043*N2043+P2043*R2043)*U2043*Y2043,0)</f>
        <v>0</v>
      </c>
    </row>
    <row r="2044">
      <c r="A2044" t="str">
        <f>A2035</f>
        <v>Lantai 1</v>
      </c>
      <c r="B2044">
        <f>B2035</f>
        <v>66</v>
      </c>
      <c r="C2044" t="str">
        <v>Tul Atas Tumpuan</v>
      </c>
      <c r="D2044">
        <f>VLOOKUP(D2035,'Detail Balok'!$C$10:$AU$140,10,FALSE)</f>
        <v>3</v>
      </c>
      <c r="E2044" t="str">
        <v>D</v>
      </c>
      <c r="F2044">
        <f>VLOOKUP(D2035,'Detail Balok'!$C$10:$AU$140,12,FALSE)</f>
        <v>13</v>
      </c>
      <c r="I2044" t="str">
        <v>(</v>
      </c>
      <c r="J2044">
        <f>+D2037/4/1000</f>
        <v>0.525</v>
      </c>
      <c r="K2044" t="str">
        <v>+</v>
      </c>
      <c r="L2044">
        <f>MAX(VLOOKUP(F2044,N$6:P$15,3,FALSE)/1000,2/3*D2039/1000)+F$16*F2044/1000</f>
        <v>0.156</v>
      </c>
      <c r="M2044" t="str">
        <v>=</v>
      </c>
      <c r="N2044">
        <f>J2044+L2044</f>
        <v>0.681</v>
      </c>
      <c r="O2044" t="str">
        <v>+</v>
      </c>
      <c r="P2044">
        <f>D2044-D2043</f>
        <v>0</v>
      </c>
      <c r="Q2044" t="str">
        <v>x</v>
      </c>
      <c r="R2044">
        <f>IF(P2044&gt;0,$F$18*F2044/1000,0)</f>
        <v>0</v>
      </c>
      <c r="S2044" t="str">
        <v>)</v>
      </c>
      <c r="T2044" t="str">
        <v>x</v>
      </c>
      <c r="U2044">
        <f>0.006165*F2044^2</f>
        <v>1.041885</v>
      </c>
      <c r="X2044" t="str">
        <v>x</v>
      </c>
      <c r="Y2044">
        <f>D2041</f>
        <v>1</v>
      </c>
      <c r="Z2044" t="str">
        <v>=</v>
      </c>
      <c r="AA2044">
        <f>IF(AA2045=0,(D2044*N2044+P2044*R2044)*U2044*Y2044,0)</f>
        <v>0</v>
      </c>
    </row>
    <row r="2045">
      <c r="A2045" t="str">
        <f>A2035</f>
        <v>Lantai 1</v>
      </c>
      <c r="B2045">
        <f>B2035</f>
        <v>66</v>
      </c>
      <c r="D2045">
        <f>IF(AND(D2042=D2043,D2043=D2044,D2042=D2044),D2042,0)</f>
        <v>3</v>
      </c>
      <c r="E2045" t="str">
        <v>D</v>
      </c>
      <c r="F2045">
        <f>IF(AND(F2042=F2043,F2042=F2044,F2043=F2044),F2042,0)</f>
        <v>13</v>
      </c>
      <c r="L2045" t="str">
        <v>Total panjang per balok</v>
      </c>
      <c r="M2045" t="str">
        <v>=</v>
      </c>
      <c r="N2045">
        <f>IF(AND(D2042=D2043,D2042=D2044,D2043=D2044,F2042=F2043,F2042=F2044,F2043=F2044),SUM(N2042:N2044),0)</f>
        <v>2.412</v>
      </c>
      <c r="O2045" t="str">
        <v>+</v>
      </c>
      <c r="P2045">
        <f>IF(N2045&gt;12,ROUNDDOWN(N2045/12,0),0)</f>
        <v>0</v>
      </c>
      <c r="Q2045" t="str">
        <v>x</v>
      </c>
      <c r="R2045">
        <f>IF(P2045&gt;0,MAX(VLOOKUP(F2045,$D$6:$G$15,3,FALSE),600),0)/1000</f>
        <v>0</v>
      </c>
      <c r="T2045" t="str">
        <v>x</v>
      </c>
      <c r="U2045">
        <f>U2044</f>
        <v>1.041885</v>
      </c>
      <c r="V2045" t="str">
        <v>x</v>
      </c>
      <c r="W2045">
        <f>D2045</f>
        <v>3</v>
      </c>
      <c r="X2045" t="str">
        <v>x</v>
      </c>
      <c r="Y2045">
        <f>Y2044</f>
        <v>1</v>
      </c>
      <c r="Z2045" t="str">
        <v>=</v>
      </c>
      <c r="AA2045">
        <f>(N2045+P2045*R2045/1000)*U2045*W2045*Y2045</f>
        <v>7.539079859999999</v>
      </c>
    </row>
    <row r="2047">
      <c r="A2047" t="str">
        <f>A2035</f>
        <v>Lantai 1</v>
      </c>
      <c r="B2047">
        <f>B2035</f>
        <v>66</v>
      </c>
      <c r="C2047" t="str">
        <v>Tul Peminggang</v>
      </c>
      <c r="D2047">
        <f>VLOOKUP(D2035,'Detail Balok'!$C$10:$AU$140,13,FALSE)</f>
        <v>0</v>
      </c>
      <c r="E2047" t="str">
        <v>D</v>
      </c>
      <c r="F2047">
        <f>VLOOKUP(D2035,'Detail Balok'!$C$10:$AU$140,15,FALSE)</f>
        <v>8</v>
      </c>
      <c r="J2047">
        <f>+D2037/1000</f>
        <v>2.1</v>
      </c>
      <c r="K2047" t="str">
        <v>+</v>
      </c>
      <c r="L2047">
        <f>2*$F$16*F2047/1000</f>
        <v>0.192</v>
      </c>
      <c r="M2047" t="str">
        <v>=</v>
      </c>
      <c r="N2047">
        <f>J2047+L2047</f>
        <v>2.2920000000000003</v>
      </c>
      <c r="O2047" t="str">
        <v>+</v>
      </c>
      <c r="P2047">
        <f>IF(N2047&gt;12,ROUNDDOWN(N2047/12,0),0)</f>
        <v>0</v>
      </c>
      <c r="Q2047" t="str">
        <v>x</v>
      </c>
      <c r="R2047">
        <f>IF(P2047&gt;0,MAX(VLOOKUP(F2047,$D$6:$G$15,3,FALSE),600),0)/1000</f>
        <v>0</v>
      </c>
      <c r="T2047" t="str">
        <v>x</v>
      </c>
      <c r="U2047">
        <f>0.006165*F2047^2</f>
        <v>0.39456</v>
      </c>
      <c r="V2047" t="str">
        <v>x</v>
      </c>
      <c r="W2047">
        <f>+D2047</f>
        <v>0</v>
      </c>
      <c r="X2047" t="str">
        <v>x</v>
      </c>
      <c r="Y2047">
        <f>D2041</f>
        <v>1</v>
      </c>
      <c r="Z2047" t="str">
        <v>=</v>
      </c>
      <c r="AA2047">
        <f>(N2047+P2047*R2047/1000)*U2047*W2047*Y2047</f>
        <v>0</v>
      </c>
    </row>
    <row r="2050">
      <c r="A2050" t="str">
        <f>A2035</f>
        <v>Lantai 1</v>
      </c>
      <c r="B2050">
        <f>B2035</f>
        <v>66</v>
      </c>
      <c r="C2050" t="str">
        <v>Tul Bawah Tumpuan</v>
      </c>
      <c r="D2050">
        <f>VLOOKUP(D2035,'Detail Balok'!$C$10:$AU$140,22,FALSE)</f>
        <v>3</v>
      </c>
      <c r="E2050" t="str">
        <v>D</v>
      </c>
      <c r="F2050">
        <f>VLOOKUP(D2035,'Detail Balok'!$C$10:$AU$140,24,FALSE)</f>
        <v>13</v>
      </c>
      <c r="I2050" t="str">
        <v>(</v>
      </c>
      <c r="J2050">
        <f>+J2042</f>
        <v>0.525</v>
      </c>
      <c r="K2050" t="str">
        <v>+</v>
      </c>
      <c r="L2050">
        <f>MAX(VLOOKUP(F2050,N$6:P$15,3,FALSE)/1000,2/3*D2040/1000)+F$16*F2050/1000</f>
        <v>0.156</v>
      </c>
      <c r="M2050" t="str">
        <v>=</v>
      </c>
      <c r="N2050">
        <f>J2050+L2050</f>
        <v>0.681</v>
      </c>
      <c r="O2050" t="str">
        <v>+</v>
      </c>
      <c r="P2050">
        <f>D2050-D2051</f>
        <v>0</v>
      </c>
      <c r="Q2050" t="str">
        <v>x</v>
      </c>
      <c r="R2050">
        <f>IF(P2050&gt;0,$F$18*F2050/1000,0)</f>
        <v>0</v>
      </c>
      <c r="S2050" t="str">
        <v>)</v>
      </c>
      <c r="T2050" t="str">
        <v>x</v>
      </c>
      <c r="U2050">
        <f>0.006165*F2050^2</f>
        <v>1.041885</v>
      </c>
      <c r="X2050" t="str">
        <v>x</v>
      </c>
      <c r="Y2050">
        <f>D2041</f>
        <v>1</v>
      </c>
      <c r="Z2050" t="str">
        <v>=</v>
      </c>
      <c r="AA2050">
        <f>IF(AA2053=0,(D2050*N2050+P2050*R2050)*U2050*Y2050,0)</f>
        <v>0</v>
      </c>
    </row>
    <row r="2051">
      <c r="A2051" t="str">
        <f>A2035</f>
        <v>Lantai 1</v>
      </c>
      <c r="B2051">
        <f>B2035</f>
        <v>66</v>
      </c>
      <c r="C2051" t="str">
        <v>Tul Bawah Lapangan</v>
      </c>
      <c r="D2051">
        <f>VLOOKUP(D2035,'Detail Balok'!$C$10:$AU$140,25,FALSE)</f>
        <v>3</v>
      </c>
      <c r="E2051" t="str">
        <v>D</v>
      </c>
      <c r="F2051">
        <f>VLOOKUP(D2035,'Detail Balok'!$C$10:$AU$140,27,FALSE)</f>
        <v>13</v>
      </c>
      <c r="I2051" t="str">
        <v>(</v>
      </c>
      <c r="J2051">
        <f>+J2043</f>
        <v>1.05</v>
      </c>
      <c r="K2051" t="str">
        <v>+</v>
      </c>
      <c r="M2051" t="str">
        <v>=</v>
      </c>
      <c r="N2051">
        <f>J2051+L2051</f>
        <v>1.05</v>
      </c>
      <c r="O2051" t="str">
        <v>+</v>
      </c>
      <c r="P2051">
        <f>MAX(D2051-D2050,D2051-D2052)</f>
        <v>0</v>
      </c>
      <c r="Q2051" t="str">
        <v>x</v>
      </c>
      <c r="R2051">
        <f>IF(P2051&gt;0,2*(1-2*$F$19-1/2)*D2038/1000,0)</f>
        <v>0</v>
      </c>
      <c r="S2051" t="str">
        <v>)</v>
      </c>
      <c r="T2051" t="str">
        <v>x</v>
      </c>
      <c r="U2051">
        <f>0.006165*F2051^2</f>
        <v>1.041885</v>
      </c>
      <c r="X2051" t="str">
        <v>x</v>
      </c>
      <c r="Y2051">
        <f>D2041</f>
        <v>1</v>
      </c>
      <c r="Z2051" t="str">
        <v>=</v>
      </c>
      <c r="AA2051">
        <f>IF(AA2053=0,(D2051*N2051+P2051*R2051)*U2051*Y2051,0)</f>
        <v>0</v>
      </c>
    </row>
    <row r="2052">
      <c r="A2052" t="str">
        <f>A2035</f>
        <v>Lantai 1</v>
      </c>
      <c r="B2052">
        <f>B2035</f>
        <v>66</v>
      </c>
      <c r="C2052" t="str">
        <v>Tul Bawah Tumpuan</v>
      </c>
      <c r="D2052">
        <f>VLOOKUP(D2035,'Detail Balok'!$C$10:$AU$140,28,FALSE)</f>
        <v>3</v>
      </c>
      <c r="E2052" t="str">
        <v>D</v>
      </c>
      <c r="F2052">
        <f>VLOOKUP(D2035,'Detail Balok'!$C$10:$AU$140,30,FALSE)</f>
        <v>13</v>
      </c>
      <c r="I2052" t="str">
        <v>(</v>
      </c>
      <c r="J2052">
        <f>+J2044</f>
        <v>0.525</v>
      </c>
      <c r="K2052" t="str">
        <v>+</v>
      </c>
      <c r="L2052">
        <f>MAX(VLOOKUP(F2052,N$6:P$15,3,FALSE)/1000,2/3*D2040/1000)+F$16*F2052/1000</f>
        <v>0.156</v>
      </c>
      <c r="M2052" t="str">
        <v>=</v>
      </c>
      <c r="N2052">
        <f>J2052+L2052</f>
        <v>0.681</v>
      </c>
      <c r="O2052" t="str">
        <v>+</v>
      </c>
      <c r="P2052">
        <f>D2052-D2051</f>
        <v>0</v>
      </c>
      <c r="Q2052" t="str">
        <v>x</v>
      </c>
      <c r="R2052">
        <f>IF(P2052&gt;0,$F$18*F2052/1000,0)</f>
        <v>0</v>
      </c>
      <c r="S2052" t="str">
        <v>)</v>
      </c>
      <c r="T2052" t="str">
        <v>x</v>
      </c>
      <c r="U2052">
        <f>0.006165*F2052^2</f>
        <v>1.041885</v>
      </c>
      <c r="X2052" t="str">
        <v>x</v>
      </c>
      <c r="Y2052">
        <f>D2041</f>
        <v>1</v>
      </c>
      <c r="Z2052" t="str">
        <v>=</v>
      </c>
      <c r="AA2052">
        <f>IF(AA2053=0,(D2052*N2052+P2052*R2052)*U2052*Y2052,0)</f>
        <v>0</v>
      </c>
    </row>
    <row r="2053">
      <c r="A2053" t="str">
        <f>A2035</f>
        <v>Lantai 1</v>
      </c>
      <c r="B2053">
        <f>B2035</f>
        <v>66</v>
      </c>
      <c r="D2053">
        <f>IF(AND(D2050=D2051,D2051=D2052,D2050=D2052),D2050,0)</f>
        <v>3</v>
      </c>
      <c r="E2053" t="str">
        <v>D</v>
      </c>
      <c r="F2053">
        <f>IF(AND(F2050=F2051,F2050=F2052,F2051=F2052),F2050,0)</f>
        <v>13</v>
      </c>
      <c r="L2053" t="str">
        <v>Total panjang per balok</v>
      </c>
      <c r="M2053" t="str">
        <v>=</v>
      </c>
      <c r="N2053">
        <f>IF(AND(D2050=D2051,D2050=D2052,D2051=D2052,F2050=F2051,F2050=F2052,F2051=F2052),SUM(N2050:N2052),0)</f>
        <v>2.412</v>
      </c>
      <c r="O2053" t="str">
        <v>+</v>
      </c>
      <c r="P2053">
        <f>IF(N2053&gt;12,ROUNDDOWN(N2053/12,0),0)</f>
        <v>0</v>
      </c>
      <c r="Q2053" t="str">
        <v>x</v>
      </c>
      <c r="R2053">
        <f>IF(P2053&gt;0,MAX(VLOOKUP(F2053,$D$6:$G$15,3,FALSE),600),0)/1000</f>
        <v>0</v>
      </c>
      <c r="T2053" t="str">
        <v>x</v>
      </c>
      <c r="U2053">
        <f>U2052</f>
        <v>1.041885</v>
      </c>
      <c r="V2053" t="str">
        <v>x</v>
      </c>
      <c r="W2053">
        <f>D2053</f>
        <v>3</v>
      </c>
      <c r="X2053" t="str">
        <v>x</v>
      </c>
      <c r="Y2053">
        <f>Y2052</f>
        <v>1</v>
      </c>
      <c r="Z2053" t="str">
        <v>=</v>
      </c>
      <c r="AA2053">
        <f>(N2053+P2053*R2053/1000)*U2053*W2053*Y2053</f>
        <v>7.539079859999999</v>
      </c>
    </row>
    <row r="2055">
      <c r="A2055" t="str">
        <f>A2035</f>
        <v>Lantai 1</v>
      </c>
      <c r="B2055">
        <f>B2035</f>
        <v>66</v>
      </c>
      <c r="C2055" t="str">
        <v>Sengkang Tumpuan</v>
      </c>
      <c r="D2055">
        <f>VLOOKUP(D2035,'Detail Balok'!$C$10:$AU$140,31,FALSE)</f>
        <v>0</v>
      </c>
      <c r="E2055" t="str">
        <v>D</v>
      </c>
      <c r="F2055">
        <f>VLOOKUP(D2035,'Detail Balok'!$C$10:$AU$140,33,FALSE)</f>
        <v>8</v>
      </c>
      <c r="G2055" t="str">
        <v>-</v>
      </c>
      <c r="H2055">
        <f>VLOOKUP(D2035,'Detail Balok'!$C$10:$AU$140,35,FALSE)</f>
        <v>150</v>
      </c>
      <c r="J2055">
        <f>(IF(D2055=0,(2*(D2036+G2036))-(F$5*8),IF(D2055=3,(2*(D2036+G2036))-(F$5*8)+(G2036-2*F$5),IF(D2055=4,(2*(D2036+G2036))-(F$5*8)+2*(G2036-2*F$5)))))/1000</f>
        <v>0.88</v>
      </c>
      <c r="K2055" t="str">
        <v>+</v>
      </c>
      <c r="L2055">
        <f>IF(D2055=0,2*MAX(6*F2055,75),(D2055-1)*2*MAX(6*F2055,75))/1000</f>
        <v>0.15</v>
      </c>
      <c r="M2055" t="str">
        <v>=</v>
      </c>
      <c r="N2055">
        <f>J2055+L2055</f>
        <v>1.03</v>
      </c>
      <c r="T2055" t="str">
        <v>x</v>
      </c>
      <c r="U2055">
        <f>0.006165*F2055^2</f>
        <v>0.39456</v>
      </c>
      <c r="V2055" t="str">
        <v>x</v>
      </c>
      <c r="W2055">
        <f>IF(D2038&gt;4*G2036,ROUND(MAX(D2038/4,2*G2036)/H2055,0)+1,ROUND(D2038/H2055,0)+1)</f>
        <v>6</v>
      </c>
      <c r="X2055" t="str">
        <v>x</v>
      </c>
      <c r="Y2055">
        <f>D2041</f>
        <v>1</v>
      </c>
      <c r="Z2055" t="str">
        <v>=</v>
      </c>
      <c r="AA2055">
        <f>N2055*U2055*W2055*Y2055</f>
        <v>2.4383808000000005</v>
      </c>
    </row>
    <row r="2056">
      <c r="A2056" t="str">
        <f>A2035</f>
        <v>Lantai 1</v>
      </c>
      <c r="B2056">
        <f>B2035</f>
        <v>66</v>
      </c>
      <c r="C2056" t="str">
        <v>Sengkang Lapangan</v>
      </c>
      <c r="D2056">
        <f>VLOOKUP(D2035,'Detail Balok'!$C$10:$AU$140,36,FALSE)</f>
        <v>0</v>
      </c>
      <c r="E2056" t="str">
        <v>D</v>
      </c>
      <c r="F2056">
        <f>VLOOKUP(D2035,'Detail Balok'!$C$10:$AU$140,38,FALSE)</f>
        <v>8</v>
      </c>
      <c r="G2056" t="str">
        <v>-</v>
      </c>
      <c r="H2056">
        <f>VLOOKUP(D2035,'Detail Balok'!$C$10:$AU$140,40,FALSE)</f>
        <v>200</v>
      </c>
      <c r="J2056">
        <f>(IF(D2056=0,(2*(D2036+G2036))-(F$5*8),IF(D2056=3,(2*(D2036+G2036))-(F$5*8)+(G2036-2*F$5),IF(D2056=4,(2*(D2036+G2036))-(F$5*8)+2*(G2036-2*F$5)))))/1000</f>
        <v>0.88</v>
      </c>
      <c r="K2056" t="str">
        <v>+</v>
      </c>
      <c r="L2056">
        <f>IF(D2056=0,2*MAX(6*F2056,75),(D2056-1)*2*MAX(6*F2056,75))/1000</f>
        <v>0.15</v>
      </c>
      <c r="M2056" t="str">
        <v>=</v>
      </c>
      <c r="N2056">
        <f>J2056+L2056</f>
        <v>1.03</v>
      </c>
      <c r="T2056" t="str">
        <v>x</v>
      </c>
      <c r="U2056">
        <f>0.006165*F2056^2</f>
        <v>0.39456</v>
      </c>
      <c r="V2056" t="str">
        <v>x</v>
      </c>
      <c r="W2056">
        <f>IF(D2038-MAX(D2038/4,2*G2036)*2&gt;0,ROUND((D2038-MAX(D2038/4,2*G2036)*2)/H2056,0),0)</f>
        <v>3</v>
      </c>
      <c r="X2056" t="str">
        <v>x</v>
      </c>
      <c r="Y2056">
        <f>D2041</f>
        <v>1</v>
      </c>
      <c r="Z2056" t="str">
        <v>=</v>
      </c>
      <c r="AA2056">
        <f>N2056*U2056*W2056*Y2056</f>
        <v>1.2191904000000002</v>
      </c>
    </row>
    <row r="2057">
      <c r="A2057" t="str">
        <f>A2035</f>
        <v>Lantai 1</v>
      </c>
      <c r="B2057">
        <f>B2035</f>
        <v>66</v>
      </c>
      <c r="C2057" t="str">
        <v>Sengkang Tumpuan</v>
      </c>
      <c r="D2057">
        <f>VLOOKUP(D2035,'Detail Balok'!$C$10:$AU$140,41,FALSE)</f>
        <v>0</v>
      </c>
      <c r="E2057" t="str">
        <v>D</v>
      </c>
      <c r="F2057">
        <f>VLOOKUP(D2035,'Detail Balok'!$C$10:$AU$140,43,FALSE)</f>
        <v>8</v>
      </c>
      <c r="G2057" t="str">
        <v>-</v>
      </c>
      <c r="H2057">
        <f>VLOOKUP(D2035,'Detail Balok'!$C$10:$AU$140,45,FALSE)</f>
        <v>150</v>
      </c>
      <c r="J2057">
        <f>(IF(D2057=0,(2*(D2036+G2036))-(F$5*8),IF(D2057=3,(2*(D2036+G2036))-(F$5*8)+(G2036-2*F$5),IF(D2057=4,(2*(D2036+G2036))-(F$5*8)+2*(G2036-2*F$5)))))/1000</f>
        <v>0.88</v>
      </c>
      <c r="K2057" t="str">
        <v>+</v>
      </c>
      <c r="L2057">
        <f>IF(D2057=0,2*MAX(6*F2057,75),(D2057-1)*2*MAX(6*F2057,75))/1000</f>
        <v>0.15</v>
      </c>
      <c r="M2057" t="str">
        <v>=</v>
      </c>
      <c r="N2057">
        <f>J2057+L2057</f>
        <v>1.03</v>
      </c>
      <c r="T2057" t="str">
        <v>x</v>
      </c>
      <c r="U2057">
        <f>0.006165*F2057^2</f>
        <v>0.39456</v>
      </c>
      <c r="V2057" t="str">
        <v>x</v>
      </c>
      <c r="W2057">
        <f>IF(D2038&gt;4*G2036,ROUND(MAX(D2038/4,2*G2036)/H2057,0)+1,0)</f>
        <v>6</v>
      </c>
      <c r="X2057" t="str">
        <v>x</v>
      </c>
      <c r="Y2057">
        <f>D2041</f>
        <v>1</v>
      </c>
      <c r="Z2057" t="str">
        <v>=</v>
      </c>
      <c r="AA2057">
        <f>N2057*U2057*W2057*Y2057</f>
        <v>2.4383808000000005</v>
      </c>
    </row>
    <row r="2059">
      <c r="A2059" t="str">
        <f>A2035</f>
        <v>Lantai 1</v>
      </c>
      <c r="B2059">
        <f>B2035</f>
        <v>66</v>
      </c>
      <c r="C2059" t="str">
        <v>Kait Horizontal Tump.</v>
      </c>
      <c r="D2059">
        <f>VLOOKUP(D2035,'Detail Balok'!$C$10:$BJ$140,46,FALSE)</f>
        <v>0</v>
      </c>
      <c r="E2059" t="str">
        <v>D</v>
      </c>
      <c r="F2059">
        <f>VLOOKUP(D2035,'Detail Balok'!$C$10:$BJ$140,48,FALSE)</f>
        <v>0</v>
      </c>
      <c r="G2059" t="str">
        <v>-</v>
      </c>
      <c r="H2059">
        <f>VLOOKUP(D2035,'Detail Balok'!$C$10:$BJ$140,50,FALSE)</f>
        <v>100</v>
      </c>
      <c r="J2059">
        <f>(D2036-2*F$5)/1000</f>
        <v>0.12</v>
      </c>
      <c r="K2059" t="str">
        <v>+</v>
      </c>
      <c r="L2059">
        <f>IF(D2059=0,2*MAX(6*F2059,75),(D2059-1)*2*MAX(6*F2059,75))/1000</f>
        <v>0.15</v>
      </c>
      <c r="M2059" t="str">
        <v>=</v>
      </c>
      <c r="N2059">
        <f>J2059+L2059</f>
        <v>0.27</v>
      </c>
      <c r="T2059" t="str">
        <v>x</v>
      </c>
      <c r="U2059">
        <f>0.006165*F2059^2</f>
        <v>0</v>
      </c>
      <c r="V2059" t="str">
        <v>x</v>
      </c>
      <c r="W2059">
        <f>W2055</f>
        <v>6</v>
      </c>
      <c r="X2059" t="str">
        <v>x</v>
      </c>
      <c r="Y2059">
        <f>D2045</f>
        <v>3</v>
      </c>
      <c r="Z2059" t="str">
        <v>=</v>
      </c>
      <c r="AA2059">
        <f>N2059*U2059*W2059*Y2059</f>
        <v>0</v>
      </c>
    </row>
    <row r="2060">
      <c r="A2060" t="str">
        <f>A2035</f>
        <v>Lantai 1</v>
      </c>
      <c r="B2060">
        <f>B2035</f>
        <v>66</v>
      </c>
      <c r="C2060" t="str">
        <v>Kait Horizontal Lap.</v>
      </c>
      <c r="D2060">
        <f>VLOOKUP(D2035,'Detail Balok'!$C$10:$BJ$140,51,FALSE)</f>
        <v>0</v>
      </c>
      <c r="E2060" t="str">
        <v>D</v>
      </c>
      <c r="F2060">
        <f>VLOOKUP(D2035,'Detail Balok'!$C$10:$BJ$140,53,FALSE)</f>
        <v>0</v>
      </c>
      <c r="G2060" t="str">
        <v>-</v>
      </c>
      <c r="H2060">
        <f>VLOOKUP(D2035,'Detail Balok'!$C$10:$BJ$140,55,FALSE)</f>
        <v>100</v>
      </c>
      <c r="J2060">
        <f>(D2036-2*F$5)/1000</f>
        <v>0.12</v>
      </c>
      <c r="K2060" t="str">
        <v>+</v>
      </c>
      <c r="L2060">
        <f>IF(D2060=0,2*MAX(6*F2060,75),(D2060-1)*2*MAX(6*F2060,75))/1000</f>
        <v>0.15</v>
      </c>
      <c r="M2060" t="str">
        <v>=</v>
      </c>
      <c r="N2060">
        <f>J2060+L2060</f>
        <v>0.27</v>
      </c>
      <c r="T2060" t="str">
        <v>x</v>
      </c>
      <c r="U2060">
        <f>0.006165*F2060^2</f>
        <v>0</v>
      </c>
      <c r="V2060" t="str">
        <v>x</v>
      </c>
      <c r="W2060">
        <f>W2056</f>
        <v>3</v>
      </c>
      <c r="X2060" t="str">
        <v>x</v>
      </c>
      <c r="Y2060">
        <f>D2045</f>
        <v>3</v>
      </c>
      <c r="Z2060" t="str">
        <v>=</v>
      </c>
      <c r="AA2060">
        <f>N2060*U2060*W2060*Y2060</f>
        <v>0</v>
      </c>
    </row>
    <row r="2061">
      <c r="A2061" t="str">
        <f>A2035</f>
        <v>Lantai 1</v>
      </c>
      <c r="B2061">
        <f>B2035</f>
        <v>66</v>
      </c>
      <c r="C2061" t="str">
        <v>Kait Horizontal Tump.</v>
      </c>
      <c r="D2061">
        <f>VLOOKUP(D2035,'Detail Balok'!$C$10:$BJ$140,56,FALSE)</f>
        <v>0</v>
      </c>
      <c r="E2061" t="str">
        <v>D</v>
      </c>
      <c r="F2061">
        <f>VLOOKUP(D2035,'Detail Balok'!$C$10:$BJ$140,58,FALSE)</f>
        <v>0</v>
      </c>
      <c r="G2061" t="str">
        <v>-</v>
      </c>
      <c r="H2061">
        <f>VLOOKUP(D2035,'Detail Balok'!$C$10:$BJ$140,60,FALSE)</f>
        <v>100</v>
      </c>
      <c r="J2061">
        <f>(D2036-2*F$5)/1000</f>
        <v>0.12</v>
      </c>
      <c r="K2061" t="str">
        <v>+</v>
      </c>
      <c r="L2061">
        <f>IF(D2061=0,2*MAX(6*F2061,75),(D2061-1)*2*MAX(6*F2061,75))/1000</f>
        <v>0.15</v>
      </c>
      <c r="M2061" t="str">
        <v>=</v>
      </c>
      <c r="N2061">
        <f>J2061+L2061</f>
        <v>0.27</v>
      </c>
      <c r="T2061" t="str">
        <v>x</v>
      </c>
      <c r="U2061">
        <f>0.006165*F2061^2</f>
        <v>0</v>
      </c>
      <c r="V2061" t="str">
        <v>x</v>
      </c>
      <c r="W2061">
        <f>W2057</f>
        <v>6</v>
      </c>
      <c r="X2061" t="str">
        <v>x</v>
      </c>
      <c r="Y2061">
        <f>D2045</f>
        <v>3</v>
      </c>
      <c r="Z2061" t="str">
        <v>=</v>
      </c>
      <c r="AA2061">
        <f>N2061*U2061*W2061*Y2061</f>
        <v>0</v>
      </c>
    </row>
    <row r="2065">
      <c r="A2065" t="str">
        <f>A2035</f>
        <v>Lantai 1</v>
      </c>
      <c r="B2065">
        <f>B2035+1</f>
        <v>67</v>
      </c>
      <c r="C2065" t="str">
        <f>CONCATENATE(A2065," no. ",B2065)</f>
        <v>Lantai 1 no. 67</v>
      </c>
      <c r="D2065" t="str">
        <f>VLOOKUP(C2065,'Data Panjang Balok'!$C$9:$N$254,2,FALSE)</f>
        <v>S24-1</v>
      </c>
    </row>
    <row r="2066">
      <c r="C2066" t="str">
        <v>Dimensi</v>
      </c>
      <c r="D2066">
        <f>VLOOKUP(D2065,'Detail Balok'!$C$10:$AU$140,2,FALSE)</f>
        <v>200</v>
      </c>
      <c r="F2066" t="str">
        <v>x</v>
      </c>
      <c r="G2066">
        <f>VLOOKUP(D2065,'Detail Balok'!$C$10:$AU$140,3,FALSE)</f>
        <v>400</v>
      </c>
    </row>
    <row r="2067">
      <c r="C2067" t="str">
        <v>Panjang as ke as</v>
      </c>
      <c r="D2067">
        <f>VLOOKUP(C2065,'Data Panjang Balok'!$C$9:$N$254,4,FALSE)</f>
        <v>925</v>
      </c>
    </row>
    <row r="2068">
      <c r="C2068" t="str">
        <v>Panjang netto</v>
      </c>
      <c r="D2068">
        <f>VLOOKUP(C2065,'Data Panjang Balok'!$C$9:$N$254,7,FALSE)</f>
        <v>925</v>
      </c>
    </row>
    <row r="2069">
      <c r="C2069" t="str">
        <v>Kolom / balok kiri</v>
      </c>
      <c r="D2069">
        <f>VLOOKUP(C2065,'Data Panjang Balok'!$C$9:$N$254,9,FALSE)</f>
        <v>0</v>
      </c>
    </row>
    <row r="2070">
      <c r="C2070" t="str">
        <v>Kolom / balok kanan</v>
      </c>
      <c r="D2070">
        <f>VLOOKUP(C2065,'Data Panjang Balok'!$C$9:$N$254,10,FALSE)</f>
        <v>0</v>
      </c>
    </row>
    <row r="2071">
      <c r="C2071" t="str">
        <v>Jumlah</v>
      </c>
      <c r="D2071">
        <f>VLOOKUP(C2065,'Data Panjang Balok'!$C$9:$N$254,3,FALSE)</f>
        <v>1</v>
      </c>
    </row>
    <row r="2072">
      <c r="A2072" t="str">
        <f>A2065</f>
        <v>Lantai 1</v>
      </c>
      <c r="B2072">
        <f>B2065</f>
        <v>67</v>
      </c>
      <c r="C2072" t="str">
        <v>Tul Atas Tumpuan</v>
      </c>
      <c r="D2072">
        <f>VLOOKUP(D2065,'Detail Balok'!$C$10:$AU$140,4,FALSE)</f>
        <v>3</v>
      </c>
      <c r="E2072" t="str">
        <v>D</v>
      </c>
      <c r="F2072">
        <f>VLOOKUP(D2065,'Detail Balok'!$C$10:$AU$140,6,FALSE)</f>
        <v>13</v>
      </c>
      <c r="I2072" t="str">
        <v>(</v>
      </c>
      <c r="J2072">
        <f>+D2067/4/1000</f>
        <v>0.23125</v>
      </c>
      <c r="K2072" t="str">
        <v>+</v>
      </c>
      <c r="L2072">
        <f>MAX(VLOOKUP(F2072,N$6:P$15,3,FALSE)/1000,2/3*D2069/1000)+F$16*F2072/1000</f>
        <v>0.156</v>
      </c>
      <c r="M2072" t="str">
        <v>=</v>
      </c>
      <c r="N2072">
        <f>J2072+L2072</f>
        <v>0.38725</v>
      </c>
      <c r="O2072" t="str">
        <v>+</v>
      </c>
      <c r="P2072">
        <f>D2072-D2073</f>
        <v>0</v>
      </c>
      <c r="Q2072" t="str">
        <v>x</v>
      </c>
      <c r="R2072">
        <f>IF(P2072&gt;0,$F$18*F2072/1000,0)</f>
        <v>0</v>
      </c>
      <c r="S2072" t="str">
        <v>)</v>
      </c>
      <c r="T2072" t="str">
        <v>x</v>
      </c>
      <c r="U2072">
        <f>0.006165*F2072^2</f>
        <v>1.041885</v>
      </c>
      <c r="X2072" t="str">
        <v>x</v>
      </c>
      <c r="Y2072">
        <f>D2071</f>
        <v>1</v>
      </c>
      <c r="Z2072" t="str">
        <v>=</v>
      </c>
      <c r="AA2072">
        <f>IF(AA2075=0,(D2072*N2072+P2072*R2072)*U2072*Y2072,0)</f>
        <v>0</v>
      </c>
    </row>
    <row r="2073">
      <c r="A2073" t="str">
        <f>A2065</f>
        <v>Lantai 1</v>
      </c>
      <c r="B2073">
        <f>B2065</f>
        <v>67</v>
      </c>
      <c r="C2073" t="str">
        <v>Tul Atas Lapangan</v>
      </c>
      <c r="D2073">
        <f>VLOOKUP(D2065,'Detail Balok'!$C$10:$AU$140,7,FALSE)</f>
        <v>3</v>
      </c>
      <c r="E2073" t="str">
        <v>D</v>
      </c>
      <c r="F2073">
        <f>VLOOKUP(D2065,'Detail Balok'!$C$10:$AU$140,9,FALSE)</f>
        <v>13</v>
      </c>
      <c r="I2073" t="str">
        <v>(</v>
      </c>
      <c r="J2073">
        <f>+D2067/2/1000</f>
        <v>0.4625</v>
      </c>
      <c r="K2073" t="str">
        <v>+</v>
      </c>
      <c r="M2073" t="str">
        <v>=</v>
      </c>
      <c r="N2073">
        <f>J2073+L2073</f>
        <v>0.4625</v>
      </c>
      <c r="O2073" t="str">
        <v>+</v>
      </c>
      <c r="P2073">
        <f>MAX(D2073-D2072,D2073-D2074)</f>
        <v>0</v>
      </c>
      <c r="Q2073" t="str">
        <v>x</v>
      </c>
      <c r="R2073">
        <f>IF(P2073&gt;0,2*(1-2*$F$19-1/2)*D2068/1000,0)</f>
        <v>0</v>
      </c>
      <c r="S2073" t="str">
        <v>)</v>
      </c>
      <c r="T2073" t="str">
        <v>x</v>
      </c>
      <c r="U2073">
        <f>0.006165*F2073^2</f>
        <v>1.041885</v>
      </c>
      <c r="X2073" t="str">
        <v>x</v>
      </c>
      <c r="Y2073">
        <f>D2071</f>
        <v>1</v>
      </c>
      <c r="Z2073" t="str">
        <v>=</v>
      </c>
      <c r="AA2073">
        <f>IF(AA2075=0,(D2073*N2073+P2073*R2073)*U2073*Y2073,0)</f>
        <v>0</v>
      </c>
    </row>
    <row r="2074">
      <c r="A2074" t="str">
        <f>A2065</f>
        <v>Lantai 1</v>
      </c>
      <c r="B2074">
        <f>B2065</f>
        <v>67</v>
      </c>
      <c r="C2074" t="str">
        <v>Tul Atas Tumpuan</v>
      </c>
      <c r="D2074">
        <f>VLOOKUP(D2065,'Detail Balok'!$C$10:$AU$140,10,FALSE)</f>
        <v>3</v>
      </c>
      <c r="E2074" t="str">
        <v>D</v>
      </c>
      <c r="F2074">
        <f>VLOOKUP(D2065,'Detail Balok'!$C$10:$AU$140,12,FALSE)</f>
        <v>13</v>
      </c>
      <c r="I2074" t="str">
        <v>(</v>
      </c>
      <c r="J2074">
        <f>+D2067/4/1000</f>
        <v>0.23125</v>
      </c>
      <c r="K2074" t="str">
        <v>+</v>
      </c>
      <c r="L2074">
        <f>MAX(VLOOKUP(F2074,N$6:P$15,3,FALSE)/1000,2/3*D2069/1000)+F$16*F2074/1000</f>
        <v>0.156</v>
      </c>
      <c r="M2074" t="str">
        <v>=</v>
      </c>
      <c r="N2074">
        <f>J2074+L2074</f>
        <v>0.38725</v>
      </c>
      <c r="O2074" t="str">
        <v>+</v>
      </c>
      <c r="P2074">
        <f>D2074-D2073</f>
        <v>0</v>
      </c>
      <c r="Q2074" t="str">
        <v>x</v>
      </c>
      <c r="R2074">
        <f>IF(P2074&gt;0,$F$18*F2074/1000,0)</f>
        <v>0</v>
      </c>
      <c r="S2074" t="str">
        <v>)</v>
      </c>
      <c r="T2074" t="str">
        <v>x</v>
      </c>
      <c r="U2074">
        <f>0.006165*F2074^2</f>
        <v>1.041885</v>
      </c>
      <c r="X2074" t="str">
        <v>x</v>
      </c>
      <c r="Y2074">
        <f>D2071</f>
        <v>1</v>
      </c>
      <c r="Z2074" t="str">
        <v>=</v>
      </c>
      <c r="AA2074">
        <f>IF(AA2075=0,(D2074*N2074+P2074*R2074)*U2074*Y2074,0)</f>
        <v>0</v>
      </c>
    </row>
    <row r="2075">
      <c r="A2075" t="str">
        <f>A2065</f>
        <v>Lantai 1</v>
      </c>
      <c r="B2075">
        <f>B2065</f>
        <v>67</v>
      </c>
      <c r="D2075">
        <f>IF(AND(D2072=D2073,D2073=D2074,D2072=D2074),D2072,0)</f>
        <v>3</v>
      </c>
      <c r="E2075" t="str">
        <v>D</v>
      </c>
      <c r="F2075">
        <f>IF(AND(F2072=F2073,F2072=F2074,F2073=F2074),F2072,0)</f>
        <v>13</v>
      </c>
      <c r="L2075" t="str">
        <v>Total panjang per balok</v>
      </c>
      <c r="M2075" t="str">
        <v>=</v>
      </c>
      <c r="N2075">
        <f>IF(AND(D2072=D2073,D2072=D2074,D2073=D2074,F2072=F2073,F2072=F2074,F2073=F2074),SUM(N2072:N2074),0)</f>
        <v>1.237</v>
      </c>
      <c r="O2075" t="str">
        <v>+</v>
      </c>
      <c r="P2075">
        <f>IF(N2075&gt;12,ROUNDDOWN(N2075/12,0),0)</f>
        <v>0</v>
      </c>
      <c r="Q2075" t="str">
        <v>x</v>
      </c>
      <c r="R2075">
        <f>IF(P2075&gt;0,MAX(VLOOKUP(F2075,$D$6:$G$15,3,FALSE),600),0)/1000</f>
        <v>0</v>
      </c>
      <c r="T2075" t="str">
        <v>x</v>
      </c>
      <c r="U2075">
        <f>U2074</f>
        <v>1.041885</v>
      </c>
      <c r="V2075" t="str">
        <v>x</v>
      </c>
      <c r="W2075">
        <f>D2075</f>
        <v>3</v>
      </c>
      <c r="X2075" t="str">
        <v>x</v>
      </c>
      <c r="Y2075">
        <f>Y2074</f>
        <v>1</v>
      </c>
      <c r="Z2075" t="str">
        <v>=</v>
      </c>
      <c r="AA2075">
        <f>(N2075+P2075*R2075/1000)*U2075*W2075*Y2075</f>
        <v>3.866435235</v>
      </c>
    </row>
    <row r="2077">
      <c r="A2077" t="str">
        <f>A2065</f>
        <v>Lantai 1</v>
      </c>
      <c r="B2077">
        <f>B2065</f>
        <v>67</v>
      </c>
      <c r="C2077" t="str">
        <v>Tul Peminggang</v>
      </c>
      <c r="D2077">
        <f>VLOOKUP(D2065,'Detail Balok'!$C$10:$AU$140,13,FALSE)</f>
        <v>0</v>
      </c>
      <c r="E2077" t="str">
        <v>D</v>
      </c>
      <c r="F2077">
        <f>VLOOKUP(D2065,'Detail Balok'!$C$10:$AU$140,15,FALSE)</f>
        <v>8</v>
      </c>
      <c r="J2077">
        <f>+D2067/1000</f>
        <v>0.925</v>
      </c>
      <c r="K2077" t="str">
        <v>+</v>
      </c>
      <c r="L2077">
        <f>2*$F$16*F2077/1000</f>
        <v>0.192</v>
      </c>
      <c r="M2077" t="str">
        <v>=</v>
      </c>
      <c r="N2077">
        <f>J2077+L2077</f>
        <v>1.117</v>
      </c>
      <c r="O2077" t="str">
        <v>+</v>
      </c>
      <c r="P2077">
        <f>IF(N2077&gt;12,ROUNDDOWN(N2077/12,0),0)</f>
        <v>0</v>
      </c>
      <c r="Q2077" t="str">
        <v>x</v>
      </c>
      <c r="R2077">
        <f>IF(P2077&gt;0,MAX(VLOOKUP(F2077,$D$6:$G$15,3,FALSE),600),0)/1000</f>
        <v>0</v>
      </c>
      <c r="T2077" t="str">
        <v>x</v>
      </c>
      <c r="U2077">
        <f>0.006165*F2077^2</f>
        <v>0.39456</v>
      </c>
      <c r="V2077" t="str">
        <v>x</v>
      </c>
      <c r="W2077">
        <f>+D2077</f>
        <v>0</v>
      </c>
      <c r="X2077" t="str">
        <v>x</v>
      </c>
      <c r="Y2077">
        <f>D2071</f>
        <v>1</v>
      </c>
      <c r="Z2077" t="str">
        <v>=</v>
      </c>
      <c r="AA2077">
        <f>(N2077+P2077*R2077/1000)*U2077*W2077*Y2077</f>
        <v>0</v>
      </c>
    </row>
    <row r="2080">
      <c r="A2080" t="str">
        <f>A2065</f>
        <v>Lantai 1</v>
      </c>
      <c r="B2080">
        <f>B2065</f>
        <v>67</v>
      </c>
      <c r="C2080" t="str">
        <v>Tul Bawah Tumpuan</v>
      </c>
      <c r="D2080">
        <f>VLOOKUP(D2065,'Detail Balok'!$C$10:$AU$140,22,FALSE)</f>
        <v>3</v>
      </c>
      <c r="E2080" t="str">
        <v>D</v>
      </c>
      <c r="F2080">
        <f>VLOOKUP(D2065,'Detail Balok'!$C$10:$AU$140,24,FALSE)</f>
        <v>13</v>
      </c>
      <c r="I2080" t="str">
        <v>(</v>
      </c>
      <c r="J2080">
        <f>+J2072</f>
        <v>0.23125</v>
      </c>
      <c r="K2080" t="str">
        <v>+</v>
      </c>
      <c r="L2080">
        <f>MAX(VLOOKUP(F2080,N$6:P$15,3,FALSE)/1000,2/3*D2070/1000)+F$16*F2080/1000</f>
        <v>0.156</v>
      </c>
      <c r="M2080" t="str">
        <v>=</v>
      </c>
      <c r="N2080">
        <f>J2080+L2080</f>
        <v>0.38725</v>
      </c>
      <c r="O2080" t="str">
        <v>+</v>
      </c>
      <c r="P2080">
        <f>D2080-D2081</f>
        <v>0</v>
      </c>
      <c r="Q2080" t="str">
        <v>x</v>
      </c>
      <c r="R2080">
        <f>IF(P2080&gt;0,$F$18*F2080/1000,0)</f>
        <v>0</v>
      </c>
      <c r="S2080" t="str">
        <v>)</v>
      </c>
      <c r="T2080" t="str">
        <v>x</v>
      </c>
      <c r="U2080">
        <f>0.006165*F2080^2</f>
        <v>1.041885</v>
      </c>
      <c r="X2080" t="str">
        <v>x</v>
      </c>
      <c r="Y2080">
        <f>D2071</f>
        <v>1</v>
      </c>
      <c r="Z2080" t="str">
        <v>=</v>
      </c>
      <c r="AA2080">
        <f>IF(AA2083=0,(D2080*N2080+P2080*R2080)*U2080*Y2080,0)</f>
        <v>0</v>
      </c>
    </row>
    <row r="2081">
      <c r="A2081" t="str">
        <f>A2065</f>
        <v>Lantai 1</v>
      </c>
      <c r="B2081">
        <f>B2065</f>
        <v>67</v>
      </c>
      <c r="C2081" t="str">
        <v>Tul Bawah Lapangan</v>
      </c>
      <c r="D2081">
        <f>VLOOKUP(D2065,'Detail Balok'!$C$10:$AU$140,25,FALSE)</f>
        <v>3</v>
      </c>
      <c r="E2081" t="str">
        <v>D</v>
      </c>
      <c r="F2081">
        <f>VLOOKUP(D2065,'Detail Balok'!$C$10:$AU$140,27,FALSE)</f>
        <v>13</v>
      </c>
      <c r="I2081" t="str">
        <v>(</v>
      </c>
      <c r="J2081">
        <f>+J2073</f>
        <v>0.4625</v>
      </c>
      <c r="K2081" t="str">
        <v>+</v>
      </c>
      <c r="M2081" t="str">
        <v>=</v>
      </c>
      <c r="N2081">
        <f>J2081+L2081</f>
        <v>0.4625</v>
      </c>
      <c r="O2081" t="str">
        <v>+</v>
      </c>
      <c r="P2081">
        <f>MAX(D2081-D2080,D2081-D2082)</f>
        <v>0</v>
      </c>
      <c r="Q2081" t="str">
        <v>x</v>
      </c>
      <c r="R2081">
        <f>IF(P2081&gt;0,2*(1-2*$F$19-1/2)*D2068/1000,0)</f>
        <v>0</v>
      </c>
      <c r="S2081" t="str">
        <v>)</v>
      </c>
      <c r="T2081" t="str">
        <v>x</v>
      </c>
      <c r="U2081">
        <f>0.006165*F2081^2</f>
        <v>1.041885</v>
      </c>
      <c r="X2081" t="str">
        <v>x</v>
      </c>
      <c r="Y2081">
        <f>D2071</f>
        <v>1</v>
      </c>
      <c r="Z2081" t="str">
        <v>=</v>
      </c>
      <c r="AA2081">
        <f>IF(AA2083=0,(D2081*N2081+P2081*R2081)*U2081*Y2081,0)</f>
        <v>0</v>
      </c>
    </row>
    <row r="2082">
      <c r="A2082" t="str">
        <f>A2065</f>
        <v>Lantai 1</v>
      </c>
      <c r="B2082">
        <f>B2065</f>
        <v>67</v>
      </c>
      <c r="C2082" t="str">
        <v>Tul Bawah Tumpuan</v>
      </c>
      <c r="D2082">
        <f>VLOOKUP(D2065,'Detail Balok'!$C$10:$AU$140,28,FALSE)</f>
        <v>3</v>
      </c>
      <c r="E2082" t="str">
        <v>D</v>
      </c>
      <c r="F2082">
        <f>VLOOKUP(D2065,'Detail Balok'!$C$10:$AU$140,30,FALSE)</f>
        <v>13</v>
      </c>
      <c r="I2082" t="str">
        <v>(</v>
      </c>
      <c r="J2082">
        <f>+J2074</f>
        <v>0.23125</v>
      </c>
      <c r="K2082" t="str">
        <v>+</v>
      </c>
      <c r="L2082">
        <f>MAX(VLOOKUP(F2082,N$6:P$15,3,FALSE)/1000,2/3*D2070/1000)+F$16*F2082/1000</f>
        <v>0.156</v>
      </c>
      <c r="M2082" t="str">
        <v>=</v>
      </c>
      <c r="N2082">
        <f>J2082+L2082</f>
        <v>0.38725</v>
      </c>
      <c r="O2082" t="str">
        <v>+</v>
      </c>
      <c r="P2082">
        <f>D2082-D2081</f>
        <v>0</v>
      </c>
      <c r="Q2082" t="str">
        <v>x</v>
      </c>
      <c r="R2082">
        <f>IF(P2082&gt;0,$F$18*F2082/1000,0)</f>
        <v>0</v>
      </c>
      <c r="S2082" t="str">
        <v>)</v>
      </c>
      <c r="T2082" t="str">
        <v>x</v>
      </c>
      <c r="U2082">
        <f>0.006165*F2082^2</f>
        <v>1.041885</v>
      </c>
      <c r="X2082" t="str">
        <v>x</v>
      </c>
      <c r="Y2082">
        <f>D2071</f>
        <v>1</v>
      </c>
      <c r="Z2082" t="str">
        <v>=</v>
      </c>
      <c r="AA2082">
        <f>IF(AA2083=0,(D2082*N2082+P2082*R2082)*U2082*Y2082,0)</f>
        <v>0</v>
      </c>
    </row>
    <row r="2083">
      <c r="A2083" t="str">
        <f>A2065</f>
        <v>Lantai 1</v>
      </c>
      <c r="B2083">
        <f>B2065</f>
        <v>67</v>
      </c>
      <c r="D2083">
        <f>IF(AND(D2080=D2081,D2081=D2082,D2080=D2082),D2080,0)</f>
        <v>3</v>
      </c>
      <c r="E2083" t="str">
        <v>D</v>
      </c>
      <c r="F2083">
        <f>IF(AND(F2080=F2081,F2080=F2082,F2081=F2082),F2080,0)</f>
        <v>13</v>
      </c>
      <c r="L2083" t="str">
        <v>Total panjang per balok</v>
      </c>
      <c r="M2083" t="str">
        <v>=</v>
      </c>
      <c r="N2083">
        <f>IF(AND(D2080=D2081,D2080=D2082,D2081=D2082,F2080=F2081,F2080=F2082,F2081=F2082),SUM(N2080:N2082),0)</f>
        <v>1.237</v>
      </c>
      <c r="O2083" t="str">
        <v>+</v>
      </c>
      <c r="P2083">
        <f>IF(N2083&gt;12,ROUNDDOWN(N2083/12,0),0)</f>
        <v>0</v>
      </c>
      <c r="Q2083" t="str">
        <v>x</v>
      </c>
      <c r="R2083">
        <f>IF(P2083&gt;0,MAX(VLOOKUP(F2083,$D$6:$G$15,3,FALSE),600),0)/1000</f>
        <v>0</v>
      </c>
      <c r="T2083" t="str">
        <v>x</v>
      </c>
      <c r="U2083">
        <f>U2082</f>
        <v>1.041885</v>
      </c>
      <c r="V2083" t="str">
        <v>x</v>
      </c>
      <c r="W2083">
        <f>D2083</f>
        <v>3</v>
      </c>
      <c r="X2083" t="str">
        <v>x</v>
      </c>
      <c r="Y2083">
        <f>Y2082</f>
        <v>1</v>
      </c>
      <c r="Z2083" t="str">
        <v>=</v>
      </c>
      <c r="AA2083">
        <f>(N2083+P2083*R2083/1000)*U2083*W2083*Y2083</f>
        <v>3.866435235</v>
      </c>
    </row>
    <row r="2085">
      <c r="A2085" t="str">
        <f>A2065</f>
        <v>Lantai 1</v>
      </c>
      <c r="B2085">
        <f>B2065</f>
        <v>67</v>
      </c>
      <c r="C2085" t="str">
        <v>Sengkang Tumpuan</v>
      </c>
      <c r="D2085">
        <f>VLOOKUP(D2065,'Detail Balok'!$C$10:$AU$140,31,FALSE)</f>
        <v>0</v>
      </c>
      <c r="E2085" t="str">
        <v>D</v>
      </c>
      <c r="F2085">
        <f>VLOOKUP(D2065,'Detail Balok'!$C$10:$AU$140,33,FALSE)</f>
        <v>8</v>
      </c>
      <c r="G2085" t="str">
        <v>-</v>
      </c>
      <c r="H2085">
        <f>VLOOKUP(D2065,'Detail Balok'!$C$10:$AU$140,35,FALSE)</f>
        <v>150</v>
      </c>
      <c r="J2085">
        <f>(IF(D2085=0,(2*(D2066+G2066))-(F$5*8),IF(D2085=3,(2*(D2066+G2066))-(F$5*8)+(G2066-2*F$5),IF(D2085=4,(2*(D2066+G2066))-(F$5*8)+2*(G2066-2*F$5)))))/1000</f>
        <v>0.88</v>
      </c>
      <c r="K2085" t="str">
        <v>+</v>
      </c>
      <c r="L2085">
        <f>IF(D2085=0,2*MAX(6*F2085,75),(D2085-1)*2*MAX(6*F2085,75))/1000</f>
        <v>0.15</v>
      </c>
      <c r="M2085" t="str">
        <v>=</v>
      </c>
      <c r="N2085">
        <f>J2085+L2085</f>
        <v>1.03</v>
      </c>
      <c r="T2085" t="str">
        <v>x</v>
      </c>
      <c r="U2085">
        <f>0.006165*F2085^2</f>
        <v>0.39456</v>
      </c>
      <c r="V2085" t="str">
        <v>x</v>
      </c>
      <c r="W2085">
        <f>IF(D2068&gt;4*G2066,ROUND(MAX(D2068/4,2*G2066)/H2085,0)+1,ROUND(D2068/H2085,0)+1)</f>
        <v>7</v>
      </c>
      <c r="X2085" t="str">
        <v>x</v>
      </c>
      <c r="Y2085">
        <f>D2071</f>
        <v>1</v>
      </c>
      <c r="Z2085" t="str">
        <v>=</v>
      </c>
      <c r="AA2085">
        <f>N2085*U2085*W2085*Y2085</f>
        <v>2.8447776000000005</v>
      </c>
    </row>
    <row r="2086">
      <c r="A2086" t="str">
        <f>A2065</f>
        <v>Lantai 1</v>
      </c>
      <c r="B2086">
        <f>B2065</f>
        <v>67</v>
      </c>
      <c r="C2086" t="str">
        <v>Sengkang Lapangan</v>
      </c>
      <c r="D2086">
        <f>VLOOKUP(D2065,'Detail Balok'!$C$10:$AU$140,36,FALSE)</f>
        <v>0</v>
      </c>
      <c r="E2086" t="str">
        <v>D</v>
      </c>
      <c r="F2086">
        <f>VLOOKUP(D2065,'Detail Balok'!$C$10:$AU$140,38,FALSE)</f>
        <v>8</v>
      </c>
      <c r="G2086" t="str">
        <v>-</v>
      </c>
      <c r="H2086">
        <f>VLOOKUP(D2065,'Detail Balok'!$C$10:$AU$140,40,FALSE)</f>
        <v>200</v>
      </c>
      <c r="J2086">
        <f>(IF(D2086=0,(2*(D2066+G2066))-(F$5*8),IF(D2086=3,(2*(D2066+G2066))-(F$5*8)+(G2066-2*F$5),IF(D2086=4,(2*(D2066+G2066))-(F$5*8)+2*(G2066-2*F$5)))))/1000</f>
        <v>0.88</v>
      </c>
      <c r="K2086" t="str">
        <v>+</v>
      </c>
      <c r="L2086">
        <f>IF(D2086=0,2*MAX(6*F2086,75),(D2086-1)*2*MAX(6*F2086,75))/1000</f>
        <v>0.15</v>
      </c>
      <c r="M2086" t="str">
        <v>=</v>
      </c>
      <c r="N2086">
        <f>J2086+L2086</f>
        <v>1.03</v>
      </c>
      <c r="T2086" t="str">
        <v>x</v>
      </c>
      <c r="U2086">
        <f>0.006165*F2086^2</f>
        <v>0.39456</v>
      </c>
      <c r="V2086" t="str">
        <v>x</v>
      </c>
      <c r="W2086">
        <f>IF(D2068-MAX(D2068/4,2*G2066)*2&gt;0,ROUND((D2068-MAX(D2068/4,2*G2066)*2)/H2086,0),0)</f>
        <v>0</v>
      </c>
      <c r="X2086" t="str">
        <v>x</v>
      </c>
      <c r="Y2086">
        <f>D2071</f>
        <v>1</v>
      </c>
      <c r="Z2086" t="str">
        <v>=</v>
      </c>
      <c r="AA2086">
        <f>N2086*U2086*W2086*Y2086</f>
        <v>0</v>
      </c>
    </row>
    <row r="2087">
      <c r="A2087" t="str">
        <f>A2065</f>
        <v>Lantai 1</v>
      </c>
      <c r="B2087">
        <f>B2065</f>
        <v>67</v>
      </c>
      <c r="C2087" t="str">
        <v>Sengkang Tumpuan</v>
      </c>
      <c r="D2087">
        <f>VLOOKUP(D2065,'Detail Balok'!$C$10:$AU$140,41,FALSE)</f>
        <v>0</v>
      </c>
      <c r="E2087" t="str">
        <v>D</v>
      </c>
      <c r="F2087">
        <f>VLOOKUP(D2065,'Detail Balok'!$C$10:$AU$140,43,FALSE)</f>
        <v>8</v>
      </c>
      <c r="G2087" t="str">
        <v>-</v>
      </c>
      <c r="H2087">
        <f>VLOOKUP(D2065,'Detail Balok'!$C$10:$AU$140,45,FALSE)</f>
        <v>150</v>
      </c>
      <c r="J2087">
        <f>(IF(D2087=0,(2*(D2066+G2066))-(F$5*8),IF(D2087=3,(2*(D2066+G2066))-(F$5*8)+(G2066-2*F$5),IF(D2087=4,(2*(D2066+G2066))-(F$5*8)+2*(G2066-2*F$5)))))/1000</f>
        <v>0.88</v>
      </c>
      <c r="K2087" t="str">
        <v>+</v>
      </c>
      <c r="L2087">
        <f>IF(D2087=0,2*MAX(6*F2087,75),(D2087-1)*2*MAX(6*F2087,75))/1000</f>
        <v>0.15</v>
      </c>
      <c r="M2087" t="str">
        <v>=</v>
      </c>
      <c r="N2087">
        <f>J2087+L2087</f>
        <v>1.03</v>
      </c>
      <c r="T2087" t="str">
        <v>x</v>
      </c>
      <c r="U2087">
        <f>0.006165*F2087^2</f>
        <v>0.39456</v>
      </c>
      <c r="V2087" t="str">
        <v>x</v>
      </c>
      <c r="W2087">
        <f>IF(D2068&gt;4*G2066,ROUND(MAX(D2068/4,2*G2066)/H2087,0)+1,0)</f>
        <v>0</v>
      </c>
      <c r="X2087" t="str">
        <v>x</v>
      </c>
      <c r="Y2087">
        <f>D2071</f>
        <v>1</v>
      </c>
      <c r="Z2087" t="str">
        <v>=</v>
      </c>
      <c r="AA2087">
        <f>N2087*U2087*W2087*Y2087</f>
        <v>0</v>
      </c>
    </row>
    <row r="2089">
      <c r="A2089" t="str">
        <f>A2065</f>
        <v>Lantai 1</v>
      </c>
      <c r="B2089">
        <f>B2065</f>
        <v>67</v>
      </c>
      <c r="C2089" t="str">
        <v>Kait Horizontal Tump.</v>
      </c>
      <c r="D2089">
        <f>VLOOKUP(D2065,'Detail Balok'!$C$10:$BJ$140,46,FALSE)</f>
        <v>0</v>
      </c>
      <c r="E2089" t="str">
        <v>D</v>
      </c>
      <c r="F2089">
        <f>VLOOKUP(D2065,'Detail Balok'!$C$10:$BJ$140,48,FALSE)</f>
        <v>0</v>
      </c>
      <c r="G2089" t="str">
        <v>-</v>
      </c>
      <c r="H2089">
        <f>VLOOKUP(D2065,'Detail Balok'!$C$10:$BJ$140,50,FALSE)</f>
        <v>100</v>
      </c>
      <c r="J2089">
        <f>(D2066-2*F$5)/1000</f>
        <v>0.12</v>
      </c>
      <c r="K2089" t="str">
        <v>+</v>
      </c>
      <c r="L2089">
        <f>IF(D2089=0,2*MAX(6*F2089,75),(D2089-1)*2*MAX(6*F2089,75))/1000</f>
        <v>0.15</v>
      </c>
      <c r="M2089" t="str">
        <v>=</v>
      </c>
      <c r="N2089">
        <f>J2089+L2089</f>
        <v>0.27</v>
      </c>
      <c r="T2089" t="str">
        <v>x</v>
      </c>
      <c r="U2089">
        <f>0.006165*F2089^2</f>
        <v>0</v>
      </c>
      <c r="V2089" t="str">
        <v>x</v>
      </c>
      <c r="W2089">
        <f>W2085</f>
        <v>7</v>
      </c>
      <c r="X2089" t="str">
        <v>x</v>
      </c>
      <c r="Y2089">
        <f>D2075</f>
        <v>3</v>
      </c>
      <c r="Z2089" t="str">
        <v>=</v>
      </c>
      <c r="AA2089">
        <f>N2089*U2089*W2089*Y2089</f>
        <v>0</v>
      </c>
    </row>
    <row r="2090">
      <c r="A2090" t="str">
        <f>A2065</f>
        <v>Lantai 1</v>
      </c>
      <c r="B2090">
        <f>B2065</f>
        <v>67</v>
      </c>
      <c r="C2090" t="str">
        <v>Kait Horizontal Lap.</v>
      </c>
      <c r="D2090">
        <f>VLOOKUP(D2065,'Detail Balok'!$C$10:$BJ$140,51,FALSE)</f>
        <v>0</v>
      </c>
      <c r="E2090" t="str">
        <v>D</v>
      </c>
      <c r="F2090">
        <f>VLOOKUP(D2065,'Detail Balok'!$C$10:$BJ$140,53,FALSE)</f>
        <v>0</v>
      </c>
      <c r="G2090" t="str">
        <v>-</v>
      </c>
      <c r="H2090">
        <f>VLOOKUP(D2065,'Detail Balok'!$C$10:$BJ$140,55,FALSE)</f>
        <v>100</v>
      </c>
      <c r="J2090">
        <f>(D2066-2*F$5)/1000</f>
        <v>0.12</v>
      </c>
      <c r="K2090" t="str">
        <v>+</v>
      </c>
      <c r="L2090">
        <f>IF(D2090=0,2*MAX(6*F2090,75),(D2090-1)*2*MAX(6*F2090,75))/1000</f>
        <v>0.15</v>
      </c>
      <c r="M2090" t="str">
        <v>=</v>
      </c>
      <c r="N2090">
        <f>J2090+L2090</f>
        <v>0.27</v>
      </c>
      <c r="T2090" t="str">
        <v>x</v>
      </c>
      <c r="U2090">
        <f>0.006165*F2090^2</f>
        <v>0</v>
      </c>
      <c r="V2090" t="str">
        <v>x</v>
      </c>
      <c r="W2090">
        <f>W2086</f>
        <v>0</v>
      </c>
      <c r="X2090" t="str">
        <v>x</v>
      </c>
      <c r="Y2090">
        <f>D2075</f>
        <v>3</v>
      </c>
      <c r="Z2090" t="str">
        <v>=</v>
      </c>
      <c r="AA2090">
        <f>N2090*U2090*W2090*Y2090</f>
        <v>0</v>
      </c>
    </row>
    <row r="2091">
      <c r="A2091" t="str">
        <f>A2065</f>
        <v>Lantai 1</v>
      </c>
      <c r="B2091">
        <f>B2065</f>
        <v>67</v>
      </c>
      <c r="C2091" t="str">
        <v>Kait Horizontal Tump.</v>
      </c>
      <c r="D2091">
        <f>VLOOKUP(D2065,'Detail Balok'!$C$10:$BJ$140,56,FALSE)</f>
        <v>0</v>
      </c>
      <c r="E2091" t="str">
        <v>D</v>
      </c>
      <c r="F2091">
        <f>VLOOKUP(D2065,'Detail Balok'!$C$10:$BJ$140,58,FALSE)</f>
        <v>0</v>
      </c>
      <c r="G2091" t="str">
        <v>-</v>
      </c>
      <c r="H2091">
        <f>VLOOKUP(D2065,'Detail Balok'!$C$10:$BJ$140,60,FALSE)</f>
        <v>100</v>
      </c>
      <c r="J2091">
        <f>(D2066-2*F$5)/1000</f>
        <v>0.12</v>
      </c>
      <c r="K2091" t="str">
        <v>+</v>
      </c>
      <c r="L2091">
        <f>IF(D2091=0,2*MAX(6*F2091,75),(D2091-1)*2*MAX(6*F2091,75))/1000</f>
        <v>0.15</v>
      </c>
      <c r="M2091" t="str">
        <v>=</v>
      </c>
      <c r="N2091">
        <f>J2091+L2091</f>
        <v>0.27</v>
      </c>
      <c r="T2091" t="str">
        <v>x</v>
      </c>
      <c r="U2091">
        <f>0.006165*F2091^2</f>
        <v>0</v>
      </c>
      <c r="V2091" t="str">
        <v>x</v>
      </c>
      <c r="W2091">
        <f>W2087</f>
        <v>0</v>
      </c>
      <c r="X2091" t="str">
        <v>x</v>
      </c>
      <c r="Y2091">
        <f>D2075</f>
        <v>3</v>
      </c>
      <c r="Z2091" t="str">
        <v>=</v>
      </c>
      <c r="AA2091">
        <f>N2091*U2091*W2091*Y2091</f>
        <v>0</v>
      </c>
    </row>
    <row r="2095">
      <c r="A2095" t="str">
        <f>A2065</f>
        <v>Lantai 1</v>
      </c>
      <c r="B2095">
        <f>B2065+1</f>
        <v>68</v>
      </c>
      <c r="C2095" t="str">
        <f>CONCATENATE(A2095," no. ",B2095)</f>
        <v>Lantai 1 no. 68</v>
      </c>
      <c r="D2095" t="str">
        <f>VLOOKUP(C2095,'Data Panjang Balok'!$C$9:$N$254,2,FALSE)</f>
        <v>S25-1</v>
      </c>
    </row>
    <row r="2096">
      <c r="C2096" t="str">
        <v>Dimensi</v>
      </c>
      <c r="D2096">
        <f>VLOOKUP(D2095,'Detail Balok'!$C$10:$AU$140,2,FALSE)</f>
        <v>200</v>
      </c>
      <c r="F2096" t="str">
        <v>x</v>
      </c>
      <c r="G2096">
        <f>VLOOKUP(D2095,'Detail Balok'!$C$10:$AU$140,3,FALSE)</f>
        <v>500</v>
      </c>
    </row>
    <row r="2097">
      <c r="C2097" t="str">
        <v>Panjang as ke as</v>
      </c>
      <c r="D2097">
        <f>VLOOKUP(C2095,'Data Panjang Balok'!$C$9:$N$254,4,FALSE)</f>
        <v>4805</v>
      </c>
    </row>
    <row r="2098">
      <c r="C2098" t="str">
        <v>Panjang netto</v>
      </c>
      <c r="D2098">
        <f>VLOOKUP(C2095,'Data Panjang Balok'!$C$9:$N$254,7,FALSE)</f>
        <v>4805</v>
      </c>
    </row>
    <row r="2099">
      <c r="C2099" t="str">
        <v>Kolom / balok kiri</v>
      </c>
      <c r="D2099">
        <f>VLOOKUP(C2095,'Data Panjang Balok'!$C$9:$N$254,9,FALSE)</f>
        <v>0</v>
      </c>
    </row>
    <row r="2100">
      <c r="C2100" t="str">
        <v>Kolom / balok kanan</v>
      </c>
      <c r="D2100">
        <f>VLOOKUP(C2095,'Data Panjang Balok'!$C$9:$N$254,10,FALSE)</f>
        <v>0</v>
      </c>
    </row>
    <row r="2101">
      <c r="C2101" t="str">
        <v>Jumlah</v>
      </c>
      <c r="D2101">
        <f>VLOOKUP(C2095,'Data Panjang Balok'!$C$9:$N$254,3,FALSE)</f>
        <v>1</v>
      </c>
    </row>
    <row r="2102">
      <c r="A2102" t="str">
        <f>A2095</f>
        <v>Lantai 1</v>
      </c>
      <c r="B2102">
        <f>B2095</f>
        <v>68</v>
      </c>
      <c r="C2102" t="str">
        <v>Tul Atas Tumpuan</v>
      </c>
      <c r="D2102">
        <f>VLOOKUP(D2095,'Detail Balok'!$C$10:$AU$140,4,FALSE)</f>
        <v>3</v>
      </c>
      <c r="E2102" t="str">
        <v>D</v>
      </c>
      <c r="F2102">
        <f>VLOOKUP(D2095,'Detail Balok'!$C$10:$AU$140,6,FALSE)</f>
        <v>16</v>
      </c>
      <c r="I2102" t="str">
        <v>(</v>
      </c>
      <c r="J2102">
        <f>+D2097/4/1000</f>
        <v>1.20125</v>
      </c>
      <c r="K2102" t="str">
        <v>+</v>
      </c>
      <c r="L2102">
        <f>MAX(VLOOKUP(F2102,N$6:P$15,3,FALSE)/1000,2/3*D2099/1000)+F$16*F2102/1000</f>
        <v>0.192</v>
      </c>
      <c r="M2102" t="str">
        <v>=</v>
      </c>
      <c r="N2102">
        <f>J2102+L2102</f>
        <v>1.3932499999999999</v>
      </c>
      <c r="O2102" t="str">
        <v>+</v>
      </c>
      <c r="P2102">
        <f>D2102-D2103</f>
        <v>0</v>
      </c>
      <c r="Q2102" t="str">
        <v>x</v>
      </c>
      <c r="R2102">
        <f>IF(P2102&gt;0,$F$18*F2102/1000,0)</f>
        <v>0</v>
      </c>
      <c r="S2102" t="str">
        <v>)</v>
      </c>
      <c r="T2102" t="str">
        <v>x</v>
      </c>
      <c r="U2102">
        <f>0.006165*F2102^2</f>
        <v>1.57824</v>
      </c>
      <c r="X2102" t="str">
        <v>x</v>
      </c>
      <c r="Y2102">
        <f>D2101</f>
        <v>1</v>
      </c>
      <c r="Z2102" t="str">
        <v>=</v>
      </c>
      <c r="AA2102">
        <f>IF(AA2105=0,(D2102*N2102+P2102*R2102)*U2102*Y2102,0)</f>
        <v>0</v>
      </c>
    </row>
    <row r="2103">
      <c r="A2103" t="str">
        <f>A2095</f>
        <v>Lantai 1</v>
      </c>
      <c r="B2103">
        <f>B2095</f>
        <v>68</v>
      </c>
      <c r="C2103" t="str">
        <v>Tul Atas Lapangan</v>
      </c>
      <c r="D2103">
        <f>VLOOKUP(D2095,'Detail Balok'!$C$10:$AU$140,7,FALSE)</f>
        <v>3</v>
      </c>
      <c r="E2103" t="str">
        <v>D</v>
      </c>
      <c r="F2103">
        <f>VLOOKUP(D2095,'Detail Balok'!$C$10:$AU$140,9,FALSE)</f>
        <v>16</v>
      </c>
      <c r="I2103" t="str">
        <v>(</v>
      </c>
      <c r="J2103">
        <f>+D2097/2/1000</f>
        <v>2.4025</v>
      </c>
      <c r="K2103" t="str">
        <v>+</v>
      </c>
      <c r="M2103" t="str">
        <v>=</v>
      </c>
      <c r="N2103">
        <f>J2103+L2103</f>
        <v>2.4025</v>
      </c>
      <c r="O2103" t="str">
        <v>+</v>
      </c>
      <c r="P2103">
        <f>MAX(D2103-D2102,D2103-D2104)</f>
        <v>0</v>
      </c>
      <c r="Q2103" t="str">
        <v>x</v>
      </c>
      <c r="R2103">
        <f>IF(P2103&gt;0,2*(1-2*$F$19-1/2)*D2098/1000,0)</f>
        <v>0</v>
      </c>
      <c r="S2103" t="str">
        <v>)</v>
      </c>
      <c r="T2103" t="str">
        <v>x</v>
      </c>
      <c r="U2103">
        <f>0.006165*F2103^2</f>
        <v>1.57824</v>
      </c>
      <c r="X2103" t="str">
        <v>x</v>
      </c>
      <c r="Y2103">
        <f>D2101</f>
        <v>1</v>
      </c>
      <c r="Z2103" t="str">
        <v>=</v>
      </c>
      <c r="AA2103">
        <f>IF(AA2105=0,(D2103*N2103+P2103*R2103)*U2103*Y2103,0)</f>
        <v>0</v>
      </c>
    </row>
    <row r="2104">
      <c r="A2104" t="str">
        <f>A2095</f>
        <v>Lantai 1</v>
      </c>
      <c r="B2104">
        <f>B2095</f>
        <v>68</v>
      </c>
      <c r="C2104" t="str">
        <v>Tul Atas Tumpuan</v>
      </c>
      <c r="D2104">
        <f>VLOOKUP(D2095,'Detail Balok'!$C$10:$AU$140,10,FALSE)</f>
        <v>3</v>
      </c>
      <c r="E2104" t="str">
        <v>D</v>
      </c>
      <c r="F2104">
        <f>VLOOKUP(D2095,'Detail Balok'!$C$10:$AU$140,12,FALSE)</f>
        <v>16</v>
      </c>
      <c r="I2104" t="str">
        <v>(</v>
      </c>
      <c r="J2104">
        <f>+D2097/4/1000</f>
        <v>1.20125</v>
      </c>
      <c r="K2104" t="str">
        <v>+</v>
      </c>
      <c r="L2104">
        <f>MAX(VLOOKUP(F2104,N$6:P$15,3,FALSE)/1000,2/3*D2099/1000)+F$16*F2104/1000</f>
        <v>0.192</v>
      </c>
      <c r="M2104" t="str">
        <v>=</v>
      </c>
      <c r="N2104">
        <f>J2104+L2104</f>
        <v>1.3932499999999999</v>
      </c>
      <c r="O2104" t="str">
        <v>+</v>
      </c>
      <c r="P2104">
        <f>D2104-D2103</f>
        <v>0</v>
      </c>
      <c r="Q2104" t="str">
        <v>x</v>
      </c>
      <c r="R2104">
        <f>IF(P2104&gt;0,$F$18*F2104/1000,0)</f>
        <v>0</v>
      </c>
      <c r="S2104" t="str">
        <v>)</v>
      </c>
      <c r="T2104" t="str">
        <v>x</v>
      </c>
      <c r="U2104">
        <f>0.006165*F2104^2</f>
        <v>1.57824</v>
      </c>
      <c r="X2104" t="str">
        <v>x</v>
      </c>
      <c r="Y2104">
        <f>D2101</f>
        <v>1</v>
      </c>
      <c r="Z2104" t="str">
        <v>=</v>
      </c>
      <c r="AA2104">
        <f>IF(AA2105=0,(D2104*N2104+P2104*R2104)*U2104*Y2104,0)</f>
        <v>0</v>
      </c>
    </row>
    <row r="2105">
      <c r="A2105" t="str">
        <f>A2095</f>
        <v>Lantai 1</v>
      </c>
      <c r="B2105">
        <f>B2095</f>
        <v>68</v>
      </c>
      <c r="D2105">
        <f>IF(AND(D2102=D2103,D2103=D2104,D2102=D2104),D2102,0)</f>
        <v>3</v>
      </c>
      <c r="E2105" t="str">
        <v>D</v>
      </c>
      <c r="F2105">
        <f>IF(AND(F2102=F2103,F2102=F2104,F2103=F2104),F2102,0)</f>
        <v>16</v>
      </c>
      <c r="L2105" t="str">
        <v>Total panjang per balok</v>
      </c>
      <c r="M2105" t="str">
        <v>=</v>
      </c>
      <c r="N2105">
        <f>IF(AND(D2102=D2103,D2102=D2104,D2103=D2104,F2102=F2103,F2102=F2104,F2103=F2104),SUM(N2102:N2104),0)</f>
        <v>5.189</v>
      </c>
      <c r="O2105" t="str">
        <v>+</v>
      </c>
      <c r="P2105">
        <f>IF(N2105&gt;12,ROUNDDOWN(N2105/12,0),0)</f>
        <v>0</v>
      </c>
      <c r="Q2105" t="str">
        <v>x</v>
      </c>
      <c r="R2105">
        <f>IF(P2105&gt;0,MAX(VLOOKUP(F2105,$D$6:$G$15,3,FALSE),600),0)/1000</f>
        <v>0</v>
      </c>
      <c r="T2105" t="str">
        <v>x</v>
      </c>
      <c r="U2105">
        <f>U2104</f>
        <v>1.57824</v>
      </c>
      <c r="V2105" t="str">
        <v>x</v>
      </c>
      <c r="W2105">
        <f>D2105</f>
        <v>3</v>
      </c>
      <c r="X2105" t="str">
        <v>x</v>
      </c>
      <c r="Y2105">
        <f>Y2104</f>
        <v>1</v>
      </c>
      <c r="Z2105" t="str">
        <v>=</v>
      </c>
      <c r="AA2105">
        <f>(N2105+P2105*R2105/1000)*U2105*W2105*Y2105</f>
        <v>24.568462080000003</v>
      </c>
    </row>
    <row r="2107">
      <c r="A2107" t="str">
        <f>A2095</f>
        <v>Lantai 1</v>
      </c>
      <c r="B2107">
        <f>B2095</f>
        <v>68</v>
      </c>
      <c r="C2107" t="str">
        <v>Tul Peminggang</v>
      </c>
      <c r="D2107">
        <f>VLOOKUP(D2095,'Detail Balok'!$C$10:$AU$140,13,FALSE)</f>
        <v>2</v>
      </c>
      <c r="E2107" t="str">
        <v>D</v>
      </c>
      <c r="F2107">
        <f>VLOOKUP(D2095,'Detail Balok'!$C$10:$AU$140,15,FALSE)</f>
        <v>10</v>
      </c>
      <c r="J2107">
        <f>+D2097/1000</f>
        <v>4.805</v>
      </c>
      <c r="K2107" t="str">
        <v>+</v>
      </c>
      <c r="L2107">
        <f>2*$F$16*F2107/1000</f>
        <v>0.24</v>
      </c>
      <c r="M2107" t="str">
        <v>=</v>
      </c>
      <c r="N2107">
        <f>J2107+L2107</f>
        <v>5.045</v>
      </c>
      <c r="O2107" t="str">
        <v>+</v>
      </c>
      <c r="P2107">
        <f>IF(N2107&gt;12,ROUNDDOWN(N2107/12,0),0)</f>
        <v>0</v>
      </c>
      <c r="Q2107" t="str">
        <v>x</v>
      </c>
      <c r="R2107">
        <f>IF(P2107&gt;0,MAX(VLOOKUP(F2107,$D$6:$G$15,3,FALSE),600),0)/1000</f>
        <v>0</v>
      </c>
      <c r="T2107" t="str">
        <v>x</v>
      </c>
      <c r="U2107">
        <f>0.006165*F2107^2</f>
        <v>0.6165</v>
      </c>
      <c r="V2107" t="str">
        <v>x</v>
      </c>
      <c r="W2107">
        <f>+D2107</f>
        <v>2</v>
      </c>
      <c r="X2107" t="str">
        <v>x</v>
      </c>
      <c r="Y2107">
        <f>D2101</f>
        <v>1</v>
      </c>
      <c r="Z2107" t="str">
        <v>=</v>
      </c>
      <c r="AA2107">
        <f>(N2107+P2107*R2107/1000)*U2107*W2107*Y2107</f>
        <v>6.220485</v>
      </c>
    </row>
    <row r="2110">
      <c r="A2110" t="str">
        <f>A2095</f>
        <v>Lantai 1</v>
      </c>
      <c r="B2110">
        <f>B2095</f>
        <v>68</v>
      </c>
      <c r="C2110" t="str">
        <v>Tul Bawah Tumpuan</v>
      </c>
      <c r="D2110">
        <f>VLOOKUP(D2095,'Detail Balok'!$C$10:$AU$140,22,FALSE)</f>
        <v>3</v>
      </c>
      <c r="E2110" t="str">
        <v>D</v>
      </c>
      <c r="F2110">
        <f>VLOOKUP(D2095,'Detail Balok'!$C$10:$AU$140,24,FALSE)</f>
        <v>16</v>
      </c>
      <c r="I2110" t="str">
        <v>(</v>
      </c>
      <c r="J2110">
        <f>+J2102</f>
        <v>1.20125</v>
      </c>
      <c r="K2110" t="str">
        <v>+</v>
      </c>
      <c r="L2110">
        <f>MAX(VLOOKUP(F2110,N$6:P$15,3,FALSE)/1000,2/3*D2100/1000)+F$16*F2110/1000</f>
        <v>0.192</v>
      </c>
      <c r="M2110" t="str">
        <v>=</v>
      </c>
      <c r="N2110">
        <f>J2110+L2110</f>
        <v>1.3932499999999999</v>
      </c>
      <c r="O2110" t="str">
        <v>+</v>
      </c>
      <c r="P2110">
        <f>D2110-D2111</f>
        <v>0</v>
      </c>
      <c r="Q2110" t="str">
        <v>x</v>
      </c>
      <c r="R2110">
        <f>IF(P2110&gt;0,$F$18*F2110/1000,0)</f>
        <v>0</v>
      </c>
      <c r="S2110" t="str">
        <v>)</v>
      </c>
      <c r="T2110" t="str">
        <v>x</v>
      </c>
      <c r="U2110">
        <f>0.006165*F2110^2</f>
        <v>1.57824</v>
      </c>
      <c r="X2110" t="str">
        <v>x</v>
      </c>
      <c r="Y2110">
        <f>D2101</f>
        <v>1</v>
      </c>
      <c r="Z2110" t="str">
        <v>=</v>
      </c>
      <c r="AA2110">
        <f>IF(AA2113=0,(D2110*N2110+P2110*R2110)*U2110*Y2110,0)</f>
        <v>0</v>
      </c>
    </row>
    <row r="2111">
      <c r="A2111" t="str">
        <f>A2095</f>
        <v>Lantai 1</v>
      </c>
      <c r="B2111">
        <f>B2095</f>
        <v>68</v>
      </c>
      <c r="C2111" t="str">
        <v>Tul Bawah Lapangan</v>
      </c>
      <c r="D2111">
        <f>VLOOKUP(D2095,'Detail Balok'!$C$10:$AU$140,25,FALSE)</f>
        <v>3</v>
      </c>
      <c r="E2111" t="str">
        <v>D</v>
      </c>
      <c r="F2111">
        <f>VLOOKUP(D2095,'Detail Balok'!$C$10:$AU$140,27,FALSE)</f>
        <v>16</v>
      </c>
      <c r="I2111" t="str">
        <v>(</v>
      </c>
      <c r="J2111">
        <f>+J2103</f>
        <v>2.4025</v>
      </c>
      <c r="K2111" t="str">
        <v>+</v>
      </c>
      <c r="M2111" t="str">
        <v>=</v>
      </c>
      <c r="N2111">
        <f>J2111+L2111</f>
        <v>2.4025</v>
      </c>
      <c r="O2111" t="str">
        <v>+</v>
      </c>
      <c r="P2111">
        <f>MAX(D2111-D2110,D2111-D2112)</f>
        <v>0</v>
      </c>
      <c r="Q2111" t="str">
        <v>x</v>
      </c>
      <c r="R2111">
        <f>IF(P2111&gt;0,2*(1-2*$F$19-1/2)*D2098/1000,0)</f>
        <v>0</v>
      </c>
      <c r="S2111" t="str">
        <v>)</v>
      </c>
      <c r="T2111" t="str">
        <v>x</v>
      </c>
      <c r="U2111">
        <f>0.006165*F2111^2</f>
        <v>1.57824</v>
      </c>
      <c r="X2111" t="str">
        <v>x</v>
      </c>
      <c r="Y2111">
        <f>D2101</f>
        <v>1</v>
      </c>
      <c r="Z2111" t="str">
        <v>=</v>
      </c>
      <c r="AA2111">
        <f>IF(AA2113=0,(D2111*N2111+P2111*R2111)*U2111*Y2111,0)</f>
        <v>0</v>
      </c>
    </row>
    <row r="2112">
      <c r="A2112" t="str">
        <f>A2095</f>
        <v>Lantai 1</v>
      </c>
      <c r="B2112">
        <f>B2095</f>
        <v>68</v>
      </c>
      <c r="C2112" t="str">
        <v>Tul Bawah Tumpuan</v>
      </c>
      <c r="D2112">
        <f>VLOOKUP(D2095,'Detail Balok'!$C$10:$AU$140,28,FALSE)</f>
        <v>3</v>
      </c>
      <c r="E2112" t="str">
        <v>D</v>
      </c>
      <c r="F2112">
        <f>VLOOKUP(D2095,'Detail Balok'!$C$10:$AU$140,30,FALSE)</f>
        <v>16</v>
      </c>
      <c r="I2112" t="str">
        <v>(</v>
      </c>
      <c r="J2112">
        <f>+J2104</f>
        <v>1.20125</v>
      </c>
      <c r="K2112" t="str">
        <v>+</v>
      </c>
      <c r="L2112">
        <f>MAX(VLOOKUP(F2112,N$6:P$15,3,FALSE)/1000,2/3*D2100/1000)+F$16*F2112/1000</f>
        <v>0.192</v>
      </c>
      <c r="M2112" t="str">
        <v>=</v>
      </c>
      <c r="N2112">
        <f>J2112+L2112</f>
        <v>1.3932499999999999</v>
      </c>
      <c r="O2112" t="str">
        <v>+</v>
      </c>
      <c r="P2112">
        <f>D2112-D2111</f>
        <v>0</v>
      </c>
      <c r="Q2112" t="str">
        <v>x</v>
      </c>
      <c r="R2112">
        <f>IF(P2112&gt;0,$F$18*F2112/1000,0)</f>
        <v>0</v>
      </c>
      <c r="S2112" t="str">
        <v>)</v>
      </c>
      <c r="T2112" t="str">
        <v>x</v>
      </c>
      <c r="U2112">
        <f>0.006165*F2112^2</f>
        <v>1.57824</v>
      </c>
      <c r="X2112" t="str">
        <v>x</v>
      </c>
      <c r="Y2112">
        <f>D2101</f>
        <v>1</v>
      </c>
      <c r="Z2112" t="str">
        <v>=</v>
      </c>
      <c r="AA2112">
        <f>IF(AA2113=0,(D2112*N2112+P2112*R2112)*U2112*Y2112,0)</f>
        <v>0</v>
      </c>
    </row>
    <row r="2113">
      <c r="A2113" t="str">
        <f>A2095</f>
        <v>Lantai 1</v>
      </c>
      <c r="B2113">
        <f>B2095</f>
        <v>68</v>
      </c>
      <c r="D2113">
        <f>IF(AND(D2110=D2111,D2111=D2112,D2110=D2112),D2110,0)</f>
        <v>3</v>
      </c>
      <c r="E2113" t="str">
        <v>D</v>
      </c>
      <c r="F2113">
        <f>IF(AND(F2110=F2111,F2110=F2112,F2111=F2112),F2110,0)</f>
        <v>16</v>
      </c>
      <c r="L2113" t="str">
        <v>Total panjang per balok</v>
      </c>
      <c r="M2113" t="str">
        <v>=</v>
      </c>
      <c r="N2113">
        <f>IF(AND(D2110=D2111,D2110=D2112,D2111=D2112,F2110=F2111,F2110=F2112,F2111=F2112),SUM(N2110:N2112),0)</f>
        <v>5.189</v>
      </c>
      <c r="O2113" t="str">
        <v>+</v>
      </c>
      <c r="P2113">
        <f>IF(N2113&gt;12,ROUNDDOWN(N2113/12,0),0)</f>
        <v>0</v>
      </c>
      <c r="Q2113" t="str">
        <v>x</v>
      </c>
      <c r="R2113">
        <f>IF(P2113&gt;0,MAX(VLOOKUP(F2113,$D$6:$G$15,3,FALSE),600),0)/1000</f>
        <v>0</v>
      </c>
      <c r="T2113" t="str">
        <v>x</v>
      </c>
      <c r="U2113">
        <f>U2112</f>
        <v>1.57824</v>
      </c>
      <c r="V2113" t="str">
        <v>x</v>
      </c>
      <c r="W2113">
        <f>D2113</f>
        <v>3</v>
      </c>
      <c r="X2113" t="str">
        <v>x</v>
      </c>
      <c r="Y2113">
        <f>Y2112</f>
        <v>1</v>
      </c>
      <c r="Z2113" t="str">
        <v>=</v>
      </c>
      <c r="AA2113">
        <f>(N2113+P2113*R2113/1000)*U2113*W2113*Y2113</f>
        <v>24.568462080000003</v>
      </c>
    </row>
    <row r="2115">
      <c r="A2115" t="str">
        <f>A2095</f>
        <v>Lantai 1</v>
      </c>
      <c r="B2115">
        <f>B2095</f>
        <v>68</v>
      </c>
      <c r="C2115" t="str">
        <v>Sengkang Tumpuan</v>
      </c>
      <c r="D2115">
        <f>VLOOKUP(D2095,'Detail Balok'!$C$10:$AU$140,31,FALSE)</f>
        <v>0</v>
      </c>
      <c r="E2115" t="str">
        <v>D</v>
      </c>
      <c r="F2115">
        <f>VLOOKUP(D2095,'Detail Balok'!$C$10:$AU$140,33,FALSE)</f>
        <v>8</v>
      </c>
      <c r="G2115" t="str">
        <v>-</v>
      </c>
      <c r="H2115">
        <f>VLOOKUP(D2095,'Detail Balok'!$C$10:$AU$140,35,FALSE)</f>
        <v>150</v>
      </c>
      <c r="J2115">
        <f>(IF(D2115=0,(2*(D2096+G2096))-(F$5*8),IF(D2115=3,(2*(D2096+G2096))-(F$5*8)+(G2096-2*F$5),IF(D2115=4,(2*(D2096+G2096))-(F$5*8)+2*(G2096-2*F$5)))))/1000</f>
        <v>1.08</v>
      </c>
      <c r="K2115" t="str">
        <v>+</v>
      </c>
      <c r="L2115">
        <f>IF(D2115=0,2*MAX(6*F2115,75),(D2115-1)*2*MAX(6*F2115,75))/1000</f>
        <v>0.15</v>
      </c>
      <c r="M2115" t="str">
        <v>=</v>
      </c>
      <c r="N2115">
        <f>J2115+L2115</f>
        <v>1.23</v>
      </c>
      <c r="T2115" t="str">
        <v>x</v>
      </c>
      <c r="U2115">
        <f>0.006165*F2115^2</f>
        <v>0.39456</v>
      </c>
      <c r="V2115" t="str">
        <v>x</v>
      </c>
      <c r="W2115">
        <f>IF(D2098&gt;4*G2096,ROUND(MAX(D2098/4,2*G2096)/H2115,0)+1,ROUND(D2098/H2115,0)+1)</f>
        <v>9</v>
      </c>
      <c r="X2115" t="str">
        <v>x</v>
      </c>
      <c r="Y2115">
        <f>D2101</f>
        <v>1</v>
      </c>
      <c r="Z2115" t="str">
        <v>=</v>
      </c>
      <c r="AA2115">
        <f>N2115*U2115*W2115*Y2115</f>
        <v>4.3677792</v>
      </c>
    </row>
    <row r="2116">
      <c r="A2116" t="str">
        <f>A2095</f>
        <v>Lantai 1</v>
      </c>
      <c r="B2116">
        <f>B2095</f>
        <v>68</v>
      </c>
      <c r="C2116" t="str">
        <v>Sengkang Lapangan</v>
      </c>
      <c r="D2116">
        <f>VLOOKUP(D2095,'Detail Balok'!$C$10:$AU$140,36,FALSE)</f>
        <v>0</v>
      </c>
      <c r="E2116" t="str">
        <v>D</v>
      </c>
      <c r="F2116">
        <f>VLOOKUP(D2095,'Detail Balok'!$C$10:$AU$140,38,FALSE)</f>
        <v>8</v>
      </c>
      <c r="G2116" t="str">
        <v>-</v>
      </c>
      <c r="H2116">
        <f>VLOOKUP(D2095,'Detail Balok'!$C$10:$AU$140,40,FALSE)</f>
        <v>200</v>
      </c>
      <c r="J2116">
        <f>(IF(D2116=0,(2*(D2096+G2096))-(F$5*8),IF(D2116=3,(2*(D2096+G2096))-(F$5*8)+(G2096-2*F$5),IF(D2116=4,(2*(D2096+G2096))-(F$5*8)+2*(G2096-2*F$5)))))/1000</f>
        <v>1.08</v>
      </c>
      <c r="K2116" t="str">
        <v>+</v>
      </c>
      <c r="L2116">
        <f>IF(D2116=0,2*MAX(6*F2116,75),(D2116-1)*2*MAX(6*F2116,75))/1000</f>
        <v>0.15</v>
      </c>
      <c r="M2116" t="str">
        <v>=</v>
      </c>
      <c r="N2116">
        <f>J2116+L2116</f>
        <v>1.23</v>
      </c>
      <c r="T2116" t="str">
        <v>x</v>
      </c>
      <c r="U2116">
        <f>0.006165*F2116^2</f>
        <v>0.39456</v>
      </c>
      <c r="V2116" t="str">
        <v>x</v>
      </c>
      <c r="W2116">
        <f>IF(D2098-MAX(D2098/4,2*G2096)*2&gt;0,ROUND((D2098-MAX(D2098/4,2*G2096)*2)/H2116,0),0)</f>
        <v>12</v>
      </c>
      <c r="X2116" t="str">
        <v>x</v>
      </c>
      <c r="Y2116">
        <f>D2101</f>
        <v>1</v>
      </c>
      <c r="Z2116" t="str">
        <v>=</v>
      </c>
      <c r="AA2116">
        <f>N2116*U2116*W2116*Y2116</f>
        <v>5.8237056</v>
      </c>
    </row>
    <row r="2117">
      <c r="A2117" t="str">
        <f>A2095</f>
        <v>Lantai 1</v>
      </c>
      <c r="B2117">
        <f>B2095</f>
        <v>68</v>
      </c>
      <c r="C2117" t="str">
        <v>Sengkang Tumpuan</v>
      </c>
      <c r="D2117">
        <f>VLOOKUP(D2095,'Detail Balok'!$C$10:$AU$140,41,FALSE)</f>
        <v>0</v>
      </c>
      <c r="E2117" t="str">
        <v>D</v>
      </c>
      <c r="F2117">
        <f>VLOOKUP(D2095,'Detail Balok'!$C$10:$AU$140,43,FALSE)</f>
        <v>8</v>
      </c>
      <c r="G2117" t="str">
        <v>-</v>
      </c>
      <c r="H2117">
        <f>VLOOKUP(D2095,'Detail Balok'!$C$10:$AU$140,45,FALSE)</f>
        <v>150</v>
      </c>
      <c r="J2117">
        <f>(IF(D2117=0,(2*(D2096+G2096))-(F$5*8),IF(D2117=3,(2*(D2096+G2096))-(F$5*8)+(G2096-2*F$5),IF(D2117=4,(2*(D2096+G2096))-(F$5*8)+2*(G2096-2*F$5)))))/1000</f>
        <v>1.08</v>
      </c>
      <c r="K2117" t="str">
        <v>+</v>
      </c>
      <c r="L2117">
        <f>IF(D2117=0,2*MAX(6*F2117,75),(D2117-1)*2*MAX(6*F2117,75))/1000</f>
        <v>0.15</v>
      </c>
      <c r="M2117" t="str">
        <v>=</v>
      </c>
      <c r="N2117">
        <f>J2117+L2117</f>
        <v>1.23</v>
      </c>
      <c r="T2117" t="str">
        <v>x</v>
      </c>
      <c r="U2117">
        <f>0.006165*F2117^2</f>
        <v>0.39456</v>
      </c>
      <c r="V2117" t="str">
        <v>x</v>
      </c>
      <c r="W2117">
        <f>IF(D2098&gt;4*G2096,ROUND(MAX(D2098/4,2*G2096)/H2117,0)+1,0)</f>
        <v>9</v>
      </c>
      <c r="X2117" t="str">
        <v>x</v>
      </c>
      <c r="Y2117">
        <f>D2101</f>
        <v>1</v>
      </c>
      <c r="Z2117" t="str">
        <v>=</v>
      </c>
      <c r="AA2117">
        <f>N2117*U2117*W2117*Y2117</f>
        <v>4.3677792</v>
      </c>
    </row>
    <row r="2119">
      <c r="A2119" t="str">
        <f>A2095</f>
        <v>Lantai 1</v>
      </c>
      <c r="B2119">
        <f>B2095</f>
        <v>68</v>
      </c>
      <c r="C2119" t="str">
        <v>Kait Horizontal Tump.</v>
      </c>
      <c r="D2119">
        <f>VLOOKUP(D2095,'Detail Balok'!$C$10:$BJ$140,46,FALSE)</f>
        <v>0</v>
      </c>
      <c r="E2119" t="str">
        <v>D</v>
      </c>
      <c r="F2119">
        <f>VLOOKUP(D2095,'Detail Balok'!$C$10:$BJ$140,48,FALSE)</f>
        <v>0</v>
      </c>
      <c r="G2119" t="str">
        <v>-</v>
      </c>
      <c r="H2119">
        <f>VLOOKUP(D2095,'Detail Balok'!$C$10:$BJ$140,50,FALSE)</f>
        <v>100</v>
      </c>
      <c r="J2119">
        <f>(D2096-2*F$5)/1000</f>
        <v>0.12</v>
      </c>
      <c r="K2119" t="str">
        <v>+</v>
      </c>
      <c r="L2119">
        <f>IF(D2119=0,2*MAX(6*F2119,75),(D2119-1)*2*MAX(6*F2119,75))/1000</f>
        <v>0.15</v>
      </c>
      <c r="M2119" t="str">
        <v>=</v>
      </c>
      <c r="N2119">
        <f>J2119+L2119</f>
        <v>0.27</v>
      </c>
      <c r="T2119" t="str">
        <v>x</v>
      </c>
      <c r="U2119">
        <f>0.006165*F2119^2</f>
        <v>0</v>
      </c>
      <c r="V2119" t="str">
        <v>x</v>
      </c>
      <c r="W2119">
        <f>W2115</f>
        <v>9</v>
      </c>
      <c r="X2119" t="str">
        <v>x</v>
      </c>
      <c r="Y2119">
        <f>D2105</f>
        <v>3</v>
      </c>
      <c r="Z2119" t="str">
        <v>=</v>
      </c>
      <c r="AA2119">
        <f>N2119*U2119*W2119*Y2119</f>
        <v>0</v>
      </c>
    </row>
    <row r="2120">
      <c r="A2120" t="str">
        <f>A2095</f>
        <v>Lantai 1</v>
      </c>
      <c r="B2120">
        <f>B2095</f>
        <v>68</v>
      </c>
      <c r="C2120" t="str">
        <v>Kait Horizontal Lap.</v>
      </c>
      <c r="D2120">
        <f>VLOOKUP(D2095,'Detail Balok'!$C$10:$BJ$140,51,FALSE)</f>
        <v>0</v>
      </c>
      <c r="E2120" t="str">
        <v>D</v>
      </c>
      <c r="F2120">
        <f>VLOOKUP(D2095,'Detail Balok'!$C$10:$BJ$140,53,FALSE)</f>
        <v>0</v>
      </c>
      <c r="G2120" t="str">
        <v>-</v>
      </c>
      <c r="H2120">
        <f>VLOOKUP(D2095,'Detail Balok'!$C$10:$BJ$140,55,FALSE)</f>
        <v>100</v>
      </c>
      <c r="J2120">
        <f>(D2096-2*F$5)/1000</f>
        <v>0.12</v>
      </c>
      <c r="K2120" t="str">
        <v>+</v>
      </c>
      <c r="L2120">
        <f>IF(D2120=0,2*MAX(6*F2120,75),(D2120-1)*2*MAX(6*F2120,75))/1000</f>
        <v>0.15</v>
      </c>
      <c r="M2120" t="str">
        <v>=</v>
      </c>
      <c r="N2120">
        <f>J2120+L2120</f>
        <v>0.27</v>
      </c>
      <c r="T2120" t="str">
        <v>x</v>
      </c>
      <c r="U2120">
        <f>0.006165*F2120^2</f>
        <v>0</v>
      </c>
      <c r="V2120" t="str">
        <v>x</v>
      </c>
      <c r="W2120">
        <f>W2116</f>
        <v>12</v>
      </c>
      <c r="X2120" t="str">
        <v>x</v>
      </c>
      <c r="Y2120">
        <f>D2105</f>
        <v>3</v>
      </c>
      <c r="Z2120" t="str">
        <v>=</v>
      </c>
      <c r="AA2120">
        <f>N2120*U2120*W2120*Y2120</f>
        <v>0</v>
      </c>
    </row>
    <row r="2121">
      <c r="A2121" t="str">
        <f>A2095</f>
        <v>Lantai 1</v>
      </c>
      <c r="B2121">
        <f>B2095</f>
        <v>68</v>
      </c>
      <c r="C2121" t="str">
        <v>Kait Horizontal Tump.</v>
      </c>
      <c r="D2121">
        <f>VLOOKUP(D2095,'Detail Balok'!$C$10:$BJ$140,56,FALSE)</f>
        <v>0</v>
      </c>
      <c r="E2121" t="str">
        <v>D</v>
      </c>
      <c r="F2121">
        <f>VLOOKUP(D2095,'Detail Balok'!$C$10:$BJ$140,58,FALSE)</f>
        <v>0</v>
      </c>
      <c r="G2121" t="str">
        <v>-</v>
      </c>
      <c r="H2121">
        <f>VLOOKUP(D2095,'Detail Balok'!$C$10:$BJ$140,60,FALSE)</f>
        <v>100</v>
      </c>
      <c r="J2121">
        <f>(D2096-2*F$5)/1000</f>
        <v>0.12</v>
      </c>
      <c r="K2121" t="str">
        <v>+</v>
      </c>
      <c r="L2121">
        <f>IF(D2121=0,2*MAX(6*F2121,75),(D2121-1)*2*MAX(6*F2121,75))/1000</f>
        <v>0.15</v>
      </c>
      <c r="M2121" t="str">
        <v>=</v>
      </c>
      <c r="N2121">
        <f>J2121+L2121</f>
        <v>0.27</v>
      </c>
      <c r="T2121" t="str">
        <v>x</v>
      </c>
      <c r="U2121">
        <f>0.006165*F2121^2</f>
        <v>0</v>
      </c>
      <c r="V2121" t="str">
        <v>x</v>
      </c>
      <c r="W2121">
        <f>W2117</f>
        <v>9</v>
      </c>
      <c r="X2121" t="str">
        <v>x</v>
      </c>
      <c r="Y2121">
        <f>D2105</f>
        <v>3</v>
      </c>
      <c r="Z2121" t="str">
        <v>=</v>
      </c>
      <c r="AA2121">
        <f>N2121*U2121*W2121*Y2121</f>
        <v>0</v>
      </c>
    </row>
    <row r="2125">
      <c r="A2125" t="str">
        <f>A2095</f>
        <v>Lantai 1</v>
      </c>
      <c r="B2125">
        <f>B2095+1</f>
        <v>69</v>
      </c>
      <c r="C2125" t="str">
        <f>CONCATENATE(A2125," no. ",B2125)</f>
        <v>Lantai 1 no. 69</v>
      </c>
      <c r="D2125" t="str">
        <f>VLOOKUP(C2125,'Data Panjang Balok'!$C$9:$N$254,2,FALSE)</f>
        <v>S25-1</v>
      </c>
    </row>
    <row r="2126">
      <c r="C2126" t="str">
        <v>Dimensi</v>
      </c>
      <c r="D2126">
        <f>VLOOKUP(D2125,'Detail Balok'!$C$10:$AU$140,2,FALSE)</f>
        <v>200</v>
      </c>
      <c r="F2126" t="str">
        <v>x</v>
      </c>
      <c r="G2126">
        <f>VLOOKUP(D2125,'Detail Balok'!$C$10:$AU$140,3,FALSE)</f>
        <v>500</v>
      </c>
    </row>
    <row r="2127">
      <c r="C2127" t="str">
        <v>Panjang as ke as</v>
      </c>
      <c r="D2127">
        <f>VLOOKUP(C2125,'Data Panjang Balok'!$C$9:$N$254,4,FALSE)</f>
        <v>4805</v>
      </c>
    </row>
    <row r="2128">
      <c r="C2128" t="str">
        <v>Panjang netto</v>
      </c>
      <c r="D2128">
        <f>VLOOKUP(C2125,'Data Panjang Balok'!$C$9:$N$254,7,FALSE)</f>
        <v>4805</v>
      </c>
    </row>
    <row r="2129">
      <c r="C2129" t="str">
        <v>Kolom / balok kiri</v>
      </c>
      <c r="D2129">
        <f>VLOOKUP(C2125,'Data Panjang Balok'!$C$9:$N$254,9,FALSE)</f>
        <v>0</v>
      </c>
    </row>
    <row r="2130">
      <c r="C2130" t="str">
        <v>Kolom / balok kanan</v>
      </c>
      <c r="D2130">
        <f>VLOOKUP(C2125,'Data Panjang Balok'!$C$9:$N$254,10,FALSE)</f>
        <v>0</v>
      </c>
    </row>
    <row r="2131">
      <c r="C2131" t="str">
        <v>Jumlah</v>
      </c>
      <c r="D2131">
        <f>VLOOKUP(C2125,'Data Panjang Balok'!$C$9:$N$254,3,FALSE)</f>
        <v>1</v>
      </c>
    </row>
    <row r="2132">
      <c r="A2132" t="str">
        <f>A2125</f>
        <v>Lantai 1</v>
      </c>
      <c r="B2132">
        <f>B2125</f>
        <v>69</v>
      </c>
      <c r="C2132" t="str">
        <v>Tul Atas Tumpuan</v>
      </c>
      <c r="D2132">
        <f>VLOOKUP(D2125,'Detail Balok'!$C$10:$AU$140,4,FALSE)</f>
        <v>3</v>
      </c>
      <c r="E2132" t="str">
        <v>D</v>
      </c>
      <c r="F2132">
        <f>VLOOKUP(D2125,'Detail Balok'!$C$10:$AU$140,6,FALSE)</f>
        <v>16</v>
      </c>
      <c r="I2132" t="str">
        <v>(</v>
      </c>
      <c r="J2132">
        <f>+D2127/4/1000</f>
        <v>1.20125</v>
      </c>
      <c r="K2132" t="str">
        <v>+</v>
      </c>
      <c r="L2132">
        <f>MAX(VLOOKUP(F2132,N$6:P$15,3,FALSE)/1000,2/3*D2129/1000)+F$16*F2132/1000</f>
        <v>0.192</v>
      </c>
      <c r="M2132" t="str">
        <v>=</v>
      </c>
      <c r="N2132">
        <f>J2132+L2132</f>
        <v>1.3932499999999999</v>
      </c>
      <c r="O2132" t="str">
        <v>+</v>
      </c>
      <c r="P2132">
        <f>D2132-D2133</f>
        <v>0</v>
      </c>
      <c r="Q2132" t="str">
        <v>x</v>
      </c>
      <c r="R2132">
        <f>IF(P2132&gt;0,$F$18*F2132/1000,0)</f>
        <v>0</v>
      </c>
      <c r="S2132" t="str">
        <v>)</v>
      </c>
      <c r="T2132" t="str">
        <v>x</v>
      </c>
      <c r="U2132">
        <f>0.006165*F2132^2</f>
        <v>1.57824</v>
      </c>
      <c r="X2132" t="str">
        <v>x</v>
      </c>
      <c r="Y2132">
        <f>D2131</f>
        <v>1</v>
      </c>
      <c r="Z2132" t="str">
        <v>=</v>
      </c>
      <c r="AA2132">
        <f>IF(AA2135=0,(D2132*N2132+P2132*R2132)*U2132*Y2132,0)</f>
        <v>0</v>
      </c>
    </row>
    <row r="2133">
      <c r="A2133" t="str">
        <f>A2125</f>
        <v>Lantai 1</v>
      </c>
      <c r="B2133">
        <f>B2125</f>
        <v>69</v>
      </c>
      <c r="C2133" t="str">
        <v>Tul Atas Lapangan</v>
      </c>
      <c r="D2133">
        <f>VLOOKUP(D2125,'Detail Balok'!$C$10:$AU$140,7,FALSE)</f>
        <v>3</v>
      </c>
      <c r="E2133" t="str">
        <v>D</v>
      </c>
      <c r="F2133">
        <f>VLOOKUP(D2125,'Detail Balok'!$C$10:$AU$140,9,FALSE)</f>
        <v>16</v>
      </c>
      <c r="I2133" t="str">
        <v>(</v>
      </c>
      <c r="J2133">
        <f>+D2127/2/1000</f>
        <v>2.4025</v>
      </c>
      <c r="K2133" t="str">
        <v>+</v>
      </c>
      <c r="M2133" t="str">
        <v>=</v>
      </c>
      <c r="N2133">
        <f>J2133+L2133</f>
        <v>2.4025</v>
      </c>
      <c r="O2133" t="str">
        <v>+</v>
      </c>
      <c r="P2133">
        <f>MAX(D2133-D2132,D2133-D2134)</f>
        <v>0</v>
      </c>
      <c r="Q2133" t="str">
        <v>x</v>
      </c>
      <c r="R2133">
        <f>IF(P2133&gt;0,2*(1-2*$F$19-1/2)*D2128/1000,0)</f>
        <v>0</v>
      </c>
      <c r="S2133" t="str">
        <v>)</v>
      </c>
      <c r="T2133" t="str">
        <v>x</v>
      </c>
      <c r="U2133">
        <f>0.006165*F2133^2</f>
        <v>1.57824</v>
      </c>
      <c r="X2133" t="str">
        <v>x</v>
      </c>
      <c r="Y2133">
        <f>D2131</f>
        <v>1</v>
      </c>
      <c r="Z2133" t="str">
        <v>=</v>
      </c>
      <c r="AA2133">
        <f>IF(AA2135=0,(D2133*N2133+P2133*R2133)*U2133*Y2133,0)</f>
        <v>0</v>
      </c>
    </row>
    <row r="2134">
      <c r="A2134" t="str">
        <f>A2125</f>
        <v>Lantai 1</v>
      </c>
      <c r="B2134">
        <f>B2125</f>
        <v>69</v>
      </c>
      <c r="C2134" t="str">
        <v>Tul Atas Tumpuan</v>
      </c>
      <c r="D2134">
        <f>VLOOKUP(D2125,'Detail Balok'!$C$10:$AU$140,10,FALSE)</f>
        <v>3</v>
      </c>
      <c r="E2134" t="str">
        <v>D</v>
      </c>
      <c r="F2134">
        <f>VLOOKUP(D2125,'Detail Balok'!$C$10:$AU$140,12,FALSE)</f>
        <v>16</v>
      </c>
      <c r="I2134" t="str">
        <v>(</v>
      </c>
      <c r="J2134">
        <f>+D2127/4/1000</f>
        <v>1.20125</v>
      </c>
      <c r="K2134" t="str">
        <v>+</v>
      </c>
      <c r="L2134">
        <f>MAX(VLOOKUP(F2134,N$6:P$15,3,FALSE)/1000,2/3*D2129/1000)+F$16*F2134/1000</f>
        <v>0.192</v>
      </c>
      <c r="M2134" t="str">
        <v>=</v>
      </c>
      <c r="N2134">
        <f>J2134+L2134</f>
        <v>1.3932499999999999</v>
      </c>
      <c r="O2134" t="str">
        <v>+</v>
      </c>
      <c r="P2134">
        <f>D2134-D2133</f>
        <v>0</v>
      </c>
      <c r="Q2134" t="str">
        <v>x</v>
      </c>
      <c r="R2134">
        <f>IF(P2134&gt;0,$F$18*F2134/1000,0)</f>
        <v>0</v>
      </c>
      <c r="S2134" t="str">
        <v>)</v>
      </c>
      <c r="T2134" t="str">
        <v>x</v>
      </c>
      <c r="U2134">
        <f>0.006165*F2134^2</f>
        <v>1.57824</v>
      </c>
      <c r="X2134" t="str">
        <v>x</v>
      </c>
      <c r="Y2134">
        <f>D2131</f>
        <v>1</v>
      </c>
      <c r="Z2134" t="str">
        <v>=</v>
      </c>
      <c r="AA2134">
        <f>IF(AA2135=0,(D2134*N2134+P2134*R2134)*U2134*Y2134,0)</f>
        <v>0</v>
      </c>
    </row>
    <row r="2135">
      <c r="A2135" t="str">
        <f>A2125</f>
        <v>Lantai 1</v>
      </c>
      <c r="B2135">
        <f>B2125</f>
        <v>69</v>
      </c>
      <c r="D2135">
        <f>IF(AND(D2132=D2133,D2133=D2134,D2132=D2134),D2132,0)</f>
        <v>3</v>
      </c>
      <c r="E2135" t="str">
        <v>D</v>
      </c>
      <c r="F2135">
        <f>IF(AND(F2132=F2133,F2132=F2134,F2133=F2134),F2132,0)</f>
        <v>16</v>
      </c>
      <c r="L2135" t="str">
        <v>Total panjang per balok</v>
      </c>
      <c r="M2135" t="str">
        <v>=</v>
      </c>
      <c r="N2135">
        <f>IF(AND(D2132=D2133,D2132=D2134,D2133=D2134,F2132=F2133,F2132=F2134,F2133=F2134),SUM(N2132:N2134),0)</f>
        <v>5.189</v>
      </c>
      <c r="O2135" t="str">
        <v>+</v>
      </c>
      <c r="P2135">
        <f>IF(N2135&gt;12,ROUNDDOWN(N2135/12,0),0)</f>
        <v>0</v>
      </c>
      <c r="Q2135" t="str">
        <v>x</v>
      </c>
      <c r="R2135">
        <f>IF(P2135&gt;0,MAX(VLOOKUP(F2135,$D$6:$G$15,3,FALSE),600),0)/1000</f>
        <v>0</v>
      </c>
      <c r="T2135" t="str">
        <v>x</v>
      </c>
      <c r="U2135">
        <f>U2134</f>
        <v>1.57824</v>
      </c>
      <c r="V2135" t="str">
        <v>x</v>
      </c>
      <c r="W2135">
        <f>D2135</f>
        <v>3</v>
      </c>
      <c r="X2135" t="str">
        <v>x</v>
      </c>
      <c r="Y2135">
        <f>Y2134</f>
        <v>1</v>
      </c>
      <c r="Z2135" t="str">
        <v>=</v>
      </c>
      <c r="AA2135">
        <f>(N2135+P2135*R2135/1000)*U2135*W2135*Y2135</f>
        <v>24.568462080000003</v>
      </c>
    </row>
    <row r="2137">
      <c r="A2137" t="str">
        <f>A2125</f>
        <v>Lantai 1</v>
      </c>
      <c r="B2137">
        <f>B2125</f>
        <v>69</v>
      </c>
      <c r="C2137" t="str">
        <v>Tul Peminggang</v>
      </c>
      <c r="D2137">
        <f>VLOOKUP(D2125,'Detail Balok'!$C$10:$AU$140,13,FALSE)</f>
        <v>2</v>
      </c>
      <c r="E2137" t="str">
        <v>D</v>
      </c>
      <c r="F2137">
        <f>VLOOKUP(D2125,'Detail Balok'!$C$10:$AU$140,15,FALSE)</f>
        <v>10</v>
      </c>
      <c r="J2137">
        <f>+D2127/1000</f>
        <v>4.805</v>
      </c>
      <c r="K2137" t="str">
        <v>+</v>
      </c>
      <c r="L2137">
        <f>2*$F$16*F2137/1000</f>
        <v>0.24</v>
      </c>
      <c r="M2137" t="str">
        <v>=</v>
      </c>
      <c r="N2137">
        <f>J2137+L2137</f>
        <v>5.045</v>
      </c>
      <c r="O2137" t="str">
        <v>+</v>
      </c>
      <c r="P2137">
        <f>IF(N2137&gt;12,ROUNDDOWN(N2137/12,0),0)</f>
        <v>0</v>
      </c>
      <c r="Q2137" t="str">
        <v>x</v>
      </c>
      <c r="R2137">
        <f>IF(P2137&gt;0,MAX(VLOOKUP(F2137,$D$6:$G$15,3,FALSE),600),0)/1000</f>
        <v>0</v>
      </c>
      <c r="T2137" t="str">
        <v>x</v>
      </c>
      <c r="U2137">
        <f>0.006165*F2137^2</f>
        <v>0.6165</v>
      </c>
      <c r="V2137" t="str">
        <v>x</v>
      </c>
      <c r="W2137">
        <f>+D2137</f>
        <v>2</v>
      </c>
      <c r="X2137" t="str">
        <v>x</v>
      </c>
      <c r="Y2137">
        <f>D2131</f>
        <v>1</v>
      </c>
      <c r="Z2137" t="str">
        <v>=</v>
      </c>
      <c r="AA2137">
        <f>(N2137+P2137*R2137/1000)*U2137*W2137*Y2137</f>
        <v>6.220485</v>
      </c>
    </row>
    <row r="2140">
      <c r="A2140" t="str">
        <f>A2125</f>
        <v>Lantai 1</v>
      </c>
      <c r="B2140">
        <f>B2125</f>
        <v>69</v>
      </c>
      <c r="C2140" t="str">
        <v>Tul Bawah Tumpuan</v>
      </c>
      <c r="D2140">
        <f>VLOOKUP(D2125,'Detail Balok'!$C$10:$AU$140,22,FALSE)</f>
        <v>3</v>
      </c>
      <c r="E2140" t="str">
        <v>D</v>
      </c>
      <c r="F2140">
        <f>VLOOKUP(D2125,'Detail Balok'!$C$10:$AU$140,24,FALSE)</f>
        <v>16</v>
      </c>
      <c r="I2140" t="str">
        <v>(</v>
      </c>
      <c r="J2140">
        <f>+J2132</f>
        <v>1.20125</v>
      </c>
      <c r="K2140" t="str">
        <v>+</v>
      </c>
      <c r="L2140">
        <f>MAX(VLOOKUP(F2140,N$6:P$15,3,FALSE)/1000,2/3*D2130/1000)+F$16*F2140/1000</f>
        <v>0.192</v>
      </c>
      <c r="M2140" t="str">
        <v>=</v>
      </c>
      <c r="N2140">
        <f>J2140+L2140</f>
        <v>1.3932499999999999</v>
      </c>
      <c r="O2140" t="str">
        <v>+</v>
      </c>
      <c r="P2140">
        <f>D2140-D2141</f>
        <v>0</v>
      </c>
      <c r="Q2140" t="str">
        <v>x</v>
      </c>
      <c r="R2140">
        <f>IF(P2140&gt;0,$F$18*F2140/1000,0)</f>
        <v>0</v>
      </c>
      <c r="S2140" t="str">
        <v>)</v>
      </c>
      <c r="T2140" t="str">
        <v>x</v>
      </c>
      <c r="U2140">
        <f>0.006165*F2140^2</f>
        <v>1.57824</v>
      </c>
      <c r="X2140" t="str">
        <v>x</v>
      </c>
      <c r="Y2140">
        <f>D2131</f>
        <v>1</v>
      </c>
      <c r="Z2140" t="str">
        <v>=</v>
      </c>
      <c r="AA2140">
        <f>IF(AA2143=0,(D2140*N2140+P2140*R2140)*U2140*Y2140,0)</f>
        <v>0</v>
      </c>
    </row>
    <row r="2141">
      <c r="A2141" t="str">
        <f>A2125</f>
        <v>Lantai 1</v>
      </c>
      <c r="B2141">
        <f>B2125</f>
        <v>69</v>
      </c>
      <c r="C2141" t="str">
        <v>Tul Bawah Lapangan</v>
      </c>
      <c r="D2141">
        <f>VLOOKUP(D2125,'Detail Balok'!$C$10:$AU$140,25,FALSE)</f>
        <v>3</v>
      </c>
      <c r="E2141" t="str">
        <v>D</v>
      </c>
      <c r="F2141">
        <f>VLOOKUP(D2125,'Detail Balok'!$C$10:$AU$140,27,FALSE)</f>
        <v>16</v>
      </c>
      <c r="I2141" t="str">
        <v>(</v>
      </c>
      <c r="J2141">
        <f>+J2133</f>
        <v>2.4025</v>
      </c>
      <c r="K2141" t="str">
        <v>+</v>
      </c>
      <c r="M2141" t="str">
        <v>=</v>
      </c>
      <c r="N2141">
        <f>J2141+L2141</f>
        <v>2.4025</v>
      </c>
      <c r="O2141" t="str">
        <v>+</v>
      </c>
      <c r="P2141">
        <f>MAX(D2141-D2140,D2141-D2142)</f>
        <v>0</v>
      </c>
      <c r="Q2141" t="str">
        <v>x</v>
      </c>
      <c r="R2141">
        <f>IF(P2141&gt;0,2*(1-2*$F$19-1/2)*D2128/1000,0)</f>
        <v>0</v>
      </c>
      <c r="S2141" t="str">
        <v>)</v>
      </c>
      <c r="T2141" t="str">
        <v>x</v>
      </c>
      <c r="U2141">
        <f>0.006165*F2141^2</f>
        <v>1.57824</v>
      </c>
      <c r="X2141" t="str">
        <v>x</v>
      </c>
      <c r="Y2141">
        <f>D2131</f>
        <v>1</v>
      </c>
      <c r="Z2141" t="str">
        <v>=</v>
      </c>
      <c r="AA2141">
        <f>IF(AA2143=0,(D2141*N2141+P2141*R2141)*U2141*Y2141,0)</f>
        <v>0</v>
      </c>
    </row>
    <row r="2142">
      <c r="A2142" t="str">
        <f>A2125</f>
        <v>Lantai 1</v>
      </c>
      <c r="B2142">
        <f>B2125</f>
        <v>69</v>
      </c>
      <c r="C2142" t="str">
        <v>Tul Bawah Tumpuan</v>
      </c>
      <c r="D2142">
        <f>VLOOKUP(D2125,'Detail Balok'!$C$10:$AU$140,28,FALSE)</f>
        <v>3</v>
      </c>
      <c r="E2142" t="str">
        <v>D</v>
      </c>
      <c r="F2142">
        <f>VLOOKUP(D2125,'Detail Balok'!$C$10:$AU$140,30,FALSE)</f>
        <v>16</v>
      </c>
      <c r="I2142" t="str">
        <v>(</v>
      </c>
      <c r="J2142">
        <f>+J2134</f>
        <v>1.20125</v>
      </c>
      <c r="K2142" t="str">
        <v>+</v>
      </c>
      <c r="L2142">
        <f>MAX(VLOOKUP(F2142,N$6:P$15,3,FALSE)/1000,2/3*D2130/1000)+F$16*F2142/1000</f>
        <v>0.192</v>
      </c>
      <c r="M2142" t="str">
        <v>=</v>
      </c>
      <c r="N2142">
        <f>J2142+L2142</f>
        <v>1.3932499999999999</v>
      </c>
      <c r="O2142" t="str">
        <v>+</v>
      </c>
      <c r="P2142">
        <f>D2142-D2141</f>
        <v>0</v>
      </c>
      <c r="Q2142" t="str">
        <v>x</v>
      </c>
      <c r="R2142">
        <f>IF(P2142&gt;0,$F$18*F2142/1000,0)</f>
        <v>0</v>
      </c>
      <c r="S2142" t="str">
        <v>)</v>
      </c>
      <c r="T2142" t="str">
        <v>x</v>
      </c>
      <c r="U2142">
        <f>0.006165*F2142^2</f>
        <v>1.57824</v>
      </c>
      <c r="X2142" t="str">
        <v>x</v>
      </c>
      <c r="Y2142">
        <f>D2131</f>
        <v>1</v>
      </c>
      <c r="Z2142" t="str">
        <v>=</v>
      </c>
      <c r="AA2142">
        <f>IF(AA2143=0,(D2142*N2142+P2142*R2142)*U2142*Y2142,0)</f>
        <v>0</v>
      </c>
    </row>
    <row r="2143">
      <c r="A2143" t="str">
        <f>A2125</f>
        <v>Lantai 1</v>
      </c>
      <c r="B2143">
        <f>B2125</f>
        <v>69</v>
      </c>
      <c r="D2143">
        <f>IF(AND(D2140=D2141,D2141=D2142,D2140=D2142),D2140,0)</f>
        <v>3</v>
      </c>
      <c r="E2143" t="str">
        <v>D</v>
      </c>
      <c r="F2143">
        <f>IF(AND(F2140=F2141,F2140=F2142,F2141=F2142),F2140,0)</f>
        <v>16</v>
      </c>
      <c r="L2143" t="str">
        <v>Total panjang per balok</v>
      </c>
      <c r="M2143" t="str">
        <v>=</v>
      </c>
      <c r="N2143">
        <f>IF(AND(D2140=D2141,D2140=D2142,D2141=D2142,F2140=F2141,F2140=F2142,F2141=F2142),SUM(N2140:N2142),0)</f>
        <v>5.189</v>
      </c>
      <c r="O2143" t="str">
        <v>+</v>
      </c>
      <c r="P2143">
        <f>IF(N2143&gt;12,ROUNDDOWN(N2143/12,0),0)</f>
        <v>0</v>
      </c>
      <c r="Q2143" t="str">
        <v>x</v>
      </c>
      <c r="R2143">
        <f>IF(P2143&gt;0,MAX(VLOOKUP(F2143,$D$6:$G$15,3,FALSE),600),0)/1000</f>
        <v>0</v>
      </c>
      <c r="T2143" t="str">
        <v>x</v>
      </c>
      <c r="U2143">
        <f>U2142</f>
        <v>1.57824</v>
      </c>
      <c r="V2143" t="str">
        <v>x</v>
      </c>
      <c r="W2143">
        <f>D2143</f>
        <v>3</v>
      </c>
      <c r="X2143" t="str">
        <v>x</v>
      </c>
      <c r="Y2143">
        <f>Y2142</f>
        <v>1</v>
      </c>
      <c r="Z2143" t="str">
        <v>=</v>
      </c>
      <c r="AA2143">
        <f>(N2143+P2143*R2143/1000)*U2143*W2143*Y2143</f>
        <v>24.568462080000003</v>
      </c>
    </row>
    <row r="2145">
      <c r="A2145" t="str">
        <f>A2125</f>
        <v>Lantai 1</v>
      </c>
      <c r="B2145">
        <f>B2125</f>
        <v>69</v>
      </c>
      <c r="C2145" t="str">
        <v>Sengkang Tumpuan</v>
      </c>
      <c r="D2145">
        <f>VLOOKUP(D2125,'Detail Balok'!$C$10:$AU$140,31,FALSE)</f>
        <v>0</v>
      </c>
      <c r="E2145" t="str">
        <v>D</v>
      </c>
      <c r="F2145">
        <f>VLOOKUP(D2125,'Detail Balok'!$C$10:$AU$140,33,FALSE)</f>
        <v>8</v>
      </c>
      <c r="G2145" t="str">
        <v>-</v>
      </c>
      <c r="H2145">
        <f>VLOOKUP(D2125,'Detail Balok'!$C$10:$AU$140,35,FALSE)</f>
        <v>150</v>
      </c>
      <c r="J2145">
        <f>(IF(D2145=0,(2*(D2126+G2126))-(F$5*8),IF(D2145=3,(2*(D2126+G2126))-(F$5*8)+(G2126-2*F$5),IF(D2145=4,(2*(D2126+G2126))-(F$5*8)+2*(G2126-2*F$5)))))/1000</f>
        <v>1.08</v>
      </c>
      <c r="K2145" t="str">
        <v>+</v>
      </c>
      <c r="L2145">
        <f>IF(D2145=0,2*MAX(6*F2145,75),(D2145-1)*2*MAX(6*F2145,75))/1000</f>
        <v>0.15</v>
      </c>
      <c r="M2145" t="str">
        <v>=</v>
      </c>
      <c r="N2145">
        <f>J2145+L2145</f>
        <v>1.23</v>
      </c>
      <c r="T2145" t="str">
        <v>x</v>
      </c>
      <c r="U2145">
        <f>0.006165*F2145^2</f>
        <v>0.39456</v>
      </c>
      <c r="V2145" t="str">
        <v>x</v>
      </c>
      <c r="W2145">
        <f>IF(D2128&gt;4*G2126,ROUND(MAX(D2128/4,2*G2126)/H2145,0)+1,ROUND(D2128/H2145,0)+1)</f>
        <v>9</v>
      </c>
      <c r="X2145" t="str">
        <v>x</v>
      </c>
      <c r="Y2145">
        <f>D2131</f>
        <v>1</v>
      </c>
      <c r="Z2145" t="str">
        <v>=</v>
      </c>
      <c r="AA2145">
        <f>N2145*U2145*W2145*Y2145</f>
        <v>4.3677792</v>
      </c>
    </row>
    <row r="2146">
      <c r="A2146" t="str">
        <f>A2125</f>
        <v>Lantai 1</v>
      </c>
      <c r="B2146">
        <f>B2125</f>
        <v>69</v>
      </c>
      <c r="C2146" t="str">
        <v>Sengkang Lapangan</v>
      </c>
      <c r="D2146">
        <f>VLOOKUP(D2125,'Detail Balok'!$C$10:$AU$140,36,FALSE)</f>
        <v>0</v>
      </c>
      <c r="E2146" t="str">
        <v>D</v>
      </c>
      <c r="F2146">
        <f>VLOOKUP(D2125,'Detail Balok'!$C$10:$AU$140,38,FALSE)</f>
        <v>8</v>
      </c>
      <c r="G2146" t="str">
        <v>-</v>
      </c>
      <c r="H2146">
        <f>VLOOKUP(D2125,'Detail Balok'!$C$10:$AU$140,40,FALSE)</f>
        <v>200</v>
      </c>
      <c r="J2146">
        <f>(IF(D2146=0,(2*(D2126+G2126))-(F$5*8),IF(D2146=3,(2*(D2126+G2126))-(F$5*8)+(G2126-2*F$5),IF(D2146=4,(2*(D2126+G2126))-(F$5*8)+2*(G2126-2*F$5)))))/1000</f>
        <v>1.08</v>
      </c>
      <c r="K2146" t="str">
        <v>+</v>
      </c>
      <c r="L2146">
        <f>IF(D2146=0,2*MAX(6*F2146,75),(D2146-1)*2*MAX(6*F2146,75))/1000</f>
        <v>0.15</v>
      </c>
      <c r="M2146" t="str">
        <v>=</v>
      </c>
      <c r="N2146">
        <f>J2146+L2146</f>
        <v>1.23</v>
      </c>
      <c r="T2146" t="str">
        <v>x</v>
      </c>
      <c r="U2146">
        <f>0.006165*F2146^2</f>
        <v>0.39456</v>
      </c>
      <c r="V2146" t="str">
        <v>x</v>
      </c>
      <c r="W2146">
        <f>IF(D2128-MAX(D2128/4,2*G2126)*2&gt;0,ROUND((D2128-MAX(D2128/4,2*G2126)*2)/H2146,0),0)</f>
        <v>12</v>
      </c>
      <c r="X2146" t="str">
        <v>x</v>
      </c>
      <c r="Y2146">
        <f>D2131</f>
        <v>1</v>
      </c>
      <c r="Z2146" t="str">
        <v>=</v>
      </c>
      <c r="AA2146">
        <f>N2146*U2146*W2146*Y2146</f>
        <v>5.8237056</v>
      </c>
    </row>
    <row r="2147">
      <c r="A2147" t="str">
        <f>A2125</f>
        <v>Lantai 1</v>
      </c>
      <c r="B2147">
        <f>B2125</f>
        <v>69</v>
      </c>
      <c r="C2147" t="str">
        <v>Sengkang Tumpuan</v>
      </c>
      <c r="D2147">
        <f>VLOOKUP(D2125,'Detail Balok'!$C$10:$AU$140,41,FALSE)</f>
        <v>0</v>
      </c>
      <c r="E2147" t="str">
        <v>D</v>
      </c>
      <c r="F2147">
        <f>VLOOKUP(D2125,'Detail Balok'!$C$10:$AU$140,43,FALSE)</f>
        <v>8</v>
      </c>
      <c r="G2147" t="str">
        <v>-</v>
      </c>
      <c r="H2147">
        <f>VLOOKUP(D2125,'Detail Balok'!$C$10:$AU$140,45,FALSE)</f>
        <v>150</v>
      </c>
      <c r="J2147">
        <f>(IF(D2147=0,(2*(D2126+G2126))-(F$5*8),IF(D2147=3,(2*(D2126+G2126))-(F$5*8)+(G2126-2*F$5),IF(D2147=4,(2*(D2126+G2126))-(F$5*8)+2*(G2126-2*F$5)))))/1000</f>
        <v>1.08</v>
      </c>
      <c r="K2147" t="str">
        <v>+</v>
      </c>
      <c r="L2147">
        <f>IF(D2147=0,2*MAX(6*F2147,75),(D2147-1)*2*MAX(6*F2147,75))/1000</f>
        <v>0.15</v>
      </c>
      <c r="M2147" t="str">
        <v>=</v>
      </c>
      <c r="N2147">
        <f>J2147+L2147</f>
        <v>1.23</v>
      </c>
      <c r="T2147" t="str">
        <v>x</v>
      </c>
      <c r="U2147">
        <f>0.006165*F2147^2</f>
        <v>0.39456</v>
      </c>
      <c r="V2147" t="str">
        <v>x</v>
      </c>
      <c r="W2147">
        <f>IF(D2128&gt;4*G2126,ROUND(MAX(D2128/4,2*G2126)/H2147,0)+1,0)</f>
        <v>9</v>
      </c>
      <c r="X2147" t="str">
        <v>x</v>
      </c>
      <c r="Y2147">
        <f>D2131</f>
        <v>1</v>
      </c>
      <c r="Z2147" t="str">
        <v>=</v>
      </c>
      <c r="AA2147">
        <f>N2147*U2147*W2147*Y2147</f>
        <v>4.3677792</v>
      </c>
    </row>
    <row r="2149">
      <c r="A2149" t="str">
        <f>A2125</f>
        <v>Lantai 1</v>
      </c>
      <c r="B2149">
        <f>B2125</f>
        <v>69</v>
      </c>
      <c r="C2149" t="str">
        <v>Kait Horizontal Tump.</v>
      </c>
      <c r="D2149">
        <f>VLOOKUP(D2125,'Detail Balok'!$C$10:$BJ$140,46,FALSE)</f>
        <v>0</v>
      </c>
      <c r="E2149" t="str">
        <v>D</v>
      </c>
      <c r="F2149">
        <f>VLOOKUP(D2125,'Detail Balok'!$C$10:$BJ$140,48,FALSE)</f>
        <v>0</v>
      </c>
      <c r="G2149" t="str">
        <v>-</v>
      </c>
      <c r="H2149">
        <f>VLOOKUP(D2125,'Detail Balok'!$C$10:$BJ$140,50,FALSE)</f>
        <v>100</v>
      </c>
      <c r="J2149">
        <f>(D2126-2*F$5)/1000</f>
        <v>0.12</v>
      </c>
      <c r="K2149" t="str">
        <v>+</v>
      </c>
      <c r="L2149">
        <f>IF(D2149=0,2*MAX(6*F2149,75),(D2149-1)*2*MAX(6*F2149,75))/1000</f>
        <v>0.15</v>
      </c>
      <c r="M2149" t="str">
        <v>=</v>
      </c>
      <c r="N2149">
        <f>J2149+L2149</f>
        <v>0.27</v>
      </c>
      <c r="T2149" t="str">
        <v>x</v>
      </c>
      <c r="U2149">
        <f>0.006165*F2149^2</f>
        <v>0</v>
      </c>
      <c r="V2149" t="str">
        <v>x</v>
      </c>
      <c r="W2149">
        <f>W2145</f>
        <v>9</v>
      </c>
      <c r="X2149" t="str">
        <v>x</v>
      </c>
      <c r="Y2149">
        <f>D2135</f>
        <v>3</v>
      </c>
      <c r="Z2149" t="str">
        <v>=</v>
      </c>
      <c r="AA2149">
        <f>N2149*U2149*W2149*Y2149</f>
        <v>0</v>
      </c>
    </row>
    <row r="2150">
      <c r="A2150" t="str">
        <f>A2125</f>
        <v>Lantai 1</v>
      </c>
      <c r="B2150">
        <f>B2125</f>
        <v>69</v>
      </c>
      <c r="C2150" t="str">
        <v>Kait Horizontal Lap.</v>
      </c>
      <c r="D2150">
        <f>VLOOKUP(D2125,'Detail Balok'!$C$10:$BJ$140,51,FALSE)</f>
        <v>0</v>
      </c>
      <c r="E2150" t="str">
        <v>D</v>
      </c>
      <c r="F2150">
        <f>VLOOKUP(D2125,'Detail Balok'!$C$10:$BJ$140,53,FALSE)</f>
        <v>0</v>
      </c>
      <c r="G2150" t="str">
        <v>-</v>
      </c>
      <c r="H2150">
        <f>VLOOKUP(D2125,'Detail Balok'!$C$10:$BJ$140,55,FALSE)</f>
        <v>100</v>
      </c>
      <c r="J2150">
        <f>(D2126-2*F$5)/1000</f>
        <v>0.12</v>
      </c>
      <c r="K2150" t="str">
        <v>+</v>
      </c>
      <c r="L2150">
        <f>IF(D2150=0,2*MAX(6*F2150,75),(D2150-1)*2*MAX(6*F2150,75))/1000</f>
        <v>0.15</v>
      </c>
      <c r="M2150" t="str">
        <v>=</v>
      </c>
      <c r="N2150">
        <f>J2150+L2150</f>
        <v>0.27</v>
      </c>
      <c r="T2150" t="str">
        <v>x</v>
      </c>
      <c r="U2150">
        <f>0.006165*F2150^2</f>
        <v>0</v>
      </c>
      <c r="V2150" t="str">
        <v>x</v>
      </c>
      <c r="W2150">
        <f>W2146</f>
        <v>12</v>
      </c>
      <c r="X2150" t="str">
        <v>x</v>
      </c>
      <c r="Y2150">
        <f>D2135</f>
        <v>3</v>
      </c>
      <c r="Z2150" t="str">
        <v>=</v>
      </c>
      <c r="AA2150">
        <f>N2150*U2150*W2150*Y2150</f>
        <v>0</v>
      </c>
    </row>
    <row r="2151">
      <c r="A2151" t="str">
        <f>A2125</f>
        <v>Lantai 1</v>
      </c>
      <c r="B2151">
        <f>B2125</f>
        <v>69</v>
      </c>
      <c r="C2151" t="str">
        <v>Kait Horizontal Tump.</v>
      </c>
      <c r="D2151">
        <f>VLOOKUP(D2125,'Detail Balok'!$C$10:$BJ$140,56,FALSE)</f>
        <v>0</v>
      </c>
      <c r="E2151" t="str">
        <v>D</v>
      </c>
      <c r="F2151">
        <f>VLOOKUP(D2125,'Detail Balok'!$C$10:$BJ$140,58,FALSE)</f>
        <v>0</v>
      </c>
      <c r="G2151" t="str">
        <v>-</v>
      </c>
      <c r="H2151">
        <f>VLOOKUP(D2125,'Detail Balok'!$C$10:$BJ$140,60,FALSE)</f>
        <v>100</v>
      </c>
      <c r="J2151">
        <f>(D2126-2*F$5)/1000</f>
        <v>0.12</v>
      </c>
      <c r="K2151" t="str">
        <v>+</v>
      </c>
      <c r="L2151">
        <f>IF(D2151=0,2*MAX(6*F2151,75),(D2151-1)*2*MAX(6*F2151,75))/1000</f>
        <v>0.15</v>
      </c>
      <c r="M2151" t="str">
        <v>=</v>
      </c>
      <c r="N2151">
        <f>J2151+L2151</f>
        <v>0.27</v>
      </c>
      <c r="T2151" t="str">
        <v>x</v>
      </c>
      <c r="U2151">
        <f>0.006165*F2151^2</f>
        <v>0</v>
      </c>
      <c r="V2151" t="str">
        <v>x</v>
      </c>
      <c r="W2151">
        <f>W2147</f>
        <v>9</v>
      </c>
      <c r="X2151" t="str">
        <v>x</v>
      </c>
      <c r="Y2151">
        <f>D2135</f>
        <v>3</v>
      </c>
      <c r="Z2151" t="str">
        <v>=</v>
      </c>
      <c r="AA2151">
        <f>N2151*U2151*W2151*Y2151</f>
        <v>0</v>
      </c>
    </row>
    <row r="2155">
      <c r="A2155" t="str">
        <f>A2125</f>
        <v>Lantai 1</v>
      </c>
      <c r="B2155">
        <f>B2125+1</f>
        <v>70</v>
      </c>
      <c r="C2155" t="str">
        <f>CONCATENATE(A2155," no. ",B2155)</f>
        <v>Lantai 1 no. 70</v>
      </c>
      <c r="D2155" t="str">
        <f>VLOOKUP(C2155,'Data Panjang Balok'!$C$9:$N$254,2,FALSE)</f>
        <v>S24-1</v>
      </c>
    </row>
    <row r="2156">
      <c r="C2156" t="str">
        <v>Dimensi</v>
      </c>
      <c r="D2156">
        <f>VLOOKUP(D2155,'Detail Balok'!$C$10:$AU$140,2,FALSE)</f>
        <v>200</v>
      </c>
      <c r="F2156" t="str">
        <v>x</v>
      </c>
      <c r="G2156">
        <f>VLOOKUP(D2155,'Detail Balok'!$C$10:$AU$140,3,FALSE)</f>
        <v>400</v>
      </c>
    </row>
    <row r="2157">
      <c r="C2157" t="str">
        <v>Panjang as ke as</v>
      </c>
      <c r="D2157">
        <f>VLOOKUP(C2155,'Data Panjang Balok'!$C$9:$N$254,4,FALSE)</f>
        <v>6825</v>
      </c>
    </row>
    <row r="2158">
      <c r="C2158" t="str">
        <v>Panjang netto</v>
      </c>
      <c r="D2158">
        <f>VLOOKUP(C2155,'Data Panjang Balok'!$C$9:$N$254,7,FALSE)</f>
        <v>6825</v>
      </c>
    </row>
    <row r="2159">
      <c r="C2159" t="str">
        <v>Kolom / balok kiri</v>
      </c>
      <c r="D2159">
        <f>VLOOKUP(C2155,'Data Panjang Balok'!$C$9:$N$254,9,FALSE)</f>
        <v>0</v>
      </c>
    </row>
    <row r="2160">
      <c r="C2160" t="str">
        <v>Kolom / balok kanan</v>
      </c>
      <c r="D2160">
        <f>VLOOKUP(C2155,'Data Panjang Balok'!$C$9:$N$254,10,FALSE)</f>
        <v>0</v>
      </c>
    </row>
    <row r="2161">
      <c r="C2161" t="str">
        <v>Jumlah</v>
      </c>
      <c r="D2161">
        <f>VLOOKUP(C2155,'Data Panjang Balok'!$C$9:$N$254,3,FALSE)</f>
        <v>1</v>
      </c>
    </row>
    <row r="2162">
      <c r="A2162" t="str">
        <f>A2155</f>
        <v>Lantai 1</v>
      </c>
      <c r="B2162">
        <f>B2155</f>
        <v>70</v>
      </c>
      <c r="C2162" t="str">
        <v>Tul Atas Tumpuan</v>
      </c>
      <c r="D2162">
        <f>VLOOKUP(D2155,'Detail Balok'!$C$10:$AU$140,4,FALSE)</f>
        <v>3</v>
      </c>
      <c r="E2162" t="str">
        <v>D</v>
      </c>
      <c r="F2162">
        <f>VLOOKUP(D2155,'Detail Balok'!$C$10:$AU$140,6,FALSE)</f>
        <v>13</v>
      </c>
      <c r="I2162" t="str">
        <v>(</v>
      </c>
      <c r="J2162">
        <f>+D2157/4/1000</f>
        <v>1.70625</v>
      </c>
      <c r="K2162" t="str">
        <v>+</v>
      </c>
      <c r="L2162">
        <f>MAX(VLOOKUP(F2162,N$6:P$15,3,FALSE)/1000,2/3*D2159/1000)+F$16*F2162/1000</f>
        <v>0.156</v>
      </c>
      <c r="M2162" t="str">
        <v>=</v>
      </c>
      <c r="N2162">
        <f>J2162+L2162</f>
        <v>1.86225</v>
      </c>
      <c r="O2162" t="str">
        <v>+</v>
      </c>
      <c r="P2162">
        <f>D2162-D2163</f>
        <v>0</v>
      </c>
      <c r="Q2162" t="str">
        <v>x</v>
      </c>
      <c r="R2162">
        <f>IF(P2162&gt;0,$F$18*F2162/1000,0)</f>
        <v>0</v>
      </c>
      <c r="S2162" t="str">
        <v>)</v>
      </c>
      <c r="T2162" t="str">
        <v>x</v>
      </c>
      <c r="U2162">
        <f>0.006165*F2162^2</f>
        <v>1.041885</v>
      </c>
      <c r="X2162" t="str">
        <v>x</v>
      </c>
      <c r="Y2162">
        <f>D2161</f>
        <v>1</v>
      </c>
      <c r="Z2162" t="str">
        <v>=</v>
      </c>
      <c r="AA2162">
        <f>IF(AA2165=0,(D2162*N2162+P2162*R2162)*U2162*Y2162,0)</f>
        <v>0</v>
      </c>
    </row>
    <row r="2163">
      <c r="A2163" t="str">
        <f>A2155</f>
        <v>Lantai 1</v>
      </c>
      <c r="B2163">
        <f>B2155</f>
        <v>70</v>
      </c>
      <c r="C2163" t="str">
        <v>Tul Atas Lapangan</v>
      </c>
      <c r="D2163">
        <f>VLOOKUP(D2155,'Detail Balok'!$C$10:$AU$140,7,FALSE)</f>
        <v>3</v>
      </c>
      <c r="E2163" t="str">
        <v>D</v>
      </c>
      <c r="F2163">
        <f>VLOOKUP(D2155,'Detail Balok'!$C$10:$AU$140,9,FALSE)</f>
        <v>13</v>
      </c>
      <c r="I2163" t="str">
        <v>(</v>
      </c>
      <c r="J2163">
        <f>+D2157/2/1000</f>
        <v>3.4125</v>
      </c>
      <c r="K2163" t="str">
        <v>+</v>
      </c>
      <c r="M2163" t="str">
        <v>=</v>
      </c>
      <c r="N2163">
        <f>J2163+L2163</f>
        <v>3.4125</v>
      </c>
      <c r="O2163" t="str">
        <v>+</v>
      </c>
      <c r="P2163">
        <f>MAX(D2163-D2162,D2163-D2164)</f>
        <v>0</v>
      </c>
      <c r="Q2163" t="str">
        <v>x</v>
      </c>
      <c r="R2163">
        <f>IF(P2163&gt;0,2*(1-2*$F$19-1/2)*D2158/1000,0)</f>
        <v>0</v>
      </c>
      <c r="S2163" t="str">
        <v>)</v>
      </c>
      <c r="T2163" t="str">
        <v>x</v>
      </c>
      <c r="U2163">
        <f>0.006165*F2163^2</f>
        <v>1.041885</v>
      </c>
      <c r="X2163" t="str">
        <v>x</v>
      </c>
      <c r="Y2163">
        <f>D2161</f>
        <v>1</v>
      </c>
      <c r="Z2163" t="str">
        <v>=</v>
      </c>
      <c r="AA2163">
        <f>IF(AA2165=0,(D2163*N2163+P2163*R2163)*U2163*Y2163,0)</f>
        <v>0</v>
      </c>
    </row>
    <row r="2164">
      <c r="A2164" t="str">
        <f>A2155</f>
        <v>Lantai 1</v>
      </c>
      <c r="B2164">
        <f>B2155</f>
        <v>70</v>
      </c>
      <c r="C2164" t="str">
        <v>Tul Atas Tumpuan</v>
      </c>
      <c r="D2164">
        <f>VLOOKUP(D2155,'Detail Balok'!$C$10:$AU$140,10,FALSE)</f>
        <v>3</v>
      </c>
      <c r="E2164" t="str">
        <v>D</v>
      </c>
      <c r="F2164">
        <f>VLOOKUP(D2155,'Detail Balok'!$C$10:$AU$140,12,FALSE)</f>
        <v>13</v>
      </c>
      <c r="I2164" t="str">
        <v>(</v>
      </c>
      <c r="J2164">
        <f>+D2157/4/1000</f>
        <v>1.70625</v>
      </c>
      <c r="K2164" t="str">
        <v>+</v>
      </c>
      <c r="L2164">
        <f>MAX(VLOOKUP(F2164,N$6:P$15,3,FALSE)/1000,2/3*D2159/1000)+F$16*F2164/1000</f>
        <v>0.156</v>
      </c>
      <c r="M2164" t="str">
        <v>=</v>
      </c>
      <c r="N2164">
        <f>J2164+L2164</f>
        <v>1.86225</v>
      </c>
      <c r="O2164" t="str">
        <v>+</v>
      </c>
      <c r="P2164">
        <f>D2164-D2163</f>
        <v>0</v>
      </c>
      <c r="Q2164" t="str">
        <v>x</v>
      </c>
      <c r="R2164">
        <f>IF(P2164&gt;0,$F$18*F2164/1000,0)</f>
        <v>0</v>
      </c>
      <c r="S2164" t="str">
        <v>)</v>
      </c>
      <c r="T2164" t="str">
        <v>x</v>
      </c>
      <c r="U2164">
        <f>0.006165*F2164^2</f>
        <v>1.041885</v>
      </c>
      <c r="X2164" t="str">
        <v>x</v>
      </c>
      <c r="Y2164">
        <f>D2161</f>
        <v>1</v>
      </c>
      <c r="Z2164" t="str">
        <v>=</v>
      </c>
      <c r="AA2164">
        <f>IF(AA2165=0,(D2164*N2164+P2164*R2164)*U2164*Y2164,0)</f>
        <v>0</v>
      </c>
    </row>
    <row r="2165">
      <c r="A2165" t="str">
        <f>A2155</f>
        <v>Lantai 1</v>
      </c>
      <c r="B2165">
        <f>B2155</f>
        <v>70</v>
      </c>
      <c r="D2165">
        <f>IF(AND(D2162=D2163,D2163=D2164,D2162=D2164),D2162,0)</f>
        <v>3</v>
      </c>
      <c r="E2165" t="str">
        <v>D</v>
      </c>
      <c r="F2165">
        <f>IF(AND(F2162=F2163,F2162=F2164,F2163=F2164),F2162,0)</f>
        <v>13</v>
      </c>
      <c r="L2165" t="str">
        <v>Total panjang per balok</v>
      </c>
      <c r="M2165" t="str">
        <v>=</v>
      </c>
      <c r="N2165">
        <f>IF(AND(D2162=D2163,D2162=D2164,D2163=D2164,F2162=F2163,F2162=F2164,F2163=F2164),SUM(N2162:N2164),0)</f>
        <v>7.1370000000000005</v>
      </c>
      <c r="O2165" t="str">
        <v>+</v>
      </c>
      <c r="P2165">
        <f>IF(N2165&gt;12,ROUNDDOWN(N2165/12,0),0)</f>
        <v>0</v>
      </c>
      <c r="Q2165" t="str">
        <v>x</v>
      </c>
      <c r="R2165">
        <f>IF(P2165&gt;0,MAX(VLOOKUP(F2165,$D$6:$G$15,3,FALSE),600),0)/1000</f>
        <v>0</v>
      </c>
      <c r="T2165" t="str">
        <v>x</v>
      </c>
      <c r="U2165">
        <f>U2164</f>
        <v>1.041885</v>
      </c>
      <c r="V2165" t="str">
        <v>x</v>
      </c>
      <c r="W2165">
        <f>D2165</f>
        <v>3</v>
      </c>
      <c r="X2165" t="str">
        <v>x</v>
      </c>
      <c r="Y2165">
        <f>Y2164</f>
        <v>1</v>
      </c>
      <c r="Z2165" t="str">
        <v>=</v>
      </c>
      <c r="AA2165">
        <f>(N2165+P2165*R2165/1000)*U2165*W2165*Y2165</f>
        <v>22.307799735</v>
      </c>
    </row>
    <row r="2167">
      <c r="A2167" t="str">
        <f>A2155</f>
        <v>Lantai 1</v>
      </c>
      <c r="B2167">
        <f>B2155</f>
        <v>70</v>
      </c>
      <c r="C2167" t="str">
        <v>Tul Peminggang</v>
      </c>
      <c r="D2167">
        <f>VLOOKUP(D2155,'Detail Balok'!$C$10:$AU$140,13,FALSE)</f>
        <v>0</v>
      </c>
      <c r="E2167" t="str">
        <v>D</v>
      </c>
      <c r="F2167">
        <f>VLOOKUP(D2155,'Detail Balok'!$C$10:$AU$140,15,FALSE)</f>
        <v>8</v>
      </c>
      <c r="J2167">
        <f>+D2157/1000</f>
        <v>6.825</v>
      </c>
      <c r="K2167" t="str">
        <v>+</v>
      </c>
      <c r="L2167">
        <f>2*$F$16*F2167/1000</f>
        <v>0.192</v>
      </c>
      <c r="M2167" t="str">
        <v>=</v>
      </c>
      <c r="N2167">
        <f>J2167+L2167</f>
        <v>7.017</v>
      </c>
      <c r="O2167" t="str">
        <v>+</v>
      </c>
      <c r="P2167">
        <f>IF(N2167&gt;12,ROUNDDOWN(N2167/12,0),0)</f>
        <v>0</v>
      </c>
      <c r="Q2167" t="str">
        <v>x</v>
      </c>
      <c r="R2167">
        <f>IF(P2167&gt;0,MAX(VLOOKUP(F2167,$D$6:$G$15,3,FALSE),600),0)/1000</f>
        <v>0</v>
      </c>
      <c r="T2167" t="str">
        <v>x</v>
      </c>
      <c r="U2167">
        <f>0.006165*F2167^2</f>
        <v>0.39456</v>
      </c>
      <c r="V2167" t="str">
        <v>x</v>
      </c>
      <c r="W2167">
        <f>+D2167</f>
        <v>0</v>
      </c>
      <c r="X2167" t="str">
        <v>x</v>
      </c>
      <c r="Y2167">
        <f>D2161</f>
        <v>1</v>
      </c>
      <c r="Z2167" t="str">
        <v>=</v>
      </c>
      <c r="AA2167">
        <f>(N2167+P2167*R2167/1000)*U2167*W2167*Y2167</f>
        <v>0</v>
      </c>
    </row>
    <row r="2170">
      <c r="A2170" t="str">
        <f>A2155</f>
        <v>Lantai 1</v>
      </c>
      <c r="B2170">
        <f>B2155</f>
        <v>70</v>
      </c>
      <c r="C2170" t="str">
        <v>Tul Bawah Tumpuan</v>
      </c>
      <c r="D2170">
        <f>VLOOKUP(D2155,'Detail Balok'!$C$10:$AU$140,22,FALSE)</f>
        <v>3</v>
      </c>
      <c r="E2170" t="str">
        <v>D</v>
      </c>
      <c r="F2170">
        <f>VLOOKUP(D2155,'Detail Balok'!$C$10:$AU$140,24,FALSE)</f>
        <v>13</v>
      </c>
      <c r="I2170" t="str">
        <v>(</v>
      </c>
      <c r="J2170">
        <f>+J2162</f>
        <v>1.70625</v>
      </c>
      <c r="K2170" t="str">
        <v>+</v>
      </c>
      <c r="L2170">
        <f>MAX(VLOOKUP(F2170,N$6:P$15,3,FALSE)/1000,2/3*D2160/1000)+F$16*F2170/1000</f>
        <v>0.156</v>
      </c>
      <c r="M2170" t="str">
        <v>=</v>
      </c>
      <c r="N2170">
        <f>J2170+L2170</f>
        <v>1.86225</v>
      </c>
      <c r="O2170" t="str">
        <v>+</v>
      </c>
      <c r="P2170">
        <f>D2170-D2171</f>
        <v>0</v>
      </c>
      <c r="Q2170" t="str">
        <v>x</v>
      </c>
      <c r="R2170">
        <f>IF(P2170&gt;0,$F$18*F2170/1000,0)</f>
        <v>0</v>
      </c>
      <c r="S2170" t="str">
        <v>)</v>
      </c>
      <c r="T2170" t="str">
        <v>x</v>
      </c>
      <c r="U2170">
        <f>0.006165*F2170^2</f>
        <v>1.041885</v>
      </c>
      <c r="X2170" t="str">
        <v>x</v>
      </c>
      <c r="Y2170">
        <f>D2161</f>
        <v>1</v>
      </c>
      <c r="Z2170" t="str">
        <v>=</v>
      </c>
      <c r="AA2170">
        <f>IF(AA2173=0,(D2170*N2170+P2170*R2170)*U2170*Y2170,0)</f>
        <v>0</v>
      </c>
    </row>
    <row r="2171">
      <c r="A2171" t="str">
        <f>A2155</f>
        <v>Lantai 1</v>
      </c>
      <c r="B2171">
        <f>B2155</f>
        <v>70</v>
      </c>
      <c r="C2171" t="str">
        <v>Tul Bawah Lapangan</v>
      </c>
      <c r="D2171">
        <f>VLOOKUP(D2155,'Detail Balok'!$C$10:$AU$140,25,FALSE)</f>
        <v>3</v>
      </c>
      <c r="E2171" t="str">
        <v>D</v>
      </c>
      <c r="F2171">
        <f>VLOOKUP(D2155,'Detail Balok'!$C$10:$AU$140,27,FALSE)</f>
        <v>13</v>
      </c>
      <c r="I2171" t="str">
        <v>(</v>
      </c>
      <c r="J2171">
        <f>+J2163</f>
        <v>3.4125</v>
      </c>
      <c r="K2171" t="str">
        <v>+</v>
      </c>
      <c r="M2171" t="str">
        <v>=</v>
      </c>
      <c r="N2171">
        <f>J2171+L2171</f>
        <v>3.4125</v>
      </c>
      <c r="O2171" t="str">
        <v>+</v>
      </c>
      <c r="P2171">
        <f>MAX(D2171-D2170,D2171-D2172)</f>
        <v>0</v>
      </c>
      <c r="Q2171" t="str">
        <v>x</v>
      </c>
      <c r="R2171">
        <f>IF(P2171&gt;0,2*(1-2*$F$19-1/2)*D2158/1000,0)</f>
        <v>0</v>
      </c>
      <c r="S2171" t="str">
        <v>)</v>
      </c>
      <c r="T2171" t="str">
        <v>x</v>
      </c>
      <c r="U2171">
        <f>0.006165*F2171^2</f>
        <v>1.041885</v>
      </c>
      <c r="X2171" t="str">
        <v>x</v>
      </c>
      <c r="Y2171">
        <f>D2161</f>
        <v>1</v>
      </c>
      <c r="Z2171" t="str">
        <v>=</v>
      </c>
      <c r="AA2171">
        <f>IF(AA2173=0,(D2171*N2171+P2171*R2171)*U2171*Y2171,0)</f>
        <v>0</v>
      </c>
    </row>
    <row r="2172">
      <c r="A2172" t="str">
        <f>A2155</f>
        <v>Lantai 1</v>
      </c>
      <c r="B2172">
        <f>B2155</f>
        <v>70</v>
      </c>
      <c r="C2172" t="str">
        <v>Tul Bawah Tumpuan</v>
      </c>
      <c r="D2172">
        <f>VLOOKUP(D2155,'Detail Balok'!$C$10:$AU$140,28,FALSE)</f>
        <v>3</v>
      </c>
      <c r="E2172" t="str">
        <v>D</v>
      </c>
      <c r="F2172">
        <f>VLOOKUP(D2155,'Detail Balok'!$C$10:$AU$140,30,FALSE)</f>
        <v>13</v>
      </c>
      <c r="I2172" t="str">
        <v>(</v>
      </c>
      <c r="J2172">
        <f>+J2164</f>
        <v>1.70625</v>
      </c>
      <c r="K2172" t="str">
        <v>+</v>
      </c>
      <c r="L2172">
        <f>MAX(VLOOKUP(F2172,N$6:P$15,3,FALSE)/1000,2/3*D2160/1000)+F$16*F2172/1000</f>
        <v>0.156</v>
      </c>
      <c r="M2172" t="str">
        <v>=</v>
      </c>
      <c r="N2172">
        <f>J2172+L2172</f>
        <v>1.86225</v>
      </c>
      <c r="O2172" t="str">
        <v>+</v>
      </c>
      <c r="P2172">
        <f>D2172-D2171</f>
        <v>0</v>
      </c>
      <c r="Q2172" t="str">
        <v>x</v>
      </c>
      <c r="R2172">
        <f>IF(P2172&gt;0,$F$18*F2172/1000,0)</f>
        <v>0</v>
      </c>
      <c r="S2172" t="str">
        <v>)</v>
      </c>
      <c r="T2172" t="str">
        <v>x</v>
      </c>
      <c r="U2172">
        <f>0.006165*F2172^2</f>
        <v>1.041885</v>
      </c>
      <c r="X2172" t="str">
        <v>x</v>
      </c>
      <c r="Y2172">
        <f>D2161</f>
        <v>1</v>
      </c>
      <c r="Z2172" t="str">
        <v>=</v>
      </c>
      <c r="AA2172">
        <f>IF(AA2173=0,(D2172*N2172+P2172*R2172)*U2172*Y2172,0)</f>
        <v>0</v>
      </c>
    </row>
    <row r="2173">
      <c r="A2173" t="str">
        <f>A2155</f>
        <v>Lantai 1</v>
      </c>
      <c r="B2173">
        <f>B2155</f>
        <v>70</v>
      </c>
      <c r="D2173">
        <f>IF(AND(D2170=D2171,D2171=D2172,D2170=D2172),D2170,0)</f>
        <v>3</v>
      </c>
      <c r="E2173" t="str">
        <v>D</v>
      </c>
      <c r="F2173">
        <f>IF(AND(F2170=F2171,F2170=F2172,F2171=F2172),F2170,0)</f>
        <v>13</v>
      </c>
      <c r="L2173" t="str">
        <v>Total panjang per balok</v>
      </c>
      <c r="M2173" t="str">
        <v>=</v>
      </c>
      <c r="N2173">
        <f>IF(AND(D2170=D2171,D2170=D2172,D2171=D2172,F2170=F2171,F2170=F2172,F2171=F2172),SUM(N2170:N2172),0)</f>
        <v>7.1370000000000005</v>
      </c>
      <c r="O2173" t="str">
        <v>+</v>
      </c>
      <c r="P2173">
        <f>IF(N2173&gt;12,ROUNDDOWN(N2173/12,0),0)</f>
        <v>0</v>
      </c>
      <c r="Q2173" t="str">
        <v>x</v>
      </c>
      <c r="R2173">
        <f>IF(P2173&gt;0,MAX(VLOOKUP(F2173,$D$6:$G$15,3,FALSE),600),0)/1000</f>
        <v>0</v>
      </c>
      <c r="T2173" t="str">
        <v>x</v>
      </c>
      <c r="U2173">
        <f>U2172</f>
        <v>1.041885</v>
      </c>
      <c r="V2173" t="str">
        <v>x</v>
      </c>
      <c r="W2173">
        <f>D2173</f>
        <v>3</v>
      </c>
      <c r="X2173" t="str">
        <v>x</v>
      </c>
      <c r="Y2173">
        <f>Y2172</f>
        <v>1</v>
      </c>
      <c r="Z2173" t="str">
        <v>=</v>
      </c>
      <c r="AA2173">
        <f>(N2173+P2173*R2173/1000)*U2173*W2173*Y2173</f>
        <v>22.307799735</v>
      </c>
    </row>
    <row r="2175">
      <c r="A2175" t="str">
        <f>A2155</f>
        <v>Lantai 1</v>
      </c>
      <c r="B2175">
        <f>B2155</f>
        <v>70</v>
      </c>
      <c r="C2175" t="str">
        <v>Sengkang Tumpuan</v>
      </c>
      <c r="D2175">
        <f>VLOOKUP(D2155,'Detail Balok'!$C$10:$AU$140,31,FALSE)</f>
        <v>0</v>
      </c>
      <c r="E2175" t="str">
        <v>D</v>
      </c>
      <c r="F2175">
        <f>VLOOKUP(D2155,'Detail Balok'!$C$10:$AU$140,33,FALSE)</f>
        <v>8</v>
      </c>
      <c r="G2175" t="str">
        <v>-</v>
      </c>
      <c r="H2175">
        <f>VLOOKUP(D2155,'Detail Balok'!$C$10:$AU$140,35,FALSE)</f>
        <v>150</v>
      </c>
      <c r="J2175">
        <f>(IF(D2175=0,(2*(D2156+G2156))-(F$5*8),IF(D2175=3,(2*(D2156+G2156))-(F$5*8)+(G2156-2*F$5),IF(D2175=4,(2*(D2156+G2156))-(F$5*8)+2*(G2156-2*F$5)))))/1000</f>
        <v>0.88</v>
      </c>
      <c r="K2175" t="str">
        <v>+</v>
      </c>
      <c r="L2175">
        <f>IF(D2175=0,2*MAX(6*F2175,75),(D2175-1)*2*MAX(6*F2175,75))/1000</f>
        <v>0.15</v>
      </c>
      <c r="M2175" t="str">
        <v>=</v>
      </c>
      <c r="N2175">
        <f>J2175+L2175</f>
        <v>1.03</v>
      </c>
      <c r="T2175" t="str">
        <v>x</v>
      </c>
      <c r="U2175">
        <f>0.006165*F2175^2</f>
        <v>0.39456</v>
      </c>
      <c r="V2175" t="str">
        <v>x</v>
      </c>
      <c r="W2175">
        <f>IF(D2158&gt;4*G2156,ROUND(MAX(D2158/4,2*G2156)/H2175,0)+1,ROUND(D2158/H2175,0)+1)</f>
        <v>12</v>
      </c>
      <c r="X2175" t="str">
        <v>x</v>
      </c>
      <c r="Y2175">
        <f>D2161</f>
        <v>1</v>
      </c>
      <c r="Z2175" t="str">
        <v>=</v>
      </c>
      <c r="AA2175">
        <f>N2175*U2175*W2175*Y2175</f>
        <v>4.876761600000001</v>
      </c>
    </row>
    <row r="2176">
      <c r="A2176" t="str">
        <f>A2155</f>
        <v>Lantai 1</v>
      </c>
      <c r="B2176">
        <f>B2155</f>
        <v>70</v>
      </c>
      <c r="C2176" t="str">
        <v>Sengkang Lapangan</v>
      </c>
      <c r="D2176">
        <f>VLOOKUP(D2155,'Detail Balok'!$C$10:$AU$140,36,FALSE)</f>
        <v>0</v>
      </c>
      <c r="E2176" t="str">
        <v>D</v>
      </c>
      <c r="F2176">
        <f>VLOOKUP(D2155,'Detail Balok'!$C$10:$AU$140,38,FALSE)</f>
        <v>8</v>
      </c>
      <c r="G2176" t="str">
        <v>-</v>
      </c>
      <c r="H2176">
        <f>VLOOKUP(D2155,'Detail Balok'!$C$10:$AU$140,40,FALSE)</f>
        <v>200</v>
      </c>
      <c r="J2176">
        <f>(IF(D2176=0,(2*(D2156+G2156))-(F$5*8),IF(D2176=3,(2*(D2156+G2156))-(F$5*8)+(G2156-2*F$5),IF(D2176=4,(2*(D2156+G2156))-(F$5*8)+2*(G2156-2*F$5)))))/1000</f>
        <v>0.88</v>
      </c>
      <c r="K2176" t="str">
        <v>+</v>
      </c>
      <c r="L2176">
        <f>IF(D2176=0,2*MAX(6*F2176,75),(D2176-1)*2*MAX(6*F2176,75))/1000</f>
        <v>0.15</v>
      </c>
      <c r="M2176" t="str">
        <v>=</v>
      </c>
      <c r="N2176">
        <f>J2176+L2176</f>
        <v>1.03</v>
      </c>
      <c r="T2176" t="str">
        <v>x</v>
      </c>
      <c r="U2176">
        <f>0.006165*F2176^2</f>
        <v>0.39456</v>
      </c>
      <c r="V2176" t="str">
        <v>x</v>
      </c>
      <c r="W2176">
        <f>IF(D2158-MAX(D2158/4,2*G2156)*2&gt;0,ROUND((D2158-MAX(D2158/4,2*G2156)*2)/H2176,0),0)</f>
        <v>17</v>
      </c>
      <c r="X2176" t="str">
        <v>x</v>
      </c>
      <c r="Y2176">
        <f>D2161</f>
        <v>1</v>
      </c>
      <c r="Z2176" t="str">
        <v>=</v>
      </c>
      <c r="AA2176">
        <f>N2176*U2176*W2176*Y2176</f>
        <v>6.908745600000001</v>
      </c>
    </row>
    <row r="2177">
      <c r="A2177" t="str">
        <f>A2155</f>
        <v>Lantai 1</v>
      </c>
      <c r="B2177">
        <f>B2155</f>
        <v>70</v>
      </c>
      <c r="C2177" t="str">
        <v>Sengkang Tumpuan</v>
      </c>
      <c r="D2177">
        <f>VLOOKUP(D2155,'Detail Balok'!$C$10:$AU$140,41,FALSE)</f>
        <v>0</v>
      </c>
      <c r="E2177" t="str">
        <v>D</v>
      </c>
      <c r="F2177">
        <f>VLOOKUP(D2155,'Detail Balok'!$C$10:$AU$140,43,FALSE)</f>
        <v>8</v>
      </c>
      <c r="G2177" t="str">
        <v>-</v>
      </c>
      <c r="H2177">
        <f>VLOOKUP(D2155,'Detail Balok'!$C$10:$AU$140,45,FALSE)</f>
        <v>150</v>
      </c>
      <c r="J2177">
        <f>(IF(D2177=0,(2*(D2156+G2156))-(F$5*8),IF(D2177=3,(2*(D2156+G2156))-(F$5*8)+(G2156-2*F$5),IF(D2177=4,(2*(D2156+G2156))-(F$5*8)+2*(G2156-2*F$5)))))/1000</f>
        <v>0.88</v>
      </c>
      <c r="K2177" t="str">
        <v>+</v>
      </c>
      <c r="L2177">
        <f>IF(D2177=0,2*MAX(6*F2177,75),(D2177-1)*2*MAX(6*F2177,75))/1000</f>
        <v>0.15</v>
      </c>
      <c r="M2177" t="str">
        <v>=</v>
      </c>
      <c r="N2177">
        <f>J2177+L2177</f>
        <v>1.03</v>
      </c>
      <c r="T2177" t="str">
        <v>x</v>
      </c>
      <c r="U2177">
        <f>0.006165*F2177^2</f>
        <v>0.39456</v>
      </c>
      <c r="V2177" t="str">
        <v>x</v>
      </c>
      <c r="W2177">
        <f>IF(D2158&gt;4*G2156,ROUND(MAX(D2158/4,2*G2156)/H2177,0)+1,0)</f>
        <v>12</v>
      </c>
      <c r="X2177" t="str">
        <v>x</v>
      </c>
      <c r="Y2177">
        <f>D2161</f>
        <v>1</v>
      </c>
      <c r="Z2177" t="str">
        <v>=</v>
      </c>
      <c r="AA2177">
        <f>N2177*U2177*W2177*Y2177</f>
        <v>4.876761600000001</v>
      </c>
    </row>
    <row r="2179">
      <c r="A2179" t="str">
        <f>A2155</f>
        <v>Lantai 1</v>
      </c>
      <c r="B2179">
        <f>B2155</f>
        <v>70</v>
      </c>
      <c r="C2179" t="str">
        <v>Kait Horizontal Tump.</v>
      </c>
      <c r="D2179">
        <f>VLOOKUP(D2155,'Detail Balok'!$C$10:$BJ$140,46,FALSE)</f>
        <v>0</v>
      </c>
      <c r="E2179" t="str">
        <v>D</v>
      </c>
      <c r="F2179">
        <f>VLOOKUP(D2155,'Detail Balok'!$C$10:$BJ$140,48,FALSE)</f>
        <v>0</v>
      </c>
      <c r="G2179" t="str">
        <v>-</v>
      </c>
      <c r="H2179">
        <f>VLOOKUP(D2155,'Detail Balok'!$C$10:$BJ$140,50,FALSE)</f>
        <v>100</v>
      </c>
      <c r="J2179">
        <f>(D2156-2*F$5)/1000</f>
        <v>0.12</v>
      </c>
      <c r="K2179" t="str">
        <v>+</v>
      </c>
      <c r="L2179">
        <f>IF(D2179=0,2*MAX(6*F2179,75),(D2179-1)*2*MAX(6*F2179,75))/1000</f>
        <v>0.15</v>
      </c>
      <c r="M2179" t="str">
        <v>=</v>
      </c>
      <c r="N2179">
        <f>J2179+L2179</f>
        <v>0.27</v>
      </c>
      <c r="T2179" t="str">
        <v>x</v>
      </c>
      <c r="U2179">
        <f>0.006165*F2179^2</f>
        <v>0</v>
      </c>
      <c r="V2179" t="str">
        <v>x</v>
      </c>
      <c r="W2179">
        <f>W2175</f>
        <v>12</v>
      </c>
      <c r="X2179" t="str">
        <v>x</v>
      </c>
      <c r="Y2179">
        <f>D2165</f>
        <v>3</v>
      </c>
      <c r="Z2179" t="str">
        <v>=</v>
      </c>
      <c r="AA2179">
        <f>N2179*U2179*W2179*Y2179</f>
        <v>0</v>
      </c>
    </row>
    <row r="2180">
      <c r="A2180" t="str">
        <f>A2155</f>
        <v>Lantai 1</v>
      </c>
      <c r="B2180">
        <f>B2155</f>
        <v>70</v>
      </c>
      <c r="C2180" t="str">
        <v>Kait Horizontal Lap.</v>
      </c>
      <c r="D2180">
        <f>VLOOKUP(D2155,'Detail Balok'!$C$10:$BJ$140,51,FALSE)</f>
        <v>0</v>
      </c>
      <c r="E2180" t="str">
        <v>D</v>
      </c>
      <c r="F2180">
        <f>VLOOKUP(D2155,'Detail Balok'!$C$10:$BJ$140,53,FALSE)</f>
        <v>0</v>
      </c>
      <c r="G2180" t="str">
        <v>-</v>
      </c>
      <c r="H2180">
        <f>VLOOKUP(D2155,'Detail Balok'!$C$10:$BJ$140,55,FALSE)</f>
        <v>100</v>
      </c>
      <c r="J2180">
        <f>(D2156-2*F$5)/1000</f>
        <v>0.12</v>
      </c>
      <c r="K2180" t="str">
        <v>+</v>
      </c>
      <c r="L2180">
        <f>IF(D2180=0,2*MAX(6*F2180,75),(D2180-1)*2*MAX(6*F2180,75))/1000</f>
        <v>0.15</v>
      </c>
      <c r="M2180" t="str">
        <v>=</v>
      </c>
      <c r="N2180">
        <f>J2180+L2180</f>
        <v>0.27</v>
      </c>
      <c r="T2180" t="str">
        <v>x</v>
      </c>
      <c r="U2180">
        <f>0.006165*F2180^2</f>
        <v>0</v>
      </c>
      <c r="V2180" t="str">
        <v>x</v>
      </c>
      <c r="W2180">
        <f>W2176</f>
        <v>17</v>
      </c>
      <c r="X2180" t="str">
        <v>x</v>
      </c>
      <c r="Y2180">
        <f>D2165</f>
        <v>3</v>
      </c>
      <c r="Z2180" t="str">
        <v>=</v>
      </c>
      <c r="AA2180">
        <f>N2180*U2180*W2180*Y2180</f>
        <v>0</v>
      </c>
    </row>
    <row r="2181">
      <c r="A2181" t="str">
        <f>A2155</f>
        <v>Lantai 1</v>
      </c>
      <c r="B2181">
        <f>B2155</f>
        <v>70</v>
      </c>
      <c r="C2181" t="str">
        <v>Kait Horizontal Tump.</v>
      </c>
      <c r="D2181">
        <f>VLOOKUP(D2155,'Detail Balok'!$C$10:$BJ$140,56,FALSE)</f>
        <v>0</v>
      </c>
      <c r="E2181" t="str">
        <v>D</v>
      </c>
      <c r="F2181">
        <f>VLOOKUP(D2155,'Detail Balok'!$C$10:$BJ$140,58,FALSE)</f>
        <v>0</v>
      </c>
      <c r="G2181" t="str">
        <v>-</v>
      </c>
      <c r="H2181">
        <f>VLOOKUP(D2155,'Detail Balok'!$C$10:$BJ$140,60,FALSE)</f>
        <v>100</v>
      </c>
      <c r="J2181">
        <f>(D2156-2*F$5)/1000</f>
        <v>0.12</v>
      </c>
      <c r="K2181" t="str">
        <v>+</v>
      </c>
      <c r="L2181">
        <f>IF(D2181=0,2*MAX(6*F2181,75),(D2181-1)*2*MAX(6*F2181,75))/1000</f>
        <v>0.15</v>
      </c>
      <c r="M2181" t="str">
        <v>=</v>
      </c>
      <c r="N2181">
        <f>J2181+L2181</f>
        <v>0.27</v>
      </c>
      <c r="T2181" t="str">
        <v>x</v>
      </c>
      <c r="U2181">
        <f>0.006165*F2181^2</f>
        <v>0</v>
      </c>
      <c r="V2181" t="str">
        <v>x</v>
      </c>
      <c r="W2181">
        <f>W2177</f>
        <v>12</v>
      </c>
      <c r="X2181" t="str">
        <v>x</v>
      </c>
      <c r="Y2181">
        <f>D2165</f>
        <v>3</v>
      </c>
      <c r="Z2181" t="str">
        <v>=</v>
      </c>
      <c r="AA2181">
        <f>N2181*U2181*W2181*Y2181</f>
        <v>0</v>
      </c>
    </row>
    <row r="2185">
      <c r="A2185" t="str">
        <f>A2155</f>
        <v>Lantai 1</v>
      </c>
      <c r="B2185">
        <f>B2155+1</f>
        <v>71</v>
      </c>
      <c r="C2185" t="str">
        <f>CONCATENATE(A2185," no. ",B2185)</f>
        <v>Lantai 1 no. 71</v>
      </c>
      <c r="D2185" t="str">
        <f>VLOOKUP(C2185,'Data Panjang Balok'!$C$9:$N$254,2,FALSE)</f>
        <v>S24-2</v>
      </c>
    </row>
    <row r="2186">
      <c r="C2186" t="str">
        <v>Dimensi</v>
      </c>
      <c r="D2186">
        <f>VLOOKUP(D2185,'Detail Balok'!$C$10:$AU$140,2,FALSE)</f>
        <v>200</v>
      </c>
      <c r="F2186" t="str">
        <v>x</v>
      </c>
      <c r="G2186">
        <f>VLOOKUP(D2185,'Detail Balok'!$C$10:$AU$140,3,FALSE)</f>
        <v>400</v>
      </c>
    </row>
    <row r="2187">
      <c r="C2187" t="str">
        <v>Panjang as ke as</v>
      </c>
      <c r="D2187">
        <f>VLOOKUP(C2185,'Data Panjang Balok'!$C$9:$N$254,4,FALSE)</f>
        <v>6575</v>
      </c>
    </row>
    <row r="2188">
      <c r="C2188" t="str">
        <v>Panjang netto</v>
      </c>
      <c r="D2188">
        <f>VLOOKUP(C2185,'Data Panjang Balok'!$C$9:$N$254,7,FALSE)</f>
        <v>6575</v>
      </c>
    </row>
    <row r="2189">
      <c r="C2189" t="str">
        <v>Kolom / balok kiri</v>
      </c>
      <c r="D2189">
        <f>VLOOKUP(C2185,'Data Panjang Balok'!$C$9:$N$254,9,FALSE)</f>
        <v>0</v>
      </c>
    </row>
    <row r="2190">
      <c r="C2190" t="str">
        <v>Kolom / balok kanan</v>
      </c>
      <c r="D2190">
        <f>VLOOKUP(C2185,'Data Panjang Balok'!$C$9:$N$254,10,FALSE)</f>
        <v>0</v>
      </c>
    </row>
    <row r="2191">
      <c r="C2191" t="str">
        <v>Jumlah</v>
      </c>
      <c r="D2191">
        <f>VLOOKUP(C2185,'Data Panjang Balok'!$C$9:$N$254,3,FALSE)</f>
        <v>1</v>
      </c>
    </row>
    <row r="2192">
      <c r="A2192" t="str">
        <f>A2185</f>
        <v>Lantai 1</v>
      </c>
      <c r="B2192">
        <f>B2185</f>
        <v>71</v>
      </c>
      <c r="C2192" t="str">
        <v>Tul Atas Tumpuan</v>
      </c>
      <c r="D2192">
        <f>VLOOKUP(D2185,'Detail Balok'!$C$10:$AU$140,4,FALSE)</f>
        <v>3</v>
      </c>
      <c r="E2192" t="str">
        <v>D</v>
      </c>
      <c r="F2192">
        <f>VLOOKUP(D2185,'Detail Balok'!$C$10:$AU$140,6,FALSE)</f>
        <v>16</v>
      </c>
      <c r="I2192" t="str">
        <v>(</v>
      </c>
      <c r="J2192">
        <f>+D2187/4/1000</f>
        <v>1.64375</v>
      </c>
      <c r="K2192" t="str">
        <v>+</v>
      </c>
      <c r="L2192">
        <f>MAX(VLOOKUP(F2192,N$6:P$15,3,FALSE)/1000,2/3*D2189/1000)+F$16*F2192/1000</f>
        <v>0.192</v>
      </c>
      <c r="M2192" t="str">
        <v>=</v>
      </c>
      <c r="N2192">
        <f>J2192+L2192</f>
        <v>1.83575</v>
      </c>
      <c r="O2192" t="str">
        <v>+</v>
      </c>
      <c r="P2192">
        <f>D2192-D2193</f>
        <v>0</v>
      </c>
      <c r="Q2192" t="str">
        <v>x</v>
      </c>
      <c r="R2192">
        <f>IF(P2192&gt;0,$F$18*F2192/1000,0)</f>
        <v>0</v>
      </c>
      <c r="S2192" t="str">
        <v>)</v>
      </c>
      <c r="T2192" t="str">
        <v>x</v>
      </c>
      <c r="U2192">
        <f>0.006165*F2192^2</f>
        <v>1.57824</v>
      </c>
      <c r="X2192" t="str">
        <v>x</v>
      </c>
      <c r="Y2192">
        <f>D2191</f>
        <v>1</v>
      </c>
      <c r="Z2192" t="str">
        <v>=</v>
      </c>
      <c r="AA2192">
        <f>IF(AA2195=0,(D2192*N2192+P2192*R2192)*U2192*Y2192,0)</f>
        <v>0</v>
      </c>
    </row>
    <row r="2193">
      <c r="A2193" t="str">
        <f>A2185</f>
        <v>Lantai 1</v>
      </c>
      <c r="B2193">
        <f>B2185</f>
        <v>71</v>
      </c>
      <c r="C2193" t="str">
        <v>Tul Atas Lapangan</v>
      </c>
      <c r="D2193">
        <f>VLOOKUP(D2185,'Detail Balok'!$C$10:$AU$140,7,FALSE)</f>
        <v>3</v>
      </c>
      <c r="E2193" t="str">
        <v>D</v>
      </c>
      <c r="F2193">
        <f>VLOOKUP(D2185,'Detail Balok'!$C$10:$AU$140,9,FALSE)</f>
        <v>16</v>
      </c>
      <c r="I2193" t="str">
        <v>(</v>
      </c>
      <c r="J2193">
        <f>+D2187/2/1000</f>
        <v>3.2875</v>
      </c>
      <c r="K2193" t="str">
        <v>+</v>
      </c>
      <c r="M2193" t="str">
        <v>=</v>
      </c>
      <c r="N2193">
        <f>J2193+L2193</f>
        <v>3.2875</v>
      </c>
      <c r="O2193" t="str">
        <v>+</v>
      </c>
      <c r="P2193">
        <f>MAX(D2193-D2192,D2193-D2194)</f>
        <v>0</v>
      </c>
      <c r="Q2193" t="str">
        <v>x</v>
      </c>
      <c r="R2193">
        <f>IF(P2193&gt;0,2*(1-2*$F$19-1/2)*D2188/1000,0)</f>
        <v>0</v>
      </c>
      <c r="S2193" t="str">
        <v>)</v>
      </c>
      <c r="T2193" t="str">
        <v>x</v>
      </c>
      <c r="U2193">
        <f>0.006165*F2193^2</f>
        <v>1.57824</v>
      </c>
      <c r="X2193" t="str">
        <v>x</v>
      </c>
      <c r="Y2193">
        <f>D2191</f>
        <v>1</v>
      </c>
      <c r="Z2193" t="str">
        <v>=</v>
      </c>
      <c r="AA2193">
        <f>IF(AA2195=0,(D2193*N2193+P2193*R2193)*U2193*Y2193,0)</f>
        <v>0</v>
      </c>
    </row>
    <row r="2194">
      <c r="A2194" t="str">
        <f>A2185</f>
        <v>Lantai 1</v>
      </c>
      <c r="B2194">
        <f>B2185</f>
        <v>71</v>
      </c>
      <c r="C2194" t="str">
        <v>Tul Atas Tumpuan</v>
      </c>
      <c r="D2194">
        <f>VLOOKUP(D2185,'Detail Balok'!$C$10:$AU$140,10,FALSE)</f>
        <v>3</v>
      </c>
      <c r="E2194" t="str">
        <v>D</v>
      </c>
      <c r="F2194">
        <f>VLOOKUP(D2185,'Detail Balok'!$C$10:$AU$140,12,FALSE)</f>
        <v>16</v>
      </c>
      <c r="I2194" t="str">
        <v>(</v>
      </c>
      <c r="J2194">
        <f>+D2187/4/1000</f>
        <v>1.64375</v>
      </c>
      <c r="K2194" t="str">
        <v>+</v>
      </c>
      <c r="L2194">
        <f>MAX(VLOOKUP(F2194,N$6:P$15,3,FALSE)/1000,2/3*D2189/1000)+F$16*F2194/1000</f>
        <v>0.192</v>
      </c>
      <c r="M2194" t="str">
        <v>=</v>
      </c>
      <c r="N2194">
        <f>J2194+L2194</f>
        <v>1.83575</v>
      </c>
      <c r="O2194" t="str">
        <v>+</v>
      </c>
      <c r="P2194">
        <f>D2194-D2193</f>
        <v>0</v>
      </c>
      <c r="Q2194" t="str">
        <v>x</v>
      </c>
      <c r="R2194">
        <f>IF(P2194&gt;0,$F$18*F2194/1000,0)</f>
        <v>0</v>
      </c>
      <c r="S2194" t="str">
        <v>)</v>
      </c>
      <c r="T2194" t="str">
        <v>x</v>
      </c>
      <c r="U2194">
        <f>0.006165*F2194^2</f>
        <v>1.57824</v>
      </c>
      <c r="X2194" t="str">
        <v>x</v>
      </c>
      <c r="Y2194">
        <f>D2191</f>
        <v>1</v>
      </c>
      <c r="Z2194" t="str">
        <v>=</v>
      </c>
      <c r="AA2194">
        <f>IF(AA2195=0,(D2194*N2194+P2194*R2194)*U2194*Y2194,0)</f>
        <v>0</v>
      </c>
    </row>
    <row r="2195">
      <c r="A2195" t="str">
        <f>A2185</f>
        <v>Lantai 1</v>
      </c>
      <c r="B2195">
        <f>B2185</f>
        <v>71</v>
      </c>
      <c r="D2195">
        <f>IF(AND(D2192=D2193,D2193=D2194,D2192=D2194),D2192,0)</f>
        <v>3</v>
      </c>
      <c r="E2195" t="str">
        <v>D</v>
      </c>
      <c r="F2195">
        <f>IF(AND(F2192=F2193,F2192=F2194,F2193=F2194),F2192,0)</f>
        <v>16</v>
      </c>
      <c r="L2195" t="str">
        <v>Total panjang per balok</v>
      </c>
      <c r="M2195" t="str">
        <v>=</v>
      </c>
      <c r="N2195">
        <f>IF(AND(D2192=D2193,D2192=D2194,D2193=D2194,F2192=F2193,F2192=F2194,F2193=F2194),SUM(N2192:N2194),0)</f>
        <v>6.9590000000000005</v>
      </c>
      <c r="O2195" t="str">
        <v>+</v>
      </c>
      <c r="P2195">
        <f>IF(N2195&gt;12,ROUNDDOWN(N2195/12,0),0)</f>
        <v>0</v>
      </c>
      <c r="Q2195" t="str">
        <v>x</v>
      </c>
      <c r="R2195">
        <f>IF(P2195&gt;0,MAX(VLOOKUP(F2195,$D$6:$G$15,3,FALSE),600),0)/1000</f>
        <v>0</v>
      </c>
      <c r="T2195" t="str">
        <v>x</v>
      </c>
      <c r="U2195">
        <f>U2194</f>
        <v>1.57824</v>
      </c>
      <c r="V2195" t="str">
        <v>x</v>
      </c>
      <c r="W2195">
        <f>D2195</f>
        <v>3</v>
      </c>
      <c r="X2195" t="str">
        <v>x</v>
      </c>
      <c r="Y2195">
        <f>Y2194</f>
        <v>1</v>
      </c>
      <c r="Z2195" t="str">
        <v>=</v>
      </c>
      <c r="AA2195">
        <f>(N2195+P2195*R2195/1000)*U2195*W2195*Y2195</f>
        <v>32.94891648</v>
      </c>
    </row>
    <row r="2197">
      <c r="A2197" t="str">
        <f>A2185</f>
        <v>Lantai 1</v>
      </c>
      <c r="B2197">
        <f>B2185</f>
        <v>71</v>
      </c>
      <c r="C2197" t="str">
        <v>Tul Peminggang</v>
      </c>
      <c r="D2197">
        <f>VLOOKUP(D2185,'Detail Balok'!$C$10:$AU$140,13,FALSE)</f>
        <v>0</v>
      </c>
      <c r="E2197" t="str">
        <v>D</v>
      </c>
      <c r="F2197">
        <f>VLOOKUP(D2185,'Detail Balok'!$C$10:$AU$140,15,FALSE)</f>
        <v>8</v>
      </c>
      <c r="J2197">
        <f>+D2187/1000</f>
        <v>6.575</v>
      </c>
      <c r="K2197" t="str">
        <v>+</v>
      </c>
      <c r="L2197">
        <f>2*$F$16*F2197/1000</f>
        <v>0.192</v>
      </c>
      <c r="M2197" t="str">
        <v>=</v>
      </c>
      <c r="N2197">
        <f>J2197+L2197</f>
        <v>6.767</v>
      </c>
      <c r="O2197" t="str">
        <v>+</v>
      </c>
      <c r="P2197">
        <f>IF(N2197&gt;12,ROUNDDOWN(N2197/12,0),0)</f>
        <v>0</v>
      </c>
      <c r="Q2197" t="str">
        <v>x</v>
      </c>
      <c r="R2197">
        <f>IF(P2197&gt;0,MAX(VLOOKUP(F2197,$D$6:$G$15,3,FALSE),600),0)/1000</f>
        <v>0</v>
      </c>
      <c r="T2197" t="str">
        <v>x</v>
      </c>
      <c r="U2197">
        <f>0.006165*F2197^2</f>
        <v>0.39456</v>
      </c>
      <c r="V2197" t="str">
        <v>x</v>
      </c>
      <c r="W2197">
        <f>+D2197</f>
        <v>0</v>
      </c>
      <c r="X2197" t="str">
        <v>x</v>
      </c>
      <c r="Y2197">
        <f>D2191</f>
        <v>1</v>
      </c>
      <c r="Z2197" t="str">
        <v>=</v>
      </c>
      <c r="AA2197">
        <f>(N2197+P2197*R2197/1000)*U2197*W2197*Y2197</f>
        <v>0</v>
      </c>
    </row>
    <row r="2200">
      <c r="A2200" t="str">
        <f>A2185</f>
        <v>Lantai 1</v>
      </c>
      <c r="B2200">
        <f>B2185</f>
        <v>71</v>
      </c>
      <c r="C2200" t="str">
        <v>Tul Bawah Tumpuan</v>
      </c>
      <c r="D2200">
        <f>VLOOKUP(D2185,'Detail Balok'!$C$10:$AU$140,22,FALSE)</f>
        <v>3</v>
      </c>
      <c r="E2200" t="str">
        <v>D</v>
      </c>
      <c r="F2200">
        <f>VLOOKUP(D2185,'Detail Balok'!$C$10:$AU$140,24,FALSE)</f>
        <v>16</v>
      </c>
      <c r="I2200" t="str">
        <v>(</v>
      </c>
      <c r="J2200">
        <f>+J2192</f>
        <v>1.64375</v>
      </c>
      <c r="K2200" t="str">
        <v>+</v>
      </c>
      <c r="L2200">
        <f>MAX(VLOOKUP(F2200,N$6:P$15,3,FALSE)/1000,2/3*D2190/1000)+F$16*F2200/1000</f>
        <v>0.192</v>
      </c>
      <c r="M2200" t="str">
        <v>=</v>
      </c>
      <c r="N2200">
        <f>J2200+L2200</f>
        <v>1.83575</v>
      </c>
      <c r="O2200" t="str">
        <v>+</v>
      </c>
      <c r="P2200">
        <f>D2200-D2201</f>
        <v>0</v>
      </c>
      <c r="Q2200" t="str">
        <v>x</v>
      </c>
      <c r="R2200">
        <f>IF(P2200&gt;0,$F$18*F2200/1000,0)</f>
        <v>0</v>
      </c>
      <c r="S2200" t="str">
        <v>)</v>
      </c>
      <c r="T2200" t="str">
        <v>x</v>
      </c>
      <c r="U2200">
        <f>0.006165*F2200^2</f>
        <v>1.57824</v>
      </c>
      <c r="X2200" t="str">
        <v>x</v>
      </c>
      <c r="Y2200">
        <f>D2191</f>
        <v>1</v>
      </c>
      <c r="Z2200" t="str">
        <v>=</v>
      </c>
      <c r="AA2200">
        <f>IF(AA2203=0,(D2200*N2200+P2200*R2200)*U2200*Y2200,0)</f>
        <v>0</v>
      </c>
    </row>
    <row r="2201">
      <c r="A2201" t="str">
        <f>A2185</f>
        <v>Lantai 1</v>
      </c>
      <c r="B2201">
        <f>B2185</f>
        <v>71</v>
      </c>
      <c r="C2201" t="str">
        <v>Tul Bawah Lapangan</v>
      </c>
      <c r="D2201">
        <f>VLOOKUP(D2185,'Detail Balok'!$C$10:$AU$140,25,FALSE)</f>
        <v>3</v>
      </c>
      <c r="E2201" t="str">
        <v>D</v>
      </c>
      <c r="F2201">
        <f>VLOOKUP(D2185,'Detail Balok'!$C$10:$AU$140,27,FALSE)</f>
        <v>16</v>
      </c>
      <c r="I2201" t="str">
        <v>(</v>
      </c>
      <c r="J2201">
        <f>+J2193</f>
        <v>3.2875</v>
      </c>
      <c r="K2201" t="str">
        <v>+</v>
      </c>
      <c r="M2201" t="str">
        <v>=</v>
      </c>
      <c r="N2201">
        <f>J2201+L2201</f>
        <v>3.2875</v>
      </c>
      <c r="O2201" t="str">
        <v>+</v>
      </c>
      <c r="P2201">
        <f>MAX(D2201-D2200,D2201-D2202)</f>
        <v>0</v>
      </c>
      <c r="Q2201" t="str">
        <v>x</v>
      </c>
      <c r="R2201">
        <f>IF(P2201&gt;0,2*(1-2*$F$19-1/2)*D2188/1000,0)</f>
        <v>0</v>
      </c>
      <c r="S2201" t="str">
        <v>)</v>
      </c>
      <c r="T2201" t="str">
        <v>x</v>
      </c>
      <c r="U2201">
        <f>0.006165*F2201^2</f>
        <v>1.57824</v>
      </c>
      <c r="X2201" t="str">
        <v>x</v>
      </c>
      <c r="Y2201">
        <f>D2191</f>
        <v>1</v>
      </c>
      <c r="Z2201" t="str">
        <v>=</v>
      </c>
      <c r="AA2201">
        <f>IF(AA2203=0,(D2201*N2201+P2201*R2201)*U2201*Y2201,0)</f>
        <v>0</v>
      </c>
    </row>
    <row r="2202">
      <c r="A2202" t="str">
        <f>A2185</f>
        <v>Lantai 1</v>
      </c>
      <c r="B2202">
        <f>B2185</f>
        <v>71</v>
      </c>
      <c r="C2202" t="str">
        <v>Tul Bawah Tumpuan</v>
      </c>
      <c r="D2202">
        <f>VLOOKUP(D2185,'Detail Balok'!$C$10:$AU$140,28,FALSE)</f>
        <v>3</v>
      </c>
      <c r="E2202" t="str">
        <v>D</v>
      </c>
      <c r="F2202">
        <f>VLOOKUP(D2185,'Detail Balok'!$C$10:$AU$140,30,FALSE)</f>
        <v>16</v>
      </c>
      <c r="I2202" t="str">
        <v>(</v>
      </c>
      <c r="J2202">
        <f>+J2194</f>
        <v>1.64375</v>
      </c>
      <c r="K2202" t="str">
        <v>+</v>
      </c>
      <c r="L2202">
        <f>MAX(VLOOKUP(F2202,N$6:P$15,3,FALSE)/1000,2/3*D2190/1000)+F$16*F2202/1000</f>
        <v>0.192</v>
      </c>
      <c r="M2202" t="str">
        <v>=</v>
      </c>
      <c r="N2202">
        <f>J2202+L2202</f>
        <v>1.83575</v>
      </c>
      <c r="O2202" t="str">
        <v>+</v>
      </c>
      <c r="P2202">
        <f>D2202-D2201</f>
        <v>0</v>
      </c>
      <c r="Q2202" t="str">
        <v>x</v>
      </c>
      <c r="R2202">
        <f>IF(P2202&gt;0,$F$18*F2202/1000,0)</f>
        <v>0</v>
      </c>
      <c r="S2202" t="str">
        <v>)</v>
      </c>
      <c r="T2202" t="str">
        <v>x</v>
      </c>
      <c r="U2202">
        <f>0.006165*F2202^2</f>
        <v>1.57824</v>
      </c>
      <c r="X2202" t="str">
        <v>x</v>
      </c>
      <c r="Y2202">
        <f>D2191</f>
        <v>1</v>
      </c>
      <c r="Z2202" t="str">
        <v>=</v>
      </c>
      <c r="AA2202">
        <f>IF(AA2203=0,(D2202*N2202+P2202*R2202)*U2202*Y2202,0)</f>
        <v>0</v>
      </c>
    </row>
    <row r="2203">
      <c r="A2203" t="str">
        <f>A2185</f>
        <v>Lantai 1</v>
      </c>
      <c r="B2203">
        <f>B2185</f>
        <v>71</v>
      </c>
      <c r="D2203">
        <f>IF(AND(D2200=D2201,D2201=D2202,D2200=D2202),D2200,0)</f>
        <v>3</v>
      </c>
      <c r="E2203" t="str">
        <v>D</v>
      </c>
      <c r="F2203">
        <f>IF(AND(F2200=F2201,F2200=F2202,F2201=F2202),F2200,0)</f>
        <v>16</v>
      </c>
      <c r="L2203" t="str">
        <v>Total panjang per balok</v>
      </c>
      <c r="M2203" t="str">
        <v>=</v>
      </c>
      <c r="N2203">
        <f>IF(AND(D2200=D2201,D2200=D2202,D2201=D2202,F2200=F2201,F2200=F2202,F2201=F2202),SUM(N2200:N2202),0)</f>
        <v>6.9590000000000005</v>
      </c>
      <c r="O2203" t="str">
        <v>+</v>
      </c>
      <c r="P2203">
        <f>IF(N2203&gt;12,ROUNDDOWN(N2203/12,0),0)</f>
        <v>0</v>
      </c>
      <c r="Q2203" t="str">
        <v>x</v>
      </c>
      <c r="R2203">
        <f>IF(P2203&gt;0,MAX(VLOOKUP(F2203,$D$6:$G$15,3,FALSE),600),0)/1000</f>
        <v>0</v>
      </c>
      <c r="T2203" t="str">
        <v>x</v>
      </c>
      <c r="U2203">
        <f>U2202</f>
        <v>1.57824</v>
      </c>
      <c r="V2203" t="str">
        <v>x</v>
      </c>
      <c r="W2203">
        <f>D2203</f>
        <v>3</v>
      </c>
      <c r="X2203" t="str">
        <v>x</v>
      </c>
      <c r="Y2203">
        <f>Y2202</f>
        <v>1</v>
      </c>
      <c r="Z2203" t="str">
        <v>=</v>
      </c>
      <c r="AA2203">
        <f>(N2203+P2203*R2203/1000)*U2203*W2203*Y2203</f>
        <v>32.94891648</v>
      </c>
    </row>
    <row r="2205">
      <c r="A2205" t="str">
        <f>A2185</f>
        <v>Lantai 1</v>
      </c>
      <c r="B2205">
        <f>B2185</f>
        <v>71</v>
      </c>
      <c r="C2205" t="str">
        <v>Sengkang Tumpuan</v>
      </c>
      <c r="D2205">
        <f>VLOOKUP(D2185,'Detail Balok'!$C$10:$AU$140,31,FALSE)</f>
        <v>0</v>
      </c>
      <c r="E2205" t="str">
        <v>D</v>
      </c>
      <c r="F2205">
        <f>VLOOKUP(D2185,'Detail Balok'!$C$10:$AU$140,33,FALSE)</f>
        <v>8</v>
      </c>
      <c r="G2205" t="str">
        <v>-</v>
      </c>
      <c r="H2205">
        <f>VLOOKUP(D2185,'Detail Balok'!$C$10:$AU$140,35,FALSE)</f>
        <v>150</v>
      </c>
      <c r="J2205">
        <f>(IF(D2205=0,(2*(D2186+G2186))-(F$5*8),IF(D2205=3,(2*(D2186+G2186))-(F$5*8)+(G2186-2*F$5),IF(D2205=4,(2*(D2186+G2186))-(F$5*8)+2*(G2186-2*F$5)))))/1000</f>
        <v>0.88</v>
      </c>
      <c r="K2205" t="str">
        <v>+</v>
      </c>
      <c r="L2205">
        <f>IF(D2205=0,2*MAX(6*F2205,75),(D2205-1)*2*MAX(6*F2205,75))/1000</f>
        <v>0.15</v>
      </c>
      <c r="M2205" t="str">
        <v>=</v>
      </c>
      <c r="N2205">
        <f>J2205+L2205</f>
        <v>1.03</v>
      </c>
      <c r="T2205" t="str">
        <v>x</v>
      </c>
      <c r="U2205">
        <f>0.006165*F2205^2</f>
        <v>0.39456</v>
      </c>
      <c r="V2205" t="str">
        <v>x</v>
      </c>
      <c r="W2205">
        <f>IF(D2188&gt;4*G2186,ROUND(MAX(D2188/4,2*G2186)/H2205,0)+1,ROUND(D2188/H2205,0)+1)</f>
        <v>12</v>
      </c>
      <c r="X2205" t="str">
        <v>x</v>
      </c>
      <c r="Y2205">
        <f>D2191</f>
        <v>1</v>
      </c>
      <c r="Z2205" t="str">
        <v>=</v>
      </c>
      <c r="AA2205">
        <f>N2205*U2205*W2205*Y2205</f>
        <v>4.876761600000001</v>
      </c>
    </row>
    <row r="2206">
      <c r="A2206" t="str">
        <f>A2185</f>
        <v>Lantai 1</v>
      </c>
      <c r="B2206">
        <f>B2185</f>
        <v>71</v>
      </c>
      <c r="C2206" t="str">
        <v>Sengkang Lapangan</v>
      </c>
      <c r="D2206">
        <f>VLOOKUP(D2185,'Detail Balok'!$C$10:$AU$140,36,FALSE)</f>
        <v>0</v>
      </c>
      <c r="E2206" t="str">
        <v>D</v>
      </c>
      <c r="F2206">
        <f>VLOOKUP(D2185,'Detail Balok'!$C$10:$AU$140,38,FALSE)</f>
        <v>8</v>
      </c>
      <c r="G2206" t="str">
        <v>-</v>
      </c>
      <c r="H2206">
        <f>VLOOKUP(D2185,'Detail Balok'!$C$10:$AU$140,40,FALSE)</f>
        <v>200</v>
      </c>
      <c r="J2206">
        <f>(IF(D2206=0,(2*(D2186+G2186))-(F$5*8),IF(D2206=3,(2*(D2186+G2186))-(F$5*8)+(G2186-2*F$5),IF(D2206=4,(2*(D2186+G2186))-(F$5*8)+2*(G2186-2*F$5)))))/1000</f>
        <v>0.88</v>
      </c>
      <c r="K2206" t="str">
        <v>+</v>
      </c>
      <c r="L2206">
        <f>IF(D2206=0,2*MAX(6*F2206,75),(D2206-1)*2*MAX(6*F2206,75))/1000</f>
        <v>0.15</v>
      </c>
      <c r="M2206" t="str">
        <v>=</v>
      </c>
      <c r="N2206">
        <f>J2206+L2206</f>
        <v>1.03</v>
      </c>
      <c r="T2206" t="str">
        <v>x</v>
      </c>
      <c r="U2206">
        <f>0.006165*F2206^2</f>
        <v>0.39456</v>
      </c>
      <c r="V2206" t="str">
        <v>x</v>
      </c>
      <c r="W2206">
        <f>IF(D2188-MAX(D2188/4,2*G2186)*2&gt;0,ROUND((D2188-MAX(D2188/4,2*G2186)*2)/H2206,0),0)</f>
        <v>16</v>
      </c>
      <c r="X2206" t="str">
        <v>x</v>
      </c>
      <c r="Y2206">
        <f>D2191</f>
        <v>1</v>
      </c>
      <c r="Z2206" t="str">
        <v>=</v>
      </c>
      <c r="AA2206">
        <f>N2206*U2206*W2206*Y2206</f>
        <v>6.502348800000001</v>
      </c>
    </row>
    <row r="2207">
      <c r="A2207" t="str">
        <f>A2185</f>
        <v>Lantai 1</v>
      </c>
      <c r="B2207">
        <f>B2185</f>
        <v>71</v>
      </c>
      <c r="C2207" t="str">
        <v>Sengkang Tumpuan</v>
      </c>
      <c r="D2207">
        <f>VLOOKUP(D2185,'Detail Balok'!$C$10:$AU$140,41,FALSE)</f>
        <v>0</v>
      </c>
      <c r="E2207" t="str">
        <v>D</v>
      </c>
      <c r="F2207">
        <f>VLOOKUP(D2185,'Detail Balok'!$C$10:$AU$140,43,FALSE)</f>
        <v>8</v>
      </c>
      <c r="G2207" t="str">
        <v>-</v>
      </c>
      <c r="H2207">
        <f>VLOOKUP(D2185,'Detail Balok'!$C$10:$AU$140,45,FALSE)</f>
        <v>150</v>
      </c>
      <c r="J2207">
        <f>(IF(D2207=0,(2*(D2186+G2186))-(F$5*8),IF(D2207=3,(2*(D2186+G2186))-(F$5*8)+(G2186-2*F$5),IF(D2207=4,(2*(D2186+G2186))-(F$5*8)+2*(G2186-2*F$5)))))/1000</f>
        <v>0.88</v>
      </c>
      <c r="K2207" t="str">
        <v>+</v>
      </c>
      <c r="L2207">
        <f>IF(D2207=0,2*MAX(6*F2207,75),(D2207-1)*2*MAX(6*F2207,75))/1000</f>
        <v>0.15</v>
      </c>
      <c r="M2207" t="str">
        <v>=</v>
      </c>
      <c r="N2207">
        <f>J2207+L2207</f>
        <v>1.03</v>
      </c>
      <c r="T2207" t="str">
        <v>x</v>
      </c>
      <c r="U2207">
        <f>0.006165*F2207^2</f>
        <v>0.39456</v>
      </c>
      <c r="V2207" t="str">
        <v>x</v>
      </c>
      <c r="W2207">
        <f>IF(D2188&gt;4*G2186,ROUND(MAX(D2188/4,2*G2186)/H2207,0)+1,0)</f>
        <v>12</v>
      </c>
      <c r="X2207" t="str">
        <v>x</v>
      </c>
      <c r="Y2207">
        <f>D2191</f>
        <v>1</v>
      </c>
      <c r="Z2207" t="str">
        <v>=</v>
      </c>
      <c r="AA2207">
        <f>N2207*U2207*W2207*Y2207</f>
        <v>4.876761600000001</v>
      </c>
    </row>
    <row r="2209">
      <c r="A2209" t="str">
        <f>A2185</f>
        <v>Lantai 1</v>
      </c>
      <c r="B2209">
        <f>B2185</f>
        <v>71</v>
      </c>
      <c r="C2209" t="str">
        <v>Kait Horizontal Tump.</v>
      </c>
      <c r="D2209">
        <f>VLOOKUP(D2185,'Detail Balok'!$C$10:$BJ$140,46,FALSE)</f>
        <v>0</v>
      </c>
      <c r="E2209" t="str">
        <v>D</v>
      </c>
      <c r="F2209">
        <f>VLOOKUP(D2185,'Detail Balok'!$C$10:$BJ$140,48,FALSE)</f>
        <v>0</v>
      </c>
      <c r="G2209" t="str">
        <v>-</v>
      </c>
      <c r="H2209">
        <f>VLOOKUP(D2185,'Detail Balok'!$C$10:$BJ$140,50,FALSE)</f>
        <v>100</v>
      </c>
      <c r="J2209">
        <f>(D2186-2*F$5)/1000</f>
        <v>0.12</v>
      </c>
      <c r="K2209" t="str">
        <v>+</v>
      </c>
      <c r="L2209">
        <f>IF(D2209=0,2*MAX(6*F2209,75),(D2209-1)*2*MAX(6*F2209,75))/1000</f>
        <v>0.15</v>
      </c>
      <c r="M2209" t="str">
        <v>=</v>
      </c>
      <c r="N2209">
        <f>J2209+L2209</f>
        <v>0.27</v>
      </c>
      <c r="T2209" t="str">
        <v>x</v>
      </c>
      <c r="U2209">
        <f>0.006165*F2209^2</f>
        <v>0</v>
      </c>
      <c r="V2209" t="str">
        <v>x</v>
      </c>
      <c r="W2209">
        <f>W2205</f>
        <v>12</v>
      </c>
      <c r="X2209" t="str">
        <v>x</v>
      </c>
      <c r="Y2209">
        <f>D2195</f>
        <v>3</v>
      </c>
      <c r="Z2209" t="str">
        <v>=</v>
      </c>
      <c r="AA2209">
        <f>N2209*U2209*W2209*Y2209</f>
        <v>0</v>
      </c>
    </row>
    <row r="2210">
      <c r="A2210" t="str">
        <f>A2185</f>
        <v>Lantai 1</v>
      </c>
      <c r="B2210">
        <f>B2185</f>
        <v>71</v>
      </c>
      <c r="C2210" t="str">
        <v>Kait Horizontal Lap.</v>
      </c>
      <c r="D2210">
        <f>VLOOKUP(D2185,'Detail Balok'!$C$10:$BJ$140,51,FALSE)</f>
        <v>0</v>
      </c>
      <c r="E2210" t="str">
        <v>D</v>
      </c>
      <c r="F2210">
        <f>VLOOKUP(D2185,'Detail Balok'!$C$10:$BJ$140,53,FALSE)</f>
        <v>0</v>
      </c>
      <c r="G2210" t="str">
        <v>-</v>
      </c>
      <c r="H2210">
        <f>VLOOKUP(D2185,'Detail Balok'!$C$10:$BJ$140,55,FALSE)</f>
        <v>100</v>
      </c>
      <c r="J2210">
        <f>(D2186-2*F$5)/1000</f>
        <v>0.12</v>
      </c>
      <c r="K2210" t="str">
        <v>+</v>
      </c>
      <c r="L2210">
        <f>IF(D2210=0,2*MAX(6*F2210,75),(D2210-1)*2*MAX(6*F2210,75))/1000</f>
        <v>0.15</v>
      </c>
      <c r="M2210" t="str">
        <v>=</v>
      </c>
      <c r="N2210">
        <f>J2210+L2210</f>
        <v>0.27</v>
      </c>
      <c r="T2210" t="str">
        <v>x</v>
      </c>
      <c r="U2210">
        <f>0.006165*F2210^2</f>
        <v>0</v>
      </c>
      <c r="V2210" t="str">
        <v>x</v>
      </c>
      <c r="W2210">
        <f>W2206</f>
        <v>16</v>
      </c>
      <c r="X2210" t="str">
        <v>x</v>
      </c>
      <c r="Y2210">
        <f>D2195</f>
        <v>3</v>
      </c>
      <c r="Z2210" t="str">
        <v>=</v>
      </c>
      <c r="AA2210">
        <f>N2210*U2210*W2210*Y2210</f>
        <v>0</v>
      </c>
    </row>
    <row r="2211">
      <c r="A2211" t="str">
        <f>A2185</f>
        <v>Lantai 1</v>
      </c>
      <c r="B2211">
        <f>B2185</f>
        <v>71</v>
      </c>
      <c r="C2211" t="str">
        <v>Kait Horizontal Tump.</v>
      </c>
      <c r="D2211">
        <f>VLOOKUP(D2185,'Detail Balok'!$C$10:$BJ$140,56,FALSE)</f>
        <v>0</v>
      </c>
      <c r="E2211" t="str">
        <v>D</v>
      </c>
      <c r="F2211">
        <f>VLOOKUP(D2185,'Detail Balok'!$C$10:$BJ$140,58,FALSE)</f>
        <v>0</v>
      </c>
      <c r="G2211" t="str">
        <v>-</v>
      </c>
      <c r="H2211">
        <f>VLOOKUP(D2185,'Detail Balok'!$C$10:$BJ$140,60,FALSE)</f>
        <v>100</v>
      </c>
      <c r="J2211">
        <f>(D2186-2*F$5)/1000</f>
        <v>0.12</v>
      </c>
      <c r="K2211" t="str">
        <v>+</v>
      </c>
      <c r="L2211">
        <f>IF(D2211=0,2*MAX(6*F2211,75),(D2211-1)*2*MAX(6*F2211,75))/1000</f>
        <v>0.15</v>
      </c>
      <c r="M2211" t="str">
        <v>=</v>
      </c>
      <c r="N2211">
        <f>J2211+L2211</f>
        <v>0.27</v>
      </c>
      <c r="T2211" t="str">
        <v>x</v>
      </c>
      <c r="U2211">
        <f>0.006165*F2211^2</f>
        <v>0</v>
      </c>
      <c r="V2211" t="str">
        <v>x</v>
      </c>
      <c r="W2211">
        <f>W2207</f>
        <v>12</v>
      </c>
      <c r="X2211" t="str">
        <v>x</v>
      </c>
      <c r="Y2211">
        <f>D2195</f>
        <v>3</v>
      </c>
      <c r="Z2211" t="str">
        <v>=</v>
      </c>
      <c r="AA2211">
        <f>N2211*U2211*W2211*Y2211</f>
        <v>0</v>
      </c>
    </row>
    <row r="2215">
      <c r="A2215" t="str">
        <f>A2185</f>
        <v>Lantai 1</v>
      </c>
      <c r="B2215">
        <f>B2185+1</f>
        <v>72</v>
      </c>
      <c r="C2215" t="str">
        <f>CONCATENATE(A2215," no. ",B2215)</f>
        <v>Lantai 1 no. 72</v>
      </c>
      <c r="D2215" t="str">
        <f>VLOOKUP(C2215,'Data Panjang Balok'!$C$9:$N$254,2,FALSE)</f>
        <v>S24-1</v>
      </c>
    </row>
    <row r="2216">
      <c r="C2216" t="str">
        <v>Dimensi</v>
      </c>
      <c r="D2216">
        <f>VLOOKUP(D2215,'Detail Balok'!$C$10:$AU$140,2,FALSE)</f>
        <v>200</v>
      </c>
      <c r="F2216" t="str">
        <v>x</v>
      </c>
      <c r="G2216">
        <f>VLOOKUP(D2215,'Detail Balok'!$C$10:$AU$140,3,FALSE)</f>
        <v>400</v>
      </c>
    </row>
    <row r="2217">
      <c r="C2217" t="str">
        <v>Panjang as ke as</v>
      </c>
      <c r="D2217">
        <f>VLOOKUP(C2215,'Data Panjang Balok'!$C$9:$N$254,4,FALSE)</f>
        <v>6575</v>
      </c>
    </row>
    <row r="2218">
      <c r="C2218" t="str">
        <v>Panjang netto</v>
      </c>
      <c r="D2218">
        <f>VLOOKUP(C2215,'Data Panjang Balok'!$C$9:$N$254,7,FALSE)</f>
        <v>6575</v>
      </c>
    </row>
    <row r="2219">
      <c r="C2219" t="str">
        <v>Kolom / balok kiri</v>
      </c>
      <c r="D2219">
        <f>VLOOKUP(C2215,'Data Panjang Balok'!$C$9:$N$254,9,FALSE)</f>
        <v>0</v>
      </c>
    </row>
    <row r="2220">
      <c r="C2220" t="str">
        <v>Kolom / balok kanan</v>
      </c>
      <c r="D2220">
        <f>VLOOKUP(C2215,'Data Panjang Balok'!$C$9:$N$254,10,FALSE)</f>
        <v>0</v>
      </c>
    </row>
    <row r="2221">
      <c r="C2221" t="str">
        <v>Jumlah</v>
      </c>
      <c r="D2221">
        <f>VLOOKUP(C2215,'Data Panjang Balok'!$C$9:$N$254,3,FALSE)</f>
        <v>1</v>
      </c>
    </row>
    <row r="2222">
      <c r="A2222" t="str">
        <f>A2215</f>
        <v>Lantai 1</v>
      </c>
      <c r="B2222">
        <f>B2215</f>
        <v>72</v>
      </c>
      <c r="C2222" t="str">
        <v>Tul Atas Tumpuan</v>
      </c>
      <c r="D2222">
        <f>VLOOKUP(D2215,'Detail Balok'!$C$10:$AU$140,4,FALSE)</f>
        <v>3</v>
      </c>
      <c r="E2222" t="str">
        <v>D</v>
      </c>
      <c r="F2222">
        <f>VLOOKUP(D2215,'Detail Balok'!$C$10:$AU$140,6,FALSE)</f>
        <v>13</v>
      </c>
      <c r="I2222" t="str">
        <v>(</v>
      </c>
      <c r="J2222">
        <f>+D2217/4/1000</f>
        <v>1.64375</v>
      </c>
      <c r="K2222" t="str">
        <v>+</v>
      </c>
      <c r="L2222">
        <f>MAX(VLOOKUP(F2222,N$6:P$15,3,FALSE)/1000,2/3*D2219/1000)+F$16*F2222/1000</f>
        <v>0.156</v>
      </c>
      <c r="M2222" t="str">
        <v>=</v>
      </c>
      <c r="N2222">
        <f>J2222+L2222</f>
        <v>1.79975</v>
      </c>
      <c r="O2222" t="str">
        <v>+</v>
      </c>
      <c r="P2222">
        <f>D2222-D2223</f>
        <v>0</v>
      </c>
      <c r="Q2222" t="str">
        <v>x</v>
      </c>
      <c r="R2222">
        <f>IF(P2222&gt;0,$F$18*F2222/1000,0)</f>
        <v>0</v>
      </c>
      <c r="S2222" t="str">
        <v>)</v>
      </c>
      <c r="T2222" t="str">
        <v>x</v>
      </c>
      <c r="U2222">
        <f>0.006165*F2222^2</f>
        <v>1.041885</v>
      </c>
      <c r="X2222" t="str">
        <v>x</v>
      </c>
      <c r="Y2222">
        <f>D2221</f>
        <v>1</v>
      </c>
      <c r="Z2222" t="str">
        <v>=</v>
      </c>
      <c r="AA2222">
        <f>IF(AA2225=0,(D2222*N2222+P2222*R2222)*U2222*Y2222,0)</f>
        <v>0</v>
      </c>
    </row>
    <row r="2223">
      <c r="A2223" t="str">
        <f>A2215</f>
        <v>Lantai 1</v>
      </c>
      <c r="B2223">
        <f>B2215</f>
        <v>72</v>
      </c>
      <c r="C2223" t="str">
        <v>Tul Atas Lapangan</v>
      </c>
      <c r="D2223">
        <f>VLOOKUP(D2215,'Detail Balok'!$C$10:$AU$140,7,FALSE)</f>
        <v>3</v>
      </c>
      <c r="E2223" t="str">
        <v>D</v>
      </c>
      <c r="F2223">
        <f>VLOOKUP(D2215,'Detail Balok'!$C$10:$AU$140,9,FALSE)</f>
        <v>13</v>
      </c>
      <c r="I2223" t="str">
        <v>(</v>
      </c>
      <c r="J2223">
        <f>+D2217/2/1000</f>
        <v>3.2875</v>
      </c>
      <c r="K2223" t="str">
        <v>+</v>
      </c>
      <c r="M2223" t="str">
        <v>=</v>
      </c>
      <c r="N2223">
        <f>J2223+L2223</f>
        <v>3.2875</v>
      </c>
      <c r="O2223" t="str">
        <v>+</v>
      </c>
      <c r="P2223">
        <f>MAX(D2223-D2222,D2223-D2224)</f>
        <v>0</v>
      </c>
      <c r="Q2223" t="str">
        <v>x</v>
      </c>
      <c r="R2223">
        <f>IF(P2223&gt;0,2*(1-2*$F$19-1/2)*D2218/1000,0)</f>
        <v>0</v>
      </c>
      <c r="S2223" t="str">
        <v>)</v>
      </c>
      <c r="T2223" t="str">
        <v>x</v>
      </c>
      <c r="U2223">
        <f>0.006165*F2223^2</f>
        <v>1.041885</v>
      </c>
      <c r="X2223" t="str">
        <v>x</v>
      </c>
      <c r="Y2223">
        <f>D2221</f>
        <v>1</v>
      </c>
      <c r="Z2223" t="str">
        <v>=</v>
      </c>
      <c r="AA2223">
        <f>IF(AA2225=0,(D2223*N2223+P2223*R2223)*U2223*Y2223,0)</f>
        <v>0</v>
      </c>
    </row>
    <row r="2224">
      <c r="A2224" t="str">
        <f>A2215</f>
        <v>Lantai 1</v>
      </c>
      <c r="B2224">
        <f>B2215</f>
        <v>72</v>
      </c>
      <c r="C2224" t="str">
        <v>Tul Atas Tumpuan</v>
      </c>
      <c r="D2224">
        <f>VLOOKUP(D2215,'Detail Balok'!$C$10:$AU$140,10,FALSE)</f>
        <v>3</v>
      </c>
      <c r="E2224" t="str">
        <v>D</v>
      </c>
      <c r="F2224">
        <f>VLOOKUP(D2215,'Detail Balok'!$C$10:$AU$140,12,FALSE)</f>
        <v>13</v>
      </c>
      <c r="I2224" t="str">
        <v>(</v>
      </c>
      <c r="J2224">
        <f>+D2217/4/1000</f>
        <v>1.64375</v>
      </c>
      <c r="K2224" t="str">
        <v>+</v>
      </c>
      <c r="L2224">
        <f>MAX(VLOOKUP(F2224,N$6:P$15,3,FALSE)/1000,2/3*D2219/1000)+F$16*F2224/1000</f>
        <v>0.156</v>
      </c>
      <c r="M2224" t="str">
        <v>=</v>
      </c>
      <c r="N2224">
        <f>J2224+L2224</f>
        <v>1.79975</v>
      </c>
      <c r="O2224" t="str">
        <v>+</v>
      </c>
      <c r="P2224">
        <f>D2224-D2223</f>
        <v>0</v>
      </c>
      <c r="Q2224" t="str">
        <v>x</v>
      </c>
      <c r="R2224">
        <f>IF(P2224&gt;0,$F$18*F2224/1000,0)</f>
        <v>0</v>
      </c>
      <c r="S2224" t="str">
        <v>)</v>
      </c>
      <c r="T2224" t="str">
        <v>x</v>
      </c>
      <c r="U2224">
        <f>0.006165*F2224^2</f>
        <v>1.041885</v>
      </c>
      <c r="X2224" t="str">
        <v>x</v>
      </c>
      <c r="Y2224">
        <f>D2221</f>
        <v>1</v>
      </c>
      <c r="Z2224" t="str">
        <v>=</v>
      </c>
      <c r="AA2224">
        <f>IF(AA2225=0,(D2224*N2224+P2224*R2224)*U2224*Y2224,0)</f>
        <v>0</v>
      </c>
    </row>
    <row r="2225">
      <c r="A2225" t="str">
        <f>A2215</f>
        <v>Lantai 1</v>
      </c>
      <c r="B2225">
        <f>B2215</f>
        <v>72</v>
      </c>
      <c r="D2225">
        <f>IF(AND(D2222=D2223,D2223=D2224,D2222=D2224),D2222,0)</f>
        <v>3</v>
      </c>
      <c r="E2225" t="str">
        <v>D</v>
      </c>
      <c r="F2225">
        <f>IF(AND(F2222=F2223,F2222=F2224,F2223=F2224),F2222,0)</f>
        <v>13</v>
      </c>
      <c r="L2225" t="str">
        <v>Total panjang per balok</v>
      </c>
      <c r="M2225" t="str">
        <v>=</v>
      </c>
      <c r="N2225">
        <f>IF(AND(D2222=D2223,D2222=D2224,D2223=D2224,F2222=F2223,F2222=F2224,F2223=F2224),SUM(N2222:N2224),0)</f>
        <v>6.8870000000000005</v>
      </c>
      <c r="O2225" t="str">
        <v>+</v>
      </c>
      <c r="P2225">
        <f>IF(N2225&gt;12,ROUNDDOWN(N2225/12,0),0)</f>
        <v>0</v>
      </c>
      <c r="Q2225" t="str">
        <v>x</v>
      </c>
      <c r="R2225">
        <f>IF(P2225&gt;0,MAX(VLOOKUP(F2225,$D$6:$G$15,3,FALSE),600),0)/1000</f>
        <v>0</v>
      </c>
      <c r="T2225" t="str">
        <v>x</v>
      </c>
      <c r="U2225">
        <f>U2224</f>
        <v>1.041885</v>
      </c>
      <c r="V2225" t="str">
        <v>x</v>
      </c>
      <c r="W2225">
        <f>D2225</f>
        <v>3</v>
      </c>
      <c r="X2225" t="str">
        <v>x</v>
      </c>
      <c r="Y2225">
        <f>Y2224</f>
        <v>1</v>
      </c>
      <c r="Z2225" t="str">
        <v>=</v>
      </c>
      <c r="AA2225">
        <f>(N2225+P2225*R2225/1000)*U2225*W2225*Y2225</f>
        <v>21.526385985</v>
      </c>
    </row>
    <row r="2227">
      <c r="A2227" t="str">
        <f>A2215</f>
        <v>Lantai 1</v>
      </c>
      <c r="B2227">
        <f>B2215</f>
        <v>72</v>
      </c>
      <c r="C2227" t="str">
        <v>Tul Peminggang</v>
      </c>
      <c r="D2227">
        <f>VLOOKUP(D2215,'Detail Balok'!$C$10:$AU$140,13,FALSE)</f>
        <v>0</v>
      </c>
      <c r="E2227" t="str">
        <v>D</v>
      </c>
      <c r="F2227">
        <f>VLOOKUP(D2215,'Detail Balok'!$C$10:$AU$140,15,FALSE)</f>
        <v>8</v>
      </c>
      <c r="J2227">
        <f>+D2217/1000</f>
        <v>6.575</v>
      </c>
      <c r="K2227" t="str">
        <v>+</v>
      </c>
      <c r="L2227">
        <f>2*$F$16*F2227/1000</f>
        <v>0.192</v>
      </c>
      <c r="M2227" t="str">
        <v>=</v>
      </c>
      <c r="N2227">
        <f>J2227+L2227</f>
        <v>6.767</v>
      </c>
      <c r="O2227" t="str">
        <v>+</v>
      </c>
      <c r="P2227">
        <f>IF(N2227&gt;12,ROUNDDOWN(N2227/12,0),0)</f>
        <v>0</v>
      </c>
      <c r="Q2227" t="str">
        <v>x</v>
      </c>
      <c r="R2227">
        <f>IF(P2227&gt;0,MAX(VLOOKUP(F2227,$D$6:$G$15,3,FALSE),600),0)/1000</f>
        <v>0</v>
      </c>
      <c r="T2227" t="str">
        <v>x</v>
      </c>
      <c r="U2227">
        <f>0.006165*F2227^2</f>
        <v>0.39456</v>
      </c>
      <c r="V2227" t="str">
        <v>x</v>
      </c>
      <c r="W2227">
        <f>+D2227</f>
        <v>0</v>
      </c>
      <c r="X2227" t="str">
        <v>x</v>
      </c>
      <c r="Y2227">
        <f>D2221</f>
        <v>1</v>
      </c>
      <c r="Z2227" t="str">
        <v>=</v>
      </c>
      <c r="AA2227">
        <f>(N2227+P2227*R2227/1000)*U2227*W2227*Y2227</f>
        <v>0</v>
      </c>
    </row>
    <row r="2230">
      <c r="A2230" t="str">
        <f>A2215</f>
        <v>Lantai 1</v>
      </c>
      <c r="B2230">
        <f>B2215</f>
        <v>72</v>
      </c>
      <c r="C2230" t="str">
        <v>Tul Bawah Tumpuan</v>
      </c>
      <c r="D2230">
        <f>VLOOKUP(D2215,'Detail Balok'!$C$10:$AU$140,22,FALSE)</f>
        <v>3</v>
      </c>
      <c r="E2230" t="str">
        <v>D</v>
      </c>
      <c r="F2230">
        <f>VLOOKUP(D2215,'Detail Balok'!$C$10:$AU$140,24,FALSE)</f>
        <v>13</v>
      </c>
      <c r="I2230" t="str">
        <v>(</v>
      </c>
      <c r="J2230">
        <f>+J2222</f>
        <v>1.64375</v>
      </c>
      <c r="K2230" t="str">
        <v>+</v>
      </c>
      <c r="L2230">
        <f>MAX(VLOOKUP(F2230,N$6:P$15,3,FALSE)/1000,2/3*D2220/1000)+F$16*F2230/1000</f>
        <v>0.156</v>
      </c>
      <c r="M2230" t="str">
        <v>=</v>
      </c>
      <c r="N2230">
        <f>J2230+L2230</f>
        <v>1.79975</v>
      </c>
      <c r="O2230" t="str">
        <v>+</v>
      </c>
      <c r="P2230">
        <f>D2230-D2231</f>
        <v>0</v>
      </c>
      <c r="Q2230" t="str">
        <v>x</v>
      </c>
      <c r="R2230">
        <f>IF(P2230&gt;0,$F$18*F2230/1000,0)</f>
        <v>0</v>
      </c>
      <c r="S2230" t="str">
        <v>)</v>
      </c>
      <c r="T2230" t="str">
        <v>x</v>
      </c>
      <c r="U2230">
        <f>0.006165*F2230^2</f>
        <v>1.041885</v>
      </c>
      <c r="X2230" t="str">
        <v>x</v>
      </c>
      <c r="Y2230">
        <f>D2221</f>
        <v>1</v>
      </c>
      <c r="Z2230" t="str">
        <v>=</v>
      </c>
      <c r="AA2230">
        <f>IF(AA2233=0,(D2230*N2230+P2230*R2230)*U2230*Y2230,0)</f>
        <v>0</v>
      </c>
    </row>
    <row r="2231">
      <c r="A2231" t="str">
        <f>A2215</f>
        <v>Lantai 1</v>
      </c>
      <c r="B2231">
        <f>B2215</f>
        <v>72</v>
      </c>
      <c r="C2231" t="str">
        <v>Tul Bawah Lapangan</v>
      </c>
      <c r="D2231">
        <f>VLOOKUP(D2215,'Detail Balok'!$C$10:$AU$140,25,FALSE)</f>
        <v>3</v>
      </c>
      <c r="E2231" t="str">
        <v>D</v>
      </c>
      <c r="F2231">
        <f>VLOOKUP(D2215,'Detail Balok'!$C$10:$AU$140,27,FALSE)</f>
        <v>13</v>
      </c>
      <c r="I2231" t="str">
        <v>(</v>
      </c>
      <c r="J2231">
        <f>+J2223</f>
        <v>3.2875</v>
      </c>
      <c r="K2231" t="str">
        <v>+</v>
      </c>
      <c r="M2231" t="str">
        <v>=</v>
      </c>
      <c r="N2231">
        <f>J2231+L2231</f>
        <v>3.2875</v>
      </c>
      <c r="O2231" t="str">
        <v>+</v>
      </c>
      <c r="P2231">
        <f>MAX(D2231-D2230,D2231-D2232)</f>
        <v>0</v>
      </c>
      <c r="Q2231" t="str">
        <v>x</v>
      </c>
      <c r="R2231">
        <f>IF(P2231&gt;0,2*(1-2*$F$19-1/2)*D2218/1000,0)</f>
        <v>0</v>
      </c>
      <c r="S2231" t="str">
        <v>)</v>
      </c>
      <c r="T2231" t="str">
        <v>x</v>
      </c>
      <c r="U2231">
        <f>0.006165*F2231^2</f>
        <v>1.041885</v>
      </c>
      <c r="X2231" t="str">
        <v>x</v>
      </c>
      <c r="Y2231">
        <f>D2221</f>
        <v>1</v>
      </c>
      <c r="Z2231" t="str">
        <v>=</v>
      </c>
      <c r="AA2231">
        <f>IF(AA2233=0,(D2231*N2231+P2231*R2231)*U2231*Y2231,0)</f>
        <v>0</v>
      </c>
    </row>
    <row r="2232">
      <c r="A2232" t="str">
        <f>A2215</f>
        <v>Lantai 1</v>
      </c>
      <c r="B2232">
        <f>B2215</f>
        <v>72</v>
      </c>
      <c r="C2232" t="str">
        <v>Tul Bawah Tumpuan</v>
      </c>
      <c r="D2232">
        <f>VLOOKUP(D2215,'Detail Balok'!$C$10:$AU$140,28,FALSE)</f>
        <v>3</v>
      </c>
      <c r="E2232" t="str">
        <v>D</v>
      </c>
      <c r="F2232">
        <f>VLOOKUP(D2215,'Detail Balok'!$C$10:$AU$140,30,FALSE)</f>
        <v>13</v>
      </c>
      <c r="I2232" t="str">
        <v>(</v>
      </c>
      <c r="J2232">
        <f>+J2224</f>
        <v>1.64375</v>
      </c>
      <c r="K2232" t="str">
        <v>+</v>
      </c>
      <c r="L2232">
        <f>MAX(VLOOKUP(F2232,N$6:P$15,3,FALSE)/1000,2/3*D2220/1000)+F$16*F2232/1000</f>
        <v>0.156</v>
      </c>
      <c r="M2232" t="str">
        <v>=</v>
      </c>
      <c r="N2232">
        <f>J2232+L2232</f>
        <v>1.79975</v>
      </c>
      <c r="O2232" t="str">
        <v>+</v>
      </c>
      <c r="P2232">
        <f>D2232-D2231</f>
        <v>0</v>
      </c>
      <c r="Q2232" t="str">
        <v>x</v>
      </c>
      <c r="R2232">
        <f>IF(P2232&gt;0,$F$18*F2232/1000,0)</f>
        <v>0</v>
      </c>
      <c r="S2232" t="str">
        <v>)</v>
      </c>
      <c r="T2232" t="str">
        <v>x</v>
      </c>
      <c r="U2232">
        <f>0.006165*F2232^2</f>
        <v>1.041885</v>
      </c>
      <c r="X2232" t="str">
        <v>x</v>
      </c>
      <c r="Y2232">
        <f>D2221</f>
        <v>1</v>
      </c>
      <c r="Z2232" t="str">
        <v>=</v>
      </c>
      <c r="AA2232">
        <f>IF(AA2233=0,(D2232*N2232+P2232*R2232)*U2232*Y2232,0)</f>
        <v>0</v>
      </c>
    </row>
    <row r="2233">
      <c r="A2233" t="str">
        <f>A2215</f>
        <v>Lantai 1</v>
      </c>
      <c r="B2233">
        <f>B2215</f>
        <v>72</v>
      </c>
      <c r="D2233">
        <f>IF(AND(D2230=D2231,D2231=D2232,D2230=D2232),D2230,0)</f>
        <v>3</v>
      </c>
      <c r="E2233" t="str">
        <v>D</v>
      </c>
      <c r="F2233">
        <f>IF(AND(F2230=F2231,F2230=F2232,F2231=F2232),F2230,0)</f>
        <v>13</v>
      </c>
      <c r="L2233" t="str">
        <v>Total panjang per balok</v>
      </c>
      <c r="M2233" t="str">
        <v>=</v>
      </c>
      <c r="N2233">
        <f>IF(AND(D2230=D2231,D2230=D2232,D2231=D2232,F2230=F2231,F2230=F2232,F2231=F2232),SUM(N2230:N2232),0)</f>
        <v>6.8870000000000005</v>
      </c>
      <c r="O2233" t="str">
        <v>+</v>
      </c>
      <c r="P2233">
        <f>IF(N2233&gt;12,ROUNDDOWN(N2233/12,0),0)</f>
        <v>0</v>
      </c>
      <c r="Q2233" t="str">
        <v>x</v>
      </c>
      <c r="R2233">
        <f>IF(P2233&gt;0,MAX(VLOOKUP(F2233,$D$6:$G$15,3,FALSE),600),0)/1000</f>
        <v>0</v>
      </c>
      <c r="T2233" t="str">
        <v>x</v>
      </c>
      <c r="U2233">
        <f>U2232</f>
        <v>1.041885</v>
      </c>
      <c r="V2233" t="str">
        <v>x</v>
      </c>
      <c r="W2233">
        <f>D2233</f>
        <v>3</v>
      </c>
      <c r="X2233" t="str">
        <v>x</v>
      </c>
      <c r="Y2233">
        <f>Y2232</f>
        <v>1</v>
      </c>
      <c r="Z2233" t="str">
        <v>=</v>
      </c>
      <c r="AA2233">
        <f>(N2233+P2233*R2233/1000)*U2233*W2233*Y2233</f>
        <v>21.526385985</v>
      </c>
    </row>
    <row r="2235">
      <c r="A2235" t="str">
        <f>A2215</f>
        <v>Lantai 1</v>
      </c>
      <c r="B2235">
        <f>B2215</f>
        <v>72</v>
      </c>
      <c r="C2235" t="str">
        <v>Sengkang Tumpuan</v>
      </c>
      <c r="D2235">
        <f>VLOOKUP(D2215,'Detail Balok'!$C$10:$AU$140,31,FALSE)</f>
        <v>0</v>
      </c>
      <c r="E2235" t="str">
        <v>D</v>
      </c>
      <c r="F2235">
        <f>VLOOKUP(D2215,'Detail Balok'!$C$10:$AU$140,33,FALSE)</f>
        <v>8</v>
      </c>
      <c r="G2235" t="str">
        <v>-</v>
      </c>
      <c r="H2235">
        <f>VLOOKUP(D2215,'Detail Balok'!$C$10:$AU$140,35,FALSE)</f>
        <v>150</v>
      </c>
      <c r="J2235">
        <f>(IF(D2235=0,(2*(D2216+G2216))-(F$5*8),IF(D2235=3,(2*(D2216+G2216))-(F$5*8)+(G2216-2*F$5),IF(D2235=4,(2*(D2216+G2216))-(F$5*8)+2*(G2216-2*F$5)))))/1000</f>
        <v>0.88</v>
      </c>
      <c r="K2235" t="str">
        <v>+</v>
      </c>
      <c r="L2235">
        <f>IF(D2235=0,2*MAX(6*F2235,75),(D2235-1)*2*MAX(6*F2235,75))/1000</f>
        <v>0.15</v>
      </c>
      <c r="M2235" t="str">
        <v>=</v>
      </c>
      <c r="N2235">
        <f>J2235+L2235</f>
        <v>1.03</v>
      </c>
      <c r="T2235" t="str">
        <v>x</v>
      </c>
      <c r="U2235">
        <f>0.006165*F2235^2</f>
        <v>0.39456</v>
      </c>
      <c r="V2235" t="str">
        <v>x</v>
      </c>
      <c r="W2235">
        <f>IF(D2218&gt;4*G2216,ROUND(MAX(D2218/4,2*G2216)/H2235,0)+1,ROUND(D2218/H2235,0)+1)</f>
        <v>12</v>
      </c>
      <c r="X2235" t="str">
        <v>x</v>
      </c>
      <c r="Y2235">
        <f>D2221</f>
        <v>1</v>
      </c>
      <c r="Z2235" t="str">
        <v>=</v>
      </c>
      <c r="AA2235">
        <f>N2235*U2235*W2235*Y2235</f>
        <v>4.876761600000001</v>
      </c>
    </row>
    <row r="2236">
      <c r="A2236" t="str">
        <f>A2215</f>
        <v>Lantai 1</v>
      </c>
      <c r="B2236">
        <f>B2215</f>
        <v>72</v>
      </c>
      <c r="C2236" t="str">
        <v>Sengkang Lapangan</v>
      </c>
      <c r="D2236">
        <f>VLOOKUP(D2215,'Detail Balok'!$C$10:$AU$140,36,FALSE)</f>
        <v>0</v>
      </c>
      <c r="E2236" t="str">
        <v>D</v>
      </c>
      <c r="F2236">
        <f>VLOOKUP(D2215,'Detail Balok'!$C$10:$AU$140,38,FALSE)</f>
        <v>8</v>
      </c>
      <c r="G2236" t="str">
        <v>-</v>
      </c>
      <c r="H2236">
        <f>VLOOKUP(D2215,'Detail Balok'!$C$10:$AU$140,40,FALSE)</f>
        <v>200</v>
      </c>
      <c r="J2236">
        <f>(IF(D2236=0,(2*(D2216+G2216))-(F$5*8),IF(D2236=3,(2*(D2216+G2216))-(F$5*8)+(G2216-2*F$5),IF(D2236=4,(2*(D2216+G2216))-(F$5*8)+2*(G2216-2*F$5)))))/1000</f>
        <v>0.88</v>
      </c>
      <c r="K2236" t="str">
        <v>+</v>
      </c>
      <c r="L2236">
        <f>IF(D2236=0,2*MAX(6*F2236,75),(D2236-1)*2*MAX(6*F2236,75))/1000</f>
        <v>0.15</v>
      </c>
      <c r="M2236" t="str">
        <v>=</v>
      </c>
      <c r="N2236">
        <f>J2236+L2236</f>
        <v>1.03</v>
      </c>
      <c r="T2236" t="str">
        <v>x</v>
      </c>
      <c r="U2236">
        <f>0.006165*F2236^2</f>
        <v>0.39456</v>
      </c>
      <c r="V2236" t="str">
        <v>x</v>
      </c>
      <c r="W2236">
        <f>IF(D2218-MAX(D2218/4,2*G2216)*2&gt;0,ROUND((D2218-MAX(D2218/4,2*G2216)*2)/H2236,0),0)</f>
        <v>16</v>
      </c>
      <c r="X2236" t="str">
        <v>x</v>
      </c>
      <c r="Y2236">
        <f>D2221</f>
        <v>1</v>
      </c>
      <c r="Z2236" t="str">
        <v>=</v>
      </c>
      <c r="AA2236">
        <f>N2236*U2236*W2236*Y2236</f>
        <v>6.502348800000001</v>
      </c>
    </row>
    <row r="2237">
      <c r="A2237" t="str">
        <f>A2215</f>
        <v>Lantai 1</v>
      </c>
      <c r="B2237">
        <f>B2215</f>
        <v>72</v>
      </c>
      <c r="C2237" t="str">
        <v>Sengkang Tumpuan</v>
      </c>
      <c r="D2237">
        <f>VLOOKUP(D2215,'Detail Balok'!$C$10:$AU$140,41,FALSE)</f>
        <v>0</v>
      </c>
      <c r="E2237" t="str">
        <v>D</v>
      </c>
      <c r="F2237">
        <f>VLOOKUP(D2215,'Detail Balok'!$C$10:$AU$140,43,FALSE)</f>
        <v>8</v>
      </c>
      <c r="G2237" t="str">
        <v>-</v>
      </c>
      <c r="H2237">
        <f>VLOOKUP(D2215,'Detail Balok'!$C$10:$AU$140,45,FALSE)</f>
        <v>150</v>
      </c>
      <c r="J2237">
        <f>(IF(D2237=0,(2*(D2216+G2216))-(F$5*8),IF(D2237=3,(2*(D2216+G2216))-(F$5*8)+(G2216-2*F$5),IF(D2237=4,(2*(D2216+G2216))-(F$5*8)+2*(G2216-2*F$5)))))/1000</f>
        <v>0.88</v>
      </c>
      <c r="K2237" t="str">
        <v>+</v>
      </c>
      <c r="L2237">
        <f>IF(D2237=0,2*MAX(6*F2237,75),(D2237-1)*2*MAX(6*F2237,75))/1000</f>
        <v>0.15</v>
      </c>
      <c r="M2237" t="str">
        <v>=</v>
      </c>
      <c r="N2237">
        <f>J2237+L2237</f>
        <v>1.03</v>
      </c>
      <c r="T2237" t="str">
        <v>x</v>
      </c>
      <c r="U2237">
        <f>0.006165*F2237^2</f>
        <v>0.39456</v>
      </c>
      <c r="V2237" t="str">
        <v>x</v>
      </c>
      <c r="W2237">
        <f>IF(D2218&gt;4*G2216,ROUND(MAX(D2218/4,2*G2216)/H2237,0)+1,0)</f>
        <v>12</v>
      </c>
      <c r="X2237" t="str">
        <v>x</v>
      </c>
      <c r="Y2237">
        <f>D2221</f>
        <v>1</v>
      </c>
      <c r="Z2237" t="str">
        <v>=</v>
      </c>
      <c r="AA2237">
        <f>N2237*U2237*W2237*Y2237</f>
        <v>4.876761600000001</v>
      </c>
    </row>
    <row r="2239">
      <c r="A2239" t="str">
        <f>A2215</f>
        <v>Lantai 1</v>
      </c>
      <c r="B2239">
        <f>B2215</f>
        <v>72</v>
      </c>
      <c r="C2239" t="str">
        <v>Kait Horizontal Tump.</v>
      </c>
      <c r="D2239">
        <f>VLOOKUP(D2215,'Detail Balok'!$C$10:$BJ$140,46,FALSE)</f>
        <v>0</v>
      </c>
      <c r="E2239" t="str">
        <v>D</v>
      </c>
      <c r="F2239">
        <f>VLOOKUP(D2215,'Detail Balok'!$C$10:$BJ$140,48,FALSE)</f>
        <v>0</v>
      </c>
      <c r="G2239" t="str">
        <v>-</v>
      </c>
      <c r="H2239">
        <f>VLOOKUP(D2215,'Detail Balok'!$C$10:$BJ$140,50,FALSE)</f>
        <v>100</v>
      </c>
      <c r="J2239">
        <f>(D2216-2*F$5)/1000</f>
        <v>0.12</v>
      </c>
      <c r="K2239" t="str">
        <v>+</v>
      </c>
      <c r="L2239">
        <f>IF(D2239=0,2*MAX(6*F2239,75),(D2239-1)*2*MAX(6*F2239,75))/1000</f>
        <v>0.15</v>
      </c>
      <c r="M2239" t="str">
        <v>=</v>
      </c>
      <c r="N2239">
        <f>J2239+L2239</f>
        <v>0.27</v>
      </c>
      <c r="T2239" t="str">
        <v>x</v>
      </c>
      <c r="U2239">
        <f>0.006165*F2239^2</f>
        <v>0</v>
      </c>
      <c r="V2239" t="str">
        <v>x</v>
      </c>
      <c r="W2239">
        <f>W2235</f>
        <v>12</v>
      </c>
      <c r="X2239" t="str">
        <v>x</v>
      </c>
      <c r="Y2239">
        <f>D2225</f>
        <v>3</v>
      </c>
      <c r="Z2239" t="str">
        <v>=</v>
      </c>
      <c r="AA2239">
        <f>N2239*U2239*W2239*Y2239</f>
        <v>0</v>
      </c>
    </row>
    <row r="2240">
      <c r="A2240" t="str">
        <f>A2215</f>
        <v>Lantai 1</v>
      </c>
      <c r="B2240">
        <f>B2215</f>
        <v>72</v>
      </c>
      <c r="C2240" t="str">
        <v>Kait Horizontal Lap.</v>
      </c>
      <c r="D2240">
        <f>VLOOKUP(D2215,'Detail Balok'!$C$10:$BJ$140,51,FALSE)</f>
        <v>0</v>
      </c>
      <c r="E2240" t="str">
        <v>D</v>
      </c>
      <c r="F2240">
        <f>VLOOKUP(D2215,'Detail Balok'!$C$10:$BJ$140,53,FALSE)</f>
        <v>0</v>
      </c>
      <c r="G2240" t="str">
        <v>-</v>
      </c>
      <c r="H2240">
        <f>VLOOKUP(D2215,'Detail Balok'!$C$10:$BJ$140,55,FALSE)</f>
        <v>100</v>
      </c>
      <c r="J2240">
        <f>(D2216-2*F$5)/1000</f>
        <v>0.12</v>
      </c>
      <c r="K2240" t="str">
        <v>+</v>
      </c>
      <c r="L2240">
        <f>IF(D2240=0,2*MAX(6*F2240,75),(D2240-1)*2*MAX(6*F2240,75))/1000</f>
        <v>0.15</v>
      </c>
      <c r="M2240" t="str">
        <v>=</v>
      </c>
      <c r="N2240">
        <f>J2240+L2240</f>
        <v>0.27</v>
      </c>
      <c r="T2240" t="str">
        <v>x</v>
      </c>
      <c r="U2240">
        <f>0.006165*F2240^2</f>
        <v>0</v>
      </c>
      <c r="V2240" t="str">
        <v>x</v>
      </c>
      <c r="W2240">
        <f>W2236</f>
        <v>16</v>
      </c>
      <c r="X2240" t="str">
        <v>x</v>
      </c>
      <c r="Y2240">
        <f>D2225</f>
        <v>3</v>
      </c>
      <c r="Z2240" t="str">
        <v>=</v>
      </c>
      <c r="AA2240">
        <f>N2240*U2240*W2240*Y2240</f>
        <v>0</v>
      </c>
    </row>
    <row r="2241">
      <c r="A2241" t="str">
        <f>A2215</f>
        <v>Lantai 1</v>
      </c>
      <c r="B2241">
        <f>B2215</f>
        <v>72</v>
      </c>
      <c r="C2241" t="str">
        <v>Kait Horizontal Tump.</v>
      </c>
      <c r="D2241">
        <f>VLOOKUP(D2215,'Detail Balok'!$C$10:$BJ$140,56,FALSE)</f>
        <v>0</v>
      </c>
      <c r="E2241" t="str">
        <v>D</v>
      </c>
      <c r="F2241">
        <f>VLOOKUP(D2215,'Detail Balok'!$C$10:$BJ$140,58,FALSE)</f>
        <v>0</v>
      </c>
      <c r="G2241" t="str">
        <v>-</v>
      </c>
      <c r="H2241">
        <f>VLOOKUP(D2215,'Detail Balok'!$C$10:$BJ$140,60,FALSE)</f>
        <v>100</v>
      </c>
      <c r="J2241">
        <f>(D2216-2*F$5)/1000</f>
        <v>0.12</v>
      </c>
      <c r="K2241" t="str">
        <v>+</v>
      </c>
      <c r="L2241">
        <f>IF(D2241=0,2*MAX(6*F2241,75),(D2241-1)*2*MAX(6*F2241,75))/1000</f>
        <v>0.15</v>
      </c>
      <c r="M2241" t="str">
        <v>=</v>
      </c>
      <c r="N2241">
        <f>J2241+L2241</f>
        <v>0.27</v>
      </c>
      <c r="T2241" t="str">
        <v>x</v>
      </c>
      <c r="U2241">
        <f>0.006165*F2241^2</f>
        <v>0</v>
      </c>
      <c r="V2241" t="str">
        <v>x</v>
      </c>
      <c r="W2241">
        <f>W2237</f>
        <v>12</v>
      </c>
      <c r="X2241" t="str">
        <v>x</v>
      </c>
      <c r="Y2241">
        <f>D2225</f>
        <v>3</v>
      </c>
      <c r="Z2241" t="str">
        <v>=</v>
      </c>
      <c r="AA2241">
        <f>N2241*U2241*W2241*Y2241</f>
        <v>0</v>
      </c>
    </row>
    <row r="2245">
      <c r="A2245" t="str">
        <f>A2215</f>
        <v>Lantai 1</v>
      </c>
      <c r="B2245">
        <f>B2215+1</f>
        <v>73</v>
      </c>
      <c r="C2245" t="str">
        <f>CONCATENATE(A2245," no. ",B2245)</f>
        <v>Lantai 1 no. 73</v>
      </c>
      <c r="D2245" t="str">
        <f>VLOOKUP(C2245,'Data Panjang Balok'!$C$9:$N$254,2,FALSE)</f>
        <v>S24-2</v>
      </c>
    </row>
    <row r="2246">
      <c r="C2246" t="str">
        <v>Dimensi</v>
      </c>
      <c r="D2246">
        <f>VLOOKUP(D2245,'Detail Balok'!$C$10:$AU$140,2,FALSE)</f>
        <v>200</v>
      </c>
      <c r="F2246" t="str">
        <v>x</v>
      </c>
      <c r="G2246">
        <f>VLOOKUP(D2245,'Detail Balok'!$C$10:$AU$140,3,FALSE)</f>
        <v>400</v>
      </c>
    </row>
    <row r="2247">
      <c r="C2247" t="str">
        <v>Panjang as ke as</v>
      </c>
      <c r="D2247">
        <f>VLOOKUP(C2245,'Data Panjang Balok'!$C$9:$N$254,4,FALSE)</f>
        <v>6075</v>
      </c>
    </row>
    <row r="2248">
      <c r="C2248" t="str">
        <v>Panjang netto</v>
      </c>
      <c r="D2248">
        <f>VLOOKUP(C2245,'Data Panjang Balok'!$C$9:$N$254,7,FALSE)</f>
        <v>6075</v>
      </c>
    </row>
    <row r="2249">
      <c r="C2249" t="str">
        <v>Kolom / balok kiri</v>
      </c>
      <c r="D2249">
        <f>VLOOKUP(C2245,'Data Panjang Balok'!$C$9:$N$254,9,FALSE)</f>
        <v>0</v>
      </c>
    </row>
    <row r="2250">
      <c r="C2250" t="str">
        <v>Kolom / balok kanan</v>
      </c>
      <c r="D2250">
        <f>VLOOKUP(C2245,'Data Panjang Balok'!$C$9:$N$254,10,FALSE)</f>
        <v>0</v>
      </c>
    </row>
    <row r="2251">
      <c r="C2251" t="str">
        <v>Jumlah</v>
      </c>
      <c r="D2251">
        <f>VLOOKUP(C2245,'Data Panjang Balok'!$C$9:$N$254,3,FALSE)</f>
        <v>1</v>
      </c>
    </row>
    <row r="2252">
      <c r="A2252" t="str">
        <f>A2245</f>
        <v>Lantai 1</v>
      </c>
      <c r="B2252">
        <f>B2245</f>
        <v>73</v>
      </c>
      <c r="C2252" t="str">
        <v>Tul Atas Tumpuan</v>
      </c>
      <c r="D2252">
        <f>VLOOKUP(D2245,'Detail Balok'!$C$10:$AU$140,4,FALSE)</f>
        <v>3</v>
      </c>
      <c r="E2252" t="str">
        <v>D</v>
      </c>
      <c r="F2252">
        <f>VLOOKUP(D2245,'Detail Balok'!$C$10:$AU$140,6,FALSE)</f>
        <v>16</v>
      </c>
      <c r="I2252" t="str">
        <v>(</v>
      </c>
      <c r="J2252">
        <f>+D2247/4/1000</f>
        <v>1.51875</v>
      </c>
      <c r="K2252" t="str">
        <v>+</v>
      </c>
      <c r="L2252">
        <f>MAX(VLOOKUP(F2252,N$6:P$15,3,FALSE)/1000,2/3*D2249/1000)+F$16*F2252/1000</f>
        <v>0.192</v>
      </c>
      <c r="M2252" t="str">
        <v>=</v>
      </c>
      <c r="N2252">
        <f>J2252+L2252</f>
        <v>1.71075</v>
      </c>
      <c r="O2252" t="str">
        <v>+</v>
      </c>
      <c r="P2252">
        <f>D2252-D2253</f>
        <v>0</v>
      </c>
      <c r="Q2252" t="str">
        <v>x</v>
      </c>
      <c r="R2252">
        <f>IF(P2252&gt;0,$F$18*F2252/1000,0)</f>
        <v>0</v>
      </c>
      <c r="S2252" t="str">
        <v>)</v>
      </c>
      <c r="T2252" t="str">
        <v>x</v>
      </c>
      <c r="U2252">
        <f>0.006165*F2252^2</f>
        <v>1.57824</v>
      </c>
      <c r="X2252" t="str">
        <v>x</v>
      </c>
      <c r="Y2252">
        <f>D2251</f>
        <v>1</v>
      </c>
      <c r="Z2252" t="str">
        <v>=</v>
      </c>
      <c r="AA2252">
        <f>IF(AA2255=0,(D2252*N2252+P2252*R2252)*U2252*Y2252,0)</f>
        <v>0</v>
      </c>
    </row>
    <row r="2253">
      <c r="A2253" t="str">
        <f>A2245</f>
        <v>Lantai 1</v>
      </c>
      <c r="B2253">
        <f>B2245</f>
        <v>73</v>
      </c>
      <c r="C2253" t="str">
        <v>Tul Atas Lapangan</v>
      </c>
      <c r="D2253">
        <f>VLOOKUP(D2245,'Detail Balok'!$C$10:$AU$140,7,FALSE)</f>
        <v>3</v>
      </c>
      <c r="E2253" t="str">
        <v>D</v>
      </c>
      <c r="F2253">
        <f>VLOOKUP(D2245,'Detail Balok'!$C$10:$AU$140,9,FALSE)</f>
        <v>16</v>
      </c>
      <c r="I2253" t="str">
        <v>(</v>
      </c>
      <c r="J2253">
        <f>+D2247/2/1000</f>
        <v>3.0375</v>
      </c>
      <c r="K2253" t="str">
        <v>+</v>
      </c>
      <c r="M2253" t="str">
        <v>=</v>
      </c>
      <c r="N2253">
        <f>J2253+L2253</f>
        <v>3.0375</v>
      </c>
      <c r="O2253" t="str">
        <v>+</v>
      </c>
      <c r="P2253">
        <f>MAX(D2253-D2252,D2253-D2254)</f>
        <v>0</v>
      </c>
      <c r="Q2253" t="str">
        <v>x</v>
      </c>
      <c r="R2253">
        <f>IF(P2253&gt;0,2*(1-2*$F$19-1/2)*D2248/1000,0)</f>
        <v>0</v>
      </c>
      <c r="S2253" t="str">
        <v>)</v>
      </c>
      <c r="T2253" t="str">
        <v>x</v>
      </c>
      <c r="U2253">
        <f>0.006165*F2253^2</f>
        <v>1.57824</v>
      </c>
      <c r="X2253" t="str">
        <v>x</v>
      </c>
      <c r="Y2253">
        <f>D2251</f>
        <v>1</v>
      </c>
      <c r="Z2253" t="str">
        <v>=</v>
      </c>
      <c r="AA2253">
        <f>IF(AA2255=0,(D2253*N2253+P2253*R2253)*U2253*Y2253,0)</f>
        <v>0</v>
      </c>
    </row>
    <row r="2254">
      <c r="A2254" t="str">
        <f>A2245</f>
        <v>Lantai 1</v>
      </c>
      <c r="B2254">
        <f>B2245</f>
        <v>73</v>
      </c>
      <c r="C2254" t="str">
        <v>Tul Atas Tumpuan</v>
      </c>
      <c r="D2254">
        <f>VLOOKUP(D2245,'Detail Balok'!$C$10:$AU$140,10,FALSE)</f>
        <v>3</v>
      </c>
      <c r="E2254" t="str">
        <v>D</v>
      </c>
      <c r="F2254">
        <f>VLOOKUP(D2245,'Detail Balok'!$C$10:$AU$140,12,FALSE)</f>
        <v>16</v>
      </c>
      <c r="I2254" t="str">
        <v>(</v>
      </c>
      <c r="J2254">
        <f>+D2247/4/1000</f>
        <v>1.51875</v>
      </c>
      <c r="K2254" t="str">
        <v>+</v>
      </c>
      <c r="L2254">
        <f>MAX(VLOOKUP(F2254,N$6:P$15,3,FALSE)/1000,2/3*D2249/1000)+F$16*F2254/1000</f>
        <v>0.192</v>
      </c>
      <c r="M2254" t="str">
        <v>=</v>
      </c>
      <c r="N2254">
        <f>J2254+L2254</f>
        <v>1.71075</v>
      </c>
      <c r="O2254" t="str">
        <v>+</v>
      </c>
      <c r="P2254">
        <f>D2254-D2253</f>
        <v>0</v>
      </c>
      <c r="Q2254" t="str">
        <v>x</v>
      </c>
      <c r="R2254">
        <f>IF(P2254&gt;0,$F$18*F2254/1000,0)</f>
        <v>0</v>
      </c>
      <c r="S2254" t="str">
        <v>)</v>
      </c>
      <c r="T2254" t="str">
        <v>x</v>
      </c>
      <c r="U2254">
        <f>0.006165*F2254^2</f>
        <v>1.57824</v>
      </c>
      <c r="X2254" t="str">
        <v>x</v>
      </c>
      <c r="Y2254">
        <f>D2251</f>
        <v>1</v>
      </c>
      <c r="Z2254" t="str">
        <v>=</v>
      </c>
      <c r="AA2254">
        <f>IF(AA2255=0,(D2254*N2254+P2254*R2254)*U2254*Y2254,0)</f>
        <v>0</v>
      </c>
    </row>
    <row r="2255">
      <c r="A2255" t="str">
        <f>A2245</f>
        <v>Lantai 1</v>
      </c>
      <c r="B2255">
        <f>B2245</f>
        <v>73</v>
      </c>
      <c r="D2255">
        <f>IF(AND(D2252=D2253,D2253=D2254,D2252=D2254),D2252,0)</f>
        <v>3</v>
      </c>
      <c r="E2255" t="str">
        <v>D</v>
      </c>
      <c r="F2255">
        <f>IF(AND(F2252=F2253,F2252=F2254,F2253=F2254),F2252,0)</f>
        <v>16</v>
      </c>
      <c r="L2255" t="str">
        <v>Total panjang per balok</v>
      </c>
      <c r="M2255" t="str">
        <v>=</v>
      </c>
      <c r="N2255">
        <f>IF(AND(D2252=D2253,D2252=D2254,D2253=D2254,F2252=F2253,F2252=F2254,F2253=F2254),SUM(N2252:N2254),0)</f>
        <v>6.4590000000000005</v>
      </c>
      <c r="O2255" t="str">
        <v>+</v>
      </c>
      <c r="P2255">
        <f>IF(N2255&gt;12,ROUNDDOWN(N2255/12,0),0)</f>
        <v>0</v>
      </c>
      <c r="Q2255" t="str">
        <v>x</v>
      </c>
      <c r="R2255">
        <f>IF(P2255&gt;0,MAX(VLOOKUP(F2255,$D$6:$G$15,3,FALSE),600),0)/1000</f>
        <v>0</v>
      </c>
      <c r="T2255" t="str">
        <v>x</v>
      </c>
      <c r="U2255">
        <f>U2254</f>
        <v>1.57824</v>
      </c>
      <c r="V2255" t="str">
        <v>x</v>
      </c>
      <c r="W2255">
        <f>D2255</f>
        <v>3</v>
      </c>
      <c r="X2255" t="str">
        <v>x</v>
      </c>
      <c r="Y2255">
        <f>Y2254</f>
        <v>1</v>
      </c>
      <c r="Z2255" t="str">
        <v>=</v>
      </c>
      <c r="AA2255">
        <f>(N2255+P2255*R2255/1000)*U2255*W2255*Y2255</f>
        <v>30.581556480000003</v>
      </c>
    </row>
    <row r="2257">
      <c r="A2257" t="str">
        <f>A2245</f>
        <v>Lantai 1</v>
      </c>
      <c r="B2257">
        <f>B2245</f>
        <v>73</v>
      </c>
      <c r="C2257" t="str">
        <v>Tul Peminggang</v>
      </c>
      <c r="D2257">
        <f>VLOOKUP(D2245,'Detail Balok'!$C$10:$AU$140,13,FALSE)</f>
        <v>0</v>
      </c>
      <c r="E2257" t="str">
        <v>D</v>
      </c>
      <c r="F2257">
        <f>VLOOKUP(D2245,'Detail Balok'!$C$10:$AU$140,15,FALSE)</f>
        <v>8</v>
      </c>
      <c r="J2257">
        <f>+D2247/1000</f>
        <v>6.075</v>
      </c>
      <c r="K2257" t="str">
        <v>+</v>
      </c>
      <c r="L2257">
        <f>2*$F$16*F2257/1000</f>
        <v>0.192</v>
      </c>
      <c r="M2257" t="str">
        <v>=</v>
      </c>
      <c r="N2257">
        <f>J2257+L2257</f>
        <v>6.267</v>
      </c>
      <c r="O2257" t="str">
        <v>+</v>
      </c>
      <c r="P2257">
        <f>IF(N2257&gt;12,ROUNDDOWN(N2257/12,0),0)</f>
        <v>0</v>
      </c>
      <c r="Q2257" t="str">
        <v>x</v>
      </c>
      <c r="R2257">
        <f>IF(P2257&gt;0,MAX(VLOOKUP(F2257,$D$6:$G$15,3,FALSE),600),0)/1000</f>
        <v>0</v>
      </c>
      <c r="T2257" t="str">
        <v>x</v>
      </c>
      <c r="U2257">
        <f>0.006165*F2257^2</f>
        <v>0.39456</v>
      </c>
      <c r="V2257" t="str">
        <v>x</v>
      </c>
      <c r="W2257">
        <f>+D2257</f>
        <v>0</v>
      </c>
      <c r="X2257" t="str">
        <v>x</v>
      </c>
      <c r="Y2257">
        <f>D2251</f>
        <v>1</v>
      </c>
      <c r="Z2257" t="str">
        <v>=</v>
      </c>
      <c r="AA2257">
        <f>(N2257+P2257*R2257/1000)*U2257*W2257*Y2257</f>
        <v>0</v>
      </c>
    </row>
    <row r="2260">
      <c r="A2260" t="str">
        <f>A2245</f>
        <v>Lantai 1</v>
      </c>
      <c r="B2260">
        <f>B2245</f>
        <v>73</v>
      </c>
      <c r="C2260" t="str">
        <v>Tul Bawah Tumpuan</v>
      </c>
      <c r="D2260">
        <f>VLOOKUP(D2245,'Detail Balok'!$C$10:$AU$140,22,FALSE)</f>
        <v>3</v>
      </c>
      <c r="E2260" t="str">
        <v>D</v>
      </c>
      <c r="F2260">
        <f>VLOOKUP(D2245,'Detail Balok'!$C$10:$AU$140,24,FALSE)</f>
        <v>16</v>
      </c>
      <c r="I2260" t="str">
        <v>(</v>
      </c>
      <c r="J2260">
        <f>+J2252</f>
        <v>1.51875</v>
      </c>
      <c r="K2260" t="str">
        <v>+</v>
      </c>
      <c r="L2260">
        <f>MAX(VLOOKUP(F2260,N$6:P$15,3,FALSE)/1000,2/3*D2250/1000)+F$16*F2260/1000</f>
        <v>0.192</v>
      </c>
      <c r="M2260" t="str">
        <v>=</v>
      </c>
      <c r="N2260">
        <f>J2260+L2260</f>
        <v>1.71075</v>
      </c>
      <c r="O2260" t="str">
        <v>+</v>
      </c>
      <c r="P2260">
        <f>D2260-D2261</f>
        <v>0</v>
      </c>
      <c r="Q2260" t="str">
        <v>x</v>
      </c>
      <c r="R2260">
        <f>IF(P2260&gt;0,$F$18*F2260/1000,0)</f>
        <v>0</v>
      </c>
      <c r="S2260" t="str">
        <v>)</v>
      </c>
      <c r="T2260" t="str">
        <v>x</v>
      </c>
      <c r="U2260">
        <f>0.006165*F2260^2</f>
        <v>1.57824</v>
      </c>
      <c r="X2260" t="str">
        <v>x</v>
      </c>
      <c r="Y2260">
        <f>D2251</f>
        <v>1</v>
      </c>
      <c r="Z2260" t="str">
        <v>=</v>
      </c>
      <c r="AA2260">
        <f>IF(AA2263=0,(D2260*N2260+P2260*R2260)*U2260*Y2260,0)</f>
        <v>0</v>
      </c>
    </row>
    <row r="2261">
      <c r="A2261" t="str">
        <f>A2245</f>
        <v>Lantai 1</v>
      </c>
      <c r="B2261">
        <f>B2245</f>
        <v>73</v>
      </c>
      <c r="C2261" t="str">
        <v>Tul Bawah Lapangan</v>
      </c>
      <c r="D2261">
        <f>VLOOKUP(D2245,'Detail Balok'!$C$10:$AU$140,25,FALSE)</f>
        <v>3</v>
      </c>
      <c r="E2261" t="str">
        <v>D</v>
      </c>
      <c r="F2261">
        <f>VLOOKUP(D2245,'Detail Balok'!$C$10:$AU$140,27,FALSE)</f>
        <v>16</v>
      </c>
      <c r="I2261" t="str">
        <v>(</v>
      </c>
      <c r="J2261">
        <f>+J2253</f>
        <v>3.0375</v>
      </c>
      <c r="K2261" t="str">
        <v>+</v>
      </c>
      <c r="M2261" t="str">
        <v>=</v>
      </c>
      <c r="N2261">
        <f>J2261+L2261</f>
        <v>3.0375</v>
      </c>
      <c r="O2261" t="str">
        <v>+</v>
      </c>
      <c r="P2261">
        <f>MAX(D2261-D2260,D2261-D2262)</f>
        <v>0</v>
      </c>
      <c r="Q2261" t="str">
        <v>x</v>
      </c>
      <c r="R2261">
        <f>IF(P2261&gt;0,2*(1-2*$F$19-1/2)*D2248/1000,0)</f>
        <v>0</v>
      </c>
      <c r="S2261" t="str">
        <v>)</v>
      </c>
      <c r="T2261" t="str">
        <v>x</v>
      </c>
      <c r="U2261">
        <f>0.006165*F2261^2</f>
        <v>1.57824</v>
      </c>
      <c r="X2261" t="str">
        <v>x</v>
      </c>
      <c r="Y2261">
        <f>D2251</f>
        <v>1</v>
      </c>
      <c r="Z2261" t="str">
        <v>=</v>
      </c>
      <c r="AA2261">
        <f>IF(AA2263=0,(D2261*N2261+P2261*R2261)*U2261*Y2261,0)</f>
        <v>0</v>
      </c>
    </row>
    <row r="2262">
      <c r="A2262" t="str">
        <f>A2245</f>
        <v>Lantai 1</v>
      </c>
      <c r="B2262">
        <f>B2245</f>
        <v>73</v>
      </c>
      <c r="C2262" t="str">
        <v>Tul Bawah Tumpuan</v>
      </c>
      <c r="D2262">
        <f>VLOOKUP(D2245,'Detail Balok'!$C$10:$AU$140,28,FALSE)</f>
        <v>3</v>
      </c>
      <c r="E2262" t="str">
        <v>D</v>
      </c>
      <c r="F2262">
        <f>VLOOKUP(D2245,'Detail Balok'!$C$10:$AU$140,30,FALSE)</f>
        <v>16</v>
      </c>
      <c r="I2262" t="str">
        <v>(</v>
      </c>
      <c r="J2262">
        <f>+J2254</f>
        <v>1.51875</v>
      </c>
      <c r="K2262" t="str">
        <v>+</v>
      </c>
      <c r="L2262">
        <f>MAX(VLOOKUP(F2262,N$6:P$15,3,FALSE)/1000,2/3*D2250/1000)+F$16*F2262/1000</f>
        <v>0.192</v>
      </c>
      <c r="M2262" t="str">
        <v>=</v>
      </c>
      <c r="N2262">
        <f>J2262+L2262</f>
        <v>1.71075</v>
      </c>
      <c r="O2262" t="str">
        <v>+</v>
      </c>
      <c r="P2262">
        <f>D2262-D2261</f>
        <v>0</v>
      </c>
      <c r="Q2262" t="str">
        <v>x</v>
      </c>
      <c r="R2262">
        <f>IF(P2262&gt;0,$F$18*F2262/1000,0)</f>
        <v>0</v>
      </c>
      <c r="S2262" t="str">
        <v>)</v>
      </c>
      <c r="T2262" t="str">
        <v>x</v>
      </c>
      <c r="U2262">
        <f>0.006165*F2262^2</f>
        <v>1.57824</v>
      </c>
      <c r="X2262" t="str">
        <v>x</v>
      </c>
      <c r="Y2262">
        <f>D2251</f>
        <v>1</v>
      </c>
      <c r="Z2262" t="str">
        <v>=</v>
      </c>
      <c r="AA2262">
        <f>IF(AA2263=0,(D2262*N2262+P2262*R2262)*U2262*Y2262,0)</f>
        <v>0</v>
      </c>
    </row>
    <row r="2263">
      <c r="A2263" t="str">
        <f>A2245</f>
        <v>Lantai 1</v>
      </c>
      <c r="B2263">
        <f>B2245</f>
        <v>73</v>
      </c>
      <c r="D2263">
        <f>IF(AND(D2260=D2261,D2261=D2262,D2260=D2262),D2260,0)</f>
        <v>3</v>
      </c>
      <c r="E2263" t="str">
        <v>D</v>
      </c>
      <c r="F2263">
        <f>IF(AND(F2260=F2261,F2260=F2262,F2261=F2262),F2260,0)</f>
        <v>16</v>
      </c>
      <c r="L2263" t="str">
        <v>Total panjang per balok</v>
      </c>
      <c r="M2263" t="str">
        <v>=</v>
      </c>
      <c r="N2263">
        <f>IF(AND(D2260=D2261,D2260=D2262,D2261=D2262,F2260=F2261,F2260=F2262,F2261=F2262),SUM(N2260:N2262),0)</f>
        <v>6.4590000000000005</v>
      </c>
      <c r="O2263" t="str">
        <v>+</v>
      </c>
      <c r="P2263">
        <f>IF(N2263&gt;12,ROUNDDOWN(N2263/12,0),0)</f>
        <v>0</v>
      </c>
      <c r="Q2263" t="str">
        <v>x</v>
      </c>
      <c r="R2263">
        <f>IF(P2263&gt;0,MAX(VLOOKUP(F2263,$D$6:$G$15,3,FALSE),600),0)/1000</f>
        <v>0</v>
      </c>
      <c r="T2263" t="str">
        <v>x</v>
      </c>
      <c r="U2263">
        <f>U2262</f>
        <v>1.57824</v>
      </c>
      <c r="V2263" t="str">
        <v>x</v>
      </c>
      <c r="W2263">
        <f>D2263</f>
        <v>3</v>
      </c>
      <c r="X2263" t="str">
        <v>x</v>
      </c>
      <c r="Y2263">
        <f>Y2262</f>
        <v>1</v>
      </c>
      <c r="Z2263" t="str">
        <v>=</v>
      </c>
      <c r="AA2263">
        <f>(N2263+P2263*R2263/1000)*U2263*W2263*Y2263</f>
        <v>30.581556480000003</v>
      </c>
    </row>
    <row r="2265">
      <c r="A2265" t="str">
        <f>A2245</f>
        <v>Lantai 1</v>
      </c>
      <c r="B2265">
        <f>B2245</f>
        <v>73</v>
      </c>
      <c r="C2265" t="str">
        <v>Sengkang Tumpuan</v>
      </c>
      <c r="D2265">
        <f>VLOOKUP(D2245,'Detail Balok'!$C$10:$AU$140,31,FALSE)</f>
        <v>0</v>
      </c>
      <c r="E2265" t="str">
        <v>D</v>
      </c>
      <c r="F2265">
        <f>VLOOKUP(D2245,'Detail Balok'!$C$10:$AU$140,33,FALSE)</f>
        <v>8</v>
      </c>
      <c r="G2265" t="str">
        <v>-</v>
      </c>
      <c r="H2265">
        <f>VLOOKUP(D2245,'Detail Balok'!$C$10:$AU$140,35,FALSE)</f>
        <v>150</v>
      </c>
      <c r="J2265">
        <f>(IF(D2265=0,(2*(D2246+G2246))-(F$5*8),IF(D2265=3,(2*(D2246+G2246))-(F$5*8)+(G2246-2*F$5),IF(D2265=4,(2*(D2246+G2246))-(F$5*8)+2*(G2246-2*F$5)))))/1000</f>
        <v>0.88</v>
      </c>
      <c r="K2265" t="str">
        <v>+</v>
      </c>
      <c r="L2265">
        <f>IF(D2265=0,2*MAX(6*F2265,75),(D2265-1)*2*MAX(6*F2265,75))/1000</f>
        <v>0.15</v>
      </c>
      <c r="M2265" t="str">
        <v>=</v>
      </c>
      <c r="N2265">
        <f>J2265+L2265</f>
        <v>1.03</v>
      </c>
      <c r="T2265" t="str">
        <v>x</v>
      </c>
      <c r="U2265">
        <f>0.006165*F2265^2</f>
        <v>0.39456</v>
      </c>
      <c r="V2265" t="str">
        <v>x</v>
      </c>
      <c r="W2265">
        <f>IF(D2248&gt;4*G2246,ROUND(MAX(D2248/4,2*G2246)/H2265,0)+1,ROUND(D2248/H2265,0)+1)</f>
        <v>11</v>
      </c>
      <c r="X2265" t="str">
        <v>x</v>
      </c>
      <c r="Y2265">
        <f>D2251</f>
        <v>1</v>
      </c>
      <c r="Z2265" t="str">
        <v>=</v>
      </c>
      <c r="AA2265">
        <f>N2265*U2265*W2265*Y2265</f>
        <v>4.4703648000000005</v>
      </c>
    </row>
    <row r="2266">
      <c r="A2266" t="str">
        <f>A2245</f>
        <v>Lantai 1</v>
      </c>
      <c r="B2266">
        <f>B2245</f>
        <v>73</v>
      </c>
      <c r="C2266" t="str">
        <v>Sengkang Lapangan</v>
      </c>
      <c r="D2266">
        <f>VLOOKUP(D2245,'Detail Balok'!$C$10:$AU$140,36,FALSE)</f>
        <v>0</v>
      </c>
      <c r="E2266" t="str">
        <v>D</v>
      </c>
      <c r="F2266">
        <f>VLOOKUP(D2245,'Detail Balok'!$C$10:$AU$140,38,FALSE)</f>
        <v>8</v>
      </c>
      <c r="G2266" t="str">
        <v>-</v>
      </c>
      <c r="H2266">
        <f>VLOOKUP(D2245,'Detail Balok'!$C$10:$AU$140,40,FALSE)</f>
        <v>200</v>
      </c>
      <c r="J2266">
        <f>(IF(D2266=0,(2*(D2246+G2246))-(F$5*8),IF(D2266=3,(2*(D2246+G2246))-(F$5*8)+(G2246-2*F$5),IF(D2266=4,(2*(D2246+G2246))-(F$5*8)+2*(G2246-2*F$5)))))/1000</f>
        <v>0.88</v>
      </c>
      <c r="K2266" t="str">
        <v>+</v>
      </c>
      <c r="L2266">
        <f>IF(D2266=0,2*MAX(6*F2266,75),(D2266-1)*2*MAX(6*F2266,75))/1000</f>
        <v>0.15</v>
      </c>
      <c r="M2266" t="str">
        <v>=</v>
      </c>
      <c r="N2266">
        <f>J2266+L2266</f>
        <v>1.03</v>
      </c>
      <c r="T2266" t="str">
        <v>x</v>
      </c>
      <c r="U2266">
        <f>0.006165*F2266^2</f>
        <v>0.39456</v>
      </c>
      <c r="V2266" t="str">
        <v>x</v>
      </c>
      <c r="W2266">
        <f>IF(D2248-MAX(D2248/4,2*G2246)*2&gt;0,ROUND((D2248-MAX(D2248/4,2*G2246)*2)/H2266,0),0)</f>
        <v>15</v>
      </c>
      <c r="X2266" t="str">
        <v>x</v>
      </c>
      <c r="Y2266">
        <f>D2251</f>
        <v>1</v>
      </c>
      <c r="Z2266" t="str">
        <v>=</v>
      </c>
      <c r="AA2266">
        <f>N2266*U2266*W2266*Y2266</f>
        <v>6.0959520000000005</v>
      </c>
    </row>
    <row r="2267">
      <c r="A2267" t="str">
        <f>A2245</f>
        <v>Lantai 1</v>
      </c>
      <c r="B2267">
        <f>B2245</f>
        <v>73</v>
      </c>
      <c r="C2267" t="str">
        <v>Sengkang Tumpuan</v>
      </c>
      <c r="D2267">
        <f>VLOOKUP(D2245,'Detail Balok'!$C$10:$AU$140,41,FALSE)</f>
        <v>0</v>
      </c>
      <c r="E2267" t="str">
        <v>D</v>
      </c>
      <c r="F2267">
        <f>VLOOKUP(D2245,'Detail Balok'!$C$10:$AU$140,43,FALSE)</f>
        <v>8</v>
      </c>
      <c r="G2267" t="str">
        <v>-</v>
      </c>
      <c r="H2267">
        <f>VLOOKUP(D2245,'Detail Balok'!$C$10:$AU$140,45,FALSE)</f>
        <v>150</v>
      </c>
      <c r="J2267">
        <f>(IF(D2267=0,(2*(D2246+G2246))-(F$5*8),IF(D2267=3,(2*(D2246+G2246))-(F$5*8)+(G2246-2*F$5),IF(D2267=4,(2*(D2246+G2246))-(F$5*8)+2*(G2246-2*F$5)))))/1000</f>
        <v>0.88</v>
      </c>
      <c r="K2267" t="str">
        <v>+</v>
      </c>
      <c r="L2267">
        <f>IF(D2267=0,2*MAX(6*F2267,75),(D2267-1)*2*MAX(6*F2267,75))/1000</f>
        <v>0.15</v>
      </c>
      <c r="M2267" t="str">
        <v>=</v>
      </c>
      <c r="N2267">
        <f>J2267+L2267</f>
        <v>1.03</v>
      </c>
      <c r="T2267" t="str">
        <v>x</v>
      </c>
      <c r="U2267">
        <f>0.006165*F2267^2</f>
        <v>0.39456</v>
      </c>
      <c r="V2267" t="str">
        <v>x</v>
      </c>
      <c r="W2267">
        <f>IF(D2248&gt;4*G2246,ROUND(MAX(D2248/4,2*G2246)/H2267,0)+1,0)</f>
        <v>11</v>
      </c>
      <c r="X2267" t="str">
        <v>x</v>
      </c>
      <c r="Y2267">
        <f>D2251</f>
        <v>1</v>
      </c>
      <c r="Z2267" t="str">
        <v>=</v>
      </c>
      <c r="AA2267">
        <f>N2267*U2267*W2267*Y2267</f>
        <v>4.4703648000000005</v>
      </c>
    </row>
    <row r="2269">
      <c r="A2269" t="str">
        <f>A2245</f>
        <v>Lantai 1</v>
      </c>
      <c r="B2269">
        <f>B2245</f>
        <v>73</v>
      </c>
      <c r="C2269" t="str">
        <v>Kait Horizontal Tump.</v>
      </c>
      <c r="D2269">
        <f>VLOOKUP(D2245,'Detail Balok'!$C$10:$BJ$140,46,FALSE)</f>
        <v>0</v>
      </c>
      <c r="E2269" t="str">
        <v>D</v>
      </c>
      <c r="F2269">
        <f>VLOOKUP(D2245,'Detail Balok'!$C$10:$BJ$140,48,FALSE)</f>
        <v>0</v>
      </c>
      <c r="G2269" t="str">
        <v>-</v>
      </c>
      <c r="H2269">
        <f>VLOOKUP(D2245,'Detail Balok'!$C$10:$BJ$140,50,FALSE)</f>
        <v>100</v>
      </c>
      <c r="J2269">
        <f>(D2246-2*F$5)/1000</f>
        <v>0.12</v>
      </c>
      <c r="K2269" t="str">
        <v>+</v>
      </c>
      <c r="L2269">
        <f>IF(D2269=0,2*MAX(6*F2269,75),(D2269-1)*2*MAX(6*F2269,75))/1000</f>
        <v>0.15</v>
      </c>
      <c r="M2269" t="str">
        <v>=</v>
      </c>
      <c r="N2269">
        <f>J2269+L2269</f>
        <v>0.27</v>
      </c>
      <c r="T2269" t="str">
        <v>x</v>
      </c>
      <c r="U2269">
        <f>0.006165*F2269^2</f>
        <v>0</v>
      </c>
      <c r="V2269" t="str">
        <v>x</v>
      </c>
      <c r="W2269">
        <f>W2265</f>
        <v>11</v>
      </c>
      <c r="X2269" t="str">
        <v>x</v>
      </c>
      <c r="Y2269">
        <f>D2255</f>
        <v>3</v>
      </c>
      <c r="Z2269" t="str">
        <v>=</v>
      </c>
      <c r="AA2269">
        <f>N2269*U2269*W2269*Y2269</f>
        <v>0</v>
      </c>
    </row>
    <row r="2270">
      <c r="A2270" t="str">
        <f>A2245</f>
        <v>Lantai 1</v>
      </c>
      <c r="B2270">
        <f>B2245</f>
        <v>73</v>
      </c>
      <c r="C2270" t="str">
        <v>Kait Horizontal Lap.</v>
      </c>
      <c r="D2270">
        <f>VLOOKUP(D2245,'Detail Balok'!$C$10:$BJ$140,51,FALSE)</f>
        <v>0</v>
      </c>
      <c r="E2270" t="str">
        <v>D</v>
      </c>
      <c r="F2270">
        <f>VLOOKUP(D2245,'Detail Balok'!$C$10:$BJ$140,53,FALSE)</f>
        <v>0</v>
      </c>
      <c r="G2270" t="str">
        <v>-</v>
      </c>
      <c r="H2270">
        <f>VLOOKUP(D2245,'Detail Balok'!$C$10:$BJ$140,55,FALSE)</f>
        <v>100</v>
      </c>
      <c r="J2270">
        <f>(D2246-2*F$5)/1000</f>
        <v>0.12</v>
      </c>
      <c r="K2270" t="str">
        <v>+</v>
      </c>
      <c r="L2270">
        <f>IF(D2270=0,2*MAX(6*F2270,75),(D2270-1)*2*MAX(6*F2270,75))/1000</f>
        <v>0.15</v>
      </c>
      <c r="M2270" t="str">
        <v>=</v>
      </c>
      <c r="N2270">
        <f>J2270+L2270</f>
        <v>0.27</v>
      </c>
      <c r="T2270" t="str">
        <v>x</v>
      </c>
      <c r="U2270">
        <f>0.006165*F2270^2</f>
        <v>0</v>
      </c>
      <c r="V2270" t="str">
        <v>x</v>
      </c>
      <c r="W2270">
        <f>W2266</f>
        <v>15</v>
      </c>
      <c r="X2270" t="str">
        <v>x</v>
      </c>
      <c r="Y2270">
        <f>D2255</f>
        <v>3</v>
      </c>
      <c r="Z2270" t="str">
        <v>=</v>
      </c>
      <c r="AA2270">
        <f>N2270*U2270*W2270*Y2270</f>
        <v>0</v>
      </c>
    </row>
    <row r="2271">
      <c r="A2271" t="str">
        <f>A2245</f>
        <v>Lantai 1</v>
      </c>
      <c r="B2271">
        <f>B2245</f>
        <v>73</v>
      </c>
      <c r="C2271" t="str">
        <v>Kait Horizontal Tump.</v>
      </c>
      <c r="D2271">
        <f>VLOOKUP(D2245,'Detail Balok'!$C$10:$BJ$140,56,FALSE)</f>
        <v>0</v>
      </c>
      <c r="E2271" t="str">
        <v>D</v>
      </c>
      <c r="F2271">
        <f>VLOOKUP(D2245,'Detail Balok'!$C$10:$BJ$140,58,FALSE)</f>
        <v>0</v>
      </c>
      <c r="G2271" t="str">
        <v>-</v>
      </c>
      <c r="H2271">
        <f>VLOOKUP(D2245,'Detail Balok'!$C$10:$BJ$140,60,FALSE)</f>
        <v>100</v>
      </c>
      <c r="J2271">
        <f>(D2246-2*F$5)/1000</f>
        <v>0.12</v>
      </c>
      <c r="K2271" t="str">
        <v>+</v>
      </c>
      <c r="L2271">
        <f>IF(D2271=0,2*MAX(6*F2271,75),(D2271-1)*2*MAX(6*F2271,75))/1000</f>
        <v>0.15</v>
      </c>
      <c r="M2271" t="str">
        <v>=</v>
      </c>
      <c r="N2271">
        <f>J2271+L2271</f>
        <v>0.27</v>
      </c>
      <c r="T2271" t="str">
        <v>x</v>
      </c>
      <c r="U2271">
        <f>0.006165*F2271^2</f>
        <v>0</v>
      </c>
      <c r="V2271" t="str">
        <v>x</v>
      </c>
      <c r="W2271">
        <f>W2267</f>
        <v>11</v>
      </c>
      <c r="X2271" t="str">
        <v>x</v>
      </c>
      <c r="Y2271">
        <f>D2255</f>
        <v>3</v>
      </c>
      <c r="Z2271" t="str">
        <v>=</v>
      </c>
      <c r="AA2271">
        <f>N2271*U2271*W2271*Y2271</f>
        <v>0</v>
      </c>
    </row>
    <row r="2275">
      <c r="A2275" t="str">
        <f>A2245</f>
        <v>Lantai 1</v>
      </c>
      <c r="B2275">
        <f>B2245+1</f>
        <v>74</v>
      </c>
      <c r="C2275" t="str">
        <f>CONCATENATE(A2275," no. ",B2275)</f>
        <v>Lantai 1 no. 74</v>
      </c>
      <c r="D2275" t="str">
        <f>VLOOKUP(C2275,'Data Panjang Balok'!$C$9:$N$254,2,FALSE)</f>
        <v>S24-2</v>
      </c>
    </row>
    <row r="2276">
      <c r="C2276" t="str">
        <v>Dimensi</v>
      </c>
      <c r="D2276">
        <f>VLOOKUP(D2275,'Detail Balok'!$C$10:$AU$140,2,FALSE)</f>
        <v>200</v>
      </c>
      <c r="F2276" t="str">
        <v>x</v>
      </c>
      <c r="G2276">
        <f>VLOOKUP(D2275,'Detail Balok'!$C$10:$AU$140,3,FALSE)</f>
        <v>400</v>
      </c>
    </row>
    <row r="2277">
      <c r="C2277" t="str">
        <v>Panjang as ke as</v>
      </c>
      <c r="D2277">
        <f>VLOOKUP(C2275,'Data Panjang Balok'!$C$9:$N$254,4,FALSE)</f>
        <v>5560</v>
      </c>
    </row>
    <row r="2278">
      <c r="C2278" t="str">
        <v>Panjang netto</v>
      </c>
      <c r="D2278">
        <f>VLOOKUP(C2275,'Data Panjang Balok'!$C$9:$N$254,7,FALSE)</f>
        <v>5560</v>
      </c>
    </row>
    <row r="2279">
      <c r="C2279" t="str">
        <v>Kolom / balok kiri</v>
      </c>
      <c r="D2279">
        <f>VLOOKUP(C2275,'Data Panjang Balok'!$C$9:$N$254,9,FALSE)</f>
        <v>0</v>
      </c>
    </row>
    <row r="2280">
      <c r="C2280" t="str">
        <v>Kolom / balok kanan</v>
      </c>
      <c r="D2280">
        <f>VLOOKUP(C2275,'Data Panjang Balok'!$C$9:$N$254,10,FALSE)</f>
        <v>0</v>
      </c>
    </row>
    <row r="2281">
      <c r="C2281" t="str">
        <v>Jumlah</v>
      </c>
      <c r="D2281">
        <f>VLOOKUP(C2275,'Data Panjang Balok'!$C$9:$N$254,3,FALSE)</f>
        <v>1</v>
      </c>
    </row>
    <row r="2282">
      <c r="A2282" t="str">
        <f>A2275</f>
        <v>Lantai 1</v>
      </c>
      <c r="B2282">
        <f>B2275</f>
        <v>74</v>
      </c>
      <c r="C2282" t="str">
        <v>Tul Atas Tumpuan</v>
      </c>
      <c r="D2282">
        <f>VLOOKUP(D2275,'Detail Balok'!$C$10:$AU$140,4,FALSE)</f>
        <v>3</v>
      </c>
      <c r="E2282" t="str">
        <v>D</v>
      </c>
      <c r="F2282">
        <f>VLOOKUP(D2275,'Detail Balok'!$C$10:$AU$140,6,FALSE)</f>
        <v>16</v>
      </c>
      <c r="I2282" t="str">
        <v>(</v>
      </c>
      <c r="J2282">
        <f>+D2277/4/1000</f>
        <v>1.39</v>
      </c>
      <c r="K2282" t="str">
        <v>+</v>
      </c>
      <c r="L2282">
        <f>MAX(VLOOKUP(F2282,N$6:P$15,3,FALSE)/1000,2/3*D2279/1000)+F$16*F2282/1000</f>
        <v>0.192</v>
      </c>
      <c r="M2282" t="str">
        <v>=</v>
      </c>
      <c r="N2282">
        <f>J2282+L2282</f>
        <v>1.5819999999999999</v>
      </c>
      <c r="O2282" t="str">
        <v>+</v>
      </c>
      <c r="P2282">
        <f>D2282-D2283</f>
        <v>0</v>
      </c>
      <c r="Q2282" t="str">
        <v>x</v>
      </c>
      <c r="R2282">
        <f>IF(P2282&gt;0,$F$18*F2282/1000,0)</f>
        <v>0</v>
      </c>
      <c r="S2282" t="str">
        <v>)</v>
      </c>
      <c r="T2282" t="str">
        <v>x</v>
      </c>
      <c r="U2282">
        <f>0.006165*F2282^2</f>
        <v>1.57824</v>
      </c>
      <c r="X2282" t="str">
        <v>x</v>
      </c>
      <c r="Y2282">
        <f>D2281</f>
        <v>1</v>
      </c>
      <c r="Z2282" t="str">
        <v>=</v>
      </c>
      <c r="AA2282">
        <f>IF(AA2285=0,(D2282*N2282+P2282*R2282)*U2282*Y2282,0)</f>
        <v>0</v>
      </c>
    </row>
    <row r="2283">
      <c r="A2283" t="str">
        <f>A2275</f>
        <v>Lantai 1</v>
      </c>
      <c r="B2283">
        <f>B2275</f>
        <v>74</v>
      </c>
      <c r="C2283" t="str">
        <v>Tul Atas Lapangan</v>
      </c>
      <c r="D2283">
        <f>VLOOKUP(D2275,'Detail Balok'!$C$10:$AU$140,7,FALSE)</f>
        <v>3</v>
      </c>
      <c r="E2283" t="str">
        <v>D</v>
      </c>
      <c r="F2283">
        <f>VLOOKUP(D2275,'Detail Balok'!$C$10:$AU$140,9,FALSE)</f>
        <v>16</v>
      </c>
      <c r="I2283" t="str">
        <v>(</v>
      </c>
      <c r="J2283">
        <f>+D2277/2/1000</f>
        <v>2.78</v>
      </c>
      <c r="K2283" t="str">
        <v>+</v>
      </c>
      <c r="M2283" t="str">
        <v>=</v>
      </c>
      <c r="N2283">
        <f>J2283+L2283</f>
        <v>2.78</v>
      </c>
      <c r="O2283" t="str">
        <v>+</v>
      </c>
      <c r="P2283">
        <f>MAX(D2283-D2282,D2283-D2284)</f>
        <v>0</v>
      </c>
      <c r="Q2283" t="str">
        <v>x</v>
      </c>
      <c r="R2283">
        <f>IF(P2283&gt;0,2*(1-2*$F$19-1/2)*D2278/1000,0)</f>
        <v>0</v>
      </c>
      <c r="S2283" t="str">
        <v>)</v>
      </c>
      <c r="T2283" t="str">
        <v>x</v>
      </c>
      <c r="U2283">
        <f>0.006165*F2283^2</f>
        <v>1.57824</v>
      </c>
      <c r="X2283" t="str">
        <v>x</v>
      </c>
      <c r="Y2283">
        <f>D2281</f>
        <v>1</v>
      </c>
      <c r="Z2283" t="str">
        <v>=</v>
      </c>
      <c r="AA2283">
        <f>IF(AA2285=0,(D2283*N2283+P2283*R2283)*U2283*Y2283,0)</f>
        <v>0</v>
      </c>
    </row>
    <row r="2284">
      <c r="A2284" t="str">
        <f>A2275</f>
        <v>Lantai 1</v>
      </c>
      <c r="B2284">
        <f>B2275</f>
        <v>74</v>
      </c>
      <c r="C2284" t="str">
        <v>Tul Atas Tumpuan</v>
      </c>
      <c r="D2284">
        <f>VLOOKUP(D2275,'Detail Balok'!$C$10:$AU$140,10,FALSE)</f>
        <v>3</v>
      </c>
      <c r="E2284" t="str">
        <v>D</v>
      </c>
      <c r="F2284">
        <f>VLOOKUP(D2275,'Detail Balok'!$C$10:$AU$140,12,FALSE)</f>
        <v>16</v>
      </c>
      <c r="I2284" t="str">
        <v>(</v>
      </c>
      <c r="J2284">
        <f>+D2277/4/1000</f>
        <v>1.39</v>
      </c>
      <c r="K2284" t="str">
        <v>+</v>
      </c>
      <c r="L2284">
        <f>MAX(VLOOKUP(F2284,N$6:P$15,3,FALSE)/1000,2/3*D2279/1000)+F$16*F2284/1000</f>
        <v>0.192</v>
      </c>
      <c r="M2284" t="str">
        <v>=</v>
      </c>
      <c r="N2284">
        <f>J2284+L2284</f>
        <v>1.5819999999999999</v>
      </c>
      <c r="O2284" t="str">
        <v>+</v>
      </c>
      <c r="P2284">
        <f>D2284-D2283</f>
        <v>0</v>
      </c>
      <c r="Q2284" t="str">
        <v>x</v>
      </c>
      <c r="R2284">
        <f>IF(P2284&gt;0,$F$18*F2284/1000,0)</f>
        <v>0</v>
      </c>
      <c r="S2284" t="str">
        <v>)</v>
      </c>
      <c r="T2284" t="str">
        <v>x</v>
      </c>
      <c r="U2284">
        <f>0.006165*F2284^2</f>
        <v>1.57824</v>
      </c>
      <c r="X2284" t="str">
        <v>x</v>
      </c>
      <c r="Y2284">
        <f>D2281</f>
        <v>1</v>
      </c>
      <c r="Z2284" t="str">
        <v>=</v>
      </c>
      <c r="AA2284">
        <f>IF(AA2285=0,(D2284*N2284+P2284*R2284)*U2284*Y2284,0)</f>
        <v>0</v>
      </c>
    </row>
    <row r="2285">
      <c r="A2285" t="str">
        <f>A2275</f>
        <v>Lantai 1</v>
      </c>
      <c r="B2285">
        <f>B2275</f>
        <v>74</v>
      </c>
      <c r="D2285">
        <f>IF(AND(D2282=D2283,D2283=D2284,D2282=D2284),D2282,0)</f>
        <v>3</v>
      </c>
      <c r="E2285" t="str">
        <v>D</v>
      </c>
      <c r="F2285">
        <f>IF(AND(F2282=F2283,F2282=F2284,F2283=F2284),F2282,0)</f>
        <v>16</v>
      </c>
      <c r="L2285" t="str">
        <v>Total panjang per balok</v>
      </c>
      <c r="M2285" t="str">
        <v>=</v>
      </c>
      <c r="N2285">
        <f>IF(AND(D2282=D2283,D2282=D2284,D2283=D2284,F2282=F2283,F2282=F2284,F2283=F2284),SUM(N2282:N2284),0)</f>
        <v>5.944</v>
      </c>
      <c r="O2285" t="str">
        <v>+</v>
      </c>
      <c r="P2285">
        <f>IF(N2285&gt;12,ROUNDDOWN(N2285/12,0),0)</f>
        <v>0</v>
      </c>
      <c r="Q2285" t="str">
        <v>x</v>
      </c>
      <c r="R2285">
        <f>IF(P2285&gt;0,MAX(VLOOKUP(F2285,$D$6:$G$15,3,FALSE),600),0)/1000</f>
        <v>0</v>
      </c>
      <c r="T2285" t="str">
        <v>x</v>
      </c>
      <c r="U2285">
        <f>U2284</f>
        <v>1.57824</v>
      </c>
      <c r="V2285" t="str">
        <v>x</v>
      </c>
      <c r="W2285">
        <f>D2285</f>
        <v>3</v>
      </c>
      <c r="X2285" t="str">
        <v>x</v>
      </c>
      <c r="Y2285">
        <f>Y2284</f>
        <v>1</v>
      </c>
      <c r="Z2285" t="str">
        <v>=</v>
      </c>
      <c r="AA2285">
        <f>(N2285+P2285*R2285/1000)*U2285*W2285*Y2285</f>
        <v>28.14317568</v>
      </c>
    </row>
    <row r="2287">
      <c r="A2287" t="str">
        <f>A2275</f>
        <v>Lantai 1</v>
      </c>
      <c r="B2287">
        <f>B2275</f>
        <v>74</v>
      </c>
      <c r="C2287" t="str">
        <v>Tul Peminggang</v>
      </c>
      <c r="D2287">
        <f>VLOOKUP(D2275,'Detail Balok'!$C$10:$AU$140,13,FALSE)</f>
        <v>0</v>
      </c>
      <c r="E2287" t="str">
        <v>D</v>
      </c>
      <c r="F2287">
        <f>VLOOKUP(D2275,'Detail Balok'!$C$10:$AU$140,15,FALSE)</f>
        <v>8</v>
      </c>
      <c r="J2287">
        <f>+D2277/1000</f>
        <v>5.56</v>
      </c>
      <c r="K2287" t="str">
        <v>+</v>
      </c>
      <c r="L2287">
        <f>2*$F$16*F2287/1000</f>
        <v>0.192</v>
      </c>
      <c r="M2287" t="str">
        <v>=</v>
      </c>
      <c r="N2287">
        <f>J2287+L2287</f>
        <v>5.752</v>
      </c>
      <c r="O2287" t="str">
        <v>+</v>
      </c>
      <c r="P2287">
        <f>IF(N2287&gt;12,ROUNDDOWN(N2287/12,0),0)</f>
        <v>0</v>
      </c>
      <c r="Q2287" t="str">
        <v>x</v>
      </c>
      <c r="R2287">
        <f>IF(P2287&gt;0,MAX(VLOOKUP(F2287,$D$6:$G$15,3,FALSE),600),0)/1000</f>
        <v>0</v>
      </c>
      <c r="T2287" t="str">
        <v>x</v>
      </c>
      <c r="U2287">
        <f>0.006165*F2287^2</f>
        <v>0.39456</v>
      </c>
      <c r="V2287" t="str">
        <v>x</v>
      </c>
      <c r="W2287">
        <f>+D2287</f>
        <v>0</v>
      </c>
      <c r="X2287" t="str">
        <v>x</v>
      </c>
      <c r="Y2287">
        <f>D2281</f>
        <v>1</v>
      </c>
      <c r="Z2287" t="str">
        <v>=</v>
      </c>
      <c r="AA2287">
        <f>(N2287+P2287*R2287/1000)*U2287*W2287*Y2287</f>
        <v>0</v>
      </c>
    </row>
    <row r="2290">
      <c r="A2290" t="str">
        <f>A2275</f>
        <v>Lantai 1</v>
      </c>
      <c r="B2290">
        <f>B2275</f>
        <v>74</v>
      </c>
      <c r="C2290" t="str">
        <v>Tul Bawah Tumpuan</v>
      </c>
      <c r="D2290">
        <f>VLOOKUP(D2275,'Detail Balok'!$C$10:$AU$140,22,FALSE)</f>
        <v>3</v>
      </c>
      <c r="E2290" t="str">
        <v>D</v>
      </c>
      <c r="F2290">
        <f>VLOOKUP(D2275,'Detail Balok'!$C$10:$AU$140,24,FALSE)</f>
        <v>16</v>
      </c>
      <c r="I2290" t="str">
        <v>(</v>
      </c>
      <c r="J2290">
        <f>+J2282</f>
        <v>1.39</v>
      </c>
      <c r="K2290" t="str">
        <v>+</v>
      </c>
      <c r="L2290">
        <f>MAX(VLOOKUP(F2290,N$6:P$15,3,FALSE)/1000,2/3*D2280/1000)+F$16*F2290/1000</f>
        <v>0.192</v>
      </c>
      <c r="M2290" t="str">
        <v>=</v>
      </c>
      <c r="N2290">
        <f>J2290+L2290</f>
        <v>1.5819999999999999</v>
      </c>
      <c r="O2290" t="str">
        <v>+</v>
      </c>
      <c r="P2290">
        <f>D2290-D2291</f>
        <v>0</v>
      </c>
      <c r="Q2290" t="str">
        <v>x</v>
      </c>
      <c r="R2290">
        <f>IF(P2290&gt;0,$F$18*F2290/1000,0)</f>
        <v>0</v>
      </c>
      <c r="S2290" t="str">
        <v>)</v>
      </c>
      <c r="T2290" t="str">
        <v>x</v>
      </c>
      <c r="U2290">
        <f>0.006165*F2290^2</f>
        <v>1.57824</v>
      </c>
      <c r="X2290" t="str">
        <v>x</v>
      </c>
      <c r="Y2290">
        <f>D2281</f>
        <v>1</v>
      </c>
      <c r="Z2290" t="str">
        <v>=</v>
      </c>
      <c r="AA2290">
        <f>IF(AA2293=0,(D2290*N2290+P2290*R2290)*U2290*Y2290,0)</f>
        <v>0</v>
      </c>
    </row>
    <row r="2291">
      <c r="A2291" t="str">
        <f>A2275</f>
        <v>Lantai 1</v>
      </c>
      <c r="B2291">
        <f>B2275</f>
        <v>74</v>
      </c>
      <c r="C2291" t="str">
        <v>Tul Bawah Lapangan</v>
      </c>
      <c r="D2291">
        <f>VLOOKUP(D2275,'Detail Balok'!$C$10:$AU$140,25,FALSE)</f>
        <v>3</v>
      </c>
      <c r="E2291" t="str">
        <v>D</v>
      </c>
      <c r="F2291">
        <f>VLOOKUP(D2275,'Detail Balok'!$C$10:$AU$140,27,FALSE)</f>
        <v>16</v>
      </c>
      <c r="I2291" t="str">
        <v>(</v>
      </c>
      <c r="J2291">
        <f>+J2283</f>
        <v>2.78</v>
      </c>
      <c r="K2291" t="str">
        <v>+</v>
      </c>
      <c r="M2291" t="str">
        <v>=</v>
      </c>
      <c r="N2291">
        <f>J2291+L2291</f>
        <v>2.78</v>
      </c>
      <c r="O2291" t="str">
        <v>+</v>
      </c>
      <c r="P2291">
        <f>MAX(D2291-D2290,D2291-D2292)</f>
        <v>0</v>
      </c>
      <c r="Q2291" t="str">
        <v>x</v>
      </c>
      <c r="R2291">
        <f>IF(P2291&gt;0,2*(1-2*$F$19-1/2)*D2278/1000,0)</f>
        <v>0</v>
      </c>
      <c r="S2291" t="str">
        <v>)</v>
      </c>
      <c r="T2291" t="str">
        <v>x</v>
      </c>
      <c r="U2291">
        <f>0.006165*F2291^2</f>
        <v>1.57824</v>
      </c>
      <c r="X2291" t="str">
        <v>x</v>
      </c>
      <c r="Y2291">
        <f>D2281</f>
        <v>1</v>
      </c>
      <c r="Z2291" t="str">
        <v>=</v>
      </c>
      <c r="AA2291">
        <f>IF(AA2293=0,(D2291*N2291+P2291*R2291)*U2291*Y2291,0)</f>
        <v>0</v>
      </c>
    </row>
    <row r="2292">
      <c r="A2292" t="str">
        <f>A2275</f>
        <v>Lantai 1</v>
      </c>
      <c r="B2292">
        <f>B2275</f>
        <v>74</v>
      </c>
      <c r="C2292" t="str">
        <v>Tul Bawah Tumpuan</v>
      </c>
      <c r="D2292">
        <f>VLOOKUP(D2275,'Detail Balok'!$C$10:$AU$140,28,FALSE)</f>
        <v>3</v>
      </c>
      <c r="E2292" t="str">
        <v>D</v>
      </c>
      <c r="F2292">
        <f>VLOOKUP(D2275,'Detail Balok'!$C$10:$AU$140,30,FALSE)</f>
        <v>16</v>
      </c>
      <c r="I2292" t="str">
        <v>(</v>
      </c>
      <c r="J2292">
        <f>+J2284</f>
        <v>1.39</v>
      </c>
      <c r="K2292" t="str">
        <v>+</v>
      </c>
      <c r="L2292">
        <f>MAX(VLOOKUP(F2292,N$6:P$15,3,FALSE)/1000,2/3*D2280/1000)+F$16*F2292/1000</f>
        <v>0.192</v>
      </c>
      <c r="M2292" t="str">
        <v>=</v>
      </c>
      <c r="N2292">
        <f>J2292+L2292</f>
        <v>1.5819999999999999</v>
      </c>
      <c r="O2292" t="str">
        <v>+</v>
      </c>
      <c r="P2292">
        <f>D2292-D2291</f>
        <v>0</v>
      </c>
      <c r="Q2292" t="str">
        <v>x</v>
      </c>
      <c r="R2292">
        <f>IF(P2292&gt;0,$F$18*F2292/1000,0)</f>
        <v>0</v>
      </c>
      <c r="S2292" t="str">
        <v>)</v>
      </c>
      <c r="T2292" t="str">
        <v>x</v>
      </c>
      <c r="U2292">
        <f>0.006165*F2292^2</f>
        <v>1.57824</v>
      </c>
      <c r="X2292" t="str">
        <v>x</v>
      </c>
      <c r="Y2292">
        <f>D2281</f>
        <v>1</v>
      </c>
      <c r="Z2292" t="str">
        <v>=</v>
      </c>
      <c r="AA2292">
        <f>IF(AA2293=0,(D2292*N2292+P2292*R2292)*U2292*Y2292,0)</f>
        <v>0</v>
      </c>
    </row>
    <row r="2293">
      <c r="A2293" t="str">
        <f>A2275</f>
        <v>Lantai 1</v>
      </c>
      <c r="B2293">
        <f>B2275</f>
        <v>74</v>
      </c>
      <c r="D2293">
        <f>IF(AND(D2290=D2291,D2291=D2292,D2290=D2292),D2290,0)</f>
        <v>3</v>
      </c>
      <c r="E2293" t="str">
        <v>D</v>
      </c>
      <c r="F2293">
        <f>IF(AND(F2290=F2291,F2290=F2292,F2291=F2292),F2290,0)</f>
        <v>16</v>
      </c>
      <c r="L2293" t="str">
        <v>Total panjang per balok</v>
      </c>
      <c r="M2293" t="str">
        <v>=</v>
      </c>
      <c r="N2293">
        <f>IF(AND(D2290=D2291,D2290=D2292,D2291=D2292,F2290=F2291,F2290=F2292,F2291=F2292),SUM(N2290:N2292),0)</f>
        <v>5.944</v>
      </c>
      <c r="O2293" t="str">
        <v>+</v>
      </c>
      <c r="P2293">
        <f>IF(N2293&gt;12,ROUNDDOWN(N2293/12,0),0)</f>
        <v>0</v>
      </c>
      <c r="Q2293" t="str">
        <v>x</v>
      </c>
      <c r="R2293">
        <f>IF(P2293&gt;0,MAX(VLOOKUP(F2293,$D$6:$G$15,3,FALSE),600),0)/1000</f>
        <v>0</v>
      </c>
      <c r="T2293" t="str">
        <v>x</v>
      </c>
      <c r="U2293">
        <f>U2292</f>
        <v>1.57824</v>
      </c>
      <c r="V2293" t="str">
        <v>x</v>
      </c>
      <c r="W2293">
        <f>D2293</f>
        <v>3</v>
      </c>
      <c r="X2293" t="str">
        <v>x</v>
      </c>
      <c r="Y2293">
        <f>Y2292</f>
        <v>1</v>
      </c>
      <c r="Z2293" t="str">
        <v>=</v>
      </c>
      <c r="AA2293">
        <f>(N2293+P2293*R2293/1000)*U2293*W2293*Y2293</f>
        <v>28.14317568</v>
      </c>
    </row>
    <row r="2295">
      <c r="A2295" t="str">
        <f>A2275</f>
        <v>Lantai 1</v>
      </c>
      <c r="B2295">
        <f>B2275</f>
        <v>74</v>
      </c>
      <c r="C2295" t="str">
        <v>Sengkang Tumpuan</v>
      </c>
      <c r="D2295">
        <f>VLOOKUP(D2275,'Detail Balok'!$C$10:$AU$140,31,FALSE)</f>
        <v>0</v>
      </c>
      <c r="E2295" t="str">
        <v>D</v>
      </c>
      <c r="F2295">
        <f>VLOOKUP(D2275,'Detail Balok'!$C$10:$AU$140,33,FALSE)</f>
        <v>8</v>
      </c>
      <c r="G2295" t="str">
        <v>-</v>
      </c>
      <c r="H2295">
        <f>VLOOKUP(D2275,'Detail Balok'!$C$10:$AU$140,35,FALSE)</f>
        <v>150</v>
      </c>
      <c r="J2295">
        <f>(IF(D2295=0,(2*(D2276+G2276))-(F$5*8),IF(D2295=3,(2*(D2276+G2276))-(F$5*8)+(G2276-2*F$5),IF(D2295=4,(2*(D2276+G2276))-(F$5*8)+2*(G2276-2*F$5)))))/1000</f>
        <v>0.88</v>
      </c>
      <c r="K2295" t="str">
        <v>+</v>
      </c>
      <c r="L2295">
        <f>IF(D2295=0,2*MAX(6*F2295,75),(D2295-1)*2*MAX(6*F2295,75))/1000</f>
        <v>0.15</v>
      </c>
      <c r="M2295" t="str">
        <v>=</v>
      </c>
      <c r="N2295">
        <f>J2295+L2295</f>
        <v>1.03</v>
      </c>
      <c r="T2295" t="str">
        <v>x</v>
      </c>
      <c r="U2295">
        <f>0.006165*F2295^2</f>
        <v>0.39456</v>
      </c>
      <c r="V2295" t="str">
        <v>x</v>
      </c>
      <c r="W2295">
        <f>IF(D2278&gt;4*G2276,ROUND(MAX(D2278/4,2*G2276)/H2295,0)+1,ROUND(D2278/H2295,0)+1)</f>
        <v>10</v>
      </c>
      <c r="X2295" t="str">
        <v>x</v>
      </c>
      <c r="Y2295">
        <f>D2281</f>
        <v>1</v>
      </c>
      <c r="Z2295" t="str">
        <v>=</v>
      </c>
      <c r="AA2295">
        <f>N2295*U2295*W2295*Y2295</f>
        <v>4.063968000000001</v>
      </c>
    </row>
    <row r="2296">
      <c r="A2296" t="str">
        <f>A2275</f>
        <v>Lantai 1</v>
      </c>
      <c r="B2296">
        <f>B2275</f>
        <v>74</v>
      </c>
      <c r="C2296" t="str">
        <v>Sengkang Lapangan</v>
      </c>
      <c r="D2296">
        <f>VLOOKUP(D2275,'Detail Balok'!$C$10:$AU$140,36,FALSE)</f>
        <v>0</v>
      </c>
      <c r="E2296" t="str">
        <v>D</v>
      </c>
      <c r="F2296">
        <f>VLOOKUP(D2275,'Detail Balok'!$C$10:$AU$140,38,FALSE)</f>
        <v>8</v>
      </c>
      <c r="G2296" t="str">
        <v>-</v>
      </c>
      <c r="H2296">
        <f>VLOOKUP(D2275,'Detail Balok'!$C$10:$AU$140,40,FALSE)</f>
        <v>200</v>
      </c>
      <c r="J2296">
        <f>(IF(D2296=0,(2*(D2276+G2276))-(F$5*8),IF(D2296=3,(2*(D2276+G2276))-(F$5*8)+(G2276-2*F$5),IF(D2296=4,(2*(D2276+G2276))-(F$5*8)+2*(G2276-2*F$5)))))/1000</f>
        <v>0.88</v>
      </c>
      <c r="K2296" t="str">
        <v>+</v>
      </c>
      <c r="L2296">
        <f>IF(D2296=0,2*MAX(6*F2296,75),(D2296-1)*2*MAX(6*F2296,75))/1000</f>
        <v>0.15</v>
      </c>
      <c r="M2296" t="str">
        <v>=</v>
      </c>
      <c r="N2296">
        <f>J2296+L2296</f>
        <v>1.03</v>
      </c>
      <c r="T2296" t="str">
        <v>x</v>
      </c>
      <c r="U2296">
        <f>0.006165*F2296^2</f>
        <v>0.39456</v>
      </c>
      <c r="V2296" t="str">
        <v>x</v>
      </c>
      <c r="W2296">
        <f>IF(D2278-MAX(D2278/4,2*G2276)*2&gt;0,ROUND((D2278-MAX(D2278/4,2*G2276)*2)/H2296,0),0)</f>
        <v>14</v>
      </c>
      <c r="X2296" t="str">
        <v>x</v>
      </c>
      <c r="Y2296">
        <f>D2281</f>
        <v>1</v>
      </c>
      <c r="Z2296" t="str">
        <v>=</v>
      </c>
      <c r="AA2296">
        <f>N2296*U2296*W2296*Y2296</f>
        <v>5.689555200000001</v>
      </c>
    </row>
    <row r="2297">
      <c r="A2297" t="str">
        <f>A2275</f>
        <v>Lantai 1</v>
      </c>
      <c r="B2297">
        <f>B2275</f>
        <v>74</v>
      </c>
      <c r="C2297" t="str">
        <v>Sengkang Tumpuan</v>
      </c>
      <c r="D2297">
        <f>VLOOKUP(D2275,'Detail Balok'!$C$10:$AU$140,41,FALSE)</f>
        <v>0</v>
      </c>
      <c r="E2297" t="str">
        <v>D</v>
      </c>
      <c r="F2297">
        <f>VLOOKUP(D2275,'Detail Balok'!$C$10:$AU$140,43,FALSE)</f>
        <v>8</v>
      </c>
      <c r="G2297" t="str">
        <v>-</v>
      </c>
      <c r="H2297">
        <f>VLOOKUP(D2275,'Detail Balok'!$C$10:$AU$140,45,FALSE)</f>
        <v>150</v>
      </c>
      <c r="J2297">
        <f>(IF(D2297=0,(2*(D2276+G2276))-(F$5*8),IF(D2297=3,(2*(D2276+G2276))-(F$5*8)+(G2276-2*F$5),IF(D2297=4,(2*(D2276+G2276))-(F$5*8)+2*(G2276-2*F$5)))))/1000</f>
        <v>0.88</v>
      </c>
      <c r="K2297" t="str">
        <v>+</v>
      </c>
      <c r="L2297">
        <f>IF(D2297=0,2*MAX(6*F2297,75),(D2297-1)*2*MAX(6*F2297,75))/1000</f>
        <v>0.15</v>
      </c>
      <c r="M2297" t="str">
        <v>=</v>
      </c>
      <c r="N2297">
        <f>J2297+L2297</f>
        <v>1.03</v>
      </c>
      <c r="T2297" t="str">
        <v>x</v>
      </c>
      <c r="U2297">
        <f>0.006165*F2297^2</f>
        <v>0.39456</v>
      </c>
      <c r="V2297" t="str">
        <v>x</v>
      </c>
      <c r="W2297">
        <f>IF(D2278&gt;4*G2276,ROUND(MAX(D2278/4,2*G2276)/H2297,0)+1,0)</f>
        <v>10</v>
      </c>
      <c r="X2297" t="str">
        <v>x</v>
      </c>
      <c r="Y2297">
        <f>D2281</f>
        <v>1</v>
      </c>
      <c r="Z2297" t="str">
        <v>=</v>
      </c>
      <c r="AA2297">
        <f>N2297*U2297*W2297*Y2297</f>
        <v>4.063968000000001</v>
      </c>
    </row>
    <row r="2299">
      <c r="A2299" t="str">
        <f>A2275</f>
        <v>Lantai 1</v>
      </c>
      <c r="B2299">
        <f>B2275</f>
        <v>74</v>
      </c>
      <c r="C2299" t="str">
        <v>Kait Horizontal Tump.</v>
      </c>
      <c r="D2299">
        <f>VLOOKUP(D2275,'Detail Balok'!$C$10:$BJ$140,46,FALSE)</f>
        <v>0</v>
      </c>
      <c r="E2299" t="str">
        <v>D</v>
      </c>
      <c r="F2299">
        <f>VLOOKUP(D2275,'Detail Balok'!$C$10:$BJ$140,48,FALSE)</f>
        <v>0</v>
      </c>
      <c r="G2299" t="str">
        <v>-</v>
      </c>
      <c r="H2299">
        <f>VLOOKUP(D2275,'Detail Balok'!$C$10:$BJ$140,50,FALSE)</f>
        <v>100</v>
      </c>
      <c r="J2299">
        <f>(D2276-2*F$5)/1000</f>
        <v>0.12</v>
      </c>
      <c r="K2299" t="str">
        <v>+</v>
      </c>
      <c r="L2299">
        <f>IF(D2299=0,2*MAX(6*F2299,75),(D2299-1)*2*MAX(6*F2299,75))/1000</f>
        <v>0.15</v>
      </c>
      <c r="M2299" t="str">
        <v>=</v>
      </c>
      <c r="N2299">
        <f>J2299+L2299</f>
        <v>0.27</v>
      </c>
      <c r="T2299" t="str">
        <v>x</v>
      </c>
      <c r="U2299">
        <f>0.006165*F2299^2</f>
        <v>0</v>
      </c>
      <c r="V2299" t="str">
        <v>x</v>
      </c>
      <c r="W2299">
        <f>W2295</f>
        <v>10</v>
      </c>
      <c r="X2299" t="str">
        <v>x</v>
      </c>
      <c r="Y2299">
        <f>D2285</f>
        <v>3</v>
      </c>
      <c r="Z2299" t="str">
        <v>=</v>
      </c>
      <c r="AA2299">
        <f>N2299*U2299*W2299*Y2299</f>
        <v>0</v>
      </c>
    </row>
    <row r="2300">
      <c r="A2300" t="str">
        <f>A2275</f>
        <v>Lantai 1</v>
      </c>
      <c r="B2300">
        <f>B2275</f>
        <v>74</v>
      </c>
      <c r="C2300" t="str">
        <v>Kait Horizontal Lap.</v>
      </c>
      <c r="D2300">
        <f>VLOOKUP(D2275,'Detail Balok'!$C$10:$BJ$140,51,FALSE)</f>
        <v>0</v>
      </c>
      <c r="E2300" t="str">
        <v>D</v>
      </c>
      <c r="F2300">
        <f>VLOOKUP(D2275,'Detail Balok'!$C$10:$BJ$140,53,FALSE)</f>
        <v>0</v>
      </c>
      <c r="G2300" t="str">
        <v>-</v>
      </c>
      <c r="H2300">
        <f>VLOOKUP(D2275,'Detail Balok'!$C$10:$BJ$140,55,FALSE)</f>
        <v>100</v>
      </c>
      <c r="J2300">
        <f>(D2276-2*F$5)/1000</f>
        <v>0.12</v>
      </c>
      <c r="K2300" t="str">
        <v>+</v>
      </c>
      <c r="L2300">
        <f>IF(D2300=0,2*MAX(6*F2300,75),(D2300-1)*2*MAX(6*F2300,75))/1000</f>
        <v>0.15</v>
      </c>
      <c r="M2300" t="str">
        <v>=</v>
      </c>
      <c r="N2300">
        <f>J2300+L2300</f>
        <v>0.27</v>
      </c>
      <c r="T2300" t="str">
        <v>x</v>
      </c>
      <c r="U2300">
        <f>0.006165*F2300^2</f>
        <v>0</v>
      </c>
      <c r="V2300" t="str">
        <v>x</v>
      </c>
      <c r="W2300">
        <f>W2296</f>
        <v>14</v>
      </c>
      <c r="X2300" t="str">
        <v>x</v>
      </c>
      <c r="Y2300">
        <f>D2285</f>
        <v>3</v>
      </c>
      <c r="Z2300" t="str">
        <v>=</v>
      </c>
      <c r="AA2300">
        <f>N2300*U2300*W2300*Y2300</f>
        <v>0</v>
      </c>
    </row>
    <row r="2301">
      <c r="A2301" t="str">
        <f>A2275</f>
        <v>Lantai 1</v>
      </c>
      <c r="B2301">
        <f>B2275</f>
        <v>74</v>
      </c>
      <c r="C2301" t="str">
        <v>Kait Horizontal Tump.</v>
      </c>
      <c r="D2301">
        <f>VLOOKUP(D2275,'Detail Balok'!$C$10:$BJ$140,56,FALSE)</f>
        <v>0</v>
      </c>
      <c r="E2301" t="str">
        <v>D</v>
      </c>
      <c r="F2301">
        <f>VLOOKUP(D2275,'Detail Balok'!$C$10:$BJ$140,58,FALSE)</f>
        <v>0</v>
      </c>
      <c r="G2301" t="str">
        <v>-</v>
      </c>
      <c r="H2301">
        <f>VLOOKUP(D2275,'Detail Balok'!$C$10:$BJ$140,60,FALSE)</f>
        <v>100</v>
      </c>
      <c r="J2301">
        <f>(D2276-2*F$5)/1000</f>
        <v>0.12</v>
      </c>
      <c r="K2301" t="str">
        <v>+</v>
      </c>
      <c r="L2301">
        <f>IF(D2301=0,2*MAX(6*F2301,75),(D2301-1)*2*MAX(6*F2301,75))/1000</f>
        <v>0.15</v>
      </c>
      <c r="M2301" t="str">
        <v>=</v>
      </c>
      <c r="N2301">
        <f>J2301+L2301</f>
        <v>0.27</v>
      </c>
      <c r="T2301" t="str">
        <v>x</v>
      </c>
      <c r="U2301">
        <f>0.006165*F2301^2</f>
        <v>0</v>
      </c>
      <c r="V2301" t="str">
        <v>x</v>
      </c>
      <c r="W2301">
        <f>W2297</f>
        <v>10</v>
      </c>
      <c r="X2301" t="str">
        <v>x</v>
      </c>
      <c r="Y2301">
        <f>D2285</f>
        <v>3</v>
      </c>
      <c r="Z2301" t="str">
        <v>=</v>
      </c>
      <c r="AA2301">
        <f>N2301*U2301*W2301*Y2301</f>
        <v>0</v>
      </c>
    </row>
    <row r="2305">
      <c r="A2305" t="str">
        <f>A2275</f>
        <v>Lantai 1</v>
      </c>
      <c r="B2305">
        <f>B2275+1</f>
        <v>75</v>
      </c>
      <c r="C2305" t="str">
        <f>CONCATENATE(A2305," no. ",B2305)</f>
        <v>Lantai 1 no. 75</v>
      </c>
      <c r="D2305" t="str">
        <f>VLOOKUP(C2305,'Data Panjang Balok'!$C$9:$N$254,2,FALSE)</f>
        <v>B25-1</v>
      </c>
    </row>
    <row r="2306">
      <c r="C2306" t="str">
        <v>Dimensi</v>
      </c>
      <c r="D2306">
        <f>VLOOKUP(D2305,'Detail Balok'!$C$10:$AU$140,2,FALSE)</f>
        <v>200</v>
      </c>
      <c r="F2306" t="str">
        <v>x</v>
      </c>
      <c r="G2306">
        <f>VLOOKUP(D2305,'Detail Balok'!$C$10:$AU$140,3,FALSE)</f>
        <v>500</v>
      </c>
    </row>
    <row r="2307">
      <c r="C2307" t="str">
        <v>Panjang as ke as</v>
      </c>
      <c r="D2307">
        <f>VLOOKUP(C2305,'Data Panjang Balok'!$C$9:$N$254,4,FALSE)</f>
        <v>4000</v>
      </c>
    </row>
    <row r="2308">
      <c r="C2308" t="str">
        <v>Panjang netto</v>
      </c>
      <c r="D2308">
        <f>VLOOKUP(C2305,'Data Panjang Balok'!$C$9:$N$254,7,FALSE)</f>
        <v>4000</v>
      </c>
    </row>
    <row r="2309">
      <c r="C2309" t="str">
        <v>Kolom / balok kiri</v>
      </c>
      <c r="D2309">
        <f>VLOOKUP(C2305,'Data Panjang Balok'!$C$9:$N$254,9,FALSE)</f>
        <v>0</v>
      </c>
    </row>
    <row r="2310">
      <c r="C2310" t="str">
        <v>Kolom / balok kanan</v>
      </c>
      <c r="D2310">
        <f>VLOOKUP(C2305,'Data Panjang Balok'!$C$9:$N$254,10,FALSE)</f>
        <v>0</v>
      </c>
    </row>
    <row r="2311">
      <c r="C2311" t="str">
        <v>Jumlah</v>
      </c>
      <c r="D2311">
        <f>VLOOKUP(C2305,'Data Panjang Balok'!$C$9:$N$254,3,FALSE)</f>
        <v>1</v>
      </c>
    </row>
    <row r="2312">
      <c r="A2312" t="str">
        <f>A2305</f>
        <v>Lantai 1</v>
      </c>
      <c r="B2312">
        <f>B2305</f>
        <v>75</v>
      </c>
      <c r="C2312" t="str">
        <v>Tul Atas Tumpuan</v>
      </c>
      <c r="D2312">
        <f>VLOOKUP(D2305,'Detail Balok'!$C$10:$AU$140,4,FALSE)</f>
        <v>4</v>
      </c>
      <c r="E2312" t="str">
        <v>D</v>
      </c>
      <c r="F2312">
        <f>VLOOKUP(D2305,'Detail Balok'!$C$10:$AU$140,6,FALSE)</f>
        <v>16</v>
      </c>
      <c r="I2312" t="str">
        <v>(</v>
      </c>
      <c r="J2312">
        <f>+D2307/4/1000</f>
        <v>1</v>
      </c>
      <c r="K2312" t="str">
        <v>+</v>
      </c>
      <c r="L2312">
        <f>MAX(VLOOKUP(F2312,N$6:P$15,3,FALSE)/1000,2/3*D2309/1000)+F$16*F2312/1000</f>
        <v>0.192</v>
      </c>
      <c r="M2312" t="str">
        <v>=</v>
      </c>
      <c r="N2312">
        <f>J2312+L2312</f>
        <v>1.192</v>
      </c>
      <c r="O2312" t="str">
        <v>+</v>
      </c>
      <c r="P2312">
        <f>D2312-D2313</f>
        <v>0</v>
      </c>
      <c r="Q2312" t="str">
        <v>x</v>
      </c>
      <c r="R2312">
        <f>IF(P2312&gt;0,$F$18*F2312/1000,0)</f>
        <v>0</v>
      </c>
      <c r="S2312" t="str">
        <v>)</v>
      </c>
      <c r="T2312" t="str">
        <v>x</v>
      </c>
      <c r="U2312">
        <f>0.006165*F2312^2</f>
        <v>1.57824</v>
      </c>
      <c r="X2312" t="str">
        <v>x</v>
      </c>
      <c r="Y2312">
        <f>D2311</f>
        <v>1</v>
      </c>
      <c r="Z2312" t="str">
        <v>=</v>
      </c>
      <c r="AA2312">
        <f>IF(AA2315=0,(D2312*N2312+P2312*R2312)*U2312*Y2312,0)</f>
        <v>0</v>
      </c>
    </row>
    <row r="2313">
      <c r="A2313" t="str">
        <f>A2305</f>
        <v>Lantai 1</v>
      </c>
      <c r="B2313">
        <f>B2305</f>
        <v>75</v>
      </c>
      <c r="C2313" t="str">
        <v>Tul Atas Lapangan</v>
      </c>
      <c r="D2313">
        <f>VLOOKUP(D2305,'Detail Balok'!$C$10:$AU$140,7,FALSE)</f>
        <v>4</v>
      </c>
      <c r="E2313" t="str">
        <v>D</v>
      </c>
      <c r="F2313">
        <f>VLOOKUP(D2305,'Detail Balok'!$C$10:$AU$140,9,FALSE)</f>
        <v>16</v>
      </c>
      <c r="I2313" t="str">
        <v>(</v>
      </c>
      <c r="J2313">
        <f>+D2307/2/1000</f>
        <v>2</v>
      </c>
      <c r="K2313" t="str">
        <v>+</v>
      </c>
      <c r="M2313" t="str">
        <v>=</v>
      </c>
      <c r="N2313">
        <f>J2313+L2313</f>
        <v>2</v>
      </c>
      <c r="O2313" t="str">
        <v>+</v>
      </c>
      <c r="P2313">
        <f>MAX(D2313-D2312,D2313-D2314)</f>
        <v>0</v>
      </c>
      <c r="Q2313" t="str">
        <v>x</v>
      </c>
      <c r="R2313">
        <f>IF(P2313&gt;0,2*(1-2*$F$19-1/2)*D2308/1000,0)</f>
        <v>0</v>
      </c>
      <c r="S2313" t="str">
        <v>)</v>
      </c>
      <c r="T2313" t="str">
        <v>x</v>
      </c>
      <c r="U2313">
        <f>0.006165*F2313^2</f>
        <v>1.57824</v>
      </c>
      <c r="X2313" t="str">
        <v>x</v>
      </c>
      <c r="Y2313">
        <f>D2311</f>
        <v>1</v>
      </c>
      <c r="Z2313" t="str">
        <v>=</v>
      </c>
      <c r="AA2313">
        <f>IF(AA2315=0,(D2313*N2313+P2313*R2313)*U2313*Y2313,0)</f>
        <v>0</v>
      </c>
    </row>
    <row r="2314">
      <c r="A2314" t="str">
        <f>A2305</f>
        <v>Lantai 1</v>
      </c>
      <c r="B2314">
        <f>B2305</f>
        <v>75</v>
      </c>
      <c r="C2314" t="str">
        <v>Tul Atas Tumpuan</v>
      </c>
      <c r="D2314">
        <f>VLOOKUP(D2305,'Detail Balok'!$C$10:$AU$140,10,FALSE)</f>
        <v>4</v>
      </c>
      <c r="E2314" t="str">
        <v>D</v>
      </c>
      <c r="F2314">
        <f>VLOOKUP(D2305,'Detail Balok'!$C$10:$AU$140,12,FALSE)</f>
        <v>16</v>
      </c>
      <c r="I2314" t="str">
        <v>(</v>
      </c>
      <c r="J2314">
        <f>+D2307/4/1000</f>
        <v>1</v>
      </c>
      <c r="K2314" t="str">
        <v>+</v>
      </c>
      <c r="L2314">
        <f>MAX(VLOOKUP(F2314,N$6:P$15,3,FALSE)/1000,2/3*D2309/1000)+F$16*F2314/1000</f>
        <v>0.192</v>
      </c>
      <c r="M2314" t="str">
        <v>=</v>
      </c>
      <c r="N2314">
        <f>J2314+L2314</f>
        <v>1.192</v>
      </c>
      <c r="O2314" t="str">
        <v>+</v>
      </c>
      <c r="P2314">
        <f>D2314-D2313</f>
        <v>0</v>
      </c>
      <c r="Q2314" t="str">
        <v>x</v>
      </c>
      <c r="R2314">
        <f>IF(P2314&gt;0,$F$18*F2314/1000,0)</f>
        <v>0</v>
      </c>
      <c r="S2314" t="str">
        <v>)</v>
      </c>
      <c r="T2314" t="str">
        <v>x</v>
      </c>
      <c r="U2314">
        <f>0.006165*F2314^2</f>
        <v>1.57824</v>
      </c>
      <c r="X2314" t="str">
        <v>x</v>
      </c>
      <c r="Y2314">
        <f>D2311</f>
        <v>1</v>
      </c>
      <c r="Z2314" t="str">
        <v>=</v>
      </c>
      <c r="AA2314">
        <f>IF(AA2315=0,(D2314*N2314+P2314*R2314)*U2314*Y2314,0)</f>
        <v>0</v>
      </c>
    </row>
    <row r="2315">
      <c r="A2315" t="str">
        <f>A2305</f>
        <v>Lantai 1</v>
      </c>
      <c r="B2315">
        <f>B2305</f>
        <v>75</v>
      </c>
      <c r="D2315">
        <f>IF(AND(D2312=D2313,D2313=D2314,D2312=D2314),D2312,0)</f>
        <v>4</v>
      </c>
      <c r="E2315" t="str">
        <v>D</v>
      </c>
      <c r="F2315">
        <f>IF(AND(F2312=F2313,F2312=F2314,F2313=F2314),F2312,0)</f>
        <v>16</v>
      </c>
      <c r="L2315" t="str">
        <v>Total panjang per balok</v>
      </c>
      <c r="M2315" t="str">
        <v>=</v>
      </c>
      <c r="N2315">
        <f>IF(AND(D2312=D2313,D2312=D2314,D2313=D2314,F2312=F2313,F2312=F2314,F2313=F2314),SUM(N2312:N2314),0)</f>
        <v>4.384</v>
      </c>
      <c r="O2315" t="str">
        <v>+</v>
      </c>
      <c r="P2315">
        <f>IF(N2315&gt;12,ROUNDDOWN(N2315/12,0),0)</f>
        <v>0</v>
      </c>
      <c r="Q2315" t="str">
        <v>x</v>
      </c>
      <c r="R2315">
        <f>IF(P2315&gt;0,MAX(VLOOKUP(F2315,$D$6:$G$15,3,FALSE),600),0)/1000</f>
        <v>0</v>
      </c>
      <c r="T2315" t="str">
        <v>x</v>
      </c>
      <c r="U2315">
        <f>U2314</f>
        <v>1.57824</v>
      </c>
      <c r="V2315" t="str">
        <v>x</v>
      </c>
      <c r="W2315">
        <f>D2315</f>
        <v>4</v>
      </c>
      <c r="X2315" t="str">
        <v>x</v>
      </c>
      <c r="Y2315">
        <f>Y2314</f>
        <v>1</v>
      </c>
      <c r="Z2315" t="str">
        <v>=</v>
      </c>
      <c r="AA2315">
        <f>(N2315+P2315*R2315/1000)*U2315*W2315*Y2315</f>
        <v>27.676016640000004</v>
      </c>
    </row>
    <row r="2317">
      <c r="A2317" t="str">
        <f>A2305</f>
        <v>Lantai 1</v>
      </c>
      <c r="B2317">
        <f>B2305</f>
        <v>75</v>
      </c>
      <c r="C2317" t="str">
        <v>Tul Peminggang</v>
      </c>
      <c r="D2317">
        <f>VLOOKUP(D2305,'Detail Balok'!$C$10:$AU$140,13,FALSE)</f>
        <v>2</v>
      </c>
      <c r="E2317" t="str">
        <v>D</v>
      </c>
      <c r="F2317">
        <f>VLOOKUP(D2305,'Detail Balok'!$C$10:$AU$140,15,FALSE)</f>
        <v>10</v>
      </c>
      <c r="J2317">
        <f>+D2307/1000</f>
        <v>4</v>
      </c>
      <c r="K2317" t="str">
        <v>+</v>
      </c>
      <c r="L2317">
        <f>2*$F$16*F2317/1000</f>
        <v>0.24</v>
      </c>
      <c r="M2317" t="str">
        <v>=</v>
      </c>
      <c r="N2317">
        <f>J2317+L2317</f>
        <v>4.24</v>
      </c>
      <c r="O2317" t="str">
        <v>+</v>
      </c>
      <c r="P2317">
        <f>IF(N2317&gt;12,ROUNDDOWN(N2317/12,0),0)</f>
        <v>0</v>
      </c>
      <c r="Q2317" t="str">
        <v>x</v>
      </c>
      <c r="R2317">
        <f>IF(P2317&gt;0,MAX(VLOOKUP(F2317,$D$6:$G$15,3,FALSE),600),0)/1000</f>
        <v>0</v>
      </c>
      <c r="T2317" t="str">
        <v>x</v>
      </c>
      <c r="U2317">
        <f>0.006165*F2317^2</f>
        <v>0.6165</v>
      </c>
      <c r="V2317" t="str">
        <v>x</v>
      </c>
      <c r="W2317">
        <f>+D2317</f>
        <v>2</v>
      </c>
      <c r="X2317" t="str">
        <v>x</v>
      </c>
      <c r="Y2317">
        <f>D2311</f>
        <v>1</v>
      </c>
      <c r="Z2317" t="str">
        <v>=</v>
      </c>
      <c r="AA2317">
        <f>(N2317+P2317*R2317/1000)*U2317*W2317*Y2317</f>
        <v>5.227920000000001</v>
      </c>
    </row>
    <row r="2320">
      <c r="A2320" t="str">
        <f>A2305</f>
        <v>Lantai 1</v>
      </c>
      <c r="B2320">
        <f>B2305</f>
        <v>75</v>
      </c>
      <c r="C2320" t="str">
        <v>Tul Bawah Tumpuan</v>
      </c>
      <c r="D2320">
        <f>VLOOKUP(D2305,'Detail Balok'!$C$10:$AU$140,22,FALSE)</f>
        <v>4</v>
      </c>
      <c r="E2320" t="str">
        <v>D</v>
      </c>
      <c r="F2320">
        <f>VLOOKUP(D2305,'Detail Balok'!$C$10:$AU$140,24,FALSE)</f>
        <v>16</v>
      </c>
      <c r="I2320" t="str">
        <v>(</v>
      </c>
      <c r="J2320">
        <f>+J2312</f>
        <v>1</v>
      </c>
      <c r="K2320" t="str">
        <v>+</v>
      </c>
      <c r="L2320">
        <f>MAX(VLOOKUP(F2320,N$6:P$15,3,FALSE)/1000,2/3*D2310/1000)+F$16*F2320/1000</f>
        <v>0.192</v>
      </c>
      <c r="M2320" t="str">
        <v>=</v>
      </c>
      <c r="N2320">
        <f>J2320+L2320</f>
        <v>1.192</v>
      </c>
      <c r="O2320" t="str">
        <v>+</v>
      </c>
      <c r="P2320">
        <f>D2320-D2321</f>
        <v>0</v>
      </c>
      <c r="Q2320" t="str">
        <v>x</v>
      </c>
      <c r="R2320">
        <f>IF(P2320&gt;0,$F$18*F2320/1000,0)</f>
        <v>0</v>
      </c>
      <c r="S2320" t="str">
        <v>)</v>
      </c>
      <c r="T2320" t="str">
        <v>x</v>
      </c>
      <c r="U2320">
        <f>0.006165*F2320^2</f>
        <v>1.57824</v>
      </c>
      <c r="X2320" t="str">
        <v>x</v>
      </c>
      <c r="Y2320">
        <f>D2311</f>
        <v>1</v>
      </c>
      <c r="Z2320" t="str">
        <v>=</v>
      </c>
      <c r="AA2320">
        <f>IF(AA2323=0,(D2320*N2320+P2320*R2320)*U2320*Y2320,0)</f>
        <v>0</v>
      </c>
    </row>
    <row r="2321">
      <c r="A2321" t="str">
        <f>A2305</f>
        <v>Lantai 1</v>
      </c>
      <c r="B2321">
        <f>B2305</f>
        <v>75</v>
      </c>
      <c r="C2321" t="str">
        <v>Tul Bawah Lapangan</v>
      </c>
      <c r="D2321">
        <f>VLOOKUP(D2305,'Detail Balok'!$C$10:$AU$140,25,FALSE)</f>
        <v>4</v>
      </c>
      <c r="E2321" t="str">
        <v>D</v>
      </c>
      <c r="F2321">
        <f>VLOOKUP(D2305,'Detail Balok'!$C$10:$AU$140,27,FALSE)</f>
        <v>16</v>
      </c>
      <c r="I2321" t="str">
        <v>(</v>
      </c>
      <c r="J2321">
        <f>+J2313</f>
        <v>2</v>
      </c>
      <c r="K2321" t="str">
        <v>+</v>
      </c>
      <c r="M2321" t="str">
        <v>=</v>
      </c>
      <c r="N2321">
        <f>J2321+L2321</f>
        <v>2</v>
      </c>
      <c r="O2321" t="str">
        <v>+</v>
      </c>
      <c r="P2321">
        <f>MAX(D2321-D2320,D2321-D2322)</f>
        <v>0</v>
      </c>
      <c r="Q2321" t="str">
        <v>x</v>
      </c>
      <c r="R2321">
        <f>IF(P2321&gt;0,2*(1-2*$F$19-1/2)*D2308/1000,0)</f>
        <v>0</v>
      </c>
      <c r="S2321" t="str">
        <v>)</v>
      </c>
      <c r="T2321" t="str">
        <v>x</v>
      </c>
      <c r="U2321">
        <f>0.006165*F2321^2</f>
        <v>1.57824</v>
      </c>
      <c r="X2321" t="str">
        <v>x</v>
      </c>
      <c r="Y2321">
        <f>D2311</f>
        <v>1</v>
      </c>
      <c r="Z2321" t="str">
        <v>=</v>
      </c>
      <c r="AA2321">
        <f>IF(AA2323=0,(D2321*N2321+P2321*R2321)*U2321*Y2321,0)</f>
        <v>0</v>
      </c>
    </row>
    <row r="2322">
      <c r="A2322" t="str">
        <f>A2305</f>
        <v>Lantai 1</v>
      </c>
      <c r="B2322">
        <f>B2305</f>
        <v>75</v>
      </c>
      <c r="C2322" t="str">
        <v>Tul Bawah Tumpuan</v>
      </c>
      <c r="D2322">
        <f>VLOOKUP(D2305,'Detail Balok'!$C$10:$AU$140,28,FALSE)</f>
        <v>4</v>
      </c>
      <c r="E2322" t="str">
        <v>D</v>
      </c>
      <c r="F2322">
        <f>VLOOKUP(D2305,'Detail Balok'!$C$10:$AU$140,30,FALSE)</f>
        <v>16</v>
      </c>
      <c r="I2322" t="str">
        <v>(</v>
      </c>
      <c r="J2322">
        <f>+J2314</f>
        <v>1</v>
      </c>
      <c r="K2322" t="str">
        <v>+</v>
      </c>
      <c r="L2322">
        <f>MAX(VLOOKUP(F2322,N$6:P$15,3,FALSE)/1000,2/3*D2310/1000)+F$16*F2322/1000</f>
        <v>0.192</v>
      </c>
      <c r="M2322" t="str">
        <v>=</v>
      </c>
      <c r="N2322">
        <f>J2322+L2322</f>
        <v>1.192</v>
      </c>
      <c r="O2322" t="str">
        <v>+</v>
      </c>
      <c r="P2322">
        <f>D2322-D2321</f>
        <v>0</v>
      </c>
      <c r="Q2322" t="str">
        <v>x</v>
      </c>
      <c r="R2322">
        <f>IF(P2322&gt;0,$F$18*F2322/1000,0)</f>
        <v>0</v>
      </c>
      <c r="S2322" t="str">
        <v>)</v>
      </c>
      <c r="T2322" t="str">
        <v>x</v>
      </c>
      <c r="U2322">
        <f>0.006165*F2322^2</f>
        <v>1.57824</v>
      </c>
      <c r="X2322" t="str">
        <v>x</v>
      </c>
      <c r="Y2322">
        <f>D2311</f>
        <v>1</v>
      </c>
      <c r="Z2322" t="str">
        <v>=</v>
      </c>
      <c r="AA2322">
        <f>IF(AA2323=0,(D2322*N2322+P2322*R2322)*U2322*Y2322,0)</f>
        <v>0</v>
      </c>
    </row>
    <row r="2323">
      <c r="A2323" t="str">
        <f>A2305</f>
        <v>Lantai 1</v>
      </c>
      <c r="B2323">
        <f>B2305</f>
        <v>75</v>
      </c>
      <c r="D2323">
        <f>IF(AND(D2320=D2321,D2321=D2322,D2320=D2322),D2320,0)</f>
        <v>4</v>
      </c>
      <c r="E2323" t="str">
        <v>D</v>
      </c>
      <c r="F2323">
        <f>IF(AND(F2320=F2321,F2320=F2322,F2321=F2322),F2320,0)</f>
        <v>16</v>
      </c>
      <c r="L2323" t="str">
        <v>Total panjang per balok</v>
      </c>
      <c r="M2323" t="str">
        <v>=</v>
      </c>
      <c r="N2323">
        <f>IF(AND(D2320=D2321,D2320=D2322,D2321=D2322,F2320=F2321,F2320=F2322,F2321=F2322),SUM(N2320:N2322),0)</f>
        <v>4.384</v>
      </c>
      <c r="O2323" t="str">
        <v>+</v>
      </c>
      <c r="P2323">
        <f>IF(N2323&gt;12,ROUNDDOWN(N2323/12,0),0)</f>
        <v>0</v>
      </c>
      <c r="Q2323" t="str">
        <v>x</v>
      </c>
      <c r="R2323">
        <f>IF(P2323&gt;0,MAX(VLOOKUP(F2323,$D$6:$G$15,3,FALSE),600),0)/1000</f>
        <v>0</v>
      </c>
      <c r="T2323" t="str">
        <v>x</v>
      </c>
      <c r="U2323">
        <f>U2322</f>
        <v>1.57824</v>
      </c>
      <c r="V2323" t="str">
        <v>x</v>
      </c>
      <c r="W2323">
        <f>D2323</f>
        <v>4</v>
      </c>
      <c r="X2323" t="str">
        <v>x</v>
      </c>
      <c r="Y2323">
        <f>Y2322</f>
        <v>1</v>
      </c>
      <c r="Z2323" t="str">
        <v>=</v>
      </c>
      <c r="AA2323">
        <f>(N2323+P2323*R2323/1000)*U2323*W2323*Y2323</f>
        <v>27.676016640000004</v>
      </c>
    </row>
    <row r="2325">
      <c r="A2325" t="str">
        <f>A2305</f>
        <v>Lantai 1</v>
      </c>
      <c r="B2325">
        <f>B2305</f>
        <v>75</v>
      </c>
      <c r="C2325" t="str">
        <v>Sengkang Tumpuan</v>
      </c>
      <c r="D2325">
        <f>VLOOKUP(D2305,'Detail Balok'!$C$10:$AU$140,31,FALSE)</f>
        <v>0</v>
      </c>
      <c r="E2325" t="str">
        <v>D</v>
      </c>
      <c r="F2325">
        <f>VLOOKUP(D2305,'Detail Balok'!$C$10:$AU$140,33,FALSE)</f>
        <v>10</v>
      </c>
      <c r="G2325" t="str">
        <v>-</v>
      </c>
      <c r="H2325">
        <f>VLOOKUP(D2305,'Detail Balok'!$C$10:$AU$140,35,FALSE)</f>
        <v>150</v>
      </c>
      <c r="J2325">
        <f>(IF(D2325=0,(2*(D2306+G2306))-(F$5*8),IF(D2325=3,(2*(D2306+G2306))-(F$5*8)+(G2306-2*F$5),IF(D2325=4,(2*(D2306+G2306))-(F$5*8)+2*(G2306-2*F$5)))))/1000</f>
        <v>1.08</v>
      </c>
      <c r="K2325" t="str">
        <v>+</v>
      </c>
      <c r="L2325">
        <f>IF(D2325=0,2*MAX(6*F2325,75),(D2325-1)*2*MAX(6*F2325,75))/1000</f>
        <v>0.15</v>
      </c>
      <c r="M2325" t="str">
        <v>=</v>
      </c>
      <c r="N2325">
        <f>J2325+L2325</f>
        <v>1.23</v>
      </c>
      <c r="T2325" t="str">
        <v>x</v>
      </c>
      <c r="U2325">
        <f>0.006165*F2325^2</f>
        <v>0.6165</v>
      </c>
      <c r="V2325" t="str">
        <v>x</v>
      </c>
      <c r="W2325">
        <f>IF(D2308&gt;4*G2306,ROUND(MAX(D2308/4,2*G2306)/H2325,0)+1,ROUND(D2308/H2325,0)+1)</f>
        <v>8</v>
      </c>
      <c r="X2325" t="str">
        <v>x</v>
      </c>
      <c r="Y2325">
        <f>D2311</f>
        <v>1</v>
      </c>
      <c r="Z2325" t="str">
        <v>=</v>
      </c>
      <c r="AA2325">
        <f>N2325*U2325*W2325*Y2325</f>
        <v>6.06636</v>
      </c>
    </row>
    <row r="2326">
      <c r="A2326" t="str">
        <f>A2305</f>
        <v>Lantai 1</v>
      </c>
      <c r="B2326">
        <f>B2305</f>
        <v>75</v>
      </c>
      <c r="C2326" t="str">
        <v>Sengkang Lapangan</v>
      </c>
      <c r="D2326">
        <f>VLOOKUP(D2305,'Detail Balok'!$C$10:$AU$140,36,FALSE)</f>
        <v>0</v>
      </c>
      <c r="E2326" t="str">
        <v>D</v>
      </c>
      <c r="F2326">
        <f>VLOOKUP(D2305,'Detail Balok'!$C$10:$AU$140,38,FALSE)</f>
        <v>10</v>
      </c>
      <c r="G2326" t="str">
        <v>-</v>
      </c>
      <c r="H2326">
        <f>VLOOKUP(D2305,'Detail Balok'!$C$10:$AU$140,40,FALSE)</f>
        <v>200</v>
      </c>
      <c r="J2326">
        <f>(IF(D2326=0,(2*(D2306+G2306))-(F$5*8),IF(D2326=3,(2*(D2306+G2306))-(F$5*8)+(G2306-2*F$5),IF(D2326=4,(2*(D2306+G2306))-(F$5*8)+2*(G2306-2*F$5)))))/1000</f>
        <v>1.08</v>
      </c>
      <c r="K2326" t="str">
        <v>+</v>
      </c>
      <c r="L2326">
        <f>IF(D2326=0,2*MAX(6*F2326,75),(D2326-1)*2*MAX(6*F2326,75))/1000</f>
        <v>0.15</v>
      </c>
      <c r="M2326" t="str">
        <v>=</v>
      </c>
      <c r="N2326">
        <f>J2326+L2326</f>
        <v>1.23</v>
      </c>
      <c r="T2326" t="str">
        <v>x</v>
      </c>
      <c r="U2326">
        <f>0.006165*F2326^2</f>
        <v>0.6165</v>
      </c>
      <c r="V2326" t="str">
        <v>x</v>
      </c>
      <c r="W2326">
        <f>IF(D2308-MAX(D2308/4,2*G2306)*2&gt;0,ROUND((D2308-MAX(D2308/4,2*G2306)*2)/H2326,0),0)</f>
        <v>10</v>
      </c>
      <c r="X2326" t="str">
        <v>x</v>
      </c>
      <c r="Y2326">
        <f>D2311</f>
        <v>1</v>
      </c>
      <c r="Z2326" t="str">
        <v>=</v>
      </c>
      <c r="AA2326">
        <f>N2326*U2326*W2326*Y2326</f>
        <v>7.58295</v>
      </c>
    </row>
    <row r="2327">
      <c r="A2327" t="str">
        <f>A2305</f>
        <v>Lantai 1</v>
      </c>
      <c r="B2327">
        <f>B2305</f>
        <v>75</v>
      </c>
      <c r="C2327" t="str">
        <v>Sengkang Tumpuan</v>
      </c>
      <c r="D2327">
        <f>VLOOKUP(D2305,'Detail Balok'!$C$10:$AU$140,41,FALSE)</f>
        <v>0</v>
      </c>
      <c r="E2327" t="str">
        <v>D</v>
      </c>
      <c r="F2327">
        <f>VLOOKUP(D2305,'Detail Balok'!$C$10:$AU$140,43,FALSE)</f>
        <v>10</v>
      </c>
      <c r="G2327" t="str">
        <v>-</v>
      </c>
      <c r="H2327">
        <f>VLOOKUP(D2305,'Detail Balok'!$C$10:$AU$140,45,FALSE)</f>
        <v>150</v>
      </c>
      <c r="J2327">
        <f>(IF(D2327=0,(2*(D2306+G2306))-(F$5*8),IF(D2327=3,(2*(D2306+G2306))-(F$5*8)+(G2306-2*F$5),IF(D2327=4,(2*(D2306+G2306))-(F$5*8)+2*(G2306-2*F$5)))))/1000</f>
        <v>1.08</v>
      </c>
      <c r="K2327" t="str">
        <v>+</v>
      </c>
      <c r="L2327">
        <f>IF(D2327=0,2*MAX(6*F2327,75),(D2327-1)*2*MAX(6*F2327,75))/1000</f>
        <v>0.15</v>
      </c>
      <c r="M2327" t="str">
        <v>=</v>
      </c>
      <c r="N2327">
        <f>J2327+L2327</f>
        <v>1.23</v>
      </c>
      <c r="T2327" t="str">
        <v>x</v>
      </c>
      <c r="U2327">
        <f>0.006165*F2327^2</f>
        <v>0.6165</v>
      </c>
      <c r="V2327" t="str">
        <v>x</v>
      </c>
      <c r="W2327">
        <f>IF(D2308&gt;4*G2306,ROUND(MAX(D2308/4,2*G2306)/H2327,0)+1,0)</f>
        <v>8</v>
      </c>
      <c r="X2327" t="str">
        <v>x</v>
      </c>
      <c r="Y2327">
        <f>D2311</f>
        <v>1</v>
      </c>
      <c r="Z2327" t="str">
        <v>=</v>
      </c>
      <c r="AA2327">
        <f>N2327*U2327*W2327*Y2327</f>
        <v>6.06636</v>
      </c>
    </row>
    <row r="2329">
      <c r="A2329" t="str">
        <f>A2305</f>
        <v>Lantai 1</v>
      </c>
      <c r="B2329">
        <f>B2305</f>
        <v>75</v>
      </c>
      <c r="C2329" t="str">
        <v>Kait Horizontal Tump.</v>
      </c>
      <c r="D2329">
        <f>VLOOKUP(D2305,'Detail Balok'!$C$10:$BJ$140,46,FALSE)</f>
        <v>0</v>
      </c>
      <c r="E2329" t="str">
        <v>D</v>
      </c>
      <c r="F2329">
        <f>VLOOKUP(D2305,'Detail Balok'!$C$10:$BJ$140,48,FALSE)</f>
        <v>0</v>
      </c>
      <c r="G2329" t="str">
        <v>-</v>
      </c>
      <c r="H2329">
        <f>VLOOKUP(D2305,'Detail Balok'!$C$10:$BJ$140,50,FALSE)</f>
        <v>100</v>
      </c>
      <c r="J2329">
        <f>(D2306-2*F$5)/1000</f>
        <v>0.12</v>
      </c>
      <c r="K2329" t="str">
        <v>+</v>
      </c>
      <c r="L2329">
        <f>IF(D2329=0,2*MAX(6*F2329,75),(D2329-1)*2*MAX(6*F2329,75))/1000</f>
        <v>0.15</v>
      </c>
      <c r="M2329" t="str">
        <v>=</v>
      </c>
      <c r="N2329">
        <f>J2329+L2329</f>
        <v>0.27</v>
      </c>
      <c r="T2329" t="str">
        <v>x</v>
      </c>
      <c r="U2329">
        <f>0.006165*F2329^2</f>
        <v>0</v>
      </c>
      <c r="V2329" t="str">
        <v>x</v>
      </c>
      <c r="W2329">
        <f>W2325</f>
        <v>8</v>
      </c>
      <c r="X2329" t="str">
        <v>x</v>
      </c>
      <c r="Y2329">
        <f>D2315</f>
        <v>4</v>
      </c>
      <c r="Z2329" t="str">
        <v>=</v>
      </c>
      <c r="AA2329">
        <f>N2329*U2329*W2329*Y2329</f>
        <v>0</v>
      </c>
    </row>
    <row r="2330">
      <c r="A2330" t="str">
        <f>A2305</f>
        <v>Lantai 1</v>
      </c>
      <c r="B2330">
        <f>B2305</f>
        <v>75</v>
      </c>
      <c r="C2330" t="str">
        <v>Kait Horizontal Lap.</v>
      </c>
      <c r="D2330">
        <f>VLOOKUP(D2305,'Detail Balok'!$C$10:$BJ$140,51,FALSE)</f>
        <v>0</v>
      </c>
      <c r="E2330" t="str">
        <v>D</v>
      </c>
      <c r="F2330">
        <f>VLOOKUP(D2305,'Detail Balok'!$C$10:$BJ$140,53,FALSE)</f>
        <v>0</v>
      </c>
      <c r="G2330" t="str">
        <v>-</v>
      </c>
      <c r="H2330">
        <f>VLOOKUP(D2305,'Detail Balok'!$C$10:$BJ$140,55,FALSE)</f>
        <v>100</v>
      </c>
      <c r="J2330">
        <f>(D2306-2*F$5)/1000</f>
        <v>0.12</v>
      </c>
      <c r="K2330" t="str">
        <v>+</v>
      </c>
      <c r="L2330">
        <f>IF(D2330=0,2*MAX(6*F2330,75),(D2330-1)*2*MAX(6*F2330,75))/1000</f>
        <v>0.15</v>
      </c>
      <c r="M2330" t="str">
        <v>=</v>
      </c>
      <c r="N2330">
        <f>J2330+L2330</f>
        <v>0.27</v>
      </c>
      <c r="T2330" t="str">
        <v>x</v>
      </c>
      <c r="U2330">
        <f>0.006165*F2330^2</f>
        <v>0</v>
      </c>
      <c r="V2330" t="str">
        <v>x</v>
      </c>
      <c r="W2330">
        <f>W2326</f>
        <v>10</v>
      </c>
      <c r="X2330" t="str">
        <v>x</v>
      </c>
      <c r="Y2330">
        <f>D2315</f>
        <v>4</v>
      </c>
      <c r="Z2330" t="str">
        <v>=</v>
      </c>
      <c r="AA2330">
        <f>N2330*U2330*W2330*Y2330</f>
        <v>0</v>
      </c>
    </row>
    <row r="2331">
      <c r="A2331" t="str">
        <f>A2305</f>
        <v>Lantai 1</v>
      </c>
      <c r="B2331">
        <f>B2305</f>
        <v>75</v>
      </c>
      <c r="C2331" t="str">
        <v>Kait Horizontal Tump.</v>
      </c>
      <c r="D2331">
        <f>VLOOKUP(D2305,'Detail Balok'!$C$10:$BJ$140,56,FALSE)</f>
        <v>0</v>
      </c>
      <c r="E2331" t="str">
        <v>D</v>
      </c>
      <c r="F2331">
        <f>VLOOKUP(D2305,'Detail Balok'!$C$10:$BJ$140,58,FALSE)</f>
        <v>0</v>
      </c>
      <c r="G2331" t="str">
        <v>-</v>
      </c>
      <c r="H2331">
        <f>VLOOKUP(D2305,'Detail Balok'!$C$10:$BJ$140,60,FALSE)</f>
        <v>100</v>
      </c>
      <c r="J2331">
        <f>(D2306-2*F$5)/1000</f>
        <v>0.12</v>
      </c>
      <c r="K2331" t="str">
        <v>+</v>
      </c>
      <c r="L2331">
        <f>IF(D2331=0,2*MAX(6*F2331,75),(D2331-1)*2*MAX(6*F2331,75))/1000</f>
        <v>0.15</v>
      </c>
      <c r="M2331" t="str">
        <v>=</v>
      </c>
      <c r="N2331">
        <f>J2331+L2331</f>
        <v>0.27</v>
      </c>
      <c r="T2331" t="str">
        <v>x</v>
      </c>
      <c r="U2331">
        <f>0.006165*F2331^2</f>
        <v>0</v>
      </c>
      <c r="V2331" t="str">
        <v>x</v>
      </c>
      <c r="W2331">
        <f>W2327</f>
        <v>8</v>
      </c>
      <c r="X2331" t="str">
        <v>x</v>
      </c>
      <c r="Y2331">
        <f>D2315</f>
        <v>4</v>
      </c>
      <c r="Z2331" t="str">
        <v>=</v>
      </c>
      <c r="AA2331">
        <f>N2331*U2331*W2331*Y2331</f>
        <v>0</v>
      </c>
    </row>
    <row r="2335">
      <c r="A2335" t="str">
        <f>A2305</f>
        <v>Lantai 1</v>
      </c>
      <c r="B2335">
        <f>B2305+1</f>
        <v>76</v>
      </c>
      <c r="C2335" t="str">
        <f>CONCATENATE(A2335," no. ",B2335)</f>
        <v>Lantai 1 no. 76</v>
      </c>
      <c r="D2335" t="str">
        <f>VLOOKUP(C2335,'Data Panjang Balok'!$C$9:$N$254,2,FALSE)</f>
        <v>B25-1</v>
      </c>
    </row>
    <row r="2336">
      <c r="C2336" t="str">
        <v>Dimensi</v>
      </c>
      <c r="D2336">
        <f>VLOOKUP(D2335,'Detail Balok'!$C$10:$AU$140,2,FALSE)</f>
        <v>200</v>
      </c>
      <c r="F2336" t="str">
        <v>x</v>
      </c>
      <c r="G2336">
        <f>VLOOKUP(D2335,'Detail Balok'!$C$10:$AU$140,3,FALSE)</f>
        <v>500</v>
      </c>
    </row>
    <row r="2337">
      <c r="C2337" t="str">
        <v>Panjang as ke as</v>
      </c>
      <c r="D2337">
        <f>VLOOKUP(C2335,'Data Panjang Balok'!$C$9:$N$254,4,FALSE)</f>
        <v>5075</v>
      </c>
    </row>
    <row r="2338">
      <c r="C2338" t="str">
        <v>Panjang netto</v>
      </c>
      <c r="D2338">
        <f>VLOOKUP(C2335,'Data Panjang Balok'!$C$9:$N$254,7,FALSE)</f>
        <v>5075</v>
      </c>
    </row>
    <row r="2339">
      <c r="C2339" t="str">
        <v>Kolom / balok kiri</v>
      </c>
      <c r="D2339">
        <f>VLOOKUP(C2335,'Data Panjang Balok'!$C$9:$N$254,9,FALSE)</f>
        <v>0</v>
      </c>
    </row>
    <row r="2340">
      <c r="C2340" t="str">
        <v>Kolom / balok kanan</v>
      </c>
      <c r="D2340">
        <f>VLOOKUP(C2335,'Data Panjang Balok'!$C$9:$N$254,10,FALSE)</f>
        <v>0</v>
      </c>
    </row>
    <row r="2341">
      <c r="C2341" t="str">
        <v>Jumlah</v>
      </c>
      <c r="D2341">
        <f>VLOOKUP(C2335,'Data Panjang Balok'!$C$9:$N$254,3,FALSE)</f>
        <v>1</v>
      </c>
    </row>
    <row r="2342">
      <c r="A2342" t="str">
        <f>A2335</f>
        <v>Lantai 1</v>
      </c>
      <c r="B2342">
        <f>B2335</f>
        <v>76</v>
      </c>
      <c r="C2342" t="str">
        <v>Tul Atas Tumpuan</v>
      </c>
      <c r="D2342">
        <f>VLOOKUP(D2335,'Detail Balok'!$C$10:$AU$140,4,FALSE)</f>
        <v>4</v>
      </c>
      <c r="E2342" t="str">
        <v>D</v>
      </c>
      <c r="F2342">
        <f>VLOOKUP(D2335,'Detail Balok'!$C$10:$AU$140,6,FALSE)</f>
        <v>16</v>
      </c>
      <c r="I2342" t="str">
        <v>(</v>
      </c>
      <c r="J2342">
        <f>+D2337/4/1000</f>
        <v>1.26875</v>
      </c>
      <c r="K2342" t="str">
        <v>+</v>
      </c>
      <c r="L2342">
        <f>MAX(VLOOKUP(F2342,N$6:P$15,3,FALSE)/1000,2/3*D2339/1000)+F$16*F2342/1000</f>
        <v>0.192</v>
      </c>
      <c r="M2342" t="str">
        <v>=</v>
      </c>
      <c r="N2342">
        <f>J2342+L2342</f>
        <v>1.46075</v>
      </c>
      <c r="O2342" t="str">
        <v>+</v>
      </c>
      <c r="P2342">
        <f>D2342-D2343</f>
        <v>0</v>
      </c>
      <c r="Q2342" t="str">
        <v>x</v>
      </c>
      <c r="R2342">
        <f>IF(P2342&gt;0,$F$18*F2342/1000,0)</f>
        <v>0</v>
      </c>
      <c r="S2342" t="str">
        <v>)</v>
      </c>
      <c r="T2342" t="str">
        <v>x</v>
      </c>
      <c r="U2342">
        <f>0.006165*F2342^2</f>
        <v>1.57824</v>
      </c>
      <c r="X2342" t="str">
        <v>x</v>
      </c>
      <c r="Y2342">
        <f>D2341</f>
        <v>1</v>
      </c>
      <c r="Z2342" t="str">
        <v>=</v>
      </c>
      <c r="AA2342">
        <f>IF(AA2345=0,(D2342*N2342+P2342*R2342)*U2342*Y2342,0)</f>
        <v>0</v>
      </c>
    </row>
    <row r="2343">
      <c r="A2343" t="str">
        <f>A2335</f>
        <v>Lantai 1</v>
      </c>
      <c r="B2343">
        <f>B2335</f>
        <v>76</v>
      </c>
      <c r="C2343" t="str">
        <v>Tul Atas Lapangan</v>
      </c>
      <c r="D2343">
        <f>VLOOKUP(D2335,'Detail Balok'!$C$10:$AU$140,7,FALSE)</f>
        <v>4</v>
      </c>
      <c r="E2343" t="str">
        <v>D</v>
      </c>
      <c r="F2343">
        <f>VLOOKUP(D2335,'Detail Balok'!$C$10:$AU$140,9,FALSE)</f>
        <v>16</v>
      </c>
      <c r="I2343" t="str">
        <v>(</v>
      </c>
      <c r="J2343">
        <f>+D2337/2/1000</f>
        <v>2.5375</v>
      </c>
      <c r="K2343" t="str">
        <v>+</v>
      </c>
      <c r="M2343" t="str">
        <v>=</v>
      </c>
      <c r="N2343">
        <f>J2343+L2343</f>
        <v>2.5375</v>
      </c>
      <c r="O2343" t="str">
        <v>+</v>
      </c>
      <c r="P2343">
        <f>MAX(D2343-D2342,D2343-D2344)</f>
        <v>0</v>
      </c>
      <c r="Q2343" t="str">
        <v>x</v>
      </c>
      <c r="R2343">
        <f>IF(P2343&gt;0,2*(1-2*$F$19-1/2)*D2338/1000,0)</f>
        <v>0</v>
      </c>
      <c r="S2343" t="str">
        <v>)</v>
      </c>
      <c r="T2343" t="str">
        <v>x</v>
      </c>
      <c r="U2343">
        <f>0.006165*F2343^2</f>
        <v>1.57824</v>
      </c>
      <c r="X2343" t="str">
        <v>x</v>
      </c>
      <c r="Y2343">
        <f>D2341</f>
        <v>1</v>
      </c>
      <c r="Z2343" t="str">
        <v>=</v>
      </c>
      <c r="AA2343">
        <f>IF(AA2345=0,(D2343*N2343+P2343*R2343)*U2343*Y2343,0)</f>
        <v>0</v>
      </c>
    </row>
    <row r="2344">
      <c r="A2344" t="str">
        <f>A2335</f>
        <v>Lantai 1</v>
      </c>
      <c r="B2344">
        <f>B2335</f>
        <v>76</v>
      </c>
      <c r="C2344" t="str">
        <v>Tul Atas Tumpuan</v>
      </c>
      <c r="D2344">
        <f>VLOOKUP(D2335,'Detail Balok'!$C$10:$AU$140,10,FALSE)</f>
        <v>4</v>
      </c>
      <c r="E2344" t="str">
        <v>D</v>
      </c>
      <c r="F2344">
        <f>VLOOKUP(D2335,'Detail Balok'!$C$10:$AU$140,12,FALSE)</f>
        <v>16</v>
      </c>
      <c r="I2344" t="str">
        <v>(</v>
      </c>
      <c r="J2344">
        <f>+D2337/4/1000</f>
        <v>1.26875</v>
      </c>
      <c r="K2344" t="str">
        <v>+</v>
      </c>
      <c r="L2344">
        <f>MAX(VLOOKUP(F2344,N$6:P$15,3,FALSE)/1000,2/3*D2339/1000)+F$16*F2344/1000</f>
        <v>0.192</v>
      </c>
      <c r="M2344" t="str">
        <v>=</v>
      </c>
      <c r="N2344">
        <f>J2344+L2344</f>
        <v>1.46075</v>
      </c>
      <c r="O2344" t="str">
        <v>+</v>
      </c>
      <c r="P2344">
        <f>D2344-D2343</f>
        <v>0</v>
      </c>
      <c r="Q2344" t="str">
        <v>x</v>
      </c>
      <c r="R2344">
        <f>IF(P2344&gt;0,$F$18*F2344/1000,0)</f>
        <v>0</v>
      </c>
      <c r="S2344" t="str">
        <v>)</v>
      </c>
      <c r="T2344" t="str">
        <v>x</v>
      </c>
      <c r="U2344">
        <f>0.006165*F2344^2</f>
        <v>1.57824</v>
      </c>
      <c r="X2344" t="str">
        <v>x</v>
      </c>
      <c r="Y2344">
        <f>D2341</f>
        <v>1</v>
      </c>
      <c r="Z2344" t="str">
        <v>=</v>
      </c>
      <c r="AA2344">
        <f>IF(AA2345=0,(D2344*N2344+P2344*R2344)*U2344*Y2344,0)</f>
        <v>0</v>
      </c>
    </row>
    <row r="2345">
      <c r="A2345" t="str">
        <f>A2335</f>
        <v>Lantai 1</v>
      </c>
      <c r="B2345">
        <f>B2335</f>
        <v>76</v>
      </c>
      <c r="D2345">
        <f>IF(AND(D2342=D2343,D2343=D2344,D2342=D2344),D2342,0)</f>
        <v>4</v>
      </c>
      <c r="E2345" t="str">
        <v>D</v>
      </c>
      <c r="F2345">
        <f>IF(AND(F2342=F2343,F2342=F2344,F2343=F2344),F2342,0)</f>
        <v>16</v>
      </c>
      <c r="L2345" t="str">
        <v>Total panjang per balok</v>
      </c>
      <c r="M2345" t="str">
        <v>=</v>
      </c>
      <c r="N2345">
        <f>IF(AND(D2342=D2343,D2342=D2344,D2343=D2344,F2342=F2343,F2342=F2344,F2343=F2344),SUM(N2342:N2344),0)</f>
        <v>5.459</v>
      </c>
      <c r="O2345" t="str">
        <v>+</v>
      </c>
      <c r="P2345">
        <f>IF(N2345&gt;12,ROUNDDOWN(N2345/12,0),0)</f>
        <v>0</v>
      </c>
      <c r="Q2345" t="str">
        <v>x</v>
      </c>
      <c r="R2345">
        <f>IF(P2345&gt;0,MAX(VLOOKUP(F2345,$D$6:$G$15,3,FALSE),600),0)/1000</f>
        <v>0</v>
      </c>
      <c r="T2345" t="str">
        <v>x</v>
      </c>
      <c r="U2345">
        <f>U2344</f>
        <v>1.57824</v>
      </c>
      <c r="V2345" t="str">
        <v>x</v>
      </c>
      <c r="W2345">
        <f>D2345</f>
        <v>4</v>
      </c>
      <c r="X2345" t="str">
        <v>x</v>
      </c>
      <c r="Y2345">
        <f>Y2344</f>
        <v>1</v>
      </c>
      <c r="Z2345" t="str">
        <v>=</v>
      </c>
      <c r="AA2345">
        <f>(N2345+P2345*R2345/1000)*U2345*W2345*Y2345</f>
        <v>34.46244864</v>
      </c>
    </row>
    <row r="2347">
      <c r="A2347" t="str">
        <f>A2335</f>
        <v>Lantai 1</v>
      </c>
      <c r="B2347">
        <f>B2335</f>
        <v>76</v>
      </c>
      <c r="C2347" t="str">
        <v>Tul Peminggang</v>
      </c>
      <c r="D2347">
        <f>VLOOKUP(D2335,'Detail Balok'!$C$10:$AU$140,13,FALSE)</f>
        <v>2</v>
      </c>
      <c r="E2347" t="str">
        <v>D</v>
      </c>
      <c r="F2347">
        <f>VLOOKUP(D2335,'Detail Balok'!$C$10:$AU$140,15,FALSE)</f>
        <v>10</v>
      </c>
      <c r="J2347">
        <f>+D2337/1000</f>
        <v>5.075</v>
      </c>
      <c r="K2347" t="str">
        <v>+</v>
      </c>
      <c r="L2347">
        <f>2*$F$16*F2347/1000</f>
        <v>0.24</v>
      </c>
      <c r="M2347" t="str">
        <v>=</v>
      </c>
      <c r="N2347">
        <f>J2347+L2347</f>
        <v>5.315</v>
      </c>
      <c r="O2347" t="str">
        <v>+</v>
      </c>
      <c r="P2347">
        <f>IF(N2347&gt;12,ROUNDDOWN(N2347/12,0),0)</f>
        <v>0</v>
      </c>
      <c r="Q2347" t="str">
        <v>x</v>
      </c>
      <c r="R2347">
        <f>IF(P2347&gt;0,MAX(VLOOKUP(F2347,$D$6:$G$15,3,FALSE),600),0)/1000</f>
        <v>0</v>
      </c>
      <c r="T2347" t="str">
        <v>x</v>
      </c>
      <c r="U2347">
        <f>0.006165*F2347^2</f>
        <v>0.6165</v>
      </c>
      <c r="V2347" t="str">
        <v>x</v>
      </c>
      <c r="W2347">
        <f>+D2347</f>
        <v>2</v>
      </c>
      <c r="X2347" t="str">
        <v>x</v>
      </c>
      <c r="Y2347">
        <f>D2341</f>
        <v>1</v>
      </c>
      <c r="Z2347" t="str">
        <v>=</v>
      </c>
      <c r="AA2347">
        <f>(N2347+P2347*R2347/1000)*U2347*W2347*Y2347</f>
        <v>6.553395000000001</v>
      </c>
    </row>
    <row r="2350">
      <c r="A2350" t="str">
        <f>A2335</f>
        <v>Lantai 1</v>
      </c>
      <c r="B2350">
        <f>B2335</f>
        <v>76</v>
      </c>
      <c r="C2350" t="str">
        <v>Tul Bawah Tumpuan</v>
      </c>
      <c r="D2350">
        <f>VLOOKUP(D2335,'Detail Balok'!$C$10:$AU$140,22,FALSE)</f>
        <v>4</v>
      </c>
      <c r="E2350" t="str">
        <v>D</v>
      </c>
      <c r="F2350">
        <f>VLOOKUP(D2335,'Detail Balok'!$C$10:$AU$140,24,FALSE)</f>
        <v>16</v>
      </c>
      <c r="I2350" t="str">
        <v>(</v>
      </c>
      <c r="J2350">
        <f>+J2342</f>
        <v>1.26875</v>
      </c>
      <c r="K2350" t="str">
        <v>+</v>
      </c>
      <c r="L2350">
        <f>MAX(VLOOKUP(F2350,N$6:P$15,3,FALSE)/1000,2/3*D2340/1000)+F$16*F2350/1000</f>
        <v>0.192</v>
      </c>
      <c r="M2350" t="str">
        <v>=</v>
      </c>
      <c r="N2350">
        <f>J2350+L2350</f>
        <v>1.46075</v>
      </c>
      <c r="O2350" t="str">
        <v>+</v>
      </c>
      <c r="P2350">
        <f>D2350-D2351</f>
        <v>0</v>
      </c>
      <c r="Q2350" t="str">
        <v>x</v>
      </c>
      <c r="R2350">
        <f>IF(P2350&gt;0,$F$18*F2350/1000,0)</f>
        <v>0</v>
      </c>
      <c r="S2350" t="str">
        <v>)</v>
      </c>
      <c r="T2350" t="str">
        <v>x</v>
      </c>
      <c r="U2350">
        <f>0.006165*F2350^2</f>
        <v>1.57824</v>
      </c>
      <c r="X2350" t="str">
        <v>x</v>
      </c>
      <c r="Y2350">
        <f>D2341</f>
        <v>1</v>
      </c>
      <c r="Z2350" t="str">
        <v>=</v>
      </c>
      <c r="AA2350">
        <f>IF(AA2353=0,(D2350*N2350+P2350*R2350)*U2350*Y2350,0)</f>
        <v>0</v>
      </c>
    </row>
    <row r="2351">
      <c r="A2351" t="str">
        <f>A2335</f>
        <v>Lantai 1</v>
      </c>
      <c r="B2351">
        <f>B2335</f>
        <v>76</v>
      </c>
      <c r="C2351" t="str">
        <v>Tul Bawah Lapangan</v>
      </c>
      <c r="D2351">
        <f>VLOOKUP(D2335,'Detail Balok'!$C$10:$AU$140,25,FALSE)</f>
        <v>4</v>
      </c>
      <c r="E2351" t="str">
        <v>D</v>
      </c>
      <c r="F2351">
        <f>VLOOKUP(D2335,'Detail Balok'!$C$10:$AU$140,27,FALSE)</f>
        <v>16</v>
      </c>
      <c r="I2351" t="str">
        <v>(</v>
      </c>
      <c r="J2351">
        <f>+J2343</f>
        <v>2.5375</v>
      </c>
      <c r="K2351" t="str">
        <v>+</v>
      </c>
      <c r="M2351" t="str">
        <v>=</v>
      </c>
      <c r="N2351">
        <f>J2351+L2351</f>
        <v>2.5375</v>
      </c>
      <c r="O2351" t="str">
        <v>+</v>
      </c>
      <c r="P2351">
        <f>MAX(D2351-D2350,D2351-D2352)</f>
        <v>0</v>
      </c>
      <c r="Q2351" t="str">
        <v>x</v>
      </c>
      <c r="R2351">
        <f>IF(P2351&gt;0,2*(1-2*$F$19-1/2)*D2338/1000,0)</f>
        <v>0</v>
      </c>
      <c r="S2351" t="str">
        <v>)</v>
      </c>
      <c r="T2351" t="str">
        <v>x</v>
      </c>
      <c r="U2351">
        <f>0.006165*F2351^2</f>
        <v>1.57824</v>
      </c>
      <c r="X2351" t="str">
        <v>x</v>
      </c>
      <c r="Y2351">
        <f>D2341</f>
        <v>1</v>
      </c>
      <c r="Z2351" t="str">
        <v>=</v>
      </c>
      <c r="AA2351">
        <f>IF(AA2353=0,(D2351*N2351+P2351*R2351)*U2351*Y2351,0)</f>
        <v>0</v>
      </c>
    </row>
    <row r="2352">
      <c r="A2352" t="str">
        <f>A2335</f>
        <v>Lantai 1</v>
      </c>
      <c r="B2352">
        <f>B2335</f>
        <v>76</v>
      </c>
      <c r="C2352" t="str">
        <v>Tul Bawah Tumpuan</v>
      </c>
      <c r="D2352">
        <f>VLOOKUP(D2335,'Detail Balok'!$C$10:$AU$140,28,FALSE)</f>
        <v>4</v>
      </c>
      <c r="E2352" t="str">
        <v>D</v>
      </c>
      <c r="F2352">
        <f>VLOOKUP(D2335,'Detail Balok'!$C$10:$AU$140,30,FALSE)</f>
        <v>16</v>
      </c>
      <c r="I2352" t="str">
        <v>(</v>
      </c>
      <c r="J2352">
        <f>+J2344</f>
        <v>1.26875</v>
      </c>
      <c r="K2352" t="str">
        <v>+</v>
      </c>
      <c r="L2352">
        <f>MAX(VLOOKUP(F2352,N$6:P$15,3,FALSE)/1000,2/3*D2340/1000)+F$16*F2352/1000</f>
        <v>0.192</v>
      </c>
      <c r="M2352" t="str">
        <v>=</v>
      </c>
      <c r="N2352">
        <f>J2352+L2352</f>
        <v>1.46075</v>
      </c>
      <c r="O2352" t="str">
        <v>+</v>
      </c>
      <c r="P2352">
        <f>D2352-D2351</f>
        <v>0</v>
      </c>
      <c r="Q2352" t="str">
        <v>x</v>
      </c>
      <c r="R2352">
        <f>IF(P2352&gt;0,$F$18*F2352/1000,0)</f>
        <v>0</v>
      </c>
      <c r="S2352" t="str">
        <v>)</v>
      </c>
      <c r="T2352" t="str">
        <v>x</v>
      </c>
      <c r="U2352">
        <f>0.006165*F2352^2</f>
        <v>1.57824</v>
      </c>
      <c r="X2352" t="str">
        <v>x</v>
      </c>
      <c r="Y2352">
        <f>D2341</f>
        <v>1</v>
      </c>
      <c r="Z2352" t="str">
        <v>=</v>
      </c>
      <c r="AA2352">
        <f>IF(AA2353=0,(D2352*N2352+P2352*R2352)*U2352*Y2352,0)</f>
        <v>0</v>
      </c>
    </row>
    <row r="2353">
      <c r="A2353" t="str">
        <f>A2335</f>
        <v>Lantai 1</v>
      </c>
      <c r="B2353">
        <f>B2335</f>
        <v>76</v>
      </c>
      <c r="D2353">
        <f>IF(AND(D2350=D2351,D2351=D2352,D2350=D2352),D2350,0)</f>
        <v>4</v>
      </c>
      <c r="E2353" t="str">
        <v>D</v>
      </c>
      <c r="F2353">
        <f>IF(AND(F2350=F2351,F2350=F2352,F2351=F2352),F2350,0)</f>
        <v>16</v>
      </c>
      <c r="L2353" t="str">
        <v>Total panjang per balok</v>
      </c>
      <c r="M2353" t="str">
        <v>=</v>
      </c>
      <c r="N2353">
        <f>IF(AND(D2350=D2351,D2350=D2352,D2351=D2352,F2350=F2351,F2350=F2352,F2351=F2352),SUM(N2350:N2352),0)</f>
        <v>5.459</v>
      </c>
      <c r="O2353" t="str">
        <v>+</v>
      </c>
      <c r="P2353">
        <f>IF(N2353&gt;12,ROUNDDOWN(N2353/12,0),0)</f>
        <v>0</v>
      </c>
      <c r="Q2353" t="str">
        <v>x</v>
      </c>
      <c r="R2353">
        <f>IF(P2353&gt;0,MAX(VLOOKUP(F2353,$D$6:$G$15,3,FALSE),600),0)/1000</f>
        <v>0</v>
      </c>
      <c r="T2353" t="str">
        <v>x</v>
      </c>
      <c r="U2353">
        <f>U2352</f>
        <v>1.57824</v>
      </c>
      <c r="V2353" t="str">
        <v>x</v>
      </c>
      <c r="W2353">
        <f>D2353</f>
        <v>4</v>
      </c>
      <c r="X2353" t="str">
        <v>x</v>
      </c>
      <c r="Y2353">
        <f>Y2352</f>
        <v>1</v>
      </c>
      <c r="Z2353" t="str">
        <v>=</v>
      </c>
      <c r="AA2353">
        <f>(N2353+P2353*R2353/1000)*U2353*W2353*Y2353</f>
        <v>34.46244864</v>
      </c>
    </row>
    <row r="2355">
      <c r="A2355" t="str">
        <f>A2335</f>
        <v>Lantai 1</v>
      </c>
      <c r="B2355">
        <f>B2335</f>
        <v>76</v>
      </c>
      <c r="C2355" t="str">
        <v>Sengkang Tumpuan</v>
      </c>
      <c r="D2355">
        <f>VLOOKUP(D2335,'Detail Balok'!$C$10:$AU$140,31,FALSE)</f>
        <v>0</v>
      </c>
      <c r="E2355" t="str">
        <v>D</v>
      </c>
      <c r="F2355">
        <f>VLOOKUP(D2335,'Detail Balok'!$C$10:$AU$140,33,FALSE)</f>
        <v>10</v>
      </c>
      <c r="G2355" t="str">
        <v>-</v>
      </c>
      <c r="H2355">
        <f>VLOOKUP(D2335,'Detail Balok'!$C$10:$AU$140,35,FALSE)</f>
        <v>150</v>
      </c>
      <c r="J2355">
        <f>(IF(D2355=0,(2*(D2336+G2336))-(F$5*8),IF(D2355=3,(2*(D2336+G2336))-(F$5*8)+(G2336-2*F$5),IF(D2355=4,(2*(D2336+G2336))-(F$5*8)+2*(G2336-2*F$5)))))/1000</f>
        <v>1.08</v>
      </c>
      <c r="K2355" t="str">
        <v>+</v>
      </c>
      <c r="L2355">
        <f>IF(D2355=0,2*MAX(6*F2355,75),(D2355-1)*2*MAX(6*F2355,75))/1000</f>
        <v>0.15</v>
      </c>
      <c r="M2355" t="str">
        <v>=</v>
      </c>
      <c r="N2355">
        <f>J2355+L2355</f>
        <v>1.23</v>
      </c>
      <c r="T2355" t="str">
        <v>x</v>
      </c>
      <c r="U2355">
        <f>0.006165*F2355^2</f>
        <v>0.6165</v>
      </c>
      <c r="V2355" t="str">
        <v>x</v>
      </c>
      <c r="W2355">
        <f>IF(D2338&gt;4*G2336,ROUND(MAX(D2338/4,2*G2336)/H2355,0)+1,ROUND(D2338/H2355,0)+1)</f>
        <v>9</v>
      </c>
      <c r="X2355" t="str">
        <v>x</v>
      </c>
      <c r="Y2355">
        <f>D2341</f>
        <v>1</v>
      </c>
      <c r="Z2355" t="str">
        <v>=</v>
      </c>
      <c r="AA2355">
        <f>N2355*U2355*W2355*Y2355</f>
        <v>6.824655000000001</v>
      </c>
    </row>
    <row r="2356">
      <c r="A2356" t="str">
        <f>A2335</f>
        <v>Lantai 1</v>
      </c>
      <c r="B2356">
        <f>B2335</f>
        <v>76</v>
      </c>
      <c r="C2356" t="str">
        <v>Sengkang Lapangan</v>
      </c>
      <c r="D2356">
        <f>VLOOKUP(D2335,'Detail Balok'!$C$10:$AU$140,36,FALSE)</f>
        <v>0</v>
      </c>
      <c r="E2356" t="str">
        <v>D</v>
      </c>
      <c r="F2356">
        <f>VLOOKUP(D2335,'Detail Balok'!$C$10:$AU$140,38,FALSE)</f>
        <v>10</v>
      </c>
      <c r="G2356" t="str">
        <v>-</v>
      </c>
      <c r="H2356">
        <f>VLOOKUP(D2335,'Detail Balok'!$C$10:$AU$140,40,FALSE)</f>
        <v>200</v>
      </c>
      <c r="J2356">
        <f>(IF(D2356=0,(2*(D2336+G2336))-(F$5*8),IF(D2356=3,(2*(D2336+G2336))-(F$5*8)+(G2336-2*F$5),IF(D2356=4,(2*(D2336+G2336))-(F$5*8)+2*(G2336-2*F$5)))))/1000</f>
        <v>1.08</v>
      </c>
      <c r="K2356" t="str">
        <v>+</v>
      </c>
      <c r="L2356">
        <f>IF(D2356=0,2*MAX(6*F2356,75),(D2356-1)*2*MAX(6*F2356,75))/1000</f>
        <v>0.15</v>
      </c>
      <c r="M2356" t="str">
        <v>=</v>
      </c>
      <c r="N2356">
        <f>J2356+L2356</f>
        <v>1.23</v>
      </c>
      <c r="T2356" t="str">
        <v>x</v>
      </c>
      <c r="U2356">
        <f>0.006165*F2356^2</f>
        <v>0.6165</v>
      </c>
      <c r="V2356" t="str">
        <v>x</v>
      </c>
      <c r="W2356">
        <f>IF(D2338-MAX(D2338/4,2*G2336)*2&gt;0,ROUND((D2338-MAX(D2338/4,2*G2336)*2)/H2356,0),0)</f>
        <v>13</v>
      </c>
      <c r="X2356" t="str">
        <v>x</v>
      </c>
      <c r="Y2356">
        <f>D2341</f>
        <v>1</v>
      </c>
      <c r="Z2356" t="str">
        <v>=</v>
      </c>
      <c r="AA2356">
        <f>N2356*U2356*W2356*Y2356</f>
        <v>9.857835000000001</v>
      </c>
    </row>
    <row r="2357">
      <c r="A2357" t="str">
        <f>A2335</f>
        <v>Lantai 1</v>
      </c>
      <c r="B2357">
        <f>B2335</f>
        <v>76</v>
      </c>
      <c r="C2357" t="str">
        <v>Sengkang Tumpuan</v>
      </c>
      <c r="D2357">
        <f>VLOOKUP(D2335,'Detail Balok'!$C$10:$AU$140,41,FALSE)</f>
        <v>0</v>
      </c>
      <c r="E2357" t="str">
        <v>D</v>
      </c>
      <c r="F2357">
        <f>VLOOKUP(D2335,'Detail Balok'!$C$10:$AU$140,43,FALSE)</f>
        <v>10</v>
      </c>
      <c r="G2357" t="str">
        <v>-</v>
      </c>
      <c r="H2357">
        <f>VLOOKUP(D2335,'Detail Balok'!$C$10:$AU$140,45,FALSE)</f>
        <v>150</v>
      </c>
      <c r="J2357">
        <f>(IF(D2357=0,(2*(D2336+G2336))-(F$5*8),IF(D2357=3,(2*(D2336+G2336))-(F$5*8)+(G2336-2*F$5),IF(D2357=4,(2*(D2336+G2336))-(F$5*8)+2*(G2336-2*F$5)))))/1000</f>
        <v>1.08</v>
      </c>
      <c r="K2357" t="str">
        <v>+</v>
      </c>
      <c r="L2357">
        <f>IF(D2357=0,2*MAX(6*F2357,75),(D2357-1)*2*MAX(6*F2357,75))/1000</f>
        <v>0.15</v>
      </c>
      <c r="M2357" t="str">
        <v>=</v>
      </c>
      <c r="N2357">
        <f>J2357+L2357</f>
        <v>1.23</v>
      </c>
      <c r="T2357" t="str">
        <v>x</v>
      </c>
      <c r="U2357">
        <f>0.006165*F2357^2</f>
        <v>0.6165</v>
      </c>
      <c r="V2357" t="str">
        <v>x</v>
      </c>
      <c r="W2357">
        <f>IF(D2338&gt;4*G2336,ROUND(MAX(D2338/4,2*G2336)/H2357,0)+1,0)</f>
        <v>9</v>
      </c>
      <c r="X2357" t="str">
        <v>x</v>
      </c>
      <c r="Y2357">
        <f>D2341</f>
        <v>1</v>
      </c>
      <c r="Z2357" t="str">
        <v>=</v>
      </c>
      <c r="AA2357">
        <f>N2357*U2357*W2357*Y2357</f>
        <v>6.824655000000001</v>
      </c>
    </row>
    <row r="2359">
      <c r="A2359" t="str">
        <f>A2335</f>
        <v>Lantai 1</v>
      </c>
      <c r="B2359">
        <f>B2335</f>
        <v>76</v>
      </c>
      <c r="C2359" t="str">
        <v>Kait Horizontal Tump.</v>
      </c>
      <c r="D2359">
        <f>VLOOKUP(D2335,'Detail Balok'!$C$10:$BJ$140,46,FALSE)</f>
        <v>0</v>
      </c>
      <c r="E2359" t="str">
        <v>D</v>
      </c>
      <c r="F2359">
        <f>VLOOKUP(D2335,'Detail Balok'!$C$10:$BJ$140,48,FALSE)</f>
        <v>0</v>
      </c>
      <c r="G2359" t="str">
        <v>-</v>
      </c>
      <c r="H2359">
        <f>VLOOKUP(D2335,'Detail Balok'!$C$10:$BJ$140,50,FALSE)</f>
        <v>100</v>
      </c>
      <c r="J2359">
        <f>(D2336-2*F$5)/1000</f>
        <v>0.12</v>
      </c>
      <c r="K2359" t="str">
        <v>+</v>
      </c>
      <c r="L2359">
        <f>IF(D2359=0,2*MAX(6*F2359,75),(D2359-1)*2*MAX(6*F2359,75))/1000</f>
        <v>0.15</v>
      </c>
      <c r="M2359" t="str">
        <v>=</v>
      </c>
      <c r="N2359">
        <f>J2359+L2359</f>
        <v>0.27</v>
      </c>
      <c r="T2359" t="str">
        <v>x</v>
      </c>
      <c r="U2359">
        <f>0.006165*F2359^2</f>
        <v>0</v>
      </c>
      <c r="V2359" t="str">
        <v>x</v>
      </c>
      <c r="W2359">
        <f>W2355</f>
        <v>9</v>
      </c>
      <c r="X2359" t="str">
        <v>x</v>
      </c>
      <c r="Y2359">
        <f>D2345</f>
        <v>4</v>
      </c>
      <c r="Z2359" t="str">
        <v>=</v>
      </c>
      <c r="AA2359">
        <f>N2359*U2359*W2359*Y2359</f>
        <v>0</v>
      </c>
    </row>
    <row r="2360">
      <c r="A2360" t="str">
        <f>A2335</f>
        <v>Lantai 1</v>
      </c>
      <c r="B2360">
        <f>B2335</f>
        <v>76</v>
      </c>
      <c r="C2360" t="str">
        <v>Kait Horizontal Lap.</v>
      </c>
      <c r="D2360">
        <f>VLOOKUP(D2335,'Detail Balok'!$C$10:$BJ$140,51,FALSE)</f>
        <v>0</v>
      </c>
      <c r="E2360" t="str">
        <v>D</v>
      </c>
      <c r="F2360">
        <f>VLOOKUP(D2335,'Detail Balok'!$C$10:$BJ$140,53,FALSE)</f>
        <v>0</v>
      </c>
      <c r="G2360" t="str">
        <v>-</v>
      </c>
      <c r="H2360">
        <f>VLOOKUP(D2335,'Detail Balok'!$C$10:$BJ$140,55,FALSE)</f>
        <v>100</v>
      </c>
      <c r="J2360">
        <f>(D2336-2*F$5)/1000</f>
        <v>0.12</v>
      </c>
      <c r="K2360" t="str">
        <v>+</v>
      </c>
      <c r="L2360">
        <f>IF(D2360=0,2*MAX(6*F2360,75),(D2360-1)*2*MAX(6*F2360,75))/1000</f>
        <v>0.15</v>
      </c>
      <c r="M2360" t="str">
        <v>=</v>
      </c>
      <c r="N2360">
        <f>J2360+L2360</f>
        <v>0.27</v>
      </c>
      <c r="T2360" t="str">
        <v>x</v>
      </c>
      <c r="U2360">
        <f>0.006165*F2360^2</f>
        <v>0</v>
      </c>
      <c r="V2360" t="str">
        <v>x</v>
      </c>
      <c r="W2360">
        <f>W2356</f>
        <v>13</v>
      </c>
      <c r="X2360" t="str">
        <v>x</v>
      </c>
      <c r="Y2360">
        <f>D2345</f>
        <v>4</v>
      </c>
      <c r="Z2360" t="str">
        <v>=</v>
      </c>
      <c r="AA2360">
        <f>N2360*U2360*W2360*Y2360</f>
        <v>0</v>
      </c>
    </row>
    <row r="2361">
      <c r="A2361" t="str">
        <f>A2335</f>
        <v>Lantai 1</v>
      </c>
      <c r="B2361">
        <f>B2335</f>
        <v>76</v>
      </c>
      <c r="C2361" t="str">
        <v>Kait Horizontal Tump.</v>
      </c>
      <c r="D2361">
        <f>VLOOKUP(D2335,'Detail Balok'!$C$10:$BJ$140,56,FALSE)</f>
        <v>0</v>
      </c>
      <c r="E2361" t="str">
        <v>D</v>
      </c>
      <c r="F2361">
        <f>VLOOKUP(D2335,'Detail Balok'!$C$10:$BJ$140,58,FALSE)</f>
        <v>0</v>
      </c>
      <c r="G2361" t="str">
        <v>-</v>
      </c>
      <c r="H2361">
        <f>VLOOKUP(D2335,'Detail Balok'!$C$10:$BJ$140,60,FALSE)</f>
        <v>100</v>
      </c>
      <c r="J2361">
        <f>(D2336-2*F$5)/1000</f>
        <v>0.12</v>
      </c>
      <c r="K2361" t="str">
        <v>+</v>
      </c>
      <c r="L2361">
        <f>IF(D2361=0,2*MAX(6*F2361,75),(D2361-1)*2*MAX(6*F2361,75))/1000</f>
        <v>0.15</v>
      </c>
      <c r="M2361" t="str">
        <v>=</v>
      </c>
      <c r="N2361">
        <f>J2361+L2361</f>
        <v>0.27</v>
      </c>
      <c r="T2361" t="str">
        <v>x</v>
      </c>
      <c r="U2361">
        <f>0.006165*F2361^2</f>
        <v>0</v>
      </c>
      <c r="V2361" t="str">
        <v>x</v>
      </c>
      <c r="W2361">
        <f>W2357</f>
        <v>9</v>
      </c>
      <c r="X2361" t="str">
        <v>x</v>
      </c>
      <c r="Y2361">
        <f>D2345</f>
        <v>4</v>
      </c>
      <c r="Z2361" t="str">
        <v>=</v>
      </c>
      <c r="AA2361">
        <f>N2361*U2361*W2361*Y2361</f>
        <v>0</v>
      </c>
    </row>
    <row r="2365">
      <c r="A2365" t="str">
        <f>A2335</f>
        <v>Lantai 1</v>
      </c>
      <c r="B2365">
        <f>B2335+1</f>
        <v>77</v>
      </c>
      <c r="C2365" t="str">
        <f>CONCATENATE(A2365," no. ",B2365)</f>
        <v>Lantai 1 no. 77</v>
      </c>
      <c r="D2365" t="str">
        <f>VLOOKUP(C2365,'Data Panjang Balok'!$C$9:$N$254,2,FALSE)</f>
        <v>B24-2</v>
      </c>
    </row>
    <row r="2366">
      <c r="C2366" t="str">
        <v>Dimensi</v>
      </c>
      <c r="D2366">
        <f>VLOOKUP(D2365,'Detail Balok'!$C$10:$AU$140,2,FALSE)</f>
        <v>200</v>
      </c>
      <c r="F2366" t="str">
        <v>x</v>
      </c>
      <c r="G2366">
        <f>VLOOKUP(D2365,'Detail Balok'!$C$10:$AU$140,3,FALSE)</f>
        <v>400</v>
      </c>
    </row>
    <row r="2367">
      <c r="C2367" t="str">
        <v>Panjang as ke as</v>
      </c>
      <c r="D2367">
        <f>VLOOKUP(C2365,'Data Panjang Balok'!$C$9:$N$254,4,FALSE)</f>
        <v>2540</v>
      </c>
    </row>
    <row r="2368">
      <c r="C2368" t="str">
        <v>Panjang netto</v>
      </c>
      <c r="D2368">
        <f>VLOOKUP(C2365,'Data Panjang Balok'!$C$9:$N$254,7,FALSE)</f>
        <v>2540</v>
      </c>
    </row>
    <row r="2369">
      <c r="C2369" t="str">
        <v>Kolom / balok kiri</v>
      </c>
      <c r="D2369">
        <f>VLOOKUP(C2365,'Data Panjang Balok'!$C$9:$N$254,9,FALSE)</f>
        <v>0</v>
      </c>
    </row>
    <row r="2370">
      <c r="C2370" t="str">
        <v>Kolom / balok kanan</v>
      </c>
      <c r="D2370">
        <f>VLOOKUP(C2365,'Data Panjang Balok'!$C$9:$N$254,10,FALSE)</f>
        <v>0</v>
      </c>
    </row>
    <row r="2371">
      <c r="C2371" t="str">
        <v>Jumlah</v>
      </c>
      <c r="D2371">
        <f>VLOOKUP(C2365,'Data Panjang Balok'!$C$9:$N$254,3,FALSE)</f>
        <v>1</v>
      </c>
    </row>
    <row r="2372">
      <c r="A2372" t="str">
        <f>A2365</f>
        <v>Lantai 1</v>
      </c>
      <c r="B2372">
        <f>B2365</f>
        <v>77</v>
      </c>
      <c r="C2372" t="str">
        <v>Tul Atas Tumpuan</v>
      </c>
      <c r="D2372">
        <f>VLOOKUP(D2365,'Detail Balok'!$C$10:$AU$140,4,FALSE)</f>
        <v>3</v>
      </c>
      <c r="E2372" t="str">
        <v>D</v>
      </c>
      <c r="F2372">
        <f>VLOOKUP(D2365,'Detail Balok'!$C$10:$AU$140,6,FALSE)</f>
        <v>16</v>
      </c>
      <c r="I2372" t="str">
        <v>(</v>
      </c>
      <c r="J2372">
        <f>+D2367/4/1000</f>
        <v>0.635</v>
      </c>
      <c r="K2372" t="str">
        <v>+</v>
      </c>
      <c r="L2372">
        <f>MAX(VLOOKUP(F2372,N$6:P$15,3,FALSE)/1000,2/3*D2369/1000)+F$16*F2372/1000</f>
        <v>0.192</v>
      </c>
      <c r="M2372" t="str">
        <v>=</v>
      </c>
      <c r="N2372">
        <f>J2372+L2372</f>
        <v>0.827</v>
      </c>
      <c r="O2372" t="str">
        <v>+</v>
      </c>
      <c r="P2372">
        <f>D2372-D2373</f>
        <v>0</v>
      </c>
      <c r="Q2372" t="str">
        <v>x</v>
      </c>
      <c r="R2372">
        <f>IF(P2372&gt;0,$F$18*F2372/1000,0)</f>
        <v>0</v>
      </c>
      <c r="S2372" t="str">
        <v>)</v>
      </c>
      <c r="T2372" t="str">
        <v>x</v>
      </c>
      <c r="U2372">
        <f>0.006165*F2372^2</f>
        <v>1.57824</v>
      </c>
      <c r="X2372" t="str">
        <v>x</v>
      </c>
      <c r="Y2372">
        <f>D2371</f>
        <v>1</v>
      </c>
      <c r="Z2372" t="str">
        <v>=</v>
      </c>
      <c r="AA2372">
        <f>IF(AA2375=0,(D2372*N2372+P2372*R2372)*U2372*Y2372,0)</f>
        <v>0</v>
      </c>
    </row>
    <row r="2373">
      <c r="A2373" t="str">
        <f>A2365</f>
        <v>Lantai 1</v>
      </c>
      <c r="B2373">
        <f>B2365</f>
        <v>77</v>
      </c>
      <c r="C2373" t="str">
        <v>Tul Atas Lapangan</v>
      </c>
      <c r="D2373">
        <f>VLOOKUP(D2365,'Detail Balok'!$C$10:$AU$140,7,FALSE)</f>
        <v>3</v>
      </c>
      <c r="E2373" t="str">
        <v>D</v>
      </c>
      <c r="F2373">
        <f>VLOOKUP(D2365,'Detail Balok'!$C$10:$AU$140,9,FALSE)</f>
        <v>16</v>
      </c>
      <c r="I2373" t="str">
        <v>(</v>
      </c>
      <c r="J2373">
        <f>+D2367/2/1000</f>
        <v>1.27</v>
      </c>
      <c r="K2373" t="str">
        <v>+</v>
      </c>
      <c r="M2373" t="str">
        <v>=</v>
      </c>
      <c r="N2373">
        <f>J2373+L2373</f>
        <v>1.27</v>
      </c>
      <c r="O2373" t="str">
        <v>+</v>
      </c>
      <c r="P2373">
        <f>MAX(D2373-D2372,D2373-D2374)</f>
        <v>0</v>
      </c>
      <c r="Q2373" t="str">
        <v>x</v>
      </c>
      <c r="R2373">
        <f>IF(P2373&gt;0,2*(1-2*$F$19-1/2)*D2368/1000,0)</f>
        <v>0</v>
      </c>
      <c r="S2373" t="str">
        <v>)</v>
      </c>
      <c r="T2373" t="str">
        <v>x</v>
      </c>
      <c r="U2373">
        <f>0.006165*F2373^2</f>
        <v>1.57824</v>
      </c>
      <c r="X2373" t="str">
        <v>x</v>
      </c>
      <c r="Y2373">
        <f>D2371</f>
        <v>1</v>
      </c>
      <c r="Z2373" t="str">
        <v>=</v>
      </c>
      <c r="AA2373">
        <f>IF(AA2375=0,(D2373*N2373+P2373*R2373)*U2373*Y2373,0)</f>
        <v>0</v>
      </c>
    </row>
    <row r="2374">
      <c r="A2374" t="str">
        <f>A2365</f>
        <v>Lantai 1</v>
      </c>
      <c r="B2374">
        <f>B2365</f>
        <v>77</v>
      </c>
      <c r="C2374" t="str">
        <v>Tul Atas Tumpuan</v>
      </c>
      <c r="D2374">
        <f>VLOOKUP(D2365,'Detail Balok'!$C$10:$AU$140,10,FALSE)</f>
        <v>3</v>
      </c>
      <c r="E2374" t="str">
        <v>D</v>
      </c>
      <c r="F2374">
        <f>VLOOKUP(D2365,'Detail Balok'!$C$10:$AU$140,12,FALSE)</f>
        <v>16</v>
      </c>
      <c r="I2374" t="str">
        <v>(</v>
      </c>
      <c r="J2374">
        <f>+D2367/4/1000</f>
        <v>0.635</v>
      </c>
      <c r="K2374" t="str">
        <v>+</v>
      </c>
      <c r="L2374">
        <f>MAX(VLOOKUP(F2374,N$6:P$15,3,FALSE)/1000,2/3*D2369/1000)+F$16*F2374/1000</f>
        <v>0.192</v>
      </c>
      <c r="M2374" t="str">
        <v>=</v>
      </c>
      <c r="N2374">
        <f>J2374+L2374</f>
        <v>0.827</v>
      </c>
      <c r="O2374" t="str">
        <v>+</v>
      </c>
      <c r="P2374">
        <f>D2374-D2373</f>
        <v>0</v>
      </c>
      <c r="Q2374" t="str">
        <v>x</v>
      </c>
      <c r="R2374">
        <f>IF(P2374&gt;0,$F$18*F2374/1000,0)</f>
        <v>0</v>
      </c>
      <c r="S2374" t="str">
        <v>)</v>
      </c>
      <c r="T2374" t="str">
        <v>x</v>
      </c>
      <c r="U2374">
        <f>0.006165*F2374^2</f>
        <v>1.57824</v>
      </c>
      <c r="X2374" t="str">
        <v>x</v>
      </c>
      <c r="Y2374">
        <f>D2371</f>
        <v>1</v>
      </c>
      <c r="Z2374" t="str">
        <v>=</v>
      </c>
      <c r="AA2374">
        <f>IF(AA2375=0,(D2374*N2374+P2374*R2374)*U2374*Y2374,0)</f>
        <v>0</v>
      </c>
    </row>
    <row r="2375">
      <c r="A2375" t="str">
        <f>A2365</f>
        <v>Lantai 1</v>
      </c>
      <c r="B2375">
        <f>B2365</f>
        <v>77</v>
      </c>
      <c r="D2375">
        <f>IF(AND(D2372=D2373,D2373=D2374,D2372=D2374),D2372,0)</f>
        <v>3</v>
      </c>
      <c r="E2375" t="str">
        <v>D</v>
      </c>
      <c r="F2375">
        <f>IF(AND(F2372=F2373,F2372=F2374,F2373=F2374),F2372,0)</f>
        <v>16</v>
      </c>
      <c r="L2375" t="str">
        <v>Total panjang per balok</v>
      </c>
      <c r="M2375" t="str">
        <v>=</v>
      </c>
      <c r="N2375">
        <f>IF(AND(D2372=D2373,D2372=D2374,D2373=D2374,F2372=F2373,F2372=F2374,F2373=F2374),SUM(N2372:N2374),0)</f>
        <v>2.924</v>
      </c>
      <c r="O2375" t="str">
        <v>+</v>
      </c>
      <c r="P2375">
        <f>IF(N2375&gt;12,ROUNDDOWN(N2375/12,0),0)</f>
        <v>0</v>
      </c>
      <c r="Q2375" t="str">
        <v>x</v>
      </c>
      <c r="R2375">
        <f>IF(P2375&gt;0,MAX(VLOOKUP(F2375,$D$6:$G$15,3,FALSE),600),0)/1000</f>
        <v>0</v>
      </c>
      <c r="T2375" t="str">
        <v>x</v>
      </c>
      <c r="U2375">
        <f>U2374</f>
        <v>1.57824</v>
      </c>
      <c r="V2375" t="str">
        <v>x</v>
      </c>
      <c r="W2375">
        <f>D2375</f>
        <v>3</v>
      </c>
      <c r="X2375" t="str">
        <v>x</v>
      </c>
      <c r="Y2375">
        <f>Y2374</f>
        <v>1</v>
      </c>
      <c r="Z2375" t="str">
        <v>=</v>
      </c>
      <c r="AA2375">
        <f>(N2375+P2375*R2375/1000)*U2375*W2375*Y2375</f>
        <v>13.84432128</v>
      </c>
    </row>
    <row r="2377">
      <c r="A2377" t="str">
        <f>A2365</f>
        <v>Lantai 1</v>
      </c>
      <c r="B2377">
        <f>B2365</f>
        <v>77</v>
      </c>
      <c r="C2377" t="str">
        <v>Tul Peminggang</v>
      </c>
      <c r="D2377">
        <f>VLOOKUP(D2365,'Detail Balok'!$C$10:$AU$140,13,FALSE)</f>
        <v>0</v>
      </c>
      <c r="E2377" t="str">
        <v>D</v>
      </c>
      <c r="F2377">
        <f>VLOOKUP(D2365,'Detail Balok'!$C$10:$AU$140,15,FALSE)</f>
        <v>8</v>
      </c>
      <c r="J2377">
        <f>+D2367/1000</f>
        <v>2.54</v>
      </c>
      <c r="K2377" t="str">
        <v>+</v>
      </c>
      <c r="L2377">
        <f>2*$F$16*F2377/1000</f>
        <v>0.192</v>
      </c>
      <c r="M2377" t="str">
        <v>=</v>
      </c>
      <c r="N2377">
        <f>J2377+L2377</f>
        <v>2.732</v>
      </c>
      <c r="O2377" t="str">
        <v>+</v>
      </c>
      <c r="P2377">
        <f>IF(N2377&gt;12,ROUNDDOWN(N2377/12,0),0)</f>
        <v>0</v>
      </c>
      <c r="Q2377" t="str">
        <v>x</v>
      </c>
      <c r="R2377">
        <f>IF(P2377&gt;0,MAX(VLOOKUP(F2377,$D$6:$G$15,3,FALSE),600),0)/1000</f>
        <v>0</v>
      </c>
      <c r="T2377" t="str">
        <v>x</v>
      </c>
      <c r="U2377">
        <f>0.006165*F2377^2</f>
        <v>0.39456</v>
      </c>
      <c r="V2377" t="str">
        <v>x</v>
      </c>
      <c r="W2377">
        <f>+D2377</f>
        <v>0</v>
      </c>
      <c r="X2377" t="str">
        <v>x</v>
      </c>
      <c r="Y2377">
        <f>D2371</f>
        <v>1</v>
      </c>
      <c r="Z2377" t="str">
        <v>=</v>
      </c>
      <c r="AA2377">
        <f>(N2377+P2377*R2377/1000)*U2377*W2377*Y2377</f>
        <v>0</v>
      </c>
    </row>
    <row r="2380">
      <c r="A2380" t="str">
        <f>A2365</f>
        <v>Lantai 1</v>
      </c>
      <c r="B2380">
        <f>B2365</f>
        <v>77</v>
      </c>
      <c r="C2380" t="str">
        <v>Tul Bawah Tumpuan</v>
      </c>
      <c r="D2380">
        <f>VLOOKUP(D2365,'Detail Balok'!$C$10:$AU$140,22,FALSE)</f>
        <v>3</v>
      </c>
      <c r="E2380" t="str">
        <v>D</v>
      </c>
      <c r="F2380">
        <f>VLOOKUP(D2365,'Detail Balok'!$C$10:$AU$140,24,FALSE)</f>
        <v>16</v>
      </c>
      <c r="I2380" t="str">
        <v>(</v>
      </c>
      <c r="J2380">
        <f>+J2372</f>
        <v>0.635</v>
      </c>
      <c r="K2380" t="str">
        <v>+</v>
      </c>
      <c r="L2380">
        <f>MAX(VLOOKUP(F2380,N$6:P$15,3,FALSE)/1000,2/3*D2370/1000)+F$16*F2380/1000</f>
        <v>0.192</v>
      </c>
      <c r="M2380" t="str">
        <v>=</v>
      </c>
      <c r="N2380">
        <f>J2380+L2380</f>
        <v>0.827</v>
      </c>
      <c r="O2380" t="str">
        <v>+</v>
      </c>
      <c r="P2380">
        <f>D2380-D2381</f>
        <v>0</v>
      </c>
      <c r="Q2380" t="str">
        <v>x</v>
      </c>
      <c r="R2380">
        <f>IF(P2380&gt;0,$F$18*F2380/1000,0)</f>
        <v>0</v>
      </c>
      <c r="S2380" t="str">
        <v>)</v>
      </c>
      <c r="T2380" t="str">
        <v>x</v>
      </c>
      <c r="U2380">
        <f>0.006165*F2380^2</f>
        <v>1.57824</v>
      </c>
      <c r="X2380" t="str">
        <v>x</v>
      </c>
      <c r="Y2380">
        <f>D2371</f>
        <v>1</v>
      </c>
      <c r="Z2380" t="str">
        <v>=</v>
      </c>
      <c r="AA2380">
        <f>IF(AA2383=0,(D2380*N2380+P2380*R2380)*U2380*Y2380,0)</f>
        <v>0</v>
      </c>
    </row>
    <row r="2381">
      <c r="A2381" t="str">
        <f>A2365</f>
        <v>Lantai 1</v>
      </c>
      <c r="B2381">
        <f>B2365</f>
        <v>77</v>
      </c>
      <c r="C2381" t="str">
        <v>Tul Bawah Lapangan</v>
      </c>
      <c r="D2381">
        <f>VLOOKUP(D2365,'Detail Balok'!$C$10:$AU$140,25,FALSE)</f>
        <v>3</v>
      </c>
      <c r="E2381" t="str">
        <v>D</v>
      </c>
      <c r="F2381">
        <f>VLOOKUP(D2365,'Detail Balok'!$C$10:$AU$140,27,FALSE)</f>
        <v>16</v>
      </c>
      <c r="I2381" t="str">
        <v>(</v>
      </c>
      <c r="J2381">
        <f>+J2373</f>
        <v>1.27</v>
      </c>
      <c r="K2381" t="str">
        <v>+</v>
      </c>
      <c r="M2381" t="str">
        <v>=</v>
      </c>
      <c r="N2381">
        <f>J2381+L2381</f>
        <v>1.27</v>
      </c>
      <c r="O2381" t="str">
        <v>+</v>
      </c>
      <c r="P2381">
        <f>MAX(D2381-D2380,D2381-D2382)</f>
        <v>0</v>
      </c>
      <c r="Q2381" t="str">
        <v>x</v>
      </c>
      <c r="R2381">
        <f>IF(P2381&gt;0,2*(1-2*$F$19-1/2)*D2368/1000,0)</f>
        <v>0</v>
      </c>
      <c r="S2381" t="str">
        <v>)</v>
      </c>
      <c r="T2381" t="str">
        <v>x</v>
      </c>
      <c r="U2381">
        <f>0.006165*F2381^2</f>
        <v>1.57824</v>
      </c>
      <c r="X2381" t="str">
        <v>x</v>
      </c>
      <c r="Y2381">
        <f>D2371</f>
        <v>1</v>
      </c>
      <c r="Z2381" t="str">
        <v>=</v>
      </c>
      <c r="AA2381">
        <f>IF(AA2383=0,(D2381*N2381+P2381*R2381)*U2381*Y2381,0)</f>
        <v>0</v>
      </c>
    </row>
    <row r="2382">
      <c r="A2382" t="str">
        <f>A2365</f>
        <v>Lantai 1</v>
      </c>
      <c r="B2382">
        <f>B2365</f>
        <v>77</v>
      </c>
      <c r="C2382" t="str">
        <v>Tul Bawah Tumpuan</v>
      </c>
      <c r="D2382">
        <f>VLOOKUP(D2365,'Detail Balok'!$C$10:$AU$140,28,FALSE)</f>
        <v>3</v>
      </c>
      <c r="E2382" t="str">
        <v>D</v>
      </c>
      <c r="F2382">
        <f>VLOOKUP(D2365,'Detail Balok'!$C$10:$AU$140,30,FALSE)</f>
        <v>16</v>
      </c>
      <c r="I2382" t="str">
        <v>(</v>
      </c>
      <c r="J2382">
        <f>+J2374</f>
        <v>0.635</v>
      </c>
      <c r="K2382" t="str">
        <v>+</v>
      </c>
      <c r="L2382">
        <f>MAX(VLOOKUP(F2382,N$6:P$15,3,FALSE)/1000,2/3*D2370/1000)+F$16*F2382/1000</f>
        <v>0.192</v>
      </c>
      <c r="M2382" t="str">
        <v>=</v>
      </c>
      <c r="N2382">
        <f>J2382+L2382</f>
        <v>0.827</v>
      </c>
      <c r="O2382" t="str">
        <v>+</v>
      </c>
      <c r="P2382">
        <f>D2382-D2381</f>
        <v>0</v>
      </c>
      <c r="Q2382" t="str">
        <v>x</v>
      </c>
      <c r="R2382">
        <f>IF(P2382&gt;0,$F$18*F2382/1000,0)</f>
        <v>0</v>
      </c>
      <c r="S2382" t="str">
        <v>)</v>
      </c>
      <c r="T2382" t="str">
        <v>x</v>
      </c>
      <c r="U2382">
        <f>0.006165*F2382^2</f>
        <v>1.57824</v>
      </c>
      <c r="X2382" t="str">
        <v>x</v>
      </c>
      <c r="Y2382">
        <f>D2371</f>
        <v>1</v>
      </c>
      <c r="Z2382" t="str">
        <v>=</v>
      </c>
      <c r="AA2382">
        <f>IF(AA2383=0,(D2382*N2382+P2382*R2382)*U2382*Y2382,0)</f>
        <v>0</v>
      </c>
    </row>
    <row r="2383">
      <c r="A2383" t="str">
        <f>A2365</f>
        <v>Lantai 1</v>
      </c>
      <c r="B2383">
        <f>B2365</f>
        <v>77</v>
      </c>
      <c r="D2383">
        <f>IF(AND(D2380=D2381,D2381=D2382,D2380=D2382),D2380,0)</f>
        <v>3</v>
      </c>
      <c r="E2383" t="str">
        <v>D</v>
      </c>
      <c r="F2383">
        <f>IF(AND(F2380=F2381,F2380=F2382,F2381=F2382),F2380,0)</f>
        <v>16</v>
      </c>
      <c r="L2383" t="str">
        <v>Total panjang per balok</v>
      </c>
      <c r="M2383" t="str">
        <v>=</v>
      </c>
      <c r="N2383">
        <f>IF(AND(D2380=D2381,D2380=D2382,D2381=D2382,F2380=F2381,F2380=F2382,F2381=F2382),SUM(N2380:N2382),0)</f>
        <v>2.924</v>
      </c>
      <c r="O2383" t="str">
        <v>+</v>
      </c>
      <c r="P2383">
        <f>IF(N2383&gt;12,ROUNDDOWN(N2383/12,0),0)</f>
        <v>0</v>
      </c>
      <c r="Q2383" t="str">
        <v>x</v>
      </c>
      <c r="R2383">
        <f>IF(P2383&gt;0,MAX(VLOOKUP(F2383,$D$6:$G$15,3,FALSE),600),0)/1000</f>
        <v>0</v>
      </c>
      <c r="T2383" t="str">
        <v>x</v>
      </c>
      <c r="U2383">
        <f>U2382</f>
        <v>1.57824</v>
      </c>
      <c r="V2383" t="str">
        <v>x</v>
      </c>
      <c r="W2383">
        <f>D2383</f>
        <v>3</v>
      </c>
      <c r="X2383" t="str">
        <v>x</v>
      </c>
      <c r="Y2383">
        <f>Y2382</f>
        <v>1</v>
      </c>
      <c r="Z2383" t="str">
        <v>=</v>
      </c>
      <c r="AA2383">
        <f>(N2383+P2383*R2383/1000)*U2383*W2383*Y2383</f>
        <v>13.84432128</v>
      </c>
    </row>
    <row r="2385">
      <c r="A2385" t="str">
        <f>A2365</f>
        <v>Lantai 1</v>
      </c>
      <c r="B2385">
        <f>B2365</f>
        <v>77</v>
      </c>
      <c r="C2385" t="str">
        <v>Sengkang Tumpuan</v>
      </c>
      <c r="D2385">
        <f>VLOOKUP(D2365,'Detail Balok'!$C$10:$AU$140,31,FALSE)</f>
        <v>0</v>
      </c>
      <c r="E2385" t="str">
        <v>D</v>
      </c>
      <c r="F2385">
        <f>VLOOKUP(D2365,'Detail Balok'!$C$10:$AU$140,33,FALSE)</f>
        <v>10</v>
      </c>
      <c r="G2385" t="str">
        <v>-</v>
      </c>
      <c r="H2385">
        <f>VLOOKUP(D2365,'Detail Balok'!$C$10:$AU$140,35,FALSE)</f>
        <v>100</v>
      </c>
      <c r="J2385">
        <f>(IF(D2385=0,(2*(D2366+G2366))-(F$5*8),IF(D2385=3,(2*(D2366+G2366))-(F$5*8)+(G2366-2*F$5),IF(D2385=4,(2*(D2366+G2366))-(F$5*8)+2*(G2366-2*F$5)))))/1000</f>
        <v>0.88</v>
      </c>
      <c r="K2385" t="str">
        <v>+</v>
      </c>
      <c r="L2385">
        <f>IF(D2385=0,2*MAX(6*F2385,75),(D2385-1)*2*MAX(6*F2385,75))/1000</f>
        <v>0.15</v>
      </c>
      <c r="M2385" t="str">
        <v>=</v>
      </c>
      <c r="N2385">
        <f>J2385+L2385</f>
        <v>1.03</v>
      </c>
      <c r="T2385" t="str">
        <v>x</v>
      </c>
      <c r="U2385">
        <f>0.006165*F2385^2</f>
        <v>0.6165</v>
      </c>
      <c r="V2385" t="str">
        <v>x</v>
      </c>
      <c r="W2385">
        <f>IF(D2368&gt;4*G2366,ROUND(MAX(D2368/4,2*G2366)/H2385,0)+1,ROUND(D2368/H2385,0)+1)</f>
        <v>9</v>
      </c>
      <c r="X2385" t="str">
        <v>x</v>
      </c>
      <c r="Y2385">
        <f>D2371</f>
        <v>1</v>
      </c>
      <c r="Z2385" t="str">
        <v>=</v>
      </c>
      <c r="AA2385">
        <f>N2385*U2385*W2385*Y2385</f>
        <v>5.714955000000001</v>
      </c>
    </row>
    <row r="2386">
      <c r="A2386" t="str">
        <f>A2365</f>
        <v>Lantai 1</v>
      </c>
      <c r="B2386">
        <f>B2365</f>
        <v>77</v>
      </c>
      <c r="C2386" t="str">
        <v>Sengkang Lapangan</v>
      </c>
      <c r="D2386">
        <f>VLOOKUP(D2365,'Detail Balok'!$C$10:$AU$140,36,FALSE)</f>
        <v>0</v>
      </c>
      <c r="E2386" t="str">
        <v>D</v>
      </c>
      <c r="F2386">
        <f>VLOOKUP(D2365,'Detail Balok'!$C$10:$AU$140,38,FALSE)</f>
        <v>10</v>
      </c>
      <c r="G2386" t="str">
        <v>-</v>
      </c>
      <c r="H2386">
        <f>VLOOKUP(D2365,'Detail Balok'!$C$10:$AU$140,40,FALSE)</f>
        <v>200</v>
      </c>
      <c r="J2386">
        <f>(IF(D2386=0,(2*(D2366+G2366))-(F$5*8),IF(D2386=3,(2*(D2366+G2366))-(F$5*8)+(G2366-2*F$5),IF(D2386=4,(2*(D2366+G2366))-(F$5*8)+2*(G2366-2*F$5)))))/1000</f>
        <v>0.88</v>
      </c>
      <c r="K2386" t="str">
        <v>+</v>
      </c>
      <c r="L2386">
        <f>IF(D2386=0,2*MAX(6*F2386,75),(D2386-1)*2*MAX(6*F2386,75))/1000</f>
        <v>0.15</v>
      </c>
      <c r="M2386" t="str">
        <v>=</v>
      </c>
      <c r="N2386">
        <f>J2386+L2386</f>
        <v>1.03</v>
      </c>
      <c r="T2386" t="str">
        <v>x</v>
      </c>
      <c r="U2386">
        <f>0.006165*F2386^2</f>
        <v>0.6165</v>
      </c>
      <c r="V2386" t="str">
        <v>x</v>
      </c>
      <c r="W2386">
        <f>IF(D2368-MAX(D2368/4,2*G2366)*2&gt;0,ROUND((D2368-MAX(D2368/4,2*G2366)*2)/H2386,0),0)</f>
        <v>5</v>
      </c>
      <c r="X2386" t="str">
        <v>x</v>
      </c>
      <c r="Y2386">
        <f>D2371</f>
        <v>1</v>
      </c>
      <c r="Z2386" t="str">
        <v>=</v>
      </c>
      <c r="AA2386">
        <f>N2386*U2386*W2386*Y2386</f>
        <v>3.1749750000000003</v>
      </c>
    </row>
    <row r="2387">
      <c r="A2387" t="str">
        <f>A2365</f>
        <v>Lantai 1</v>
      </c>
      <c r="B2387">
        <f>B2365</f>
        <v>77</v>
      </c>
      <c r="C2387" t="str">
        <v>Sengkang Tumpuan</v>
      </c>
      <c r="D2387">
        <f>VLOOKUP(D2365,'Detail Balok'!$C$10:$AU$140,41,FALSE)</f>
        <v>0</v>
      </c>
      <c r="E2387" t="str">
        <v>D</v>
      </c>
      <c r="F2387">
        <f>VLOOKUP(D2365,'Detail Balok'!$C$10:$AU$140,43,FALSE)</f>
        <v>10</v>
      </c>
      <c r="G2387" t="str">
        <v>-</v>
      </c>
      <c r="H2387">
        <f>VLOOKUP(D2365,'Detail Balok'!$C$10:$AU$140,45,FALSE)</f>
        <v>100</v>
      </c>
      <c r="J2387">
        <f>(IF(D2387=0,(2*(D2366+G2366))-(F$5*8),IF(D2387=3,(2*(D2366+G2366))-(F$5*8)+(G2366-2*F$5),IF(D2387=4,(2*(D2366+G2366))-(F$5*8)+2*(G2366-2*F$5)))))/1000</f>
        <v>0.88</v>
      </c>
      <c r="K2387" t="str">
        <v>+</v>
      </c>
      <c r="L2387">
        <f>IF(D2387=0,2*MAX(6*F2387,75),(D2387-1)*2*MAX(6*F2387,75))/1000</f>
        <v>0.15</v>
      </c>
      <c r="M2387" t="str">
        <v>=</v>
      </c>
      <c r="N2387">
        <f>J2387+L2387</f>
        <v>1.03</v>
      </c>
      <c r="T2387" t="str">
        <v>x</v>
      </c>
      <c r="U2387">
        <f>0.006165*F2387^2</f>
        <v>0.6165</v>
      </c>
      <c r="V2387" t="str">
        <v>x</v>
      </c>
      <c r="W2387">
        <f>IF(D2368&gt;4*G2366,ROUND(MAX(D2368/4,2*G2366)/H2387,0)+1,0)</f>
        <v>9</v>
      </c>
      <c r="X2387" t="str">
        <v>x</v>
      </c>
      <c r="Y2387">
        <f>D2371</f>
        <v>1</v>
      </c>
      <c r="Z2387" t="str">
        <v>=</v>
      </c>
      <c r="AA2387">
        <f>N2387*U2387*W2387*Y2387</f>
        <v>5.714955000000001</v>
      </c>
    </row>
    <row r="2389">
      <c r="A2389" t="str">
        <f>A2365</f>
        <v>Lantai 1</v>
      </c>
      <c r="B2389">
        <f>B2365</f>
        <v>77</v>
      </c>
      <c r="C2389" t="str">
        <v>Kait Horizontal Tump.</v>
      </c>
      <c r="D2389">
        <f>VLOOKUP(D2365,'Detail Balok'!$C$10:$BJ$140,46,FALSE)</f>
        <v>0</v>
      </c>
      <c r="E2389" t="str">
        <v>D</v>
      </c>
      <c r="F2389">
        <f>VLOOKUP(D2365,'Detail Balok'!$C$10:$BJ$140,48,FALSE)</f>
        <v>0</v>
      </c>
      <c r="G2389" t="str">
        <v>-</v>
      </c>
      <c r="H2389">
        <f>VLOOKUP(D2365,'Detail Balok'!$C$10:$BJ$140,50,FALSE)</f>
        <v>100</v>
      </c>
      <c r="J2389">
        <f>(D2366-2*F$5)/1000</f>
        <v>0.12</v>
      </c>
      <c r="K2389" t="str">
        <v>+</v>
      </c>
      <c r="L2389">
        <f>IF(D2389=0,2*MAX(6*F2389,75),(D2389-1)*2*MAX(6*F2389,75))/1000</f>
        <v>0.15</v>
      </c>
      <c r="M2389" t="str">
        <v>=</v>
      </c>
      <c r="N2389">
        <f>J2389+L2389</f>
        <v>0.27</v>
      </c>
      <c r="T2389" t="str">
        <v>x</v>
      </c>
      <c r="U2389">
        <f>0.006165*F2389^2</f>
        <v>0</v>
      </c>
      <c r="V2389" t="str">
        <v>x</v>
      </c>
      <c r="W2389">
        <f>W2385</f>
        <v>9</v>
      </c>
      <c r="X2389" t="str">
        <v>x</v>
      </c>
      <c r="Y2389">
        <f>D2375</f>
        <v>3</v>
      </c>
      <c r="Z2389" t="str">
        <v>=</v>
      </c>
      <c r="AA2389">
        <f>N2389*U2389*W2389*Y2389</f>
        <v>0</v>
      </c>
    </row>
    <row r="2390">
      <c r="A2390" t="str">
        <f>A2365</f>
        <v>Lantai 1</v>
      </c>
      <c r="B2390">
        <f>B2365</f>
        <v>77</v>
      </c>
      <c r="C2390" t="str">
        <v>Kait Horizontal Lap.</v>
      </c>
      <c r="D2390">
        <f>VLOOKUP(D2365,'Detail Balok'!$C$10:$BJ$140,51,FALSE)</f>
        <v>0</v>
      </c>
      <c r="E2390" t="str">
        <v>D</v>
      </c>
      <c r="F2390">
        <f>VLOOKUP(D2365,'Detail Balok'!$C$10:$BJ$140,53,FALSE)</f>
        <v>0</v>
      </c>
      <c r="G2390" t="str">
        <v>-</v>
      </c>
      <c r="H2390">
        <f>VLOOKUP(D2365,'Detail Balok'!$C$10:$BJ$140,55,FALSE)</f>
        <v>100</v>
      </c>
      <c r="J2390">
        <f>(D2366-2*F$5)/1000</f>
        <v>0.12</v>
      </c>
      <c r="K2390" t="str">
        <v>+</v>
      </c>
      <c r="L2390">
        <f>IF(D2390=0,2*MAX(6*F2390,75),(D2390-1)*2*MAX(6*F2390,75))/1000</f>
        <v>0.15</v>
      </c>
      <c r="M2390" t="str">
        <v>=</v>
      </c>
      <c r="N2390">
        <f>J2390+L2390</f>
        <v>0.27</v>
      </c>
      <c r="T2390" t="str">
        <v>x</v>
      </c>
      <c r="U2390">
        <f>0.006165*F2390^2</f>
        <v>0</v>
      </c>
      <c r="V2390" t="str">
        <v>x</v>
      </c>
      <c r="W2390">
        <f>W2386</f>
        <v>5</v>
      </c>
      <c r="X2390" t="str">
        <v>x</v>
      </c>
      <c r="Y2390">
        <f>D2375</f>
        <v>3</v>
      </c>
      <c r="Z2390" t="str">
        <v>=</v>
      </c>
      <c r="AA2390">
        <f>N2390*U2390*W2390*Y2390</f>
        <v>0</v>
      </c>
    </row>
    <row r="2391">
      <c r="A2391" t="str">
        <f>A2365</f>
        <v>Lantai 1</v>
      </c>
      <c r="B2391">
        <f>B2365</f>
        <v>77</v>
      </c>
      <c r="C2391" t="str">
        <v>Kait Horizontal Tump.</v>
      </c>
      <c r="D2391">
        <f>VLOOKUP(D2365,'Detail Balok'!$C$10:$BJ$140,56,FALSE)</f>
        <v>0</v>
      </c>
      <c r="E2391" t="str">
        <v>D</v>
      </c>
      <c r="F2391">
        <f>VLOOKUP(D2365,'Detail Balok'!$C$10:$BJ$140,58,FALSE)</f>
        <v>0</v>
      </c>
      <c r="G2391" t="str">
        <v>-</v>
      </c>
      <c r="H2391">
        <f>VLOOKUP(D2365,'Detail Balok'!$C$10:$BJ$140,60,FALSE)</f>
        <v>100</v>
      </c>
      <c r="J2391">
        <f>(D2366-2*F$5)/1000</f>
        <v>0.12</v>
      </c>
      <c r="K2391" t="str">
        <v>+</v>
      </c>
      <c r="L2391">
        <f>IF(D2391=0,2*MAX(6*F2391,75),(D2391-1)*2*MAX(6*F2391,75))/1000</f>
        <v>0.15</v>
      </c>
      <c r="M2391" t="str">
        <v>=</v>
      </c>
      <c r="N2391">
        <f>J2391+L2391</f>
        <v>0.27</v>
      </c>
      <c r="T2391" t="str">
        <v>x</v>
      </c>
      <c r="U2391">
        <f>0.006165*F2391^2</f>
        <v>0</v>
      </c>
      <c r="V2391" t="str">
        <v>x</v>
      </c>
      <c r="W2391">
        <f>W2387</f>
        <v>9</v>
      </c>
      <c r="X2391" t="str">
        <v>x</v>
      </c>
      <c r="Y2391">
        <f>D2375</f>
        <v>3</v>
      </c>
      <c r="Z2391" t="str">
        <v>=</v>
      </c>
      <c r="AA2391">
        <f>N2391*U2391*W2391*Y2391</f>
        <v>0</v>
      </c>
    </row>
    <row r="2395">
      <c r="A2395" t="str">
        <f>A2365</f>
        <v>Lantai 1</v>
      </c>
      <c r="B2395">
        <f>B2365+1</f>
        <v>78</v>
      </c>
      <c r="C2395" t="str">
        <f>CONCATENATE(A2395," no. ",B2395)</f>
        <v>Lantai 1 no. 78</v>
      </c>
      <c r="D2395" t="str">
        <f>VLOOKUP(C2395,'Data Panjang Balok'!$C$9:$N$254,2,FALSE)</f>
        <v>B25-1</v>
      </c>
    </row>
    <row r="2396">
      <c r="C2396" t="str">
        <v>Dimensi</v>
      </c>
      <c r="D2396">
        <f>VLOOKUP(D2395,'Detail Balok'!$C$10:$AU$140,2,FALSE)</f>
        <v>200</v>
      </c>
      <c r="F2396" t="str">
        <v>x</v>
      </c>
      <c r="G2396">
        <f>VLOOKUP(D2395,'Detail Balok'!$C$10:$AU$140,3,FALSE)</f>
        <v>500</v>
      </c>
    </row>
    <row r="2397">
      <c r="C2397" t="str">
        <v>Panjang as ke as</v>
      </c>
      <c r="D2397">
        <f>VLOOKUP(C2395,'Data Panjang Balok'!$C$9:$N$254,4,FALSE)</f>
        <v>7075</v>
      </c>
    </row>
    <row r="2398">
      <c r="C2398" t="str">
        <v>Panjang netto</v>
      </c>
      <c r="D2398">
        <f>VLOOKUP(C2395,'Data Panjang Balok'!$C$9:$N$254,7,FALSE)</f>
        <v>7075</v>
      </c>
    </row>
    <row r="2399">
      <c r="C2399" t="str">
        <v>Kolom / balok kiri</v>
      </c>
      <c r="D2399">
        <f>VLOOKUP(C2395,'Data Panjang Balok'!$C$9:$N$254,9,FALSE)</f>
        <v>0</v>
      </c>
    </row>
    <row r="2400">
      <c r="C2400" t="str">
        <v>Kolom / balok kanan</v>
      </c>
      <c r="D2400">
        <f>VLOOKUP(C2395,'Data Panjang Balok'!$C$9:$N$254,10,FALSE)</f>
        <v>0</v>
      </c>
    </row>
    <row r="2401">
      <c r="C2401" t="str">
        <v>Jumlah</v>
      </c>
      <c r="D2401">
        <f>VLOOKUP(C2395,'Data Panjang Balok'!$C$9:$N$254,3,FALSE)</f>
        <v>1</v>
      </c>
    </row>
    <row r="2402">
      <c r="A2402" t="str">
        <f>A2395</f>
        <v>Lantai 1</v>
      </c>
      <c r="B2402">
        <f>B2395</f>
        <v>78</v>
      </c>
      <c r="C2402" t="str">
        <v>Tul Atas Tumpuan</v>
      </c>
      <c r="D2402">
        <f>VLOOKUP(D2395,'Detail Balok'!$C$10:$AU$140,4,FALSE)</f>
        <v>4</v>
      </c>
      <c r="E2402" t="str">
        <v>D</v>
      </c>
      <c r="F2402">
        <f>VLOOKUP(D2395,'Detail Balok'!$C$10:$AU$140,6,FALSE)</f>
        <v>16</v>
      </c>
      <c r="I2402" t="str">
        <v>(</v>
      </c>
      <c r="J2402">
        <f>+D2397/4/1000</f>
        <v>1.76875</v>
      </c>
      <c r="K2402" t="str">
        <v>+</v>
      </c>
      <c r="L2402">
        <f>MAX(VLOOKUP(F2402,N$6:P$15,3,FALSE)/1000,2/3*D2399/1000)+F$16*F2402/1000</f>
        <v>0.192</v>
      </c>
      <c r="M2402" t="str">
        <v>=</v>
      </c>
      <c r="N2402">
        <f>J2402+L2402</f>
        <v>1.96075</v>
      </c>
      <c r="O2402" t="str">
        <v>+</v>
      </c>
      <c r="P2402">
        <f>D2402-D2403</f>
        <v>0</v>
      </c>
      <c r="Q2402" t="str">
        <v>x</v>
      </c>
      <c r="R2402">
        <f>IF(P2402&gt;0,$F$18*F2402/1000,0)</f>
        <v>0</v>
      </c>
      <c r="S2402" t="str">
        <v>)</v>
      </c>
      <c r="T2402" t="str">
        <v>x</v>
      </c>
      <c r="U2402">
        <f>0.006165*F2402^2</f>
        <v>1.57824</v>
      </c>
      <c r="X2402" t="str">
        <v>x</v>
      </c>
      <c r="Y2402">
        <f>D2401</f>
        <v>1</v>
      </c>
      <c r="Z2402" t="str">
        <v>=</v>
      </c>
      <c r="AA2402">
        <f>IF(AA2405=0,(D2402*N2402+P2402*R2402)*U2402*Y2402,0)</f>
        <v>0</v>
      </c>
    </row>
    <row r="2403">
      <c r="A2403" t="str">
        <f>A2395</f>
        <v>Lantai 1</v>
      </c>
      <c r="B2403">
        <f>B2395</f>
        <v>78</v>
      </c>
      <c r="C2403" t="str">
        <v>Tul Atas Lapangan</v>
      </c>
      <c r="D2403">
        <f>VLOOKUP(D2395,'Detail Balok'!$C$10:$AU$140,7,FALSE)</f>
        <v>4</v>
      </c>
      <c r="E2403" t="str">
        <v>D</v>
      </c>
      <c r="F2403">
        <f>VLOOKUP(D2395,'Detail Balok'!$C$10:$AU$140,9,FALSE)</f>
        <v>16</v>
      </c>
      <c r="I2403" t="str">
        <v>(</v>
      </c>
      <c r="J2403">
        <f>+D2397/2/1000</f>
        <v>3.5375</v>
      </c>
      <c r="K2403" t="str">
        <v>+</v>
      </c>
      <c r="M2403" t="str">
        <v>=</v>
      </c>
      <c r="N2403">
        <f>J2403+L2403</f>
        <v>3.5375</v>
      </c>
      <c r="O2403" t="str">
        <v>+</v>
      </c>
      <c r="P2403">
        <f>MAX(D2403-D2402,D2403-D2404)</f>
        <v>0</v>
      </c>
      <c r="Q2403" t="str">
        <v>x</v>
      </c>
      <c r="R2403">
        <f>IF(P2403&gt;0,2*(1-2*$F$19-1/2)*D2398/1000,0)</f>
        <v>0</v>
      </c>
      <c r="S2403" t="str">
        <v>)</v>
      </c>
      <c r="T2403" t="str">
        <v>x</v>
      </c>
      <c r="U2403">
        <f>0.006165*F2403^2</f>
        <v>1.57824</v>
      </c>
      <c r="X2403" t="str">
        <v>x</v>
      </c>
      <c r="Y2403">
        <f>D2401</f>
        <v>1</v>
      </c>
      <c r="Z2403" t="str">
        <v>=</v>
      </c>
      <c r="AA2403">
        <f>IF(AA2405=0,(D2403*N2403+P2403*R2403)*U2403*Y2403,0)</f>
        <v>0</v>
      </c>
    </row>
    <row r="2404">
      <c r="A2404" t="str">
        <f>A2395</f>
        <v>Lantai 1</v>
      </c>
      <c r="B2404">
        <f>B2395</f>
        <v>78</v>
      </c>
      <c r="C2404" t="str">
        <v>Tul Atas Tumpuan</v>
      </c>
      <c r="D2404">
        <f>VLOOKUP(D2395,'Detail Balok'!$C$10:$AU$140,10,FALSE)</f>
        <v>4</v>
      </c>
      <c r="E2404" t="str">
        <v>D</v>
      </c>
      <c r="F2404">
        <f>VLOOKUP(D2395,'Detail Balok'!$C$10:$AU$140,12,FALSE)</f>
        <v>16</v>
      </c>
      <c r="I2404" t="str">
        <v>(</v>
      </c>
      <c r="J2404">
        <f>+D2397/4/1000</f>
        <v>1.76875</v>
      </c>
      <c r="K2404" t="str">
        <v>+</v>
      </c>
      <c r="L2404">
        <f>MAX(VLOOKUP(F2404,N$6:P$15,3,FALSE)/1000,2/3*D2399/1000)+F$16*F2404/1000</f>
        <v>0.192</v>
      </c>
      <c r="M2404" t="str">
        <v>=</v>
      </c>
      <c r="N2404">
        <f>J2404+L2404</f>
        <v>1.96075</v>
      </c>
      <c r="O2404" t="str">
        <v>+</v>
      </c>
      <c r="P2404">
        <f>D2404-D2403</f>
        <v>0</v>
      </c>
      <c r="Q2404" t="str">
        <v>x</v>
      </c>
      <c r="R2404">
        <f>IF(P2404&gt;0,$F$18*F2404/1000,0)</f>
        <v>0</v>
      </c>
      <c r="S2404" t="str">
        <v>)</v>
      </c>
      <c r="T2404" t="str">
        <v>x</v>
      </c>
      <c r="U2404">
        <f>0.006165*F2404^2</f>
        <v>1.57824</v>
      </c>
      <c r="X2404" t="str">
        <v>x</v>
      </c>
      <c r="Y2404">
        <f>D2401</f>
        <v>1</v>
      </c>
      <c r="Z2404" t="str">
        <v>=</v>
      </c>
      <c r="AA2404">
        <f>IF(AA2405=0,(D2404*N2404+P2404*R2404)*U2404*Y2404,0)</f>
        <v>0</v>
      </c>
    </row>
    <row r="2405">
      <c r="A2405" t="str">
        <f>A2395</f>
        <v>Lantai 1</v>
      </c>
      <c r="B2405">
        <f>B2395</f>
        <v>78</v>
      </c>
      <c r="D2405">
        <f>IF(AND(D2402=D2403,D2403=D2404,D2402=D2404),D2402,0)</f>
        <v>4</v>
      </c>
      <c r="E2405" t="str">
        <v>D</v>
      </c>
      <c r="F2405">
        <f>IF(AND(F2402=F2403,F2402=F2404,F2403=F2404),F2402,0)</f>
        <v>16</v>
      </c>
      <c r="L2405" t="str">
        <v>Total panjang per balok</v>
      </c>
      <c r="M2405" t="str">
        <v>=</v>
      </c>
      <c r="N2405">
        <f>IF(AND(D2402=D2403,D2402=D2404,D2403=D2404,F2402=F2403,F2402=F2404,F2403=F2404),SUM(N2402:N2404),0)</f>
        <v>7.4590000000000005</v>
      </c>
      <c r="O2405" t="str">
        <v>+</v>
      </c>
      <c r="P2405">
        <f>IF(N2405&gt;12,ROUNDDOWN(N2405/12,0),0)</f>
        <v>0</v>
      </c>
      <c r="Q2405" t="str">
        <v>x</v>
      </c>
      <c r="R2405">
        <f>IF(P2405&gt;0,MAX(VLOOKUP(F2405,$D$6:$G$15,3,FALSE),600),0)/1000</f>
        <v>0</v>
      </c>
      <c r="T2405" t="str">
        <v>x</v>
      </c>
      <c r="U2405">
        <f>U2404</f>
        <v>1.57824</v>
      </c>
      <c r="V2405" t="str">
        <v>x</v>
      </c>
      <c r="W2405">
        <f>D2405</f>
        <v>4</v>
      </c>
      <c r="X2405" t="str">
        <v>x</v>
      </c>
      <c r="Y2405">
        <f>Y2404</f>
        <v>1</v>
      </c>
      <c r="Z2405" t="str">
        <v>=</v>
      </c>
      <c r="AA2405">
        <f>(N2405+P2405*R2405/1000)*U2405*W2405*Y2405</f>
        <v>47.088368640000006</v>
      </c>
    </row>
    <row r="2407">
      <c r="A2407" t="str">
        <f>A2395</f>
        <v>Lantai 1</v>
      </c>
      <c r="B2407">
        <f>B2395</f>
        <v>78</v>
      </c>
      <c r="C2407" t="str">
        <v>Tul Peminggang</v>
      </c>
      <c r="D2407">
        <f>VLOOKUP(D2395,'Detail Balok'!$C$10:$AU$140,13,FALSE)</f>
        <v>2</v>
      </c>
      <c r="E2407" t="str">
        <v>D</v>
      </c>
      <c r="F2407">
        <f>VLOOKUP(D2395,'Detail Balok'!$C$10:$AU$140,15,FALSE)</f>
        <v>10</v>
      </c>
      <c r="J2407">
        <f>+D2397/1000</f>
        <v>7.075</v>
      </c>
      <c r="K2407" t="str">
        <v>+</v>
      </c>
      <c r="L2407">
        <f>2*$F$16*F2407/1000</f>
        <v>0.24</v>
      </c>
      <c r="M2407" t="str">
        <v>=</v>
      </c>
      <c r="N2407">
        <f>J2407+L2407</f>
        <v>7.315</v>
      </c>
      <c r="O2407" t="str">
        <v>+</v>
      </c>
      <c r="P2407">
        <f>IF(N2407&gt;12,ROUNDDOWN(N2407/12,0),0)</f>
        <v>0</v>
      </c>
      <c r="Q2407" t="str">
        <v>x</v>
      </c>
      <c r="R2407">
        <f>IF(P2407&gt;0,MAX(VLOOKUP(F2407,$D$6:$G$15,3,FALSE),600),0)/1000</f>
        <v>0</v>
      </c>
      <c r="T2407" t="str">
        <v>x</v>
      </c>
      <c r="U2407">
        <f>0.006165*F2407^2</f>
        <v>0.6165</v>
      </c>
      <c r="V2407" t="str">
        <v>x</v>
      </c>
      <c r="W2407">
        <f>+D2407</f>
        <v>2</v>
      </c>
      <c r="X2407" t="str">
        <v>x</v>
      </c>
      <c r="Y2407">
        <f>D2401</f>
        <v>1</v>
      </c>
      <c r="Z2407" t="str">
        <v>=</v>
      </c>
      <c r="AA2407">
        <f>(N2407+P2407*R2407/1000)*U2407*W2407*Y2407</f>
        <v>9.019395000000001</v>
      </c>
    </row>
    <row r="2410">
      <c r="A2410" t="str">
        <f>A2395</f>
        <v>Lantai 1</v>
      </c>
      <c r="B2410">
        <f>B2395</f>
        <v>78</v>
      </c>
      <c r="C2410" t="str">
        <v>Tul Bawah Tumpuan</v>
      </c>
      <c r="D2410">
        <f>VLOOKUP(D2395,'Detail Balok'!$C$10:$AU$140,22,FALSE)</f>
        <v>4</v>
      </c>
      <c r="E2410" t="str">
        <v>D</v>
      </c>
      <c r="F2410">
        <f>VLOOKUP(D2395,'Detail Balok'!$C$10:$AU$140,24,FALSE)</f>
        <v>16</v>
      </c>
      <c r="I2410" t="str">
        <v>(</v>
      </c>
      <c r="J2410">
        <f>+J2402</f>
        <v>1.76875</v>
      </c>
      <c r="K2410" t="str">
        <v>+</v>
      </c>
      <c r="L2410">
        <f>MAX(VLOOKUP(F2410,N$6:P$15,3,FALSE)/1000,2/3*D2400/1000)+F$16*F2410/1000</f>
        <v>0.192</v>
      </c>
      <c r="M2410" t="str">
        <v>=</v>
      </c>
      <c r="N2410">
        <f>J2410+L2410</f>
        <v>1.96075</v>
      </c>
      <c r="O2410" t="str">
        <v>+</v>
      </c>
      <c r="P2410">
        <f>D2410-D2411</f>
        <v>0</v>
      </c>
      <c r="Q2410" t="str">
        <v>x</v>
      </c>
      <c r="R2410">
        <f>IF(P2410&gt;0,$F$18*F2410/1000,0)</f>
        <v>0</v>
      </c>
      <c r="S2410" t="str">
        <v>)</v>
      </c>
      <c r="T2410" t="str">
        <v>x</v>
      </c>
      <c r="U2410">
        <f>0.006165*F2410^2</f>
        <v>1.57824</v>
      </c>
      <c r="X2410" t="str">
        <v>x</v>
      </c>
      <c r="Y2410">
        <f>D2401</f>
        <v>1</v>
      </c>
      <c r="Z2410" t="str">
        <v>=</v>
      </c>
      <c r="AA2410">
        <f>IF(AA2413=0,(D2410*N2410+P2410*R2410)*U2410*Y2410,0)</f>
        <v>0</v>
      </c>
    </row>
    <row r="2411">
      <c r="A2411" t="str">
        <f>A2395</f>
        <v>Lantai 1</v>
      </c>
      <c r="B2411">
        <f>B2395</f>
        <v>78</v>
      </c>
      <c r="C2411" t="str">
        <v>Tul Bawah Lapangan</v>
      </c>
      <c r="D2411">
        <f>VLOOKUP(D2395,'Detail Balok'!$C$10:$AU$140,25,FALSE)</f>
        <v>4</v>
      </c>
      <c r="E2411" t="str">
        <v>D</v>
      </c>
      <c r="F2411">
        <f>VLOOKUP(D2395,'Detail Balok'!$C$10:$AU$140,27,FALSE)</f>
        <v>16</v>
      </c>
      <c r="I2411" t="str">
        <v>(</v>
      </c>
      <c r="J2411">
        <f>+J2403</f>
        <v>3.5375</v>
      </c>
      <c r="K2411" t="str">
        <v>+</v>
      </c>
      <c r="M2411" t="str">
        <v>=</v>
      </c>
      <c r="N2411">
        <f>J2411+L2411</f>
        <v>3.5375</v>
      </c>
      <c r="O2411" t="str">
        <v>+</v>
      </c>
      <c r="P2411">
        <f>MAX(D2411-D2410,D2411-D2412)</f>
        <v>0</v>
      </c>
      <c r="Q2411" t="str">
        <v>x</v>
      </c>
      <c r="R2411">
        <f>IF(P2411&gt;0,2*(1-2*$F$19-1/2)*D2398/1000,0)</f>
        <v>0</v>
      </c>
      <c r="S2411" t="str">
        <v>)</v>
      </c>
      <c r="T2411" t="str">
        <v>x</v>
      </c>
      <c r="U2411">
        <f>0.006165*F2411^2</f>
        <v>1.57824</v>
      </c>
      <c r="X2411" t="str">
        <v>x</v>
      </c>
      <c r="Y2411">
        <f>D2401</f>
        <v>1</v>
      </c>
      <c r="Z2411" t="str">
        <v>=</v>
      </c>
      <c r="AA2411">
        <f>IF(AA2413=0,(D2411*N2411+P2411*R2411)*U2411*Y2411,0)</f>
        <v>0</v>
      </c>
    </row>
    <row r="2412">
      <c r="A2412" t="str">
        <f>A2395</f>
        <v>Lantai 1</v>
      </c>
      <c r="B2412">
        <f>B2395</f>
        <v>78</v>
      </c>
      <c r="C2412" t="str">
        <v>Tul Bawah Tumpuan</v>
      </c>
      <c r="D2412">
        <f>VLOOKUP(D2395,'Detail Balok'!$C$10:$AU$140,28,FALSE)</f>
        <v>4</v>
      </c>
      <c r="E2412" t="str">
        <v>D</v>
      </c>
      <c r="F2412">
        <f>VLOOKUP(D2395,'Detail Balok'!$C$10:$AU$140,30,FALSE)</f>
        <v>16</v>
      </c>
      <c r="I2412" t="str">
        <v>(</v>
      </c>
      <c r="J2412">
        <f>+J2404</f>
        <v>1.76875</v>
      </c>
      <c r="K2412" t="str">
        <v>+</v>
      </c>
      <c r="L2412">
        <f>MAX(VLOOKUP(F2412,N$6:P$15,3,FALSE)/1000,2/3*D2400/1000)+F$16*F2412/1000</f>
        <v>0.192</v>
      </c>
      <c r="M2412" t="str">
        <v>=</v>
      </c>
      <c r="N2412">
        <f>J2412+L2412</f>
        <v>1.96075</v>
      </c>
      <c r="O2412" t="str">
        <v>+</v>
      </c>
      <c r="P2412">
        <f>D2412-D2411</f>
        <v>0</v>
      </c>
      <c r="Q2412" t="str">
        <v>x</v>
      </c>
      <c r="R2412">
        <f>IF(P2412&gt;0,$F$18*F2412/1000,0)</f>
        <v>0</v>
      </c>
      <c r="S2412" t="str">
        <v>)</v>
      </c>
      <c r="T2412" t="str">
        <v>x</v>
      </c>
      <c r="U2412">
        <f>0.006165*F2412^2</f>
        <v>1.57824</v>
      </c>
      <c r="X2412" t="str">
        <v>x</v>
      </c>
      <c r="Y2412">
        <f>D2401</f>
        <v>1</v>
      </c>
      <c r="Z2412" t="str">
        <v>=</v>
      </c>
      <c r="AA2412">
        <f>IF(AA2413=0,(D2412*N2412+P2412*R2412)*U2412*Y2412,0)</f>
        <v>0</v>
      </c>
    </row>
    <row r="2413">
      <c r="A2413" t="str">
        <f>A2395</f>
        <v>Lantai 1</v>
      </c>
      <c r="B2413">
        <f>B2395</f>
        <v>78</v>
      </c>
      <c r="D2413">
        <f>IF(AND(D2410=D2411,D2411=D2412,D2410=D2412),D2410,0)</f>
        <v>4</v>
      </c>
      <c r="E2413" t="str">
        <v>D</v>
      </c>
      <c r="F2413">
        <f>IF(AND(F2410=F2411,F2410=F2412,F2411=F2412),F2410,0)</f>
        <v>16</v>
      </c>
      <c r="L2413" t="str">
        <v>Total panjang per balok</v>
      </c>
      <c r="M2413" t="str">
        <v>=</v>
      </c>
      <c r="N2413">
        <f>IF(AND(D2410=D2411,D2410=D2412,D2411=D2412,F2410=F2411,F2410=F2412,F2411=F2412),SUM(N2410:N2412),0)</f>
        <v>7.4590000000000005</v>
      </c>
      <c r="O2413" t="str">
        <v>+</v>
      </c>
      <c r="P2413">
        <f>IF(N2413&gt;12,ROUNDDOWN(N2413/12,0),0)</f>
        <v>0</v>
      </c>
      <c r="Q2413" t="str">
        <v>x</v>
      </c>
      <c r="R2413">
        <f>IF(P2413&gt;0,MAX(VLOOKUP(F2413,$D$6:$G$15,3,FALSE),600),0)/1000</f>
        <v>0</v>
      </c>
      <c r="T2413" t="str">
        <v>x</v>
      </c>
      <c r="U2413">
        <f>U2412</f>
        <v>1.57824</v>
      </c>
      <c r="V2413" t="str">
        <v>x</v>
      </c>
      <c r="W2413">
        <f>D2413</f>
        <v>4</v>
      </c>
      <c r="X2413" t="str">
        <v>x</v>
      </c>
      <c r="Y2413">
        <f>Y2412</f>
        <v>1</v>
      </c>
      <c r="Z2413" t="str">
        <v>=</v>
      </c>
      <c r="AA2413">
        <f>(N2413+P2413*R2413/1000)*U2413*W2413*Y2413</f>
        <v>47.088368640000006</v>
      </c>
    </row>
    <row r="2415">
      <c r="A2415" t="str">
        <f>A2395</f>
        <v>Lantai 1</v>
      </c>
      <c r="B2415">
        <f>B2395</f>
        <v>78</v>
      </c>
      <c r="C2415" t="str">
        <v>Sengkang Tumpuan</v>
      </c>
      <c r="D2415">
        <f>VLOOKUP(D2395,'Detail Balok'!$C$10:$AU$140,31,FALSE)</f>
        <v>0</v>
      </c>
      <c r="E2415" t="str">
        <v>D</v>
      </c>
      <c r="F2415">
        <f>VLOOKUP(D2395,'Detail Balok'!$C$10:$AU$140,33,FALSE)</f>
        <v>10</v>
      </c>
      <c r="G2415" t="str">
        <v>-</v>
      </c>
      <c r="H2415">
        <f>VLOOKUP(D2395,'Detail Balok'!$C$10:$AU$140,35,FALSE)</f>
        <v>150</v>
      </c>
      <c r="J2415">
        <f>(IF(D2415=0,(2*(D2396+G2396))-(F$5*8),IF(D2415=3,(2*(D2396+G2396))-(F$5*8)+(G2396-2*F$5),IF(D2415=4,(2*(D2396+G2396))-(F$5*8)+2*(G2396-2*F$5)))))/1000</f>
        <v>1.08</v>
      </c>
      <c r="K2415" t="str">
        <v>+</v>
      </c>
      <c r="L2415">
        <f>IF(D2415=0,2*MAX(6*F2415,75),(D2415-1)*2*MAX(6*F2415,75))/1000</f>
        <v>0.15</v>
      </c>
      <c r="M2415" t="str">
        <v>=</v>
      </c>
      <c r="N2415">
        <f>J2415+L2415</f>
        <v>1.23</v>
      </c>
      <c r="T2415" t="str">
        <v>x</v>
      </c>
      <c r="U2415">
        <f>0.006165*F2415^2</f>
        <v>0.6165</v>
      </c>
      <c r="V2415" t="str">
        <v>x</v>
      </c>
      <c r="W2415">
        <f>IF(D2398&gt;4*G2396,ROUND(MAX(D2398/4,2*G2396)/H2415,0)+1,ROUND(D2398/H2415,0)+1)</f>
        <v>13</v>
      </c>
      <c r="X2415" t="str">
        <v>x</v>
      </c>
      <c r="Y2415">
        <f>D2401</f>
        <v>1</v>
      </c>
      <c r="Z2415" t="str">
        <v>=</v>
      </c>
      <c r="AA2415">
        <f>N2415*U2415*W2415*Y2415</f>
        <v>9.857835000000001</v>
      </c>
    </row>
    <row r="2416">
      <c r="A2416" t="str">
        <f>A2395</f>
        <v>Lantai 1</v>
      </c>
      <c r="B2416">
        <f>B2395</f>
        <v>78</v>
      </c>
      <c r="C2416" t="str">
        <v>Sengkang Lapangan</v>
      </c>
      <c r="D2416">
        <f>VLOOKUP(D2395,'Detail Balok'!$C$10:$AU$140,36,FALSE)</f>
        <v>0</v>
      </c>
      <c r="E2416" t="str">
        <v>D</v>
      </c>
      <c r="F2416">
        <f>VLOOKUP(D2395,'Detail Balok'!$C$10:$AU$140,38,FALSE)</f>
        <v>10</v>
      </c>
      <c r="G2416" t="str">
        <v>-</v>
      </c>
      <c r="H2416">
        <f>VLOOKUP(D2395,'Detail Balok'!$C$10:$AU$140,40,FALSE)</f>
        <v>200</v>
      </c>
      <c r="J2416">
        <f>(IF(D2416=0,(2*(D2396+G2396))-(F$5*8),IF(D2416=3,(2*(D2396+G2396))-(F$5*8)+(G2396-2*F$5),IF(D2416=4,(2*(D2396+G2396))-(F$5*8)+2*(G2396-2*F$5)))))/1000</f>
        <v>1.08</v>
      </c>
      <c r="K2416" t="str">
        <v>+</v>
      </c>
      <c r="L2416">
        <f>IF(D2416=0,2*MAX(6*F2416,75),(D2416-1)*2*MAX(6*F2416,75))/1000</f>
        <v>0.15</v>
      </c>
      <c r="M2416" t="str">
        <v>=</v>
      </c>
      <c r="N2416">
        <f>J2416+L2416</f>
        <v>1.23</v>
      </c>
      <c r="T2416" t="str">
        <v>x</v>
      </c>
      <c r="U2416">
        <f>0.006165*F2416^2</f>
        <v>0.6165</v>
      </c>
      <c r="V2416" t="str">
        <v>x</v>
      </c>
      <c r="W2416">
        <f>IF(D2398-MAX(D2398/4,2*G2396)*2&gt;0,ROUND((D2398-MAX(D2398/4,2*G2396)*2)/H2416,0),0)</f>
        <v>18</v>
      </c>
      <c r="X2416" t="str">
        <v>x</v>
      </c>
      <c r="Y2416">
        <f>D2401</f>
        <v>1</v>
      </c>
      <c r="Z2416" t="str">
        <v>=</v>
      </c>
      <c r="AA2416">
        <f>N2416*U2416*W2416*Y2416</f>
        <v>13.649310000000002</v>
      </c>
    </row>
    <row r="2417">
      <c r="A2417" t="str">
        <f>A2395</f>
        <v>Lantai 1</v>
      </c>
      <c r="B2417">
        <f>B2395</f>
        <v>78</v>
      </c>
      <c r="C2417" t="str">
        <v>Sengkang Tumpuan</v>
      </c>
      <c r="D2417">
        <f>VLOOKUP(D2395,'Detail Balok'!$C$10:$AU$140,41,FALSE)</f>
        <v>0</v>
      </c>
      <c r="E2417" t="str">
        <v>D</v>
      </c>
      <c r="F2417">
        <f>VLOOKUP(D2395,'Detail Balok'!$C$10:$AU$140,43,FALSE)</f>
        <v>10</v>
      </c>
      <c r="G2417" t="str">
        <v>-</v>
      </c>
      <c r="H2417">
        <f>VLOOKUP(D2395,'Detail Balok'!$C$10:$AU$140,45,FALSE)</f>
        <v>150</v>
      </c>
      <c r="J2417">
        <f>(IF(D2417=0,(2*(D2396+G2396))-(F$5*8),IF(D2417=3,(2*(D2396+G2396))-(F$5*8)+(G2396-2*F$5),IF(D2417=4,(2*(D2396+G2396))-(F$5*8)+2*(G2396-2*F$5)))))/1000</f>
        <v>1.08</v>
      </c>
      <c r="K2417" t="str">
        <v>+</v>
      </c>
      <c r="L2417">
        <f>IF(D2417=0,2*MAX(6*F2417,75),(D2417-1)*2*MAX(6*F2417,75))/1000</f>
        <v>0.15</v>
      </c>
      <c r="M2417" t="str">
        <v>=</v>
      </c>
      <c r="N2417">
        <f>J2417+L2417</f>
        <v>1.23</v>
      </c>
      <c r="T2417" t="str">
        <v>x</v>
      </c>
      <c r="U2417">
        <f>0.006165*F2417^2</f>
        <v>0.6165</v>
      </c>
      <c r="V2417" t="str">
        <v>x</v>
      </c>
      <c r="W2417">
        <f>IF(D2398&gt;4*G2396,ROUND(MAX(D2398/4,2*G2396)/H2417,0)+1,0)</f>
        <v>13</v>
      </c>
      <c r="X2417" t="str">
        <v>x</v>
      </c>
      <c r="Y2417">
        <f>D2401</f>
        <v>1</v>
      </c>
      <c r="Z2417" t="str">
        <v>=</v>
      </c>
      <c r="AA2417">
        <f>N2417*U2417*W2417*Y2417</f>
        <v>9.857835000000001</v>
      </c>
    </row>
    <row r="2419">
      <c r="A2419" t="str">
        <f>A2395</f>
        <v>Lantai 1</v>
      </c>
      <c r="B2419">
        <f>B2395</f>
        <v>78</v>
      </c>
      <c r="C2419" t="str">
        <v>Kait Horizontal Tump.</v>
      </c>
      <c r="D2419">
        <f>VLOOKUP(D2395,'Detail Balok'!$C$10:$BJ$140,46,FALSE)</f>
        <v>0</v>
      </c>
      <c r="E2419" t="str">
        <v>D</v>
      </c>
      <c r="F2419">
        <f>VLOOKUP(D2395,'Detail Balok'!$C$10:$BJ$140,48,FALSE)</f>
        <v>0</v>
      </c>
      <c r="G2419" t="str">
        <v>-</v>
      </c>
      <c r="H2419">
        <f>VLOOKUP(D2395,'Detail Balok'!$C$10:$BJ$140,50,FALSE)</f>
        <v>100</v>
      </c>
      <c r="J2419">
        <f>(D2396-2*F$5)/1000</f>
        <v>0.12</v>
      </c>
      <c r="K2419" t="str">
        <v>+</v>
      </c>
      <c r="L2419">
        <f>IF(D2419=0,2*MAX(6*F2419,75),(D2419-1)*2*MAX(6*F2419,75))/1000</f>
        <v>0.15</v>
      </c>
      <c r="M2419" t="str">
        <v>=</v>
      </c>
      <c r="N2419">
        <f>J2419+L2419</f>
        <v>0.27</v>
      </c>
      <c r="T2419" t="str">
        <v>x</v>
      </c>
      <c r="U2419">
        <f>0.006165*F2419^2</f>
        <v>0</v>
      </c>
      <c r="V2419" t="str">
        <v>x</v>
      </c>
      <c r="W2419">
        <f>W2415</f>
        <v>13</v>
      </c>
      <c r="X2419" t="str">
        <v>x</v>
      </c>
      <c r="Y2419">
        <f>D2405</f>
        <v>4</v>
      </c>
      <c r="Z2419" t="str">
        <v>=</v>
      </c>
      <c r="AA2419">
        <f>N2419*U2419*W2419*Y2419</f>
        <v>0</v>
      </c>
    </row>
    <row r="2420">
      <c r="A2420" t="str">
        <f>A2395</f>
        <v>Lantai 1</v>
      </c>
      <c r="B2420">
        <f>B2395</f>
        <v>78</v>
      </c>
      <c r="C2420" t="str">
        <v>Kait Horizontal Lap.</v>
      </c>
      <c r="D2420">
        <f>VLOOKUP(D2395,'Detail Balok'!$C$10:$BJ$140,51,FALSE)</f>
        <v>0</v>
      </c>
      <c r="E2420" t="str">
        <v>D</v>
      </c>
      <c r="F2420">
        <f>VLOOKUP(D2395,'Detail Balok'!$C$10:$BJ$140,53,FALSE)</f>
        <v>0</v>
      </c>
      <c r="G2420" t="str">
        <v>-</v>
      </c>
      <c r="H2420">
        <f>VLOOKUP(D2395,'Detail Balok'!$C$10:$BJ$140,55,FALSE)</f>
        <v>100</v>
      </c>
      <c r="J2420">
        <f>(D2396-2*F$5)/1000</f>
        <v>0.12</v>
      </c>
      <c r="K2420" t="str">
        <v>+</v>
      </c>
      <c r="L2420">
        <f>IF(D2420=0,2*MAX(6*F2420,75),(D2420-1)*2*MAX(6*F2420,75))/1000</f>
        <v>0.15</v>
      </c>
      <c r="M2420" t="str">
        <v>=</v>
      </c>
      <c r="N2420">
        <f>J2420+L2420</f>
        <v>0.27</v>
      </c>
      <c r="T2420" t="str">
        <v>x</v>
      </c>
      <c r="U2420">
        <f>0.006165*F2420^2</f>
        <v>0</v>
      </c>
      <c r="V2420" t="str">
        <v>x</v>
      </c>
      <c r="W2420">
        <f>W2416</f>
        <v>18</v>
      </c>
      <c r="X2420" t="str">
        <v>x</v>
      </c>
      <c r="Y2420">
        <f>D2405</f>
        <v>4</v>
      </c>
      <c r="Z2420" t="str">
        <v>=</v>
      </c>
      <c r="AA2420">
        <f>N2420*U2420*W2420*Y2420</f>
        <v>0</v>
      </c>
    </row>
    <row r="2421">
      <c r="A2421" t="str">
        <f>A2395</f>
        <v>Lantai 1</v>
      </c>
      <c r="B2421">
        <f>B2395</f>
        <v>78</v>
      </c>
      <c r="C2421" t="str">
        <v>Kait Horizontal Tump.</v>
      </c>
      <c r="D2421">
        <f>VLOOKUP(D2395,'Detail Balok'!$C$10:$BJ$140,56,FALSE)</f>
        <v>0</v>
      </c>
      <c r="E2421" t="str">
        <v>D</v>
      </c>
      <c r="F2421">
        <f>VLOOKUP(D2395,'Detail Balok'!$C$10:$BJ$140,58,FALSE)</f>
        <v>0</v>
      </c>
      <c r="G2421" t="str">
        <v>-</v>
      </c>
      <c r="H2421">
        <f>VLOOKUP(D2395,'Detail Balok'!$C$10:$BJ$140,60,FALSE)</f>
        <v>100</v>
      </c>
      <c r="J2421">
        <f>(D2396-2*F$5)/1000</f>
        <v>0.12</v>
      </c>
      <c r="K2421" t="str">
        <v>+</v>
      </c>
      <c r="L2421">
        <f>IF(D2421=0,2*MAX(6*F2421,75),(D2421-1)*2*MAX(6*F2421,75))/1000</f>
        <v>0.15</v>
      </c>
      <c r="M2421" t="str">
        <v>=</v>
      </c>
      <c r="N2421">
        <f>J2421+L2421</f>
        <v>0.27</v>
      </c>
      <c r="T2421" t="str">
        <v>x</v>
      </c>
      <c r="U2421">
        <f>0.006165*F2421^2</f>
        <v>0</v>
      </c>
      <c r="V2421" t="str">
        <v>x</v>
      </c>
      <c r="W2421">
        <f>W2417</f>
        <v>13</v>
      </c>
      <c r="X2421" t="str">
        <v>x</v>
      </c>
      <c r="Y2421">
        <f>D2405</f>
        <v>4</v>
      </c>
      <c r="Z2421" t="str">
        <v>=</v>
      </c>
      <c r="AA2421">
        <f>N2421*U2421*W2421*Y2421</f>
        <v>0</v>
      </c>
    </row>
    <row r="2425">
      <c r="A2425" t="str">
        <f>A2395</f>
        <v>Lantai 1</v>
      </c>
      <c r="B2425">
        <f>B2395+1</f>
        <v>79</v>
      </c>
      <c r="C2425" t="str">
        <f>CONCATENATE(A2425," no. ",B2425)</f>
        <v>Lantai 1 no. 79</v>
      </c>
      <c r="D2425" t="str">
        <f>VLOOKUP(C2425,'Data Panjang Balok'!$C$9:$N$254,2,FALSE)</f>
        <v>B24-2</v>
      </c>
    </row>
    <row r="2426">
      <c r="C2426" t="str">
        <v>Dimensi</v>
      </c>
      <c r="D2426">
        <f>VLOOKUP(D2425,'Detail Balok'!$C$10:$AU$140,2,FALSE)</f>
        <v>200</v>
      </c>
      <c r="F2426" t="str">
        <v>x</v>
      </c>
      <c r="G2426">
        <f>VLOOKUP(D2425,'Detail Balok'!$C$10:$AU$140,3,FALSE)</f>
        <v>400</v>
      </c>
    </row>
    <row r="2427">
      <c r="C2427" t="str">
        <v>Panjang as ke as</v>
      </c>
      <c r="D2427">
        <f>VLOOKUP(C2425,'Data Panjang Balok'!$C$9:$N$254,4,FALSE)</f>
        <v>1130</v>
      </c>
    </row>
    <row r="2428">
      <c r="C2428" t="str">
        <v>Panjang netto</v>
      </c>
      <c r="D2428">
        <f>VLOOKUP(C2425,'Data Panjang Balok'!$C$9:$N$254,7,FALSE)</f>
        <v>1130</v>
      </c>
    </row>
    <row r="2429">
      <c r="C2429" t="str">
        <v>Kolom / balok kiri</v>
      </c>
      <c r="D2429">
        <f>VLOOKUP(C2425,'Data Panjang Balok'!$C$9:$N$254,9,FALSE)</f>
        <v>0</v>
      </c>
    </row>
    <row r="2430">
      <c r="C2430" t="str">
        <v>Kolom / balok kanan</v>
      </c>
      <c r="D2430">
        <f>VLOOKUP(C2425,'Data Panjang Balok'!$C$9:$N$254,10,FALSE)</f>
        <v>0</v>
      </c>
    </row>
    <row r="2431">
      <c r="C2431" t="str">
        <v>Jumlah</v>
      </c>
      <c r="D2431">
        <f>VLOOKUP(C2425,'Data Panjang Balok'!$C$9:$N$254,3,FALSE)</f>
        <v>1</v>
      </c>
    </row>
    <row r="2432">
      <c r="A2432" t="str">
        <f>A2425</f>
        <v>Lantai 1</v>
      </c>
      <c r="B2432">
        <f>B2425</f>
        <v>79</v>
      </c>
      <c r="C2432" t="str">
        <v>Tul Atas Tumpuan</v>
      </c>
      <c r="D2432">
        <f>VLOOKUP(D2425,'Detail Balok'!$C$10:$AU$140,4,FALSE)</f>
        <v>3</v>
      </c>
      <c r="E2432" t="str">
        <v>D</v>
      </c>
      <c r="F2432">
        <f>VLOOKUP(D2425,'Detail Balok'!$C$10:$AU$140,6,FALSE)</f>
        <v>16</v>
      </c>
      <c r="I2432" t="str">
        <v>(</v>
      </c>
      <c r="J2432">
        <f>+D2427/4/1000</f>
        <v>0.2825</v>
      </c>
      <c r="K2432" t="str">
        <v>+</v>
      </c>
      <c r="L2432">
        <f>MAX(VLOOKUP(F2432,N$6:P$15,3,FALSE)/1000,2/3*D2429/1000)+F$16*F2432/1000</f>
        <v>0.192</v>
      </c>
      <c r="M2432" t="str">
        <v>=</v>
      </c>
      <c r="N2432">
        <f>J2432+L2432</f>
        <v>0.4745</v>
      </c>
      <c r="O2432" t="str">
        <v>+</v>
      </c>
      <c r="P2432">
        <f>D2432-D2433</f>
        <v>0</v>
      </c>
      <c r="Q2432" t="str">
        <v>x</v>
      </c>
      <c r="R2432">
        <f>IF(P2432&gt;0,$F$18*F2432/1000,0)</f>
        <v>0</v>
      </c>
      <c r="S2432" t="str">
        <v>)</v>
      </c>
      <c r="T2432" t="str">
        <v>x</v>
      </c>
      <c r="U2432">
        <f>0.006165*F2432^2</f>
        <v>1.57824</v>
      </c>
      <c r="X2432" t="str">
        <v>x</v>
      </c>
      <c r="Y2432">
        <f>D2431</f>
        <v>1</v>
      </c>
      <c r="Z2432" t="str">
        <v>=</v>
      </c>
      <c r="AA2432">
        <f>IF(AA2435=0,(D2432*N2432+P2432*R2432)*U2432*Y2432,0)</f>
        <v>0</v>
      </c>
    </row>
    <row r="2433">
      <c r="A2433" t="str">
        <f>A2425</f>
        <v>Lantai 1</v>
      </c>
      <c r="B2433">
        <f>B2425</f>
        <v>79</v>
      </c>
      <c r="C2433" t="str">
        <v>Tul Atas Lapangan</v>
      </c>
      <c r="D2433">
        <f>VLOOKUP(D2425,'Detail Balok'!$C$10:$AU$140,7,FALSE)</f>
        <v>3</v>
      </c>
      <c r="E2433" t="str">
        <v>D</v>
      </c>
      <c r="F2433">
        <f>VLOOKUP(D2425,'Detail Balok'!$C$10:$AU$140,9,FALSE)</f>
        <v>16</v>
      </c>
      <c r="I2433" t="str">
        <v>(</v>
      </c>
      <c r="J2433">
        <f>+D2427/2/1000</f>
        <v>0.565</v>
      </c>
      <c r="K2433" t="str">
        <v>+</v>
      </c>
      <c r="M2433" t="str">
        <v>=</v>
      </c>
      <c r="N2433">
        <f>J2433+L2433</f>
        <v>0.565</v>
      </c>
      <c r="O2433" t="str">
        <v>+</v>
      </c>
      <c r="P2433">
        <f>MAX(D2433-D2432,D2433-D2434)</f>
        <v>0</v>
      </c>
      <c r="Q2433" t="str">
        <v>x</v>
      </c>
      <c r="R2433">
        <f>IF(P2433&gt;0,2*(1-2*$F$19-1/2)*D2428/1000,0)</f>
        <v>0</v>
      </c>
      <c r="S2433" t="str">
        <v>)</v>
      </c>
      <c r="T2433" t="str">
        <v>x</v>
      </c>
      <c r="U2433">
        <f>0.006165*F2433^2</f>
        <v>1.57824</v>
      </c>
      <c r="X2433" t="str">
        <v>x</v>
      </c>
      <c r="Y2433">
        <f>D2431</f>
        <v>1</v>
      </c>
      <c r="Z2433" t="str">
        <v>=</v>
      </c>
      <c r="AA2433">
        <f>IF(AA2435=0,(D2433*N2433+P2433*R2433)*U2433*Y2433,0)</f>
        <v>0</v>
      </c>
    </row>
    <row r="2434">
      <c r="A2434" t="str">
        <f>A2425</f>
        <v>Lantai 1</v>
      </c>
      <c r="B2434">
        <f>B2425</f>
        <v>79</v>
      </c>
      <c r="C2434" t="str">
        <v>Tul Atas Tumpuan</v>
      </c>
      <c r="D2434">
        <f>VLOOKUP(D2425,'Detail Balok'!$C$10:$AU$140,10,FALSE)</f>
        <v>3</v>
      </c>
      <c r="E2434" t="str">
        <v>D</v>
      </c>
      <c r="F2434">
        <f>VLOOKUP(D2425,'Detail Balok'!$C$10:$AU$140,12,FALSE)</f>
        <v>16</v>
      </c>
      <c r="I2434" t="str">
        <v>(</v>
      </c>
      <c r="J2434">
        <f>+D2427/4/1000</f>
        <v>0.2825</v>
      </c>
      <c r="K2434" t="str">
        <v>+</v>
      </c>
      <c r="L2434">
        <f>MAX(VLOOKUP(F2434,N$6:P$15,3,FALSE)/1000,2/3*D2429/1000)+F$16*F2434/1000</f>
        <v>0.192</v>
      </c>
      <c r="M2434" t="str">
        <v>=</v>
      </c>
      <c r="N2434">
        <f>J2434+L2434</f>
        <v>0.4745</v>
      </c>
      <c r="O2434" t="str">
        <v>+</v>
      </c>
      <c r="P2434">
        <f>D2434-D2433</f>
        <v>0</v>
      </c>
      <c r="Q2434" t="str">
        <v>x</v>
      </c>
      <c r="R2434">
        <f>IF(P2434&gt;0,$F$18*F2434/1000,0)</f>
        <v>0</v>
      </c>
      <c r="S2434" t="str">
        <v>)</v>
      </c>
      <c r="T2434" t="str">
        <v>x</v>
      </c>
      <c r="U2434">
        <f>0.006165*F2434^2</f>
        <v>1.57824</v>
      </c>
      <c r="X2434" t="str">
        <v>x</v>
      </c>
      <c r="Y2434">
        <f>D2431</f>
        <v>1</v>
      </c>
      <c r="Z2434" t="str">
        <v>=</v>
      </c>
      <c r="AA2434">
        <f>IF(AA2435=0,(D2434*N2434+P2434*R2434)*U2434*Y2434,0)</f>
        <v>0</v>
      </c>
    </row>
    <row r="2435">
      <c r="A2435" t="str">
        <f>A2425</f>
        <v>Lantai 1</v>
      </c>
      <c r="B2435">
        <f>B2425</f>
        <v>79</v>
      </c>
      <c r="D2435">
        <f>IF(AND(D2432=D2433,D2433=D2434,D2432=D2434),D2432,0)</f>
        <v>3</v>
      </c>
      <c r="E2435" t="str">
        <v>D</v>
      </c>
      <c r="F2435">
        <f>IF(AND(F2432=F2433,F2432=F2434,F2433=F2434),F2432,0)</f>
        <v>16</v>
      </c>
      <c r="L2435" t="str">
        <v>Total panjang per balok</v>
      </c>
      <c r="M2435" t="str">
        <v>=</v>
      </c>
      <c r="N2435">
        <f>IF(AND(D2432=D2433,D2432=D2434,D2433=D2434,F2432=F2433,F2432=F2434,F2433=F2434),SUM(N2432:N2434),0)</f>
        <v>1.5139999999999998</v>
      </c>
      <c r="O2435" t="str">
        <v>+</v>
      </c>
      <c r="P2435">
        <f>IF(N2435&gt;12,ROUNDDOWN(N2435/12,0),0)</f>
        <v>0</v>
      </c>
      <c r="Q2435" t="str">
        <v>x</v>
      </c>
      <c r="R2435">
        <f>IF(P2435&gt;0,MAX(VLOOKUP(F2435,$D$6:$G$15,3,FALSE),600),0)/1000</f>
        <v>0</v>
      </c>
      <c r="T2435" t="str">
        <v>x</v>
      </c>
      <c r="U2435">
        <f>U2434</f>
        <v>1.57824</v>
      </c>
      <c r="V2435" t="str">
        <v>x</v>
      </c>
      <c r="W2435">
        <f>D2435</f>
        <v>3</v>
      </c>
      <c r="X2435" t="str">
        <v>x</v>
      </c>
      <c r="Y2435">
        <f>Y2434</f>
        <v>1</v>
      </c>
      <c r="Z2435" t="str">
        <v>=</v>
      </c>
      <c r="AA2435">
        <f>(N2435+P2435*R2435/1000)*U2435*W2435*Y2435</f>
        <v>7.16836608</v>
      </c>
    </row>
    <row r="2437">
      <c r="A2437" t="str">
        <f>A2425</f>
        <v>Lantai 1</v>
      </c>
      <c r="B2437">
        <f>B2425</f>
        <v>79</v>
      </c>
      <c r="C2437" t="str">
        <v>Tul Peminggang</v>
      </c>
      <c r="D2437">
        <f>VLOOKUP(D2425,'Detail Balok'!$C$10:$AU$140,13,FALSE)</f>
        <v>0</v>
      </c>
      <c r="E2437" t="str">
        <v>D</v>
      </c>
      <c r="F2437">
        <f>VLOOKUP(D2425,'Detail Balok'!$C$10:$AU$140,15,FALSE)</f>
        <v>8</v>
      </c>
      <c r="J2437">
        <f>+D2427/1000</f>
        <v>1.13</v>
      </c>
      <c r="K2437" t="str">
        <v>+</v>
      </c>
      <c r="L2437">
        <f>2*$F$16*F2437/1000</f>
        <v>0.192</v>
      </c>
      <c r="M2437" t="str">
        <v>=</v>
      </c>
      <c r="N2437">
        <f>J2437+L2437</f>
        <v>1.3219999999999998</v>
      </c>
      <c r="O2437" t="str">
        <v>+</v>
      </c>
      <c r="P2437">
        <f>IF(N2437&gt;12,ROUNDDOWN(N2437/12,0),0)</f>
        <v>0</v>
      </c>
      <c r="Q2437" t="str">
        <v>x</v>
      </c>
      <c r="R2437">
        <f>IF(P2437&gt;0,MAX(VLOOKUP(F2437,$D$6:$G$15,3,FALSE),600),0)/1000</f>
        <v>0</v>
      </c>
      <c r="T2437" t="str">
        <v>x</v>
      </c>
      <c r="U2437">
        <f>0.006165*F2437^2</f>
        <v>0.39456</v>
      </c>
      <c r="V2437" t="str">
        <v>x</v>
      </c>
      <c r="W2437">
        <f>+D2437</f>
        <v>0</v>
      </c>
      <c r="X2437" t="str">
        <v>x</v>
      </c>
      <c r="Y2437">
        <f>D2431</f>
        <v>1</v>
      </c>
      <c r="Z2437" t="str">
        <v>=</v>
      </c>
      <c r="AA2437">
        <f>(N2437+P2437*R2437/1000)*U2437*W2437*Y2437</f>
        <v>0</v>
      </c>
    </row>
    <row r="2440">
      <c r="A2440" t="str">
        <f>A2425</f>
        <v>Lantai 1</v>
      </c>
      <c r="B2440">
        <f>B2425</f>
        <v>79</v>
      </c>
      <c r="C2440" t="str">
        <v>Tul Bawah Tumpuan</v>
      </c>
      <c r="D2440">
        <f>VLOOKUP(D2425,'Detail Balok'!$C$10:$AU$140,22,FALSE)</f>
        <v>3</v>
      </c>
      <c r="E2440" t="str">
        <v>D</v>
      </c>
      <c r="F2440">
        <f>VLOOKUP(D2425,'Detail Balok'!$C$10:$AU$140,24,FALSE)</f>
        <v>16</v>
      </c>
      <c r="I2440" t="str">
        <v>(</v>
      </c>
      <c r="J2440">
        <f>+J2432</f>
        <v>0.2825</v>
      </c>
      <c r="K2440" t="str">
        <v>+</v>
      </c>
      <c r="L2440">
        <f>MAX(VLOOKUP(F2440,N$6:P$15,3,FALSE)/1000,2/3*D2430/1000)+F$16*F2440/1000</f>
        <v>0.192</v>
      </c>
      <c r="M2440" t="str">
        <v>=</v>
      </c>
      <c r="N2440">
        <f>J2440+L2440</f>
        <v>0.4745</v>
      </c>
      <c r="O2440" t="str">
        <v>+</v>
      </c>
      <c r="P2440">
        <f>D2440-D2441</f>
        <v>0</v>
      </c>
      <c r="Q2440" t="str">
        <v>x</v>
      </c>
      <c r="R2440">
        <f>IF(P2440&gt;0,$F$18*F2440/1000,0)</f>
        <v>0</v>
      </c>
      <c r="S2440" t="str">
        <v>)</v>
      </c>
      <c r="T2440" t="str">
        <v>x</v>
      </c>
      <c r="U2440">
        <f>0.006165*F2440^2</f>
        <v>1.57824</v>
      </c>
      <c r="X2440" t="str">
        <v>x</v>
      </c>
      <c r="Y2440">
        <f>D2431</f>
        <v>1</v>
      </c>
      <c r="Z2440" t="str">
        <v>=</v>
      </c>
      <c r="AA2440">
        <f>IF(AA2443=0,(D2440*N2440+P2440*R2440)*U2440*Y2440,0)</f>
        <v>0</v>
      </c>
    </row>
    <row r="2441">
      <c r="A2441" t="str">
        <f>A2425</f>
        <v>Lantai 1</v>
      </c>
      <c r="B2441">
        <f>B2425</f>
        <v>79</v>
      </c>
      <c r="C2441" t="str">
        <v>Tul Bawah Lapangan</v>
      </c>
      <c r="D2441">
        <f>VLOOKUP(D2425,'Detail Balok'!$C$10:$AU$140,25,FALSE)</f>
        <v>3</v>
      </c>
      <c r="E2441" t="str">
        <v>D</v>
      </c>
      <c r="F2441">
        <f>VLOOKUP(D2425,'Detail Balok'!$C$10:$AU$140,27,FALSE)</f>
        <v>16</v>
      </c>
      <c r="I2441" t="str">
        <v>(</v>
      </c>
      <c r="J2441">
        <f>+J2433</f>
        <v>0.565</v>
      </c>
      <c r="K2441" t="str">
        <v>+</v>
      </c>
      <c r="M2441" t="str">
        <v>=</v>
      </c>
      <c r="N2441">
        <f>J2441+L2441</f>
        <v>0.565</v>
      </c>
      <c r="O2441" t="str">
        <v>+</v>
      </c>
      <c r="P2441">
        <f>MAX(D2441-D2440,D2441-D2442)</f>
        <v>0</v>
      </c>
      <c r="Q2441" t="str">
        <v>x</v>
      </c>
      <c r="R2441">
        <f>IF(P2441&gt;0,2*(1-2*$F$19-1/2)*D2428/1000,0)</f>
        <v>0</v>
      </c>
      <c r="S2441" t="str">
        <v>)</v>
      </c>
      <c r="T2441" t="str">
        <v>x</v>
      </c>
      <c r="U2441">
        <f>0.006165*F2441^2</f>
        <v>1.57824</v>
      </c>
      <c r="X2441" t="str">
        <v>x</v>
      </c>
      <c r="Y2441">
        <f>D2431</f>
        <v>1</v>
      </c>
      <c r="Z2441" t="str">
        <v>=</v>
      </c>
      <c r="AA2441">
        <f>IF(AA2443=0,(D2441*N2441+P2441*R2441)*U2441*Y2441,0)</f>
        <v>0</v>
      </c>
    </row>
    <row r="2442">
      <c r="A2442" t="str">
        <f>A2425</f>
        <v>Lantai 1</v>
      </c>
      <c r="B2442">
        <f>B2425</f>
        <v>79</v>
      </c>
      <c r="C2442" t="str">
        <v>Tul Bawah Tumpuan</v>
      </c>
      <c r="D2442">
        <f>VLOOKUP(D2425,'Detail Balok'!$C$10:$AU$140,28,FALSE)</f>
        <v>3</v>
      </c>
      <c r="E2442" t="str">
        <v>D</v>
      </c>
      <c r="F2442">
        <f>VLOOKUP(D2425,'Detail Balok'!$C$10:$AU$140,30,FALSE)</f>
        <v>16</v>
      </c>
      <c r="I2442" t="str">
        <v>(</v>
      </c>
      <c r="J2442">
        <f>+J2434</f>
        <v>0.2825</v>
      </c>
      <c r="K2442" t="str">
        <v>+</v>
      </c>
      <c r="L2442">
        <f>MAX(VLOOKUP(F2442,N$6:P$15,3,FALSE)/1000,2/3*D2430/1000)+F$16*F2442/1000</f>
        <v>0.192</v>
      </c>
      <c r="M2442" t="str">
        <v>=</v>
      </c>
      <c r="N2442">
        <f>J2442+L2442</f>
        <v>0.4745</v>
      </c>
      <c r="O2442" t="str">
        <v>+</v>
      </c>
      <c r="P2442">
        <f>D2442-D2441</f>
        <v>0</v>
      </c>
      <c r="Q2442" t="str">
        <v>x</v>
      </c>
      <c r="R2442">
        <f>IF(P2442&gt;0,$F$18*F2442/1000,0)</f>
        <v>0</v>
      </c>
      <c r="S2442" t="str">
        <v>)</v>
      </c>
      <c r="T2442" t="str">
        <v>x</v>
      </c>
      <c r="U2442">
        <f>0.006165*F2442^2</f>
        <v>1.57824</v>
      </c>
      <c r="X2442" t="str">
        <v>x</v>
      </c>
      <c r="Y2442">
        <f>D2431</f>
        <v>1</v>
      </c>
      <c r="Z2442" t="str">
        <v>=</v>
      </c>
      <c r="AA2442">
        <f>IF(AA2443=0,(D2442*N2442+P2442*R2442)*U2442*Y2442,0)</f>
        <v>0</v>
      </c>
    </row>
    <row r="2443">
      <c r="A2443" t="str">
        <f>A2425</f>
        <v>Lantai 1</v>
      </c>
      <c r="B2443">
        <f>B2425</f>
        <v>79</v>
      </c>
      <c r="D2443">
        <f>IF(AND(D2440=D2441,D2441=D2442,D2440=D2442),D2440,0)</f>
        <v>3</v>
      </c>
      <c r="E2443" t="str">
        <v>D</v>
      </c>
      <c r="F2443">
        <f>IF(AND(F2440=F2441,F2440=F2442,F2441=F2442),F2440,0)</f>
        <v>16</v>
      </c>
      <c r="L2443" t="str">
        <v>Total panjang per balok</v>
      </c>
      <c r="M2443" t="str">
        <v>=</v>
      </c>
      <c r="N2443">
        <f>IF(AND(D2440=D2441,D2440=D2442,D2441=D2442,F2440=F2441,F2440=F2442,F2441=F2442),SUM(N2440:N2442),0)</f>
        <v>1.5139999999999998</v>
      </c>
      <c r="O2443" t="str">
        <v>+</v>
      </c>
      <c r="P2443">
        <f>IF(N2443&gt;12,ROUNDDOWN(N2443/12,0),0)</f>
        <v>0</v>
      </c>
      <c r="Q2443" t="str">
        <v>x</v>
      </c>
      <c r="R2443">
        <f>IF(P2443&gt;0,MAX(VLOOKUP(F2443,$D$6:$G$15,3,FALSE),600),0)/1000</f>
        <v>0</v>
      </c>
      <c r="T2443" t="str">
        <v>x</v>
      </c>
      <c r="U2443">
        <f>U2442</f>
        <v>1.57824</v>
      </c>
      <c r="V2443" t="str">
        <v>x</v>
      </c>
      <c r="W2443">
        <f>D2443</f>
        <v>3</v>
      </c>
      <c r="X2443" t="str">
        <v>x</v>
      </c>
      <c r="Y2443">
        <f>Y2442</f>
        <v>1</v>
      </c>
      <c r="Z2443" t="str">
        <v>=</v>
      </c>
      <c r="AA2443">
        <f>(N2443+P2443*R2443/1000)*U2443*W2443*Y2443</f>
        <v>7.16836608</v>
      </c>
    </row>
    <row r="2445">
      <c r="A2445" t="str">
        <f>A2425</f>
        <v>Lantai 1</v>
      </c>
      <c r="B2445">
        <f>B2425</f>
        <v>79</v>
      </c>
      <c r="C2445" t="str">
        <v>Sengkang Tumpuan</v>
      </c>
      <c r="D2445">
        <f>VLOOKUP(D2425,'Detail Balok'!$C$10:$AU$140,31,FALSE)</f>
        <v>0</v>
      </c>
      <c r="E2445" t="str">
        <v>D</v>
      </c>
      <c r="F2445">
        <f>VLOOKUP(D2425,'Detail Balok'!$C$10:$AU$140,33,FALSE)</f>
        <v>10</v>
      </c>
      <c r="G2445" t="str">
        <v>-</v>
      </c>
      <c r="H2445">
        <f>VLOOKUP(D2425,'Detail Balok'!$C$10:$AU$140,35,FALSE)</f>
        <v>100</v>
      </c>
      <c r="J2445">
        <f>(IF(D2445=0,(2*(D2426+G2426))-(F$5*8),IF(D2445=3,(2*(D2426+G2426))-(F$5*8)+(G2426-2*F$5),IF(D2445=4,(2*(D2426+G2426))-(F$5*8)+2*(G2426-2*F$5)))))/1000</f>
        <v>0.88</v>
      </c>
      <c r="K2445" t="str">
        <v>+</v>
      </c>
      <c r="L2445">
        <f>IF(D2445=0,2*MAX(6*F2445,75),(D2445-1)*2*MAX(6*F2445,75))/1000</f>
        <v>0.15</v>
      </c>
      <c r="M2445" t="str">
        <v>=</v>
      </c>
      <c r="N2445">
        <f>J2445+L2445</f>
        <v>1.03</v>
      </c>
      <c r="T2445" t="str">
        <v>x</v>
      </c>
      <c r="U2445">
        <f>0.006165*F2445^2</f>
        <v>0.6165</v>
      </c>
      <c r="V2445" t="str">
        <v>x</v>
      </c>
      <c r="W2445">
        <f>IF(D2428&gt;4*G2426,ROUND(MAX(D2428/4,2*G2426)/H2445,0)+1,ROUND(D2428/H2445,0)+1)</f>
        <v>12</v>
      </c>
      <c r="X2445" t="str">
        <v>x</v>
      </c>
      <c r="Y2445">
        <f>D2431</f>
        <v>1</v>
      </c>
      <c r="Z2445" t="str">
        <v>=</v>
      </c>
      <c r="AA2445">
        <f>N2445*U2445*W2445*Y2445</f>
        <v>7.6199400000000015</v>
      </c>
    </row>
    <row r="2446">
      <c r="A2446" t="str">
        <f>A2425</f>
        <v>Lantai 1</v>
      </c>
      <c r="B2446">
        <f>B2425</f>
        <v>79</v>
      </c>
      <c r="C2446" t="str">
        <v>Sengkang Lapangan</v>
      </c>
      <c r="D2446">
        <f>VLOOKUP(D2425,'Detail Balok'!$C$10:$AU$140,36,FALSE)</f>
        <v>0</v>
      </c>
      <c r="E2446" t="str">
        <v>D</v>
      </c>
      <c r="F2446">
        <f>VLOOKUP(D2425,'Detail Balok'!$C$10:$AU$140,38,FALSE)</f>
        <v>10</v>
      </c>
      <c r="G2446" t="str">
        <v>-</v>
      </c>
      <c r="H2446">
        <f>VLOOKUP(D2425,'Detail Balok'!$C$10:$AU$140,40,FALSE)</f>
        <v>200</v>
      </c>
      <c r="J2446">
        <f>(IF(D2446=0,(2*(D2426+G2426))-(F$5*8),IF(D2446=3,(2*(D2426+G2426))-(F$5*8)+(G2426-2*F$5),IF(D2446=4,(2*(D2426+G2426))-(F$5*8)+2*(G2426-2*F$5)))))/1000</f>
        <v>0.88</v>
      </c>
      <c r="K2446" t="str">
        <v>+</v>
      </c>
      <c r="L2446">
        <f>IF(D2446=0,2*MAX(6*F2446,75),(D2446-1)*2*MAX(6*F2446,75))/1000</f>
        <v>0.15</v>
      </c>
      <c r="M2446" t="str">
        <v>=</v>
      </c>
      <c r="N2446">
        <f>J2446+L2446</f>
        <v>1.03</v>
      </c>
      <c r="T2446" t="str">
        <v>x</v>
      </c>
      <c r="U2446">
        <f>0.006165*F2446^2</f>
        <v>0.6165</v>
      </c>
      <c r="V2446" t="str">
        <v>x</v>
      </c>
      <c r="W2446">
        <f>IF(D2428-MAX(D2428/4,2*G2426)*2&gt;0,ROUND((D2428-MAX(D2428/4,2*G2426)*2)/H2446,0),0)</f>
        <v>0</v>
      </c>
      <c r="X2446" t="str">
        <v>x</v>
      </c>
      <c r="Y2446">
        <f>D2431</f>
        <v>1</v>
      </c>
      <c r="Z2446" t="str">
        <v>=</v>
      </c>
      <c r="AA2446">
        <f>N2446*U2446*W2446*Y2446</f>
        <v>0</v>
      </c>
    </row>
    <row r="2447">
      <c r="A2447" t="str">
        <f>A2425</f>
        <v>Lantai 1</v>
      </c>
      <c r="B2447">
        <f>B2425</f>
        <v>79</v>
      </c>
      <c r="C2447" t="str">
        <v>Sengkang Tumpuan</v>
      </c>
      <c r="D2447">
        <f>VLOOKUP(D2425,'Detail Balok'!$C$10:$AU$140,41,FALSE)</f>
        <v>0</v>
      </c>
      <c r="E2447" t="str">
        <v>D</v>
      </c>
      <c r="F2447">
        <f>VLOOKUP(D2425,'Detail Balok'!$C$10:$AU$140,43,FALSE)</f>
        <v>10</v>
      </c>
      <c r="G2447" t="str">
        <v>-</v>
      </c>
      <c r="H2447">
        <f>VLOOKUP(D2425,'Detail Balok'!$C$10:$AU$140,45,FALSE)</f>
        <v>100</v>
      </c>
      <c r="J2447">
        <f>(IF(D2447=0,(2*(D2426+G2426))-(F$5*8),IF(D2447=3,(2*(D2426+G2426))-(F$5*8)+(G2426-2*F$5),IF(D2447=4,(2*(D2426+G2426))-(F$5*8)+2*(G2426-2*F$5)))))/1000</f>
        <v>0.88</v>
      </c>
      <c r="K2447" t="str">
        <v>+</v>
      </c>
      <c r="L2447">
        <f>IF(D2447=0,2*MAX(6*F2447,75),(D2447-1)*2*MAX(6*F2447,75))/1000</f>
        <v>0.15</v>
      </c>
      <c r="M2447" t="str">
        <v>=</v>
      </c>
      <c r="N2447">
        <f>J2447+L2447</f>
        <v>1.03</v>
      </c>
      <c r="T2447" t="str">
        <v>x</v>
      </c>
      <c r="U2447">
        <f>0.006165*F2447^2</f>
        <v>0.6165</v>
      </c>
      <c r="V2447" t="str">
        <v>x</v>
      </c>
      <c r="W2447">
        <f>IF(D2428&gt;4*G2426,ROUND(MAX(D2428/4,2*G2426)/H2447,0)+1,0)</f>
        <v>0</v>
      </c>
      <c r="X2447" t="str">
        <v>x</v>
      </c>
      <c r="Y2447">
        <f>D2431</f>
        <v>1</v>
      </c>
      <c r="Z2447" t="str">
        <v>=</v>
      </c>
      <c r="AA2447">
        <f>N2447*U2447*W2447*Y2447</f>
        <v>0</v>
      </c>
    </row>
    <row r="2449">
      <c r="A2449" t="str">
        <f>A2425</f>
        <v>Lantai 1</v>
      </c>
      <c r="B2449">
        <f>B2425</f>
        <v>79</v>
      </c>
      <c r="C2449" t="str">
        <v>Kait Horizontal Tump.</v>
      </c>
      <c r="D2449">
        <f>VLOOKUP(D2425,'Detail Balok'!$C$10:$BJ$140,46,FALSE)</f>
        <v>0</v>
      </c>
      <c r="E2449" t="str">
        <v>D</v>
      </c>
      <c r="F2449">
        <f>VLOOKUP(D2425,'Detail Balok'!$C$10:$BJ$140,48,FALSE)</f>
        <v>0</v>
      </c>
      <c r="G2449" t="str">
        <v>-</v>
      </c>
      <c r="H2449">
        <f>VLOOKUP(D2425,'Detail Balok'!$C$10:$BJ$140,50,FALSE)</f>
        <v>100</v>
      </c>
      <c r="J2449">
        <f>(D2426-2*F$5)/1000</f>
        <v>0.12</v>
      </c>
      <c r="K2449" t="str">
        <v>+</v>
      </c>
      <c r="L2449">
        <f>IF(D2449=0,2*MAX(6*F2449,75),(D2449-1)*2*MAX(6*F2449,75))/1000</f>
        <v>0.15</v>
      </c>
      <c r="M2449" t="str">
        <v>=</v>
      </c>
      <c r="N2449">
        <f>J2449+L2449</f>
        <v>0.27</v>
      </c>
      <c r="T2449" t="str">
        <v>x</v>
      </c>
      <c r="U2449">
        <f>0.006165*F2449^2</f>
        <v>0</v>
      </c>
      <c r="V2449" t="str">
        <v>x</v>
      </c>
      <c r="W2449">
        <f>W2445</f>
        <v>12</v>
      </c>
      <c r="X2449" t="str">
        <v>x</v>
      </c>
      <c r="Y2449">
        <f>D2435</f>
        <v>3</v>
      </c>
      <c r="Z2449" t="str">
        <v>=</v>
      </c>
      <c r="AA2449">
        <f>N2449*U2449*W2449*Y2449</f>
        <v>0</v>
      </c>
    </row>
    <row r="2450">
      <c r="A2450" t="str">
        <f>A2425</f>
        <v>Lantai 1</v>
      </c>
      <c r="B2450">
        <f>B2425</f>
        <v>79</v>
      </c>
      <c r="C2450" t="str">
        <v>Kait Horizontal Lap.</v>
      </c>
      <c r="D2450">
        <f>VLOOKUP(D2425,'Detail Balok'!$C$10:$BJ$140,51,FALSE)</f>
        <v>0</v>
      </c>
      <c r="E2450" t="str">
        <v>D</v>
      </c>
      <c r="F2450">
        <f>VLOOKUP(D2425,'Detail Balok'!$C$10:$BJ$140,53,FALSE)</f>
        <v>0</v>
      </c>
      <c r="G2450" t="str">
        <v>-</v>
      </c>
      <c r="H2450">
        <f>VLOOKUP(D2425,'Detail Balok'!$C$10:$BJ$140,55,FALSE)</f>
        <v>100</v>
      </c>
      <c r="J2450">
        <f>(D2426-2*F$5)/1000</f>
        <v>0.12</v>
      </c>
      <c r="K2450" t="str">
        <v>+</v>
      </c>
      <c r="L2450">
        <f>IF(D2450=0,2*MAX(6*F2450,75),(D2450-1)*2*MAX(6*F2450,75))/1000</f>
        <v>0.15</v>
      </c>
      <c r="M2450" t="str">
        <v>=</v>
      </c>
      <c r="N2450">
        <f>J2450+L2450</f>
        <v>0.27</v>
      </c>
      <c r="T2450" t="str">
        <v>x</v>
      </c>
      <c r="U2450">
        <f>0.006165*F2450^2</f>
        <v>0</v>
      </c>
      <c r="V2450" t="str">
        <v>x</v>
      </c>
      <c r="W2450">
        <f>W2446</f>
        <v>0</v>
      </c>
      <c r="X2450" t="str">
        <v>x</v>
      </c>
      <c r="Y2450">
        <f>D2435</f>
        <v>3</v>
      </c>
      <c r="Z2450" t="str">
        <v>=</v>
      </c>
      <c r="AA2450">
        <f>N2450*U2450*W2450*Y2450</f>
        <v>0</v>
      </c>
    </row>
    <row r="2451">
      <c r="A2451" t="str">
        <f>A2425</f>
        <v>Lantai 1</v>
      </c>
      <c r="B2451">
        <f>B2425</f>
        <v>79</v>
      </c>
      <c r="C2451" t="str">
        <v>Kait Horizontal Tump.</v>
      </c>
      <c r="D2451">
        <f>VLOOKUP(D2425,'Detail Balok'!$C$10:$BJ$140,56,FALSE)</f>
        <v>0</v>
      </c>
      <c r="E2451" t="str">
        <v>D</v>
      </c>
      <c r="F2451">
        <f>VLOOKUP(D2425,'Detail Balok'!$C$10:$BJ$140,58,FALSE)</f>
        <v>0</v>
      </c>
      <c r="G2451" t="str">
        <v>-</v>
      </c>
      <c r="H2451">
        <f>VLOOKUP(D2425,'Detail Balok'!$C$10:$BJ$140,60,FALSE)</f>
        <v>100</v>
      </c>
      <c r="J2451">
        <f>(D2426-2*F$5)/1000</f>
        <v>0.12</v>
      </c>
      <c r="K2451" t="str">
        <v>+</v>
      </c>
      <c r="L2451">
        <f>IF(D2451=0,2*MAX(6*F2451,75),(D2451-1)*2*MAX(6*F2451,75))/1000</f>
        <v>0.15</v>
      </c>
      <c r="M2451" t="str">
        <v>=</v>
      </c>
      <c r="N2451">
        <f>J2451+L2451</f>
        <v>0.27</v>
      </c>
      <c r="T2451" t="str">
        <v>x</v>
      </c>
      <c r="U2451">
        <f>0.006165*F2451^2</f>
        <v>0</v>
      </c>
      <c r="V2451" t="str">
        <v>x</v>
      </c>
      <c r="W2451">
        <f>W2447</f>
        <v>0</v>
      </c>
      <c r="X2451" t="str">
        <v>x</v>
      </c>
      <c r="Y2451">
        <f>D2435</f>
        <v>3</v>
      </c>
      <c r="Z2451" t="str">
        <v>=</v>
      </c>
      <c r="AA2451">
        <f>N2451*U2451*W2451*Y2451</f>
        <v>0</v>
      </c>
    </row>
    <row r="2455">
      <c r="A2455" t="str">
        <f>A2425</f>
        <v>Lantai 1</v>
      </c>
      <c r="B2455">
        <f>B2425+1</f>
        <v>80</v>
      </c>
      <c r="C2455" t="str">
        <f>CONCATENATE(A2455," no. ",B2455)</f>
        <v>Lantai 1 no. 80</v>
      </c>
      <c r="D2455" t="str">
        <f>VLOOKUP(C2455,'Data Panjang Balok'!$C$9:$N$254,2,FALSE)</f>
        <v>B24-1</v>
      </c>
    </row>
    <row r="2456">
      <c r="C2456" t="str">
        <v>Dimensi</v>
      </c>
      <c r="D2456">
        <f>VLOOKUP(D2455,'Detail Balok'!$C$10:$AU$140,2,FALSE)</f>
        <v>200</v>
      </c>
      <c r="F2456" t="str">
        <v>x</v>
      </c>
      <c r="G2456">
        <f>VLOOKUP(D2455,'Detail Balok'!$C$10:$AU$140,3,FALSE)</f>
        <v>400</v>
      </c>
    </row>
    <row r="2457">
      <c r="C2457" t="str">
        <v>Panjang as ke as</v>
      </c>
      <c r="D2457">
        <f>VLOOKUP(C2455,'Data Panjang Balok'!$C$9:$N$254,4,FALSE)</f>
        <v>3090</v>
      </c>
    </row>
    <row r="2458">
      <c r="C2458" t="str">
        <v>Panjang netto</v>
      </c>
      <c r="D2458">
        <f>VLOOKUP(C2455,'Data Panjang Balok'!$C$9:$N$254,7,FALSE)</f>
        <v>3090</v>
      </c>
    </row>
    <row r="2459">
      <c r="C2459" t="str">
        <v>Kolom / balok kiri</v>
      </c>
      <c r="D2459">
        <f>VLOOKUP(C2455,'Data Panjang Balok'!$C$9:$N$254,9,FALSE)</f>
        <v>0</v>
      </c>
    </row>
    <row r="2460">
      <c r="C2460" t="str">
        <v>Kolom / balok kanan</v>
      </c>
      <c r="D2460">
        <f>VLOOKUP(C2455,'Data Panjang Balok'!$C$9:$N$254,10,FALSE)</f>
        <v>0</v>
      </c>
    </row>
    <row r="2461">
      <c r="C2461" t="str">
        <v>Jumlah</v>
      </c>
      <c r="D2461">
        <f>VLOOKUP(C2455,'Data Panjang Balok'!$C$9:$N$254,3,FALSE)</f>
        <v>1</v>
      </c>
    </row>
    <row r="2462">
      <c r="A2462" t="str">
        <f>A2455</f>
        <v>Lantai 1</v>
      </c>
      <c r="B2462">
        <f>B2455</f>
        <v>80</v>
      </c>
      <c r="C2462" t="str">
        <v>Tul Atas Tumpuan</v>
      </c>
      <c r="D2462">
        <f>VLOOKUP(D2455,'Detail Balok'!$C$10:$AU$140,4,FALSE)</f>
        <v>3</v>
      </c>
      <c r="E2462" t="str">
        <v>D</v>
      </c>
      <c r="F2462">
        <f>VLOOKUP(D2455,'Detail Balok'!$C$10:$AU$140,6,FALSE)</f>
        <v>13</v>
      </c>
      <c r="I2462" t="str">
        <v>(</v>
      </c>
      <c r="J2462">
        <f>+D2457/4/1000</f>
        <v>0.7725</v>
      </c>
      <c r="K2462" t="str">
        <v>+</v>
      </c>
      <c r="L2462">
        <f>MAX(VLOOKUP(F2462,N$6:P$15,3,FALSE)/1000,2/3*D2459/1000)+F$16*F2462/1000</f>
        <v>0.156</v>
      </c>
      <c r="M2462" t="str">
        <v>=</v>
      </c>
      <c r="N2462">
        <f>J2462+L2462</f>
        <v>0.9285</v>
      </c>
      <c r="O2462" t="str">
        <v>+</v>
      </c>
      <c r="P2462">
        <f>D2462-D2463</f>
        <v>0</v>
      </c>
      <c r="Q2462" t="str">
        <v>x</v>
      </c>
      <c r="R2462">
        <f>IF(P2462&gt;0,$F$18*F2462/1000,0)</f>
        <v>0</v>
      </c>
      <c r="S2462" t="str">
        <v>)</v>
      </c>
      <c r="T2462" t="str">
        <v>x</v>
      </c>
      <c r="U2462">
        <f>0.006165*F2462^2</f>
        <v>1.041885</v>
      </c>
      <c r="X2462" t="str">
        <v>x</v>
      </c>
      <c r="Y2462">
        <f>D2461</f>
        <v>1</v>
      </c>
      <c r="Z2462" t="str">
        <v>=</v>
      </c>
      <c r="AA2462">
        <f>IF(AA2465=0,(D2462*N2462+P2462*R2462)*U2462*Y2462,0)</f>
        <v>0</v>
      </c>
    </row>
    <row r="2463">
      <c r="A2463" t="str">
        <f>A2455</f>
        <v>Lantai 1</v>
      </c>
      <c r="B2463">
        <f>B2455</f>
        <v>80</v>
      </c>
      <c r="C2463" t="str">
        <v>Tul Atas Lapangan</v>
      </c>
      <c r="D2463">
        <f>VLOOKUP(D2455,'Detail Balok'!$C$10:$AU$140,7,FALSE)</f>
        <v>3</v>
      </c>
      <c r="E2463" t="str">
        <v>D</v>
      </c>
      <c r="F2463">
        <f>VLOOKUP(D2455,'Detail Balok'!$C$10:$AU$140,9,FALSE)</f>
        <v>13</v>
      </c>
      <c r="I2463" t="str">
        <v>(</v>
      </c>
      <c r="J2463">
        <f>+D2457/2/1000</f>
        <v>1.545</v>
      </c>
      <c r="K2463" t="str">
        <v>+</v>
      </c>
      <c r="M2463" t="str">
        <v>=</v>
      </c>
      <c r="N2463">
        <f>J2463+L2463</f>
        <v>1.545</v>
      </c>
      <c r="O2463" t="str">
        <v>+</v>
      </c>
      <c r="P2463">
        <f>MAX(D2463-D2462,D2463-D2464)</f>
        <v>0</v>
      </c>
      <c r="Q2463" t="str">
        <v>x</v>
      </c>
      <c r="R2463">
        <f>IF(P2463&gt;0,2*(1-2*$F$19-1/2)*D2458/1000,0)</f>
        <v>0</v>
      </c>
      <c r="S2463" t="str">
        <v>)</v>
      </c>
      <c r="T2463" t="str">
        <v>x</v>
      </c>
      <c r="U2463">
        <f>0.006165*F2463^2</f>
        <v>1.041885</v>
      </c>
      <c r="X2463" t="str">
        <v>x</v>
      </c>
      <c r="Y2463">
        <f>D2461</f>
        <v>1</v>
      </c>
      <c r="Z2463" t="str">
        <v>=</v>
      </c>
      <c r="AA2463">
        <f>IF(AA2465=0,(D2463*N2463+P2463*R2463)*U2463*Y2463,0)</f>
        <v>0</v>
      </c>
    </row>
    <row r="2464">
      <c r="A2464" t="str">
        <f>A2455</f>
        <v>Lantai 1</v>
      </c>
      <c r="B2464">
        <f>B2455</f>
        <v>80</v>
      </c>
      <c r="C2464" t="str">
        <v>Tul Atas Tumpuan</v>
      </c>
      <c r="D2464">
        <f>VLOOKUP(D2455,'Detail Balok'!$C$10:$AU$140,10,FALSE)</f>
        <v>3</v>
      </c>
      <c r="E2464" t="str">
        <v>D</v>
      </c>
      <c r="F2464">
        <f>VLOOKUP(D2455,'Detail Balok'!$C$10:$AU$140,12,FALSE)</f>
        <v>13</v>
      </c>
      <c r="I2464" t="str">
        <v>(</v>
      </c>
      <c r="J2464">
        <f>+D2457/4/1000</f>
        <v>0.7725</v>
      </c>
      <c r="K2464" t="str">
        <v>+</v>
      </c>
      <c r="L2464">
        <f>MAX(VLOOKUP(F2464,N$6:P$15,3,FALSE)/1000,2/3*D2459/1000)+F$16*F2464/1000</f>
        <v>0.156</v>
      </c>
      <c r="M2464" t="str">
        <v>=</v>
      </c>
      <c r="N2464">
        <f>J2464+L2464</f>
        <v>0.9285</v>
      </c>
      <c r="O2464" t="str">
        <v>+</v>
      </c>
      <c r="P2464">
        <f>D2464-D2463</f>
        <v>0</v>
      </c>
      <c r="Q2464" t="str">
        <v>x</v>
      </c>
      <c r="R2464">
        <f>IF(P2464&gt;0,$F$18*F2464/1000,0)</f>
        <v>0</v>
      </c>
      <c r="S2464" t="str">
        <v>)</v>
      </c>
      <c r="T2464" t="str">
        <v>x</v>
      </c>
      <c r="U2464">
        <f>0.006165*F2464^2</f>
        <v>1.041885</v>
      </c>
      <c r="X2464" t="str">
        <v>x</v>
      </c>
      <c r="Y2464">
        <f>D2461</f>
        <v>1</v>
      </c>
      <c r="Z2464" t="str">
        <v>=</v>
      </c>
      <c r="AA2464">
        <f>IF(AA2465=0,(D2464*N2464+P2464*R2464)*U2464*Y2464,0)</f>
        <v>0</v>
      </c>
    </row>
    <row r="2465">
      <c r="A2465" t="str">
        <f>A2455</f>
        <v>Lantai 1</v>
      </c>
      <c r="B2465">
        <f>B2455</f>
        <v>80</v>
      </c>
      <c r="D2465">
        <f>IF(AND(D2462=D2463,D2463=D2464,D2462=D2464),D2462,0)</f>
        <v>3</v>
      </c>
      <c r="E2465" t="str">
        <v>D</v>
      </c>
      <c r="F2465">
        <f>IF(AND(F2462=F2463,F2462=F2464,F2463=F2464),F2462,0)</f>
        <v>13</v>
      </c>
      <c r="L2465" t="str">
        <v>Total panjang per balok</v>
      </c>
      <c r="M2465" t="str">
        <v>=</v>
      </c>
      <c r="N2465">
        <f>IF(AND(D2462=D2463,D2462=D2464,D2463=D2464,F2462=F2463,F2462=F2464,F2463=F2464),SUM(N2462:N2464),0)</f>
        <v>3.402</v>
      </c>
      <c r="O2465" t="str">
        <v>+</v>
      </c>
      <c r="P2465">
        <f>IF(N2465&gt;12,ROUNDDOWN(N2465/12,0),0)</f>
        <v>0</v>
      </c>
      <c r="Q2465" t="str">
        <v>x</v>
      </c>
      <c r="R2465">
        <f>IF(P2465&gt;0,MAX(VLOOKUP(F2465,$D$6:$G$15,3,FALSE),600),0)/1000</f>
        <v>0</v>
      </c>
      <c r="T2465" t="str">
        <v>x</v>
      </c>
      <c r="U2465">
        <f>U2464</f>
        <v>1.041885</v>
      </c>
      <c r="V2465" t="str">
        <v>x</v>
      </c>
      <c r="W2465">
        <f>D2465</f>
        <v>3</v>
      </c>
      <c r="X2465" t="str">
        <v>x</v>
      </c>
      <c r="Y2465">
        <f>Y2464</f>
        <v>1</v>
      </c>
      <c r="Z2465" t="str">
        <v>=</v>
      </c>
      <c r="AA2465">
        <f>(N2465+P2465*R2465/1000)*U2465*W2465*Y2465</f>
        <v>10.633478310000001</v>
      </c>
    </row>
    <row r="2467">
      <c r="A2467" t="str">
        <f>A2455</f>
        <v>Lantai 1</v>
      </c>
      <c r="B2467">
        <f>B2455</f>
        <v>80</v>
      </c>
      <c r="C2467" t="str">
        <v>Tul Peminggang</v>
      </c>
      <c r="D2467">
        <f>VLOOKUP(D2455,'Detail Balok'!$C$10:$AU$140,13,FALSE)</f>
        <v>0</v>
      </c>
      <c r="E2467" t="str">
        <v>D</v>
      </c>
      <c r="F2467">
        <f>VLOOKUP(D2455,'Detail Balok'!$C$10:$AU$140,15,FALSE)</f>
        <v>8</v>
      </c>
      <c r="J2467">
        <f>+D2457/1000</f>
        <v>3.09</v>
      </c>
      <c r="K2467" t="str">
        <v>+</v>
      </c>
      <c r="L2467">
        <f>2*$F$16*F2467/1000</f>
        <v>0.192</v>
      </c>
      <c r="M2467" t="str">
        <v>=</v>
      </c>
      <c r="N2467">
        <f>J2467+L2467</f>
        <v>3.282</v>
      </c>
      <c r="O2467" t="str">
        <v>+</v>
      </c>
      <c r="P2467">
        <f>IF(N2467&gt;12,ROUNDDOWN(N2467/12,0),0)</f>
        <v>0</v>
      </c>
      <c r="Q2467" t="str">
        <v>x</v>
      </c>
      <c r="R2467">
        <f>IF(P2467&gt;0,MAX(VLOOKUP(F2467,$D$6:$G$15,3,FALSE),600),0)/1000</f>
        <v>0</v>
      </c>
      <c r="T2467" t="str">
        <v>x</v>
      </c>
      <c r="U2467">
        <f>0.006165*F2467^2</f>
        <v>0.39456</v>
      </c>
      <c r="V2467" t="str">
        <v>x</v>
      </c>
      <c r="W2467">
        <f>+D2467</f>
        <v>0</v>
      </c>
      <c r="X2467" t="str">
        <v>x</v>
      </c>
      <c r="Y2467">
        <f>D2461</f>
        <v>1</v>
      </c>
      <c r="Z2467" t="str">
        <v>=</v>
      </c>
      <c r="AA2467">
        <f>(N2467+P2467*R2467/1000)*U2467*W2467*Y2467</f>
        <v>0</v>
      </c>
    </row>
    <row r="2470">
      <c r="A2470" t="str">
        <f>A2455</f>
        <v>Lantai 1</v>
      </c>
      <c r="B2470">
        <f>B2455</f>
        <v>80</v>
      </c>
      <c r="C2470" t="str">
        <v>Tul Bawah Tumpuan</v>
      </c>
      <c r="D2470">
        <f>VLOOKUP(D2455,'Detail Balok'!$C$10:$AU$140,22,FALSE)</f>
        <v>3</v>
      </c>
      <c r="E2470" t="str">
        <v>D</v>
      </c>
      <c r="F2470">
        <f>VLOOKUP(D2455,'Detail Balok'!$C$10:$AU$140,24,FALSE)</f>
        <v>13</v>
      </c>
      <c r="I2470" t="str">
        <v>(</v>
      </c>
      <c r="J2470">
        <f>+J2462</f>
        <v>0.7725</v>
      </c>
      <c r="K2470" t="str">
        <v>+</v>
      </c>
      <c r="L2470">
        <f>MAX(VLOOKUP(F2470,N$6:P$15,3,FALSE)/1000,2/3*D2460/1000)+F$16*F2470/1000</f>
        <v>0.156</v>
      </c>
      <c r="M2470" t="str">
        <v>=</v>
      </c>
      <c r="N2470">
        <f>J2470+L2470</f>
        <v>0.9285</v>
      </c>
      <c r="O2470" t="str">
        <v>+</v>
      </c>
      <c r="P2470">
        <f>D2470-D2471</f>
        <v>0</v>
      </c>
      <c r="Q2470" t="str">
        <v>x</v>
      </c>
      <c r="R2470">
        <f>IF(P2470&gt;0,$F$18*F2470/1000,0)</f>
        <v>0</v>
      </c>
      <c r="S2470" t="str">
        <v>)</v>
      </c>
      <c r="T2470" t="str">
        <v>x</v>
      </c>
      <c r="U2470">
        <f>0.006165*F2470^2</f>
        <v>1.041885</v>
      </c>
      <c r="X2470" t="str">
        <v>x</v>
      </c>
      <c r="Y2470">
        <f>D2461</f>
        <v>1</v>
      </c>
      <c r="Z2470" t="str">
        <v>=</v>
      </c>
      <c r="AA2470">
        <f>IF(AA2473=0,(D2470*N2470+P2470*R2470)*U2470*Y2470,0)</f>
        <v>0</v>
      </c>
    </row>
    <row r="2471">
      <c r="A2471" t="str">
        <f>A2455</f>
        <v>Lantai 1</v>
      </c>
      <c r="B2471">
        <f>B2455</f>
        <v>80</v>
      </c>
      <c r="C2471" t="str">
        <v>Tul Bawah Lapangan</v>
      </c>
      <c r="D2471">
        <f>VLOOKUP(D2455,'Detail Balok'!$C$10:$AU$140,25,FALSE)</f>
        <v>3</v>
      </c>
      <c r="E2471" t="str">
        <v>D</v>
      </c>
      <c r="F2471">
        <f>VLOOKUP(D2455,'Detail Balok'!$C$10:$AU$140,27,FALSE)</f>
        <v>13</v>
      </c>
      <c r="I2471" t="str">
        <v>(</v>
      </c>
      <c r="J2471">
        <f>+J2463</f>
        <v>1.545</v>
      </c>
      <c r="K2471" t="str">
        <v>+</v>
      </c>
      <c r="M2471" t="str">
        <v>=</v>
      </c>
      <c r="N2471">
        <f>J2471+L2471</f>
        <v>1.545</v>
      </c>
      <c r="O2471" t="str">
        <v>+</v>
      </c>
      <c r="P2471">
        <f>MAX(D2471-D2470,D2471-D2472)</f>
        <v>0</v>
      </c>
      <c r="Q2471" t="str">
        <v>x</v>
      </c>
      <c r="R2471">
        <f>IF(P2471&gt;0,2*(1-2*$F$19-1/2)*D2458/1000,0)</f>
        <v>0</v>
      </c>
      <c r="S2471" t="str">
        <v>)</v>
      </c>
      <c r="T2471" t="str">
        <v>x</v>
      </c>
      <c r="U2471">
        <f>0.006165*F2471^2</f>
        <v>1.041885</v>
      </c>
      <c r="X2471" t="str">
        <v>x</v>
      </c>
      <c r="Y2471">
        <f>D2461</f>
        <v>1</v>
      </c>
      <c r="Z2471" t="str">
        <v>=</v>
      </c>
      <c r="AA2471">
        <f>IF(AA2473=0,(D2471*N2471+P2471*R2471)*U2471*Y2471,0)</f>
        <v>0</v>
      </c>
    </row>
    <row r="2472">
      <c r="A2472" t="str">
        <f>A2455</f>
        <v>Lantai 1</v>
      </c>
      <c r="B2472">
        <f>B2455</f>
        <v>80</v>
      </c>
      <c r="C2472" t="str">
        <v>Tul Bawah Tumpuan</v>
      </c>
      <c r="D2472">
        <f>VLOOKUP(D2455,'Detail Balok'!$C$10:$AU$140,28,FALSE)</f>
        <v>3</v>
      </c>
      <c r="E2472" t="str">
        <v>D</v>
      </c>
      <c r="F2472">
        <f>VLOOKUP(D2455,'Detail Balok'!$C$10:$AU$140,30,FALSE)</f>
        <v>13</v>
      </c>
      <c r="I2472" t="str">
        <v>(</v>
      </c>
      <c r="J2472">
        <f>+J2464</f>
        <v>0.7725</v>
      </c>
      <c r="K2472" t="str">
        <v>+</v>
      </c>
      <c r="L2472">
        <f>MAX(VLOOKUP(F2472,N$6:P$15,3,FALSE)/1000,2/3*D2460/1000)+F$16*F2472/1000</f>
        <v>0.156</v>
      </c>
      <c r="M2472" t="str">
        <v>=</v>
      </c>
      <c r="N2472">
        <f>J2472+L2472</f>
        <v>0.9285</v>
      </c>
      <c r="O2472" t="str">
        <v>+</v>
      </c>
      <c r="P2472">
        <f>D2472-D2471</f>
        <v>0</v>
      </c>
      <c r="Q2472" t="str">
        <v>x</v>
      </c>
      <c r="R2472">
        <f>IF(P2472&gt;0,$F$18*F2472/1000,0)</f>
        <v>0</v>
      </c>
      <c r="S2472" t="str">
        <v>)</v>
      </c>
      <c r="T2472" t="str">
        <v>x</v>
      </c>
      <c r="U2472">
        <f>0.006165*F2472^2</f>
        <v>1.041885</v>
      </c>
      <c r="X2472" t="str">
        <v>x</v>
      </c>
      <c r="Y2472">
        <f>D2461</f>
        <v>1</v>
      </c>
      <c r="Z2472" t="str">
        <v>=</v>
      </c>
      <c r="AA2472">
        <f>IF(AA2473=0,(D2472*N2472+P2472*R2472)*U2472*Y2472,0)</f>
        <v>0</v>
      </c>
    </row>
    <row r="2473">
      <c r="A2473" t="str">
        <f>A2455</f>
        <v>Lantai 1</v>
      </c>
      <c r="B2473">
        <f>B2455</f>
        <v>80</v>
      </c>
      <c r="D2473">
        <f>IF(AND(D2470=D2471,D2471=D2472,D2470=D2472),D2470,0)</f>
        <v>3</v>
      </c>
      <c r="E2473" t="str">
        <v>D</v>
      </c>
      <c r="F2473">
        <f>IF(AND(F2470=F2471,F2470=F2472,F2471=F2472),F2470,0)</f>
        <v>13</v>
      </c>
      <c r="L2473" t="str">
        <v>Total panjang per balok</v>
      </c>
      <c r="M2473" t="str">
        <v>=</v>
      </c>
      <c r="N2473">
        <f>IF(AND(D2470=D2471,D2470=D2472,D2471=D2472,F2470=F2471,F2470=F2472,F2471=F2472),SUM(N2470:N2472),0)</f>
        <v>3.402</v>
      </c>
      <c r="O2473" t="str">
        <v>+</v>
      </c>
      <c r="P2473">
        <f>IF(N2473&gt;12,ROUNDDOWN(N2473/12,0),0)</f>
        <v>0</v>
      </c>
      <c r="Q2473" t="str">
        <v>x</v>
      </c>
      <c r="R2473">
        <f>IF(P2473&gt;0,MAX(VLOOKUP(F2473,$D$6:$G$15,3,FALSE),600),0)/1000</f>
        <v>0</v>
      </c>
      <c r="T2473" t="str">
        <v>x</v>
      </c>
      <c r="U2473">
        <f>U2472</f>
        <v>1.041885</v>
      </c>
      <c r="V2473" t="str">
        <v>x</v>
      </c>
      <c r="W2473">
        <f>D2473</f>
        <v>3</v>
      </c>
      <c r="X2473" t="str">
        <v>x</v>
      </c>
      <c r="Y2473">
        <f>Y2472</f>
        <v>1</v>
      </c>
      <c r="Z2473" t="str">
        <v>=</v>
      </c>
      <c r="AA2473">
        <f>(N2473+P2473*R2473/1000)*U2473*W2473*Y2473</f>
        <v>10.633478310000001</v>
      </c>
    </row>
    <row r="2475">
      <c r="A2475" t="str">
        <f>A2455</f>
        <v>Lantai 1</v>
      </c>
      <c r="B2475">
        <f>B2455</f>
        <v>80</v>
      </c>
      <c r="C2475" t="str">
        <v>Sengkang Tumpuan</v>
      </c>
      <c r="D2475">
        <f>VLOOKUP(D2455,'Detail Balok'!$C$10:$AU$140,31,FALSE)</f>
        <v>0</v>
      </c>
      <c r="E2475" t="str">
        <v>D</v>
      </c>
      <c r="F2475">
        <f>VLOOKUP(D2455,'Detail Balok'!$C$10:$AU$140,33,FALSE)</f>
        <v>10</v>
      </c>
      <c r="G2475" t="str">
        <v>-</v>
      </c>
      <c r="H2475">
        <f>VLOOKUP(D2455,'Detail Balok'!$C$10:$AU$140,35,FALSE)</f>
        <v>100</v>
      </c>
      <c r="J2475">
        <f>(IF(D2475=0,(2*(D2456+G2456))-(F$5*8),IF(D2475=3,(2*(D2456+G2456))-(F$5*8)+(G2456-2*F$5),IF(D2475=4,(2*(D2456+G2456))-(F$5*8)+2*(G2456-2*F$5)))))/1000</f>
        <v>0.88</v>
      </c>
      <c r="K2475" t="str">
        <v>+</v>
      </c>
      <c r="L2475">
        <f>IF(D2475=0,2*MAX(6*F2475,75),(D2475-1)*2*MAX(6*F2475,75))/1000</f>
        <v>0.15</v>
      </c>
      <c r="M2475" t="str">
        <v>=</v>
      </c>
      <c r="N2475">
        <f>J2475+L2475</f>
        <v>1.03</v>
      </c>
      <c r="T2475" t="str">
        <v>x</v>
      </c>
      <c r="U2475">
        <f>0.006165*F2475^2</f>
        <v>0.6165</v>
      </c>
      <c r="V2475" t="str">
        <v>x</v>
      </c>
      <c r="W2475">
        <f>IF(D2458&gt;4*G2456,ROUND(MAX(D2458/4,2*G2456)/H2475,0)+1,ROUND(D2458/H2475,0)+1)</f>
        <v>9</v>
      </c>
      <c r="X2475" t="str">
        <v>x</v>
      </c>
      <c r="Y2475">
        <f>D2461</f>
        <v>1</v>
      </c>
      <c r="Z2475" t="str">
        <v>=</v>
      </c>
      <c r="AA2475">
        <f>N2475*U2475*W2475*Y2475</f>
        <v>5.714955000000001</v>
      </c>
    </row>
    <row r="2476">
      <c r="A2476" t="str">
        <f>A2455</f>
        <v>Lantai 1</v>
      </c>
      <c r="B2476">
        <f>B2455</f>
        <v>80</v>
      </c>
      <c r="C2476" t="str">
        <v>Sengkang Lapangan</v>
      </c>
      <c r="D2476">
        <f>VLOOKUP(D2455,'Detail Balok'!$C$10:$AU$140,36,FALSE)</f>
        <v>0</v>
      </c>
      <c r="E2476" t="str">
        <v>D</v>
      </c>
      <c r="F2476">
        <f>VLOOKUP(D2455,'Detail Balok'!$C$10:$AU$140,38,FALSE)</f>
        <v>10</v>
      </c>
      <c r="G2476" t="str">
        <v>-</v>
      </c>
      <c r="H2476">
        <f>VLOOKUP(D2455,'Detail Balok'!$C$10:$AU$140,40,FALSE)</f>
        <v>200</v>
      </c>
      <c r="J2476">
        <f>(IF(D2476=0,(2*(D2456+G2456))-(F$5*8),IF(D2476=3,(2*(D2456+G2456))-(F$5*8)+(G2456-2*F$5),IF(D2476=4,(2*(D2456+G2456))-(F$5*8)+2*(G2456-2*F$5)))))/1000</f>
        <v>0.88</v>
      </c>
      <c r="K2476" t="str">
        <v>+</v>
      </c>
      <c r="L2476">
        <f>IF(D2476=0,2*MAX(6*F2476,75),(D2476-1)*2*MAX(6*F2476,75))/1000</f>
        <v>0.15</v>
      </c>
      <c r="M2476" t="str">
        <v>=</v>
      </c>
      <c r="N2476">
        <f>J2476+L2476</f>
        <v>1.03</v>
      </c>
      <c r="T2476" t="str">
        <v>x</v>
      </c>
      <c r="U2476">
        <f>0.006165*F2476^2</f>
        <v>0.6165</v>
      </c>
      <c r="V2476" t="str">
        <v>x</v>
      </c>
      <c r="W2476">
        <f>IF(D2458-MAX(D2458/4,2*G2456)*2&gt;0,ROUND((D2458-MAX(D2458/4,2*G2456)*2)/H2476,0),0)</f>
        <v>7</v>
      </c>
      <c r="X2476" t="str">
        <v>x</v>
      </c>
      <c r="Y2476">
        <f>D2461</f>
        <v>1</v>
      </c>
      <c r="Z2476" t="str">
        <v>=</v>
      </c>
      <c r="AA2476">
        <f>N2476*U2476*W2476*Y2476</f>
        <v>4.444965000000001</v>
      </c>
    </row>
    <row r="2477">
      <c r="A2477" t="str">
        <f>A2455</f>
        <v>Lantai 1</v>
      </c>
      <c r="B2477">
        <f>B2455</f>
        <v>80</v>
      </c>
      <c r="C2477" t="str">
        <v>Sengkang Tumpuan</v>
      </c>
      <c r="D2477">
        <f>VLOOKUP(D2455,'Detail Balok'!$C$10:$AU$140,41,FALSE)</f>
        <v>0</v>
      </c>
      <c r="E2477" t="str">
        <v>D</v>
      </c>
      <c r="F2477">
        <f>VLOOKUP(D2455,'Detail Balok'!$C$10:$AU$140,43,FALSE)</f>
        <v>10</v>
      </c>
      <c r="G2477" t="str">
        <v>-</v>
      </c>
      <c r="H2477">
        <f>VLOOKUP(D2455,'Detail Balok'!$C$10:$AU$140,45,FALSE)</f>
        <v>100</v>
      </c>
      <c r="J2477">
        <f>(IF(D2477=0,(2*(D2456+G2456))-(F$5*8),IF(D2477=3,(2*(D2456+G2456))-(F$5*8)+(G2456-2*F$5),IF(D2477=4,(2*(D2456+G2456))-(F$5*8)+2*(G2456-2*F$5)))))/1000</f>
        <v>0.88</v>
      </c>
      <c r="K2477" t="str">
        <v>+</v>
      </c>
      <c r="L2477">
        <f>IF(D2477=0,2*MAX(6*F2477,75),(D2477-1)*2*MAX(6*F2477,75))/1000</f>
        <v>0.15</v>
      </c>
      <c r="M2477" t="str">
        <v>=</v>
      </c>
      <c r="N2477">
        <f>J2477+L2477</f>
        <v>1.03</v>
      </c>
      <c r="T2477" t="str">
        <v>x</v>
      </c>
      <c r="U2477">
        <f>0.006165*F2477^2</f>
        <v>0.6165</v>
      </c>
      <c r="V2477" t="str">
        <v>x</v>
      </c>
      <c r="W2477">
        <f>IF(D2458&gt;4*G2456,ROUND(MAX(D2458/4,2*G2456)/H2477,0)+1,0)</f>
        <v>9</v>
      </c>
      <c r="X2477" t="str">
        <v>x</v>
      </c>
      <c r="Y2477">
        <f>D2461</f>
        <v>1</v>
      </c>
      <c r="Z2477" t="str">
        <v>=</v>
      </c>
      <c r="AA2477">
        <f>N2477*U2477*W2477*Y2477</f>
        <v>5.714955000000001</v>
      </c>
    </row>
    <row r="2479">
      <c r="A2479" t="str">
        <f>A2455</f>
        <v>Lantai 1</v>
      </c>
      <c r="B2479">
        <f>B2455</f>
        <v>80</v>
      </c>
      <c r="C2479" t="str">
        <v>Kait Horizontal Tump.</v>
      </c>
      <c r="D2479">
        <f>VLOOKUP(D2455,'Detail Balok'!$C$10:$BJ$140,46,FALSE)</f>
        <v>0</v>
      </c>
      <c r="E2479" t="str">
        <v>D</v>
      </c>
      <c r="F2479">
        <f>VLOOKUP(D2455,'Detail Balok'!$C$10:$BJ$140,48,FALSE)</f>
        <v>0</v>
      </c>
      <c r="G2479" t="str">
        <v>-</v>
      </c>
      <c r="H2479">
        <f>VLOOKUP(D2455,'Detail Balok'!$C$10:$BJ$140,50,FALSE)</f>
        <v>100</v>
      </c>
      <c r="J2479">
        <f>(D2456-2*F$5)/1000</f>
        <v>0.12</v>
      </c>
      <c r="K2479" t="str">
        <v>+</v>
      </c>
      <c r="L2479">
        <f>IF(D2479=0,2*MAX(6*F2479,75),(D2479-1)*2*MAX(6*F2479,75))/1000</f>
        <v>0.15</v>
      </c>
      <c r="M2479" t="str">
        <v>=</v>
      </c>
      <c r="N2479">
        <f>J2479+L2479</f>
        <v>0.27</v>
      </c>
      <c r="T2479" t="str">
        <v>x</v>
      </c>
      <c r="U2479">
        <f>0.006165*F2479^2</f>
        <v>0</v>
      </c>
      <c r="V2479" t="str">
        <v>x</v>
      </c>
      <c r="W2479">
        <f>W2475</f>
        <v>9</v>
      </c>
      <c r="X2479" t="str">
        <v>x</v>
      </c>
      <c r="Y2479">
        <f>D2465</f>
        <v>3</v>
      </c>
      <c r="Z2479" t="str">
        <v>=</v>
      </c>
      <c r="AA2479">
        <f>N2479*U2479*W2479*Y2479</f>
        <v>0</v>
      </c>
    </row>
    <row r="2480">
      <c r="A2480" t="str">
        <f>A2455</f>
        <v>Lantai 1</v>
      </c>
      <c r="B2480">
        <f>B2455</f>
        <v>80</v>
      </c>
      <c r="C2480" t="str">
        <v>Kait Horizontal Lap.</v>
      </c>
      <c r="D2480">
        <f>VLOOKUP(D2455,'Detail Balok'!$C$10:$BJ$140,51,FALSE)</f>
        <v>0</v>
      </c>
      <c r="E2480" t="str">
        <v>D</v>
      </c>
      <c r="F2480">
        <f>VLOOKUP(D2455,'Detail Balok'!$C$10:$BJ$140,53,FALSE)</f>
        <v>0</v>
      </c>
      <c r="G2480" t="str">
        <v>-</v>
      </c>
      <c r="H2480">
        <f>VLOOKUP(D2455,'Detail Balok'!$C$10:$BJ$140,55,FALSE)</f>
        <v>100</v>
      </c>
      <c r="J2480">
        <f>(D2456-2*F$5)/1000</f>
        <v>0.12</v>
      </c>
      <c r="K2480" t="str">
        <v>+</v>
      </c>
      <c r="L2480">
        <f>IF(D2480=0,2*MAX(6*F2480,75),(D2480-1)*2*MAX(6*F2480,75))/1000</f>
        <v>0.15</v>
      </c>
      <c r="M2480" t="str">
        <v>=</v>
      </c>
      <c r="N2480">
        <f>J2480+L2480</f>
        <v>0.27</v>
      </c>
      <c r="T2480" t="str">
        <v>x</v>
      </c>
      <c r="U2480">
        <f>0.006165*F2480^2</f>
        <v>0</v>
      </c>
      <c r="V2480" t="str">
        <v>x</v>
      </c>
      <c r="W2480">
        <f>W2476</f>
        <v>7</v>
      </c>
      <c r="X2480" t="str">
        <v>x</v>
      </c>
      <c r="Y2480">
        <f>D2465</f>
        <v>3</v>
      </c>
      <c r="Z2480" t="str">
        <v>=</v>
      </c>
      <c r="AA2480">
        <f>N2480*U2480*W2480*Y2480</f>
        <v>0</v>
      </c>
    </row>
    <row r="2481">
      <c r="A2481" t="str">
        <f>A2455</f>
        <v>Lantai 1</v>
      </c>
      <c r="B2481">
        <f>B2455</f>
        <v>80</v>
      </c>
      <c r="C2481" t="str">
        <v>Kait Horizontal Tump.</v>
      </c>
      <c r="D2481">
        <f>VLOOKUP(D2455,'Detail Balok'!$C$10:$BJ$140,56,FALSE)</f>
        <v>0</v>
      </c>
      <c r="E2481" t="str">
        <v>D</v>
      </c>
      <c r="F2481">
        <f>VLOOKUP(D2455,'Detail Balok'!$C$10:$BJ$140,58,FALSE)</f>
        <v>0</v>
      </c>
      <c r="G2481" t="str">
        <v>-</v>
      </c>
      <c r="H2481">
        <f>VLOOKUP(D2455,'Detail Balok'!$C$10:$BJ$140,60,FALSE)</f>
        <v>100</v>
      </c>
      <c r="J2481">
        <f>(D2456-2*F$5)/1000</f>
        <v>0.12</v>
      </c>
      <c r="K2481" t="str">
        <v>+</v>
      </c>
      <c r="L2481">
        <f>IF(D2481=0,2*MAX(6*F2481,75),(D2481-1)*2*MAX(6*F2481,75))/1000</f>
        <v>0.15</v>
      </c>
      <c r="M2481" t="str">
        <v>=</v>
      </c>
      <c r="N2481">
        <f>J2481+L2481</f>
        <v>0.27</v>
      </c>
      <c r="T2481" t="str">
        <v>x</v>
      </c>
      <c r="U2481">
        <f>0.006165*F2481^2</f>
        <v>0</v>
      </c>
      <c r="V2481" t="str">
        <v>x</v>
      </c>
      <c r="W2481">
        <f>W2477</f>
        <v>9</v>
      </c>
      <c r="X2481" t="str">
        <v>x</v>
      </c>
      <c r="Y2481">
        <f>D2465</f>
        <v>3</v>
      </c>
      <c r="Z2481" t="str">
        <v>=</v>
      </c>
      <c r="AA2481">
        <f>N2481*U2481*W2481*Y2481</f>
        <v>0</v>
      </c>
    </row>
    <row r="2485">
      <c r="A2485" t="str">
        <f>A2455</f>
        <v>Lantai 1</v>
      </c>
      <c r="B2485">
        <f>B2455+1</f>
        <v>81</v>
      </c>
      <c r="C2485" t="str">
        <f>CONCATENATE(A2485," no. ",B2485)</f>
        <v>Lantai 1 no. 81</v>
      </c>
      <c r="D2485" t="str">
        <f>VLOOKUP(C2485,'Data Panjang Balok'!$C$9:$N$254,2,FALSE)</f>
        <v>B25-1</v>
      </c>
    </row>
    <row r="2486">
      <c r="C2486" t="str">
        <v>Dimensi</v>
      </c>
      <c r="D2486">
        <f>VLOOKUP(D2485,'Detail Balok'!$C$10:$AU$140,2,FALSE)</f>
        <v>200</v>
      </c>
      <c r="F2486" t="str">
        <v>x</v>
      </c>
      <c r="G2486">
        <f>VLOOKUP(D2485,'Detail Balok'!$C$10:$AU$140,3,FALSE)</f>
        <v>500</v>
      </c>
    </row>
    <row r="2487">
      <c r="C2487" t="str">
        <v>Panjang as ke as</v>
      </c>
      <c r="D2487">
        <f>VLOOKUP(C2485,'Data Panjang Balok'!$C$9:$N$254,4,FALSE)</f>
        <v>6030</v>
      </c>
    </row>
    <row r="2488">
      <c r="C2488" t="str">
        <v>Panjang netto</v>
      </c>
      <c r="D2488">
        <f>VLOOKUP(C2485,'Data Panjang Balok'!$C$9:$N$254,7,FALSE)</f>
        <v>6030</v>
      </c>
    </row>
    <row r="2489">
      <c r="C2489" t="str">
        <v>Kolom / balok kiri</v>
      </c>
      <c r="D2489">
        <f>VLOOKUP(C2485,'Data Panjang Balok'!$C$9:$N$254,9,FALSE)</f>
        <v>0</v>
      </c>
    </row>
    <row r="2490">
      <c r="C2490" t="str">
        <v>Kolom / balok kanan</v>
      </c>
      <c r="D2490">
        <f>VLOOKUP(C2485,'Data Panjang Balok'!$C$9:$N$254,10,FALSE)</f>
        <v>0</v>
      </c>
    </row>
    <row r="2491">
      <c r="C2491" t="str">
        <v>Jumlah</v>
      </c>
      <c r="D2491">
        <f>VLOOKUP(C2485,'Data Panjang Balok'!$C$9:$N$254,3,FALSE)</f>
        <v>1</v>
      </c>
    </row>
    <row r="2492">
      <c r="A2492" t="str">
        <f>A2485</f>
        <v>Lantai 1</v>
      </c>
      <c r="B2492">
        <f>B2485</f>
        <v>81</v>
      </c>
      <c r="C2492" t="str">
        <v>Tul Atas Tumpuan</v>
      </c>
      <c r="D2492">
        <f>VLOOKUP(D2485,'Detail Balok'!$C$10:$AU$140,4,FALSE)</f>
        <v>4</v>
      </c>
      <c r="E2492" t="str">
        <v>D</v>
      </c>
      <c r="F2492">
        <f>VLOOKUP(D2485,'Detail Balok'!$C$10:$AU$140,6,FALSE)</f>
        <v>16</v>
      </c>
      <c r="I2492" t="str">
        <v>(</v>
      </c>
      <c r="J2492">
        <f>+D2487/4/1000</f>
        <v>1.5075</v>
      </c>
      <c r="K2492" t="str">
        <v>+</v>
      </c>
      <c r="L2492">
        <f>MAX(VLOOKUP(F2492,N$6:P$15,3,FALSE)/1000,2/3*D2489/1000)+F$16*F2492/1000</f>
        <v>0.192</v>
      </c>
      <c r="M2492" t="str">
        <v>=</v>
      </c>
      <c r="N2492">
        <f>J2492+L2492</f>
        <v>1.6995</v>
      </c>
      <c r="O2492" t="str">
        <v>+</v>
      </c>
      <c r="P2492">
        <f>D2492-D2493</f>
        <v>0</v>
      </c>
      <c r="Q2492" t="str">
        <v>x</v>
      </c>
      <c r="R2492">
        <f>IF(P2492&gt;0,$F$18*F2492/1000,0)</f>
        <v>0</v>
      </c>
      <c r="S2492" t="str">
        <v>)</v>
      </c>
      <c r="T2492" t="str">
        <v>x</v>
      </c>
      <c r="U2492">
        <f>0.006165*F2492^2</f>
        <v>1.57824</v>
      </c>
      <c r="X2492" t="str">
        <v>x</v>
      </c>
      <c r="Y2492">
        <f>D2491</f>
        <v>1</v>
      </c>
      <c r="Z2492" t="str">
        <v>=</v>
      </c>
      <c r="AA2492">
        <f>IF(AA2495=0,(D2492*N2492+P2492*R2492)*U2492*Y2492,0)</f>
        <v>0</v>
      </c>
    </row>
    <row r="2493">
      <c r="A2493" t="str">
        <f>A2485</f>
        <v>Lantai 1</v>
      </c>
      <c r="B2493">
        <f>B2485</f>
        <v>81</v>
      </c>
      <c r="C2493" t="str">
        <v>Tul Atas Lapangan</v>
      </c>
      <c r="D2493">
        <f>VLOOKUP(D2485,'Detail Balok'!$C$10:$AU$140,7,FALSE)</f>
        <v>4</v>
      </c>
      <c r="E2493" t="str">
        <v>D</v>
      </c>
      <c r="F2493">
        <f>VLOOKUP(D2485,'Detail Balok'!$C$10:$AU$140,9,FALSE)</f>
        <v>16</v>
      </c>
      <c r="I2493" t="str">
        <v>(</v>
      </c>
      <c r="J2493">
        <f>+D2487/2/1000</f>
        <v>3.015</v>
      </c>
      <c r="K2493" t="str">
        <v>+</v>
      </c>
      <c r="M2493" t="str">
        <v>=</v>
      </c>
      <c r="N2493">
        <f>J2493+L2493</f>
        <v>3.015</v>
      </c>
      <c r="O2493" t="str">
        <v>+</v>
      </c>
      <c r="P2493">
        <f>MAX(D2493-D2492,D2493-D2494)</f>
        <v>0</v>
      </c>
      <c r="Q2493" t="str">
        <v>x</v>
      </c>
      <c r="R2493">
        <f>IF(P2493&gt;0,2*(1-2*$F$19-1/2)*D2488/1000,0)</f>
        <v>0</v>
      </c>
      <c r="S2493" t="str">
        <v>)</v>
      </c>
      <c r="T2493" t="str">
        <v>x</v>
      </c>
      <c r="U2493">
        <f>0.006165*F2493^2</f>
        <v>1.57824</v>
      </c>
      <c r="X2493" t="str">
        <v>x</v>
      </c>
      <c r="Y2493">
        <f>D2491</f>
        <v>1</v>
      </c>
      <c r="Z2493" t="str">
        <v>=</v>
      </c>
      <c r="AA2493">
        <f>IF(AA2495=0,(D2493*N2493+P2493*R2493)*U2493*Y2493,0)</f>
        <v>0</v>
      </c>
    </row>
    <row r="2494">
      <c r="A2494" t="str">
        <f>A2485</f>
        <v>Lantai 1</v>
      </c>
      <c r="B2494">
        <f>B2485</f>
        <v>81</v>
      </c>
      <c r="C2494" t="str">
        <v>Tul Atas Tumpuan</v>
      </c>
      <c r="D2494">
        <f>VLOOKUP(D2485,'Detail Balok'!$C$10:$AU$140,10,FALSE)</f>
        <v>4</v>
      </c>
      <c r="E2494" t="str">
        <v>D</v>
      </c>
      <c r="F2494">
        <f>VLOOKUP(D2485,'Detail Balok'!$C$10:$AU$140,12,FALSE)</f>
        <v>16</v>
      </c>
      <c r="I2494" t="str">
        <v>(</v>
      </c>
      <c r="J2494">
        <f>+D2487/4/1000</f>
        <v>1.5075</v>
      </c>
      <c r="K2494" t="str">
        <v>+</v>
      </c>
      <c r="L2494">
        <f>MAX(VLOOKUP(F2494,N$6:P$15,3,FALSE)/1000,2/3*D2489/1000)+F$16*F2494/1000</f>
        <v>0.192</v>
      </c>
      <c r="M2494" t="str">
        <v>=</v>
      </c>
      <c r="N2494">
        <f>J2494+L2494</f>
        <v>1.6995</v>
      </c>
      <c r="O2494" t="str">
        <v>+</v>
      </c>
      <c r="P2494">
        <f>D2494-D2493</f>
        <v>0</v>
      </c>
      <c r="Q2494" t="str">
        <v>x</v>
      </c>
      <c r="R2494">
        <f>IF(P2494&gt;0,$F$18*F2494/1000,0)</f>
        <v>0</v>
      </c>
      <c r="S2494" t="str">
        <v>)</v>
      </c>
      <c r="T2494" t="str">
        <v>x</v>
      </c>
      <c r="U2494">
        <f>0.006165*F2494^2</f>
        <v>1.57824</v>
      </c>
      <c r="X2494" t="str">
        <v>x</v>
      </c>
      <c r="Y2494">
        <f>D2491</f>
        <v>1</v>
      </c>
      <c r="Z2494" t="str">
        <v>=</v>
      </c>
      <c r="AA2494">
        <f>IF(AA2495=0,(D2494*N2494+P2494*R2494)*U2494*Y2494,0)</f>
        <v>0</v>
      </c>
    </row>
    <row r="2495">
      <c r="A2495" t="str">
        <f>A2485</f>
        <v>Lantai 1</v>
      </c>
      <c r="B2495">
        <f>B2485</f>
        <v>81</v>
      </c>
      <c r="D2495">
        <f>IF(AND(D2492=D2493,D2493=D2494,D2492=D2494),D2492,0)</f>
        <v>4</v>
      </c>
      <c r="E2495" t="str">
        <v>D</v>
      </c>
      <c r="F2495">
        <f>IF(AND(F2492=F2493,F2492=F2494,F2493=F2494),F2492,0)</f>
        <v>16</v>
      </c>
      <c r="L2495" t="str">
        <v>Total panjang per balok</v>
      </c>
      <c r="M2495" t="str">
        <v>=</v>
      </c>
      <c r="N2495">
        <f>IF(AND(D2492=D2493,D2492=D2494,D2493=D2494,F2492=F2493,F2492=F2494,F2493=F2494),SUM(N2492:N2494),0)</f>
        <v>6.414</v>
      </c>
      <c r="O2495" t="str">
        <v>+</v>
      </c>
      <c r="P2495">
        <f>IF(N2495&gt;12,ROUNDDOWN(N2495/12,0),0)</f>
        <v>0</v>
      </c>
      <c r="Q2495" t="str">
        <v>x</v>
      </c>
      <c r="R2495">
        <f>IF(P2495&gt;0,MAX(VLOOKUP(F2495,$D$6:$G$15,3,FALSE),600),0)/1000</f>
        <v>0</v>
      </c>
      <c r="T2495" t="str">
        <v>x</v>
      </c>
      <c r="U2495">
        <f>U2494</f>
        <v>1.57824</v>
      </c>
      <c r="V2495" t="str">
        <v>x</v>
      </c>
      <c r="W2495">
        <f>D2495</f>
        <v>4</v>
      </c>
      <c r="X2495" t="str">
        <v>x</v>
      </c>
      <c r="Y2495">
        <f>Y2494</f>
        <v>1</v>
      </c>
      <c r="Z2495" t="str">
        <v>=</v>
      </c>
      <c r="AA2495">
        <f>(N2495+P2495*R2495/1000)*U2495*W2495*Y2495</f>
        <v>40.49132544</v>
      </c>
    </row>
    <row r="2497">
      <c r="A2497" t="str">
        <f>A2485</f>
        <v>Lantai 1</v>
      </c>
      <c r="B2497">
        <f>B2485</f>
        <v>81</v>
      </c>
      <c r="C2497" t="str">
        <v>Tul Peminggang</v>
      </c>
      <c r="D2497">
        <f>VLOOKUP(D2485,'Detail Balok'!$C$10:$AU$140,13,FALSE)</f>
        <v>2</v>
      </c>
      <c r="E2497" t="str">
        <v>D</v>
      </c>
      <c r="F2497">
        <f>VLOOKUP(D2485,'Detail Balok'!$C$10:$AU$140,15,FALSE)</f>
        <v>10</v>
      </c>
      <c r="J2497">
        <f>+D2487/1000</f>
        <v>6.03</v>
      </c>
      <c r="K2497" t="str">
        <v>+</v>
      </c>
      <c r="L2497">
        <f>2*$F$16*F2497/1000</f>
        <v>0.24</v>
      </c>
      <c r="M2497" t="str">
        <v>=</v>
      </c>
      <c r="N2497">
        <f>J2497+L2497</f>
        <v>6.2700000000000005</v>
      </c>
      <c r="O2497" t="str">
        <v>+</v>
      </c>
      <c r="P2497">
        <f>IF(N2497&gt;12,ROUNDDOWN(N2497/12,0),0)</f>
        <v>0</v>
      </c>
      <c r="Q2497" t="str">
        <v>x</v>
      </c>
      <c r="R2497">
        <f>IF(P2497&gt;0,MAX(VLOOKUP(F2497,$D$6:$G$15,3,FALSE),600),0)/1000</f>
        <v>0</v>
      </c>
      <c r="T2497" t="str">
        <v>x</v>
      </c>
      <c r="U2497">
        <f>0.006165*F2497^2</f>
        <v>0.6165</v>
      </c>
      <c r="V2497" t="str">
        <v>x</v>
      </c>
      <c r="W2497">
        <f>+D2497</f>
        <v>2</v>
      </c>
      <c r="X2497" t="str">
        <v>x</v>
      </c>
      <c r="Y2497">
        <f>D2491</f>
        <v>1</v>
      </c>
      <c r="Z2497" t="str">
        <v>=</v>
      </c>
      <c r="AA2497">
        <f>(N2497+P2497*R2497/1000)*U2497*W2497*Y2497</f>
        <v>7.7309100000000015</v>
      </c>
    </row>
    <row r="2500">
      <c r="A2500" t="str">
        <f>A2485</f>
        <v>Lantai 1</v>
      </c>
      <c r="B2500">
        <f>B2485</f>
        <v>81</v>
      </c>
      <c r="C2500" t="str">
        <v>Tul Bawah Tumpuan</v>
      </c>
      <c r="D2500">
        <f>VLOOKUP(D2485,'Detail Balok'!$C$10:$AU$140,22,FALSE)</f>
        <v>4</v>
      </c>
      <c r="E2500" t="str">
        <v>D</v>
      </c>
      <c r="F2500">
        <f>VLOOKUP(D2485,'Detail Balok'!$C$10:$AU$140,24,FALSE)</f>
        <v>16</v>
      </c>
      <c r="I2500" t="str">
        <v>(</v>
      </c>
      <c r="J2500">
        <f>+J2492</f>
        <v>1.5075</v>
      </c>
      <c r="K2500" t="str">
        <v>+</v>
      </c>
      <c r="L2500">
        <f>MAX(VLOOKUP(F2500,N$6:P$15,3,FALSE)/1000,2/3*D2490/1000)+F$16*F2500/1000</f>
        <v>0.192</v>
      </c>
      <c r="M2500" t="str">
        <v>=</v>
      </c>
      <c r="N2500">
        <f>J2500+L2500</f>
        <v>1.6995</v>
      </c>
      <c r="O2500" t="str">
        <v>+</v>
      </c>
      <c r="P2500">
        <f>D2500-D2501</f>
        <v>0</v>
      </c>
      <c r="Q2500" t="str">
        <v>x</v>
      </c>
      <c r="R2500">
        <f>IF(P2500&gt;0,$F$18*F2500/1000,0)</f>
        <v>0</v>
      </c>
      <c r="S2500" t="str">
        <v>)</v>
      </c>
      <c r="T2500" t="str">
        <v>x</v>
      </c>
      <c r="U2500">
        <f>0.006165*F2500^2</f>
        <v>1.57824</v>
      </c>
      <c r="X2500" t="str">
        <v>x</v>
      </c>
      <c r="Y2500">
        <f>D2491</f>
        <v>1</v>
      </c>
      <c r="Z2500" t="str">
        <v>=</v>
      </c>
      <c r="AA2500">
        <f>IF(AA2503=0,(D2500*N2500+P2500*R2500)*U2500*Y2500,0)</f>
        <v>0</v>
      </c>
    </row>
    <row r="2501">
      <c r="A2501" t="str">
        <f>A2485</f>
        <v>Lantai 1</v>
      </c>
      <c r="B2501">
        <f>B2485</f>
        <v>81</v>
      </c>
      <c r="C2501" t="str">
        <v>Tul Bawah Lapangan</v>
      </c>
      <c r="D2501">
        <f>VLOOKUP(D2485,'Detail Balok'!$C$10:$AU$140,25,FALSE)</f>
        <v>4</v>
      </c>
      <c r="E2501" t="str">
        <v>D</v>
      </c>
      <c r="F2501">
        <f>VLOOKUP(D2485,'Detail Balok'!$C$10:$AU$140,27,FALSE)</f>
        <v>16</v>
      </c>
      <c r="I2501" t="str">
        <v>(</v>
      </c>
      <c r="J2501">
        <f>+J2493</f>
        <v>3.015</v>
      </c>
      <c r="K2501" t="str">
        <v>+</v>
      </c>
      <c r="M2501" t="str">
        <v>=</v>
      </c>
      <c r="N2501">
        <f>J2501+L2501</f>
        <v>3.015</v>
      </c>
      <c r="O2501" t="str">
        <v>+</v>
      </c>
      <c r="P2501">
        <f>MAX(D2501-D2500,D2501-D2502)</f>
        <v>0</v>
      </c>
      <c r="Q2501" t="str">
        <v>x</v>
      </c>
      <c r="R2501">
        <f>IF(P2501&gt;0,2*(1-2*$F$19-1/2)*D2488/1000,0)</f>
        <v>0</v>
      </c>
      <c r="S2501" t="str">
        <v>)</v>
      </c>
      <c r="T2501" t="str">
        <v>x</v>
      </c>
      <c r="U2501">
        <f>0.006165*F2501^2</f>
        <v>1.57824</v>
      </c>
      <c r="X2501" t="str">
        <v>x</v>
      </c>
      <c r="Y2501">
        <f>D2491</f>
        <v>1</v>
      </c>
      <c r="Z2501" t="str">
        <v>=</v>
      </c>
      <c r="AA2501">
        <f>IF(AA2503=0,(D2501*N2501+P2501*R2501)*U2501*Y2501,0)</f>
        <v>0</v>
      </c>
    </row>
    <row r="2502">
      <c r="A2502" t="str">
        <f>A2485</f>
        <v>Lantai 1</v>
      </c>
      <c r="B2502">
        <f>B2485</f>
        <v>81</v>
      </c>
      <c r="C2502" t="str">
        <v>Tul Bawah Tumpuan</v>
      </c>
      <c r="D2502">
        <f>VLOOKUP(D2485,'Detail Balok'!$C$10:$AU$140,28,FALSE)</f>
        <v>4</v>
      </c>
      <c r="E2502" t="str">
        <v>D</v>
      </c>
      <c r="F2502">
        <f>VLOOKUP(D2485,'Detail Balok'!$C$10:$AU$140,30,FALSE)</f>
        <v>16</v>
      </c>
      <c r="I2502" t="str">
        <v>(</v>
      </c>
      <c r="J2502">
        <f>+J2494</f>
        <v>1.5075</v>
      </c>
      <c r="K2502" t="str">
        <v>+</v>
      </c>
      <c r="L2502">
        <f>MAX(VLOOKUP(F2502,N$6:P$15,3,FALSE)/1000,2/3*D2490/1000)+F$16*F2502/1000</f>
        <v>0.192</v>
      </c>
      <c r="M2502" t="str">
        <v>=</v>
      </c>
      <c r="N2502">
        <f>J2502+L2502</f>
        <v>1.6995</v>
      </c>
      <c r="O2502" t="str">
        <v>+</v>
      </c>
      <c r="P2502">
        <f>D2502-D2501</f>
        <v>0</v>
      </c>
      <c r="Q2502" t="str">
        <v>x</v>
      </c>
      <c r="R2502">
        <f>IF(P2502&gt;0,$F$18*F2502/1000,0)</f>
        <v>0</v>
      </c>
      <c r="S2502" t="str">
        <v>)</v>
      </c>
      <c r="T2502" t="str">
        <v>x</v>
      </c>
      <c r="U2502">
        <f>0.006165*F2502^2</f>
        <v>1.57824</v>
      </c>
      <c r="X2502" t="str">
        <v>x</v>
      </c>
      <c r="Y2502">
        <f>D2491</f>
        <v>1</v>
      </c>
      <c r="Z2502" t="str">
        <v>=</v>
      </c>
      <c r="AA2502">
        <f>IF(AA2503=0,(D2502*N2502+P2502*R2502)*U2502*Y2502,0)</f>
        <v>0</v>
      </c>
    </row>
    <row r="2503">
      <c r="A2503" t="str">
        <f>A2485</f>
        <v>Lantai 1</v>
      </c>
      <c r="B2503">
        <f>B2485</f>
        <v>81</v>
      </c>
      <c r="D2503">
        <f>IF(AND(D2500=D2501,D2501=D2502,D2500=D2502),D2500,0)</f>
        <v>4</v>
      </c>
      <c r="E2503" t="str">
        <v>D</v>
      </c>
      <c r="F2503">
        <f>IF(AND(F2500=F2501,F2500=F2502,F2501=F2502),F2500,0)</f>
        <v>16</v>
      </c>
      <c r="L2503" t="str">
        <v>Total panjang per balok</v>
      </c>
      <c r="M2503" t="str">
        <v>=</v>
      </c>
      <c r="N2503">
        <f>IF(AND(D2500=D2501,D2500=D2502,D2501=D2502,F2500=F2501,F2500=F2502,F2501=F2502),SUM(N2500:N2502),0)</f>
        <v>6.414</v>
      </c>
      <c r="O2503" t="str">
        <v>+</v>
      </c>
      <c r="P2503">
        <f>IF(N2503&gt;12,ROUNDDOWN(N2503/12,0),0)</f>
        <v>0</v>
      </c>
      <c r="Q2503" t="str">
        <v>x</v>
      </c>
      <c r="R2503">
        <f>IF(P2503&gt;0,MAX(VLOOKUP(F2503,$D$6:$G$15,3,FALSE),600),0)/1000</f>
        <v>0</v>
      </c>
      <c r="T2503" t="str">
        <v>x</v>
      </c>
      <c r="U2503">
        <f>U2502</f>
        <v>1.57824</v>
      </c>
      <c r="V2503" t="str">
        <v>x</v>
      </c>
      <c r="W2503">
        <f>D2503</f>
        <v>4</v>
      </c>
      <c r="X2503" t="str">
        <v>x</v>
      </c>
      <c r="Y2503">
        <f>Y2502</f>
        <v>1</v>
      </c>
      <c r="Z2503" t="str">
        <v>=</v>
      </c>
      <c r="AA2503">
        <f>(N2503+P2503*R2503/1000)*U2503*W2503*Y2503</f>
        <v>40.49132544</v>
      </c>
    </row>
    <row r="2505">
      <c r="A2505" t="str">
        <f>A2485</f>
        <v>Lantai 1</v>
      </c>
      <c r="B2505">
        <f>B2485</f>
        <v>81</v>
      </c>
      <c r="C2505" t="str">
        <v>Sengkang Tumpuan</v>
      </c>
      <c r="D2505">
        <f>VLOOKUP(D2485,'Detail Balok'!$C$10:$AU$140,31,FALSE)</f>
        <v>0</v>
      </c>
      <c r="E2505" t="str">
        <v>D</v>
      </c>
      <c r="F2505">
        <f>VLOOKUP(D2485,'Detail Balok'!$C$10:$AU$140,33,FALSE)</f>
        <v>10</v>
      </c>
      <c r="G2505" t="str">
        <v>-</v>
      </c>
      <c r="H2505">
        <f>VLOOKUP(D2485,'Detail Balok'!$C$10:$AU$140,35,FALSE)</f>
        <v>150</v>
      </c>
      <c r="J2505">
        <f>(IF(D2505=0,(2*(D2486+G2486))-(F$5*8),IF(D2505=3,(2*(D2486+G2486))-(F$5*8)+(G2486-2*F$5),IF(D2505=4,(2*(D2486+G2486))-(F$5*8)+2*(G2486-2*F$5)))))/1000</f>
        <v>1.08</v>
      </c>
      <c r="K2505" t="str">
        <v>+</v>
      </c>
      <c r="L2505">
        <f>IF(D2505=0,2*MAX(6*F2505,75),(D2505-1)*2*MAX(6*F2505,75))/1000</f>
        <v>0.15</v>
      </c>
      <c r="M2505" t="str">
        <v>=</v>
      </c>
      <c r="N2505">
        <f>J2505+L2505</f>
        <v>1.23</v>
      </c>
      <c r="T2505" t="str">
        <v>x</v>
      </c>
      <c r="U2505">
        <f>0.006165*F2505^2</f>
        <v>0.6165</v>
      </c>
      <c r="V2505" t="str">
        <v>x</v>
      </c>
      <c r="W2505">
        <f>IF(D2488&gt;4*G2486,ROUND(MAX(D2488/4,2*G2486)/H2505,0)+1,ROUND(D2488/H2505,0)+1)</f>
        <v>11</v>
      </c>
      <c r="X2505" t="str">
        <v>x</v>
      </c>
      <c r="Y2505">
        <f>D2491</f>
        <v>1</v>
      </c>
      <c r="Z2505" t="str">
        <v>=</v>
      </c>
      <c r="AA2505">
        <f>N2505*U2505*W2505*Y2505</f>
        <v>8.341245</v>
      </c>
    </row>
    <row r="2506">
      <c r="A2506" t="str">
        <f>A2485</f>
        <v>Lantai 1</v>
      </c>
      <c r="B2506">
        <f>B2485</f>
        <v>81</v>
      </c>
      <c r="C2506" t="str">
        <v>Sengkang Lapangan</v>
      </c>
      <c r="D2506">
        <f>VLOOKUP(D2485,'Detail Balok'!$C$10:$AU$140,36,FALSE)</f>
        <v>0</v>
      </c>
      <c r="E2506" t="str">
        <v>D</v>
      </c>
      <c r="F2506">
        <f>VLOOKUP(D2485,'Detail Balok'!$C$10:$AU$140,38,FALSE)</f>
        <v>10</v>
      </c>
      <c r="G2506" t="str">
        <v>-</v>
      </c>
      <c r="H2506">
        <f>VLOOKUP(D2485,'Detail Balok'!$C$10:$AU$140,40,FALSE)</f>
        <v>200</v>
      </c>
      <c r="J2506">
        <f>(IF(D2506=0,(2*(D2486+G2486))-(F$5*8),IF(D2506=3,(2*(D2486+G2486))-(F$5*8)+(G2486-2*F$5),IF(D2506=4,(2*(D2486+G2486))-(F$5*8)+2*(G2486-2*F$5)))))/1000</f>
        <v>1.08</v>
      </c>
      <c r="K2506" t="str">
        <v>+</v>
      </c>
      <c r="L2506">
        <f>IF(D2506=0,2*MAX(6*F2506,75),(D2506-1)*2*MAX(6*F2506,75))/1000</f>
        <v>0.15</v>
      </c>
      <c r="M2506" t="str">
        <v>=</v>
      </c>
      <c r="N2506">
        <f>J2506+L2506</f>
        <v>1.23</v>
      </c>
      <c r="T2506" t="str">
        <v>x</v>
      </c>
      <c r="U2506">
        <f>0.006165*F2506^2</f>
        <v>0.6165</v>
      </c>
      <c r="V2506" t="str">
        <v>x</v>
      </c>
      <c r="W2506">
        <f>IF(D2488-MAX(D2488/4,2*G2486)*2&gt;0,ROUND((D2488-MAX(D2488/4,2*G2486)*2)/H2506,0),0)</f>
        <v>15</v>
      </c>
      <c r="X2506" t="str">
        <v>x</v>
      </c>
      <c r="Y2506">
        <f>D2491</f>
        <v>1</v>
      </c>
      <c r="Z2506" t="str">
        <v>=</v>
      </c>
      <c r="AA2506">
        <f>N2506*U2506*W2506*Y2506</f>
        <v>11.374425</v>
      </c>
    </row>
    <row r="2507">
      <c r="A2507" t="str">
        <f>A2485</f>
        <v>Lantai 1</v>
      </c>
      <c r="B2507">
        <f>B2485</f>
        <v>81</v>
      </c>
      <c r="C2507" t="str">
        <v>Sengkang Tumpuan</v>
      </c>
      <c r="D2507">
        <f>VLOOKUP(D2485,'Detail Balok'!$C$10:$AU$140,41,FALSE)</f>
        <v>0</v>
      </c>
      <c r="E2507" t="str">
        <v>D</v>
      </c>
      <c r="F2507">
        <f>VLOOKUP(D2485,'Detail Balok'!$C$10:$AU$140,43,FALSE)</f>
        <v>10</v>
      </c>
      <c r="G2507" t="str">
        <v>-</v>
      </c>
      <c r="H2507">
        <f>VLOOKUP(D2485,'Detail Balok'!$C$10:$AU$140,45,FALSE)</f>
        <v>150</v>
      </c>
      <c r="J2507">
        <f>(IF(D2507=0,(2*(D2486+G2486))-(F$5*8),IF(D2507=3,(2*(D2486+G2486))-(F$5*8)+(G2486-2*F$5),IF(D2507=4,(2*(D2486+G2486))-(F$5*8)+2*(G2486-2*F$5)))))/1000</f>
        <v>1.08</v>
      </c>
      <c r="K2507" t="str">
        <v>+</v>
      </c>
      <c r="L2507">
        <f>IF(D2507=0,2*MAX(6*F2507,75),(D2507-1)*2*MAX(6*F2507,75))/1000</f>
        <v>0.15</v>
      </c>
      <c r="M2507" t="str">
        <v>=</v>
      </c>
      <c r="N2507">
        <f>J2507+L2507</f>
        <v>1.23</v>
      </c>
      <c r="T2507" t="str">
        <v>x</v>
      </c>
      <c r="U2507">
        <f>0.006165*F2507^2</f>
        <v>0.6165</v>
      </c>
      <c r="V2507" t="str">
        <v>x</v>
      </c>
      <c r="W2507">
        <f>IF(D2488&gt;4*G2486,ROUND(MAX(D2488/4,2*G2486)/H2507,0)+1,0)</f>
        <v>11</v>
      </c>
      <c r="X2507" t="str">
        <v>x</v>
      </c>
      <c r="Y2507">
        <f>D2491</f>
        <v>1</v>
      </c>
      <c r="Z2507" t="str">
        <v>=</v>
      </c>
      <c r="AA2507">
        <f>N2507*U2507*W2507*Y2507</f>
        <v>8.341245</v>
      </c>
    </row>
    <row r="2509">
      <c r="A2509" t="str">
        <f>A2485</f>
        <v>Lantai 1</v>
      </c>
      <c r="B2509">
        <f>B2485</f>
        <v>81</v>
      </c>
      <c r="C2509" t="str">
        <v>Kait Horizontal Tump.</v>
      </c>
      <c r="D2509">
        <f>VLOOKUP(D2485,'Detail Balok'!$C$10:$BJ$140,46,FALSE)</f>
        <v>0</v>
      </c>
      <c r="E2509" t="str">
        <v>D</v>
      </c>
      <c r="F2509">
        <f>VLOOKUP(D2485,'Detail Balok'!$C$10:$BJ$140,48,FALSE)</f>
        <v>0</v>
      </c>
      <c r="G2509" t="str">
        <v>-</v>
      </c>
      <c r="H2509">
        <f>VLOOKUP(D2485,'Detail Balok'!$C$10:$BJ$140,50,FALSE)</f>
        <v>100</v>
      </c>
      <c r="J2509">
        <f>(D2486-2*F$5)/1000</f>
        <v>0.12</v>
      </c>
      <c r="K2509" t="str">
        <v>+</v>
      </c>
      <c r="L2509">
        <f>IF(D2509=0,2*MAX(6*F2509,75),(D2509-1)*2*MAX(6*F2509,75))/1000</f>
        <v>0.15</v>
      </c>
      <c r="M2509" t="str">
        <v>=</v>
      </c>
      <c r="N2509">
        <f>J2509+L2509</f>
        <v>0.27</v>
      </c>
      <c r="T2509" t="str">
        <v>x</v>
      </c>
      <c r="U2509">
        <f>0.006165*F2509^2</f>
        <v>0</v>
      </c>
      <c r="V2509" t="str">
        <v>x</v>
      </c>
      <c r="W2509">
        <f>W2505</f>
        <v>11</v>
      </c>
      <c r="X2509" t="str">
        <v>x</v>
      </c>
      <c r="Y2509">
        <f>D2495</f>
        <v>4</v>
      </c>
      <c r="Z2509" t="str">
        <v>=</v>
      </c>
      <c r="AA2509">
        <f>N2509*U2509*W2509*Y2509</f>
        <v>0</v>
      </c>
    </row>
    <row r="2510">
      <c r="A2510" t="str">
        <f>A2485</f>
        <v>Lantai 1</v>
      </c>
      <c r="B2510">
        <f>B2485</f>
        <v>81</v>
      </c>
      <c r="C2510" t="str">
        <v>Kait Horizontal Lap.</v>
      </c>
      <c r="D2510">
        <f>VLOOKUP(D2485,'Detail Balok'!$C$10:$BJ$140,51,FALSE)</f>
        <v>0</v>
      </c>
      <c r="E2510" t="str">
        <v>D</v>
      </c>
      <c r="F2510">
        <f>VLOOKUP(D2485,'Detail Balok'!$C$10:$BJ$140,53,FALSE)</f>
        <v>0</v>
      </c>
      <c r="G2510" t="str">
        <v>-</v>
      </c>
      <c r="H2510">
        <f>VLOOKUP(D2485,'Detail Balok'!$C$10:$BJ$140,55,FALSE)</f>
        <v>100</v>
      </c>
      <c r="J2510">
        <f>(D2486-2*F$5)/1000</f>
        <v>0.12</v>
      </c>
      <c r="K2510" t="str">
        <v>+</v>
      </c>
      <c r="L2510">
        <f>IF(D2510=0,2*MAX(6*F2510,75),(D2510-1)*2*MAX(6*F2510,75))/1000</f>
        <v>0.15</v>
      </c>
      <c r="M2510" t="str">
        <v>=</v>
      </c>
      <c r="N2510">
        <f>J2510+L2510</f>
        <v>0.27</v>
      </c>
      <c r="T2510" t="str">
        <v>x</v>
      </c>
      <c r="U2510">
        <f>0.006165*F2510^2</f>
        <v>0</v>
      </c>
      <c r="V2510" t="str">
        <v>x</v>
      </c>
      <c r="W2510">
        <f>W2506</f>
        <v>15</v>
      </c>
      <c r="X2510" t="str">
        <v>x</v>
      </c>
      <c r="Y2510">
        <f>D2495</f>
        <v>4</v>
      </c>
      <c r="Z2510" t="str">
        <v>=</v>
      </c>
      <c r="AA2510">
        <f>N2510*U2510*W2510*Y2510</f>
        <v>0</v>
      </c>
    </row>
    <row r="2511">
      <c r="A2511" t="str">
        <f>A2485</f>
        <v>Lantai 1</v>
      </c>
      <c r="B2511">
        <f>B2485</f>
        <v>81</v>
      </c>
      <c r="C2511" t="str">
        <v>Kait Horizontal Tump.</v>
      </c>
      <c r="D2511">
        <f>VLOOKUP(D2485,'Detail Balok'!$C$10:$BJ$140,56,FALSE)</f>
        <v>0</v>
      </c>
      <c r="E2511" t="str">
        <v>D</v>
      </c>
      <c r="F2511">
        <f>VLOOKUP(D2485,'Detail Balok'!$C$10:$BJ$140,58,FALSE)</f>
        <v>0</v>
      </c>
      <c r="G2511" t="str">
        <v>-</v>
      </c>
      <c r="H2511">
        <f>VLOOKUP(D2485,'Detail Balok'!$C$10:$BJ$140,60,FALSE)</f>
        <v>100</v>
      </c>
      <c r="J2511">
        <f>(D2486-2*F$5)/1000</f>
        <v>0.12</v>
      </c>
      <c r="K2511" t="str">
        <v>+</v>
      </c>
      <c r="L2511">
        <f>IF(D2511=0,2*MAX(6*F2511,75),(D2511-1)*2*MAX(6*F2511,75))/1000</f>
        <v>0.15</v>
      </c>
      <c r="M2511" t="str">
        <v>=</v>
      </c>
      <c r="N2511">
        <f>J2511+L2511</f>
        <v>0.27</v>
      </c>
      <c r="T2511" t="str">
        <v>x</v>
      </c>
      <c r="U2511">
        <f>0.006165*F2511^2</f>
        <v>0</v>
      </c>
      <c r="V2511" t="str">
        <v>x</v>
      </c>
      <c r="W2511">
        <f>W2507</f>
        <v>11</v>
      </c>
      <c r="X2511" t="str">
        <v>x</v>
      </c>
      <c r="Y2511">
        <f>D2495</f>
        <v>4</v>
      </c>
      <c r="Z2511" t="str">
        <v>=</v>
      </c>
      <c r="AA2511">
        <f>N2511*U2511*W2511*Y2511</f>
        <v>0</v>
      </c>
    </row>
    <row r="2515">
      <c r="A2515" t="str">
        <f>A2485</f>
        <v>Lantai 1</v>
      </c>
      <c r="B2515">
        <f>B2485+1</f>
        <v>82</v>
      </c>
      <c r="C2515" t="str">
        <f>CONCATENATE(A2515," no. ",B2515)</f>
        <v>Lantai 1 no. 82</v>
      </c>
      <c r="D2515" t="str">
        <f>VLOOKUP(C2515,'Data Panjang Balok'!$C$9:$N$254,2,FALSE)</f>
        <v>B25-1</v>
      </c>
    </row>
    <row r="2516">
      <c r="C2516" t="str">
        <v>Dimensi</v>
      </c>
      <c r="D2516">
        <f>VLOOKUP(D2515,'Detail Balok'!$C$10:$AU$140,2,FALSE)</f>
        <v>200</v>
      </c>
      <c r="F2516" t="str">
        <v>x</v>
      </c>
      <c r="G2516">
        <f>VLOOKUP(D2515,'Detail Balok'!$C$10:$AU$140,3,FALSE)</f>
        <v>500</v>
      </c>
    </row>
    <row r="2517">
      <c r="C2517" t="str">
        <v>Panjang as ke as</v>
      </c>
      <c r="D2517">
        <f>VLOOKUP(C2515,'Data Panjang Balok'!$C$9:$N$254,4,FALSE)</f>
        <v>6035</v>
      </c>
    </row>
    <row r="2518">
      <c r="C2518" t="str">
        <v>Panjang netto</v>
      </c>
      <c r="D2518">
        <f>VLOOKUP(C2515,'Data Panjang Balok'!$C$9:$N$254,7,FALSE)</f>
        <v>6035</v>
      </c>
    </row>
    <row r="2519">
      <c r="C2519" t="str">
        <v>Kolom / balok kiri</v>
      </c>
      <c r="D2519">
        <f>VLOOKUP(C2515,'Data Panjang Balok'!$C$9:$N$254,9,FALSE)</f>
        <v>0</v>
      </c>
    </row>
    <row r="2520">
      <c r="C2520" t="str">
        <v>Kolom / balok kanan</v>
      </c>
      <c r="D2520">
        <f>VLOOKUP(C2515,'Data Panjang Balok'!$C$9:$N$254,10,FALSE)</f>
        <v>0</v>
      </c>
    </row>
    <row r="2521">
      <c r="C2521" t="str">
        <v>Jumlah</v>
      </c>
      <c r="D2521">
        <f>VLOOKUP(C2515,'Data Panjang Balok'!$C$9:$N$254,3,FALSE)</f>
        <v>1</v>
      </c>
    </row>
    <row r="2522">
      <c r="A2522" t="str">
        <f>A2515</f>
        <v>Lantai 1</v>
      </c>
      <c r="B2522">
        <f>B2515</f>
        <v>82</v>
      </c>
      <c r="C2522" t="str">
        <v>Tul Atas Tumpuan</v>
      </c>
      <c r="D2522">
        <f>VLOOKUP(D2515,'Detail Balok'!$C$10:$AU$140,4,FALSE)</f>
        <v>4</v>
      </c>
      <c r="E2522" t="str">
        <v>D</v>
      </c>
      <c r="F2522">
        <f>VLOOKUP(D2515,'Detail Balok'!$C$10:$AU$140,6,FALSE)</f>
        <v>16</v>
      </c>
      <c r="I2522" t="str">
        <v>(</v>
      </c>
      <c r="J2522">
        <f>+D2517/4/1000</f>
        <v>1.50875</v>
      </c>
      <c r="K2522" t="str">
        <v>+</v>
      </c>
      <c r="L2522">
        <f>MAX(VLOOKUP(F2522,N$6:P$15,3,FALSE)/1000,2/3*D2519/1000)+F$16*F2522/1000</f>
        <v>0.192</v>
      </c>
      <c r="M2522" t="str">
        <v>=</v>
      </c>
      <c r="N2522">
        <f>J2522+L2522</f>
        <v>1.70075</v>
      </c>
      <c r="O2522" t="str">
        <v>+</v>
      </c>
      <c r="P2522">
        <f>D2522-D2523</f>
        <v>0</v>
      </c>
      <c r="Q2522" t="str">
        <v>x</v>
      </c>
      <c r="R2522">
        <f>IF(P2522&gt;0,$F$18*F2522/1000,0)</f>
        <v>0</v>
      </c>
      <c r="S2522" t="str">
        <v>)</v>
      </c>
      <c r="T2522" t="str">
        <v>x</v>
      </c>
      <c r="U2522">
        <f>0.006165*F2522^2</f>
        <v>1.57824</v>
      </c>
      <c r="X2522" t="str">
        <v>x</v>
      </c>
      <c r="Y2522">
        <f>D2521</f>
        <v>1</v>
      </c>
      <c r="Z2522" t="str">
        <v>=</v>
      </c>
      <c r="AA2522">
        <f>IF(AA2525=0,(D2522*N2522+P2522*R2522)*U2522*Y2522,0)</f>
        <v>0</v>
      </c>
    </row>
    <row r="2523">
      <c r="A2523" t="str">
        <f>A2515</f>
        <v>Lantai 1</v>
      </c>
      <c r="B2523">
        <f>B2515</f>
        <v>82</v>
      </c>
      <c r="C2523" t="str">
        <v>Tul Atas Lapangan</v>
      </c>
      <c r="D2523">
        <f>VLOOKUP(D2515,'Detail Balok'!$C$10:$AU$140,7,FALSE)</f>
        <v>4</v>
      </c>
      <c r="E2523" t="str">
        <v>D</v>
      </c>
      <c r="F2523">
        <f>VLOOKUP(D2515,'Detail Balok'!$C$10:$AU$140,9,FALSE)</f>
        <v>16</v>
      </c>
      <c r="I2523" t="str">
        <v>(</v>
      </c>
      <c r="J2523">
        <f>+D2517/2/1000</f>
        <v>3.0175</v>
      </c>
      <c r="K2523" t="str">
        <v>+</v>
      </c>
      <c r="M2523" t="str">
        <v>=</v>
      </c>
      <c r="N2523">
        <f>J2523+L2523</f>
        <v>3.0175</v>
      </c>
      <c r="O2523" t="str">
        <v>+</v>
      </c>
      <c r="P2523">
        <f>MAX(D2523-D2522,D2523-D2524)</f>
        <v>0</v>
      </c>
      <c r="Q2523" t="str">
        <v>x</v>
      </c>
      <c r="R2523">
        <f>IF(P2523&gt;0,2*(1-2*$F$19-1/2)*D2518/1000,0)</f>
        <v>0</v>
      </c>
      <c r="S2523" t="str">
        <v>)</v>
      </c>
      <c r="T2523" t="str">
        <v>x</v>
      </c>
      <c r="U2523">
        <f>0.006165*F2523^2</f>
        <v>1.57824</v>
      </c>
      <c r="X2523" t="str">
        <v>x</v>
      </c>
      <c r="Y2523">
        <f>D2521</f>
        <v>1</v>
      </c>
      <c r="Z2523" t="str">
        <v>=</v>
      </c>
      <c r="AA2523">
        <f>IF(AA2525=0,(D2523*N2523+P2523*R2523)*U2523*Y2523,0)</f>
        <v>0</v>
      </c>
    </row>
    <row r="2524">
      <c r="A2524" t="str">
        <f>A2515</f>
        <v>Lantai 1</v>
      </c>
      <c r="B2524">
        <f>B2515</f>
        <v>82</v>
      </c>
      <c r="C2524" t="str">
        <v>Tul Atas Tumpuan</v>
      </c>
      <c r="D2524">
        <f>VLOOKUP(D2515,'Detail Balok'!$C$10:$AU$140,10,FALSE)</f>
        <v>4</v>
      </c>
      <c r="E2524" t="str">
        <v>D</v>
      </c>
      <c r="F2524">
        <f>VLOOKUP(D2515,'Detail Balok'!$C$10:$AU$140,12,FALSE)</f>
        <v>16</v>
      </c>
      <c r="I2524" t="str">
        <v>(</v>
      </c>
      <c r="J2524">
        <f>+D2517/4/1000</f>
        <v>1.50875</v>
      </c>
      <c r="K2524" t="str">
        <v>+</v>
      </c>
      <c r="L2524">
        <f>MAX(VLOOKUP(F2524,N$6:P$15,3,FALSE)/1000,2/3*D2519/1000)+F$16*F2524/1000</f>
        <v>0.192</v>
      </c>
      <c r="M2524" t="str">
        <v>=</v>
      </c>
      <c r="N2524">
        <f>J2524+L2524</f>
        <v>1.70075</v>
      </c>
      <c r="O2524" t="str">
        <v>+</v>
      </c>
      <c r="P2524">
        <f>D2524-D2523</f>
        <v>0</v>
      </c>
      <c r="Q2524" t="str">
        <v>x</v>
      </c>
      <c r="R2524">
        <f>IF(P2524&gt;0,$F$18*F2524/1000,0)</f>
        <v>0</v>
      </c>
      <c r="S2524" t="str">
        <v>)</v>
      </c>
      <c r="T2524" t="str">
        <v>x</v>
      </c>
      <c r="U2524">
        <f>0.006165*F2524^2</f>
        <v>1.57824</v>
      </c>
      <c r="X2524" t="str">
        <v>x</v>
      </c>
      <c r="Y2524">
        <f>D2521</f>
        <v>1</v>
      </c>
      <c r="Z2524" t="str">
        <v>=</v>
      </c>
      <c r="AA2524">
        <f>IF(AA2525=0,(D2524*N2524+P2524*R2524)*U2524*Y2524,0)</f>
        <v>0</v>
      </c>
    </row>
    <row r="2525">
      <c r="A2525" t="str">
        <f>A2515</f>
        <v>Lantai 1</v>
      </c>
      <c r="B2525">
        <f>B2515</f>
        <v>82</v>
      </c>
      <c r="D2525">
        <f>IF(AND(D2522=D2523,D2523=D2524,D2522=D2524),D2522,0)</f>
        <v>4</v>
      </c>
      <c r="E2525" t="str">
        <v>D</v>
      </c>
      <c r="F2525">
        <f>IF(AND(F2522=F2523,F2522=F2524,F2523=F2524),F2522,0)</f>
        <v>16</v>
      </c>
      <c r="L2525" t="str">
        <v>Total panjang per balok</v>
      </c>
      <c r="M2525" t="str">
        <v>=</v>
      </c>
      <c r="N2525">
        <f>IF(AND(D2522=D2523,D2522=D2524,D2523=D2524,F2522=F2523,F2522=F2524,F2523=F2524),SUM(N2522:N2524),0)</f>
        <v>6.4190000000000005</v>
      </c>
      <c r="O2525" t="str">
        <v>+</v>
      </c>
      <c r="P2525">
        <f>IF(N2525&gt;12,ROUNDDOWN(N2525/12,0),0)</f>
        <v>0</v>
      </c>
      <c r="Q2525" t="str">
        <v>x</v>
      </c>
      <c r="R2525">
        <f>IF(P2525&gt;0,MAX(VLOOKUP(F2525,$D$6:$G$15,3,FALSE),600),0)/1000</f>
        <v>0</v>
      </c>
      <c r="T2525" t="str">
        <v>x</v>
      </c>
      <c r="U2525">
        <f>U2524</f>
        <v>1.57824</v>
      </c>
      <c r="V2525" t="str">
        <v>x</v>
      </c>
      <c r="W2525">
        <f>D2525</f>
        <v>4</v>
      </c>
      <c r="X2525" t="str">
        <v>x</v>
      </c>
      <c r="Y2525">
        <f>Y2524</f>
        <v>1</v>
      </c>
      <c r="Z2525" t="str">
        <v>=</v>
      </c>
      <c r="AA2525">
        <f>(N2525+P2525*R2525/1000)*U2525*W2525*Y2525</f>
        <v>40.52289024</v>
      </c>
    </row>
    <row r="2527">
      <c r="A2527" t="str">
        <f>A2515</f>
        <v>Lantai 1</v>
      </c>
      <c r="B2527">
        <f>B2515</f>
        <v>82</v>
      </c>
      <c r="C2527" t="str">
        <v>Tul Peminggang</v>
      </c>
      <c r="D2527">
        <f>VLOOKUP(D2515,'Detail Balok'!$C$10:$AU$140,13,FALSE)</f>
        <v>2</v>
      </c>
      <c r="E2527" t="str">
        <v>D</v>
      </c>
      <c r="F2527">
        <f>VLOOKUP(D2515,'Detail Balok'!$C$10:$AU$140,15,FALSE)</f>
        <v>10</v>
      </c>
      <c r="J2527">
        <f>+D2517/1000</f>
        <v>6.035</v>
      </c>
      <c r="K2527" t="str">
        <v>+</v>
      </c>
      <c r="L2527">
        <f>2*$F$16*F2527/1000</f>
        <v>0.24</v>
      </c>
      <c r="M2527" t="str">
        <v>=</v>
      </c>
      <c r="N2527">
        <f>J2527+L2527</f>
        <v>6.275</v>
      </c>
      <c r="O2527" t="str">
        <v>+</v>
      </c>
      <c r="P2527">
        <f>IF(N2527&gt;12,ROUNDDOWN(N2527/12,0),0)</f>
        <v>0</v>
      </c>
      <c r="Q2527" t="str">
        <v>x</v>
      </c>
      <c r="R2527">
        <f>IF(P2527&gt;0,MAX(VLOOKUP(F2527,$D$6:$G$15,3,FALSE),600),0)/1000</f>
        <v>0</v>
      </c>
      <c r="T2527" t="str">
        <v>x</v>
      </c>
      <c r="U2527">
        <f>0.006165*F2527^2</f>
        <v>0.6165</v>
      </c>
      <c r="V2527" t="str">
        <v>x</v>
      </c>
      <c r="W2527">
        <f>+D2527</f>
        <v>2</v>
      </c>
      <c r="X2527" t="str">
        <v>x</v>
      </c>
      <c r="Y2527">
        <f>D2521</f>
        <v>1</v>
      </c>
      <c r="Z2527" t="str">
        <v>=</v>
      </c>
      <c r="AA2527">
        <f>(N2527+P2527*R2527/1000)*U2527*W2527*Y2527</f>
        <v>7.737075000000001</v>
      </c>
    </row>
    <row r="2530">
      <c r="A2530" t="str">
        <f>A2515</f>
        <v>Lantai 1</v>
      </c>
      <c r="B2530">
        <f>B2515</f>
        <v>82</v>
      </c>
      <c r="C2530" t="str">
        <v>Tul Bawah Tumpuan</v>
      </c>
      <c r="D2530">
        <f>VLOOKUP(D2515,'Detail Balok'!$C$10:$AU$140,22,FALSE)</f>
        <v>4</v>
      </c>
      <c r="E2530" t="str">
        <v>D</v>
      </c>
      <c r="F2530">
        <f>VLOOKUP(D2515,'Detail Balok'!$C$10:$AU$140,24,FALSE)</f>
        <v>16</v>
      </c>
      <c r="I2530" t="str">
        <v>(</v>
      </c>
      <c r="J2530">
        <f>+J2522</f>
        <v>1.50875</v>
      </c>
      <c r="K2530" t="str">
        <v>+</v>
      </c>
      <c r="L2530">
        <f>MAX(VLOOKUP(F2530,N$6:P$15,3,FALSE)/1000,2/3*D2520/1000)+F$16*F2530/1000</f>
        <v>0.192</v>
      </c>
      <c r="M2530" t="str">
        <v>=</v>
      </c>
      <c r="N2530">
        <f>J2530+L2530</f>
        <v>1.70075</v>
      </c>
      <c r="O2530" t="str">
        <v>+</v>
      </c>
      <c r="P2530">
        <f>D2530-D2531</f>
        <v>0</v>
      </c>
      <c r="Q2530" t="str">
        <v>x</v>
      </c>
      <c r="R2530">
        <f>IF(P2530&gt;0,$F$18*F2530/1000,0)</f>
        <v>0</v>
      </c>
      <c r="S2530" t="str">
        <v>)</v>
      </c>
      <c r="T2530" t="str">
        <v>x</v>
      </c>
      <c r="U2530">
        <f>0.006165*F2530^2</f>
        <v>1.57824</v>
      </c>
      <c r="X2530" t="str">
        <v>x</v>
      </c>
      <c r="Y2530">
        <f>D2521</f>
        <v>1</v>
      </c>
      <c r="Z2530" t="str">
        <v>=</v>
      </c>
      <c r="AA2530">
        <f>IF(AA2533=0,(D2530*N2530+P2530*R2530)*U2530*Y2530,0)</f>
        <v>0</v>
      </c>
    </row>
    <row r="2531">
      <c r="A2531" t="str">
        <f>A2515</f>
        <v>Lantai 1</v>
      </c>
      <c r="B2531">
        <f>B2515</f>
        <v>82</v>
      </c>
      <c r="C2531" t="str">
        <v>Tul Bawah Lapangan</v>
      </c>
      <c r="D2531">
        <f>VLOOKUP(D2515,'Detail Balok'!$C$10:$AU$140,25,FALSE)</f>
        <v>4</v>
      </c>
      <c r="E2531" t="str">
        <v>D</v>
      </c>
      <c r="F2531">
        <f>VLOOKUP(D2515,'Detail Balok'!$C$10:$AU$140,27,FALSE)</f>
        <v>16</v>
      </c>
      <c r="I2531" t="str">
        <v>(</v>
      </c>
      <c r="J2531">
        <f>+J2523</f>
        <v>3.0175</v>
      </c>
      <c r="K2531" t="str">
        <v>+</v>
      </c>
      <c r="M2531" t="str">
        <v>=</v>
      </c>
      <c r="N2531">
        <f>J2531+L2531</f>
        <v>3.0175</v>
      </c>
      <c r="O2531" t="str">
        <v>+</v>
      </c>
      <c r="P2531">
        <f>MAX(D2531-D2530,D2531-D2532)</f>
        <v>0</v>
      </c>
      <c r="Q2531" t="str">
        <v>x</v>
      </c>
      <c r="R2531">
        <f>IF(P2531&gt;0,2*(1-2*$F$19-1/2)*D2518/1000,0)</f>
        <v>0</v>
      </c>
      <c r="S2531" t="str">
        <v>)</v>
      </c>
      <c r="T2531" t="str">
        <v>x</v>
      </c>
      <c r="U2531">
        <f>0.006165*F2531^2</f>
        <v>1.57824</v>
      </c>
      <c r="X2531" t="str">
        <v>x</v>
      </c>
      <c r="Y2531">
        <f>D2521</f>
        <v>1</v>
      </c>
      <c r="Z2531" t="str">
        <v>=</v>
      </c>
      <c r="AA2531">
        <f>IF(AA2533=0,(D2531*N2531+P2531*R2531)*U2531*Y2531,0)</f>
        <v>0</v>
      </c>
    </row>
    <row r="2532">
      <c r="A2532" t="str">
        <f>A2515</f>
        <v>Lantai 1</v>
      </c>
      <c r="B2532">
        <f>B2515</f>
        <v>82</v>
      </c>
      <c r="C2532" t="str">
        <v>Tul Bawah Tumpuan</v>
      </c>
      <c r="D2532">
        <f>VLOOKUP(D2515,'Detail Balok'!$C$10:$AU$140,28,FALSE)</f>
        <v>4</v>
      </c>
      <c r="E2532" t="str">
        <v>D</v>
      </c>
      <c r="F2532">
        <f>VLOOKUP(D2515,'Detail Balok'!$C$10:$AU$140,30,FALSE)</f>
        <v>16</v>
      </c>
      <c r="I2532" t="str">
        <v>(</v>
      </c>
      <c r="J2532">
        <f>+J2524</f>
        <v>1.50875</v>
      </c>
      <c r="K2532" t="str">
        <v>+</v>
      </c>
      <c r="L2532">
        <f>MAX(VLOOKUP(F2532,N$6:P$15,3,FALSE)/1000,2/3*D2520/1000)+F$16*F2532/1000</f>
        <v>0.192</v>
      </c>
      <c r="M2532" t="str">
        <v>=</v>
      </c>
      <c r="N2532">
        <f>J2532+L2532</f>
        <v>1.70075</v>
      </c>
      <c r="O2532" t="str">
        <v>+</v>
      </c>
      <c r="P2532">
        <f>D2532-D2531</f>
        <v>0</v>
      </c>
      <c r="Q2532" t="str">
        <v>x</v>
      </c>
      <c r="R2532">
        <f>IF(P2532&gt;0,$F$18*F2532/1000,0)</f>
        <v>0</v>
      </c>
      <c r="S2532" t="str">
        <v>)</v>
      </c>
      <c r="T2532" t="str">
        <v>x</v>
      </c>
      <c r="U2532">
        <f>0.006165*F2532^2</f>
        <v>1.57824</v>
      </c>
      <c r="X2532" t="str">
        <v>x</v>
      </c>
      <c r="Y2532">
        <f>D2521</f>
        <v>1</v>
      </c>
      <c r="Z2532" t="str">
        <v>=</v>
      </c>
      <c r="AA2532">
        <f>IF(AA2533=0,(D2532*N2532+P2532*R2532)*U2532*Y2532,0)</f>
        <v>0</v>
      </c>
    </row>
    <row r="2533">
      <c r="A2533" t="str">
        <f>A2515</f>
        <v>Lantai 1</v>
      </c>
      <c r="B2533">
        <f>B2515</f>
        <v>82</v>
      </c>
      <c r="D2533">
        <f>IF(AND(D2530=D2531,D2531=D2532,D2530=D2532),D2530,0)</f>
        <v>4</v>
      </c>
      <c r="E2533" t="str">
        <v>D</v>
      </c>
      <c r="F2533">
        <f>IF(AND(F2530=F2531,F2530=F2532,F2531=F2532),F2530,0)</f>
        <v>16</v>
      </c>
      <c r="L2533" t="str">
        <v>Total panjang per balok</v>
      </c>
      <c r="M2533" t="str">
        <v>=</v>
      </c>
      <c r="N2533">
        <f>IF(AND(D2530=D2531,D2530=D2532,D2531=D2532,F2530=F2531,F2530=F2532,F2531=F2532),SUM(N2530:N2532),0)</f>
        <v>6.4190000000000005</v>
      </c>
      <c r="O2533" t="str">
        <v>+</v>
      </c>
      <c r="P2533">
        <f>IF(N2533&gt;12,ROUNDDOWN(N2533/12,0),0)</f>
        <v>0</v>
      </c>
      <c r="Q2533" t="str">
        <v>x</v>
      </c>
      <c r="R2533">
        <f>IF(P2533&gt;0,MAX(VLOOKUP(F2533,$D$6:$G$15,3,FALSE),600),0)/1000</f>
        <v>0</v>
      </c>
      <c r="T2533" t="str">
        <v>x</v>
      </c>
      <c r="U2533">
        <f>U2532</f>
        <v>1.57824</v>
      </c>
      <c r="V2533" t="str">
        <v>x</v>
      </c>
      <c r="W2533">
        <f>D2533</f>
        <v>4</v>
      </c>
      <c r="X2533" t="str">
        <v>x</v>
      </c>
      <c r="Y2533">
        <f>Y2532</f>
        <v>1</v>
      </c>
      <c r="Z2533" t="str">
        <v>=</v>
      </c>
      <c r="AA2533">
        <f>(N2533+P2533*R2533/1000)*U2533*W2533*Y2533</f>
        <v>40.52289024</v>
      </c>
    </row>
    <row r="2535">
      <c r="A2535" t="str">
        <f>A2515</f>
        <v>Lantai 1</v>
      </c>
      <c r="B2535">
        <f>B2515</f>
        <v>82</v>
      </c>
      <c r="C2535" t="str">
        <v>Sengkang Tumpuan</v>
      </c>
      <c r="D2535">
        <f>VLOOKUP(D2515,'Detail Balok'!$C$10:$AU$140,31,FALSE)</f>
        <v>0</v>
      </c>
      <c r="E2535" t="str">
        <v>D</v>
      </c>
      <c r="F2535">
        <f>VLOOKUP(D2515,'Detail Balok'!$C$10:$AU$140,33,FALSE)</f>
        <v>10</v>
      </c>
      <c r="G2535" t="str">
        <v>-</v>
      </c>
      <c r="H2535">
        <f>VLOOKUP(D2515,'Detail Balok'!$C$10:$AU$140,35,FALSE)</f>
        <v>150</v>
      </c>
      <c r="J2535">
        <f>(IF(D2535=0,(2*(D2516+G2516))-(F$5*8),IF(D2535=3,(2*(D2516+G2516))-(F$5*8)+(G2516-2*F$5),IF(D2535=4,(2*(D2516+G2516))-(F$5*8)+2*(G2516-2*F$5)))))/1000</f>
        <v>1.08</v>
      </c>
      <c r="K2535" t="str">
        <v>+</v>
      </c>
      <c r="L2535">
        <f>IF(D2535=0,2*MAX(6*F2535,75),(D2535-1)*2*MAX(6*F2535,75))/1000</f>
        <v>0.15</v>
      </c>
      <c r="M2535" t="str">
        <v>=</v>
      </c>
      <c r="N2535">
        <f>J2535+L2535</f>
        <v>1.23</v>
      </c>
      <c r="T2535" t="str">
        <v>x</v>
      </c>
      <c r="U2535">
        <f>0.006165*F2535^2</f>
        <v>0.6165</v>
      </c>
      <c r="V2535" t="str">
        <v>x</v>
      </c>
      <c r="W2535">
        <f>IF(D2518&gt;4*G2516,ROUND(MAX(D2518/4,2*G2516)/H2535,0)+1,ROUND(D2518/H2535,0)+1)</f>
        <v>11</v>
      </c>
      <c r="X2535" t="str">
        <v>x</v>
      </c>
      <c r="Y2535">
        <f>D2521</f>
        <v>1</v>
      </c>
      <c r="Z2535" t="str">
        <v>=</v>
      </c>
      <c r="AA2535">
        <f>N2535*U2535*W2535*Y2535</f>
        <v>8.341245</v>
      </c>
    </row>
    <row r="2536">
      <c r="A2536" t="str">
        <f>A2515</f>
        <v>Lantai 1</v>
      </c>
      <c r="B2536">
        <f>B2515</f>
        <v>82</v>
      </c>
      <c r="C2536" t="str">
        <v>Sengkang Lapangan</v>
      </c>
      <c r="D2536">
        <f>VLOOKUP(D2515,'Detail Balok'!$C$10:$AU$140,36,FALSE)</f>
        <v>0</v>
      </c>
      <c r="E2536" t="str">
        <v>D</v>
      </c>
      <c r="F2536">
        <f>VLOOKUP(D2515,'Detail Balok'!$C$10:$AU$140,38,FALSE)</f>
        <v>10</v>
      </c>
      <c r="G2536" t="str">
        <v>-</v>
      </c>
      <c r="H2536">
        <f>VLOOKUP(D2515,'Detail Balok'!$C$10:$AU$140,40,FALSE)</f>
        <v>200</v>
      </c>
      <c r="J2536">
        <f>(IF(D2536=0,(2*(D2516+G2516))-(F$5*8),IF(D2536=3,(2*(D2516+G2516))-(F$5*8)+(G2516-2*F$5),IF(D2536=4,(2*(D2516+G2516))-(F$5*8)+2*(G2516-2*F$5)))))/1000</f>
        <v>1.08</v>
      </c>
      <c r="K2536" t="str">
        <v>+</v>
      </c>
      <c r="L2536">
        <f>IF(D2536=0,2*MAX(6*F2536,75),(D2536-1)*2*MAX(6*F2536,75))/1000</f>
        <v>0.15</v>
      </c>
      <c r="M2536" t="str">
        <v>=</v>
      </c>
      <c r="N2536">
        <f>J2536+L2536</f>
        <v>1.23</v>
      </c>
      <c r="T2536" t="str">
        <v>x</v>
      </c>
      <c r="U2536">
        <f>0.006165*F2536^2</f>
        <v>0.6165</v>
      </c>
      <c r="V2536" t="str">
        <v>x</v>
      </c>
      <c r="W2536">
        <f>IF(D2518-MAX(D2518/4,2*G2516)*2&gt;0,ROUND((D2518-MAX(D2518/4,2*G2516)*2)/H2536,0),0)</f>
        <v>15</v>
      </c>
      <c r="X2536" t="str">
        <v>x</v>
      </c>
      <c r="Y2536">
        <f>D2521</f>
        <v>1</v>
      </c>
      <c r="Z2536" t="str">
        <v>=</v>
      </c>
      <c r="AA2536">
        <f>N2536*U2536*W2536*Y2536</f>
        <v>11.374425</v>
      </c>
    </row>
    <row r="2537">
      <c r="A2537" t="str">
        <f>A2515</f>
        <v>Lantai 1</v>
      </c>
      <c r="B2537">
        <f>B2515</f>
        <v>82</v>
      </c>
      <c r="C2537" t="str">
        <v>Sengkang Tumpuan</v>
      </c>
      <c r="D2537">
        <f>VLOOKUP(D2515,'Detail Balok'!$C$10:$AU$140,41,FALSE)</f>
        <v>0</v>
      </c>
      <c r="E2537" t="str">
        <v>D</v>
      </c>
      <c r="F2537">
        <f>VLOOKUP(D2515,'Detail Balok'!$C$10:$AU$140,43,FALSE)</f>
        <v>10</v>
      </c>
      <c r="G2537" t="str">
        <v>-</v>
      </c>
      <c r="H2537">
        <f>VLOOKUP(D2515,'Detail Balok'!$C$10:$AU$140,45,FALSE)</f>
        <v>150</v>
      </c>
      <c r="J2537">
        <f>(IF(D2537=0,(2*(D2516+G2516))-(F$5*8),IF(D2537=3,(2*(D2516+G2516))-(F$5*8)+(G2516-2*F$5),IF(D2537=4,(2*(D2516+G2516))-(F$5*8)+2*(G2516-2*F$5)))))/1000</f>
        <v>1.08</v>
      </c>
      <c r="K2537" t="str">
        <v>+</v>
      </c>
      <c r="L2537">
        <f>IF(D2537=0,2*MAX(6*F2537,75),(D2537-1)*2*MAX(6*F2537,75))/1000</f>
        <v>0.15</v>
      </c>
      <c r="M2537" t="str">
        <v>=</v>
      </c>
      <c r="N2537">
        <f>J2537+L2537</f>
        <v>1.23</v>
      </c>
      <c r="T2537" t="str">
        <v>x</v>
      </c>
      <c r="U2537">
        <f>0.006165*F2537^2</f>
        <v>0.6165</v>
      </c>
      <c r="V2537" t="str">
        <v>x</v>
      </c>
      <c r="W2537">
        <f>IF(D2518&gt;4*G2516,ROUND(MAX(D2518/4,2*G2516)/H2537,0)+1,0)</f>
        <v>11</v>
      </c>
      <c r="X2537" t="str">
        <v>x</v>
      </c>
      <c r="Y2537">
        <f>D2521</f>
        <v>1</v>
      </c>
      <c r="Z2537" t="str">
        <v>=</v>
      </c>
      <c r="AA2537">
        <f>N2537*U2537*W2537*Y2537</f>
        <v>8.341245</v>
      </c>
    </row>
    <row r="2539">
      <c r="A2539" t="str">
        <f>A2515</f>
        <v>Lantai 1</v>
      </c>
      <c r="B2539">
        <f>B2515</f>
        <v>82</v>
      </c>
      <c r="C2539" t="str">
        <v>Kait Horizontal Tump.</v>
      </c>
      <c r="D2539">
        <f>VLOOKUP(D2515,'Detail Balok'!$C$10:$BJ$140,46,FALSE)</f>
        <v>0</v>
      </c>
      <c r="E2539" t="str">
        <v>D</v>
      </c>
      <c r="F2539">
        <f>VLOOKUP(D2515,'Detail Balok'!$C$10:$BJ$140,48,FALSE)</f>
        <v>0</v>
      </c>
      <c r="G2539" t="str">
        <v>-</v>
      </c>
      <c r="H2539">
        <f>VLOOKUP(D2515,'Detail Balok'!$C$10:$BJ$140,50,FALSE)</f>
        <v>100</v>
      </c>
      <c r="J2539">
        <f>(D2516-2*F$5)/1000</f>
        <v>0.12</v>
      </c>
      <c r="K2539" t="str">
        <v>+</v>
      </c>
      <c r="L2539">
        <f>IF(D2539=0,2*MAX(6*F2539,75),(D2539-1)*2*MAX(6*F2539,75))/1000</f>
        <v>0.15</v>
      </c>
      <c r="M2539" t="str">
        <v>=</v>
      </c>
      <c r="N2539">
        <f>J2539+L2539</f>
        <v>0.27</v>
      </c>
      <c r="T2539" t="str">
        <v>x</v>
      </c>
      <c r="U2539">
        <f>0.006165*F2539^2</f>
        <v>0</v>
      </c>
      <c r="V2539" t="str">
        <v>x</v>
      </c>
      <c r="W2539">
        <f>W2535</f>
        <v>11</v>
      </c>
      <c r="X2539" t="str">
        <v>x</v>
      </c>
      <c r="Y2539">
        <f>D2525</f>
        <v>4</v>
      </c>
      <c r="Z2539" t="str">
        <v>=</v>
      </c>
      <c r="AA2539">
        <f>N2539*U2539*W2539*Y2539</f>
        <v>0</v>
      </c>
    </row>
    <row r="2540">
      <c r="A2540" t="str">
        <f>A2515</f>
        <v>Lantai 1</v>
      </c>
      <c r="B2540">
        <f>B2515</f>
        <v>82</v>
      </c>
      <c r="C2540" t="str">
        <v>Kait Horizontal Lap.</v>
      </c>
      <c r="D2540">
        <f>VLOOKUP(D2515,'Detail Balok'!$C$10:$BJ$140,51,FALSE)</f>
        <v>0</v>
      </c>
      <c r="E2540" t="str">
        <v>D</v>
      </c>
      <c r="F2540">
        <f>VLOOKUP(D2515,'Detail Balok'!$C$10:$BJ$140,53,FALSE)</f>
        <v>0</v>
      </c>
      <c r="G2540" t="str">
        <v>-</v>
      </c>
      <c r="H2540">
        <f>VLOOKUP(D2515,'Detail Balok'!$C$10:$BJ$140,55,FALSE)</f>
        <v>100</v>
      </c>
      <c r="J2540">
        <f>(D2516-2*F$5)/1000</f>
        <v>0.12</v>
      </c>
      <c r="K2540" t="str">
        <v>+</v>
      </c>
      <c r="L2540">
        <f>IF(D2540=0,2*MAX(6*F2540,75),(D2540-1)*2*MAX(6*F2540,75))/1000</f>
        <v>0.15</v>
      </c>
      <c r="M2540" t="str">
        <v>=</v>
      </c>
      <c r="N2540">
        <f>J2540+L2540</f>
        <v>0.27</v>
      </c>
      <c r="T2540" t="str">
        <v>x</v>
      </c>
      <c r="U2540">
        <f>0.006165*F2540^2</f>
        <v>0</v>
      </c>
      <c r="V2540" t="str">
        <v>x</v>
      </c>
      <c r="W2540">
        <f>W2536</f>
        <v>15</v>
      </c>
      <c r="X2540" t="str">
        <v>x</v>
      </c>
      <c r="Y2540">
        <f>D2525</f>
        <v>4</v>
      </c>
      <c r="Z2540" t="str">
        <v>=</v>
      </c>
      <c r="AA2540">
        <f>N2540*U2540*W2540*Y2540</f>
        <v>0</v>
      </c>
    </row>
    <row r="2541">
      <c r="A2541" t="str">
        <f>A2515</f>
        <v>Lantai 1</v>
      </c>
      <c r="B2541">
        <f>B2515</f>
        <v>82</v>
      </c>
      <c r="C2541" t="str">
        <v>Kait Horizontal Tump.</v>
      </c>
      <c r="D2541">
        <f>VLOOKUP(D2515,'Detail Balok'!$C$10:$BJ$140,56,FALSE)</f>
        <v>0</v>
      </c>
      <c r="E2541" t="str">
        <v>D</v>
      </c>
      <c r="F2541">
        <f>VLOOKUP(D2515,'Detail Balok'!$C$10:$BJ$140,58,FALSE)</f>
        <v>0</v>
      </c>
      <c r="G2541" t="str">
        <v>-</v>
      </c>
      <c r="H2541">
        <f>VLOOKUP(D2515,'Detail Balok'!$C$10:$BJ$140,60,FALSE)</f>
        <v>100</v>
      </c>
      <c r="J2541">
        <f>(D2516-2*F$5)/1000</f>
        <v>0.12</v>
      </c>
      <c r="K2541" t="str">
        <v>+</v>
      </c>
      <c r="L2541">
        <f>IF(D2541=0,2*MAX(6*F2541,75),(D2541-1)*2*MAX(6*F2541,75))/1000</f>
        <v>0.15</v>
      </c>
      <c r="M2541" t="str">
        <v>=</v>
      </c>
      <c r="N2541">
        <f>J2541+L2541</f>
        <v>0.27</v>
      </c>
      <c r="T2541" t="str">
        <v>x</v>
      </c>
      <c r="U2541">
        <f>0.006165*F2541^2</f>
        <v>0</v>
      </c>
      <c r="V2541" t="str">
        <v>x</v>
      </c>
      <c r="W2541">
        <f>W2537</f>
        <v>11</v>
      </c>
      <c r="X2541" t="str">
        <v>x</v>
      </c>
      <c r="Y2541">
        <f>D2525</f>
        <v>4</v>
      </c>
      <c r="Z2541" t="str">
        <v>=</v>
      </c>
      <c r="AA2541">
        <f>N2541*U2541*W2541*Y2541</f>
        <v>0</v>
      </c>
    </row>
    <row r="2545">
      <c r="A2545" t="str">
        <f>A2515</f>
        <v>Lantai 1</v>
      </c>
      <c r="B2545">
        <f>B2515+1</f>
        <v>83</v>
      </c>
      <c r="C2545" t="str">
        <f>CONCATENATE(A2545," no. ",B2545)</f>
        <v>Lantai 1 no. 83</v>
      </c>
      <c r="D2545" t="str">
        <f>VLOOKUP(C2545,'Data Panjang Balok'!$C$9:$N$254,2,FALSE)</f>
        <v>B24-1</v>
      </c>
    </row>
    <row r="2546">
      <c r="C2546" t="str">
        <v>Dimensi</v>
      </c>
      <c r="D2546">
        <f>VLOOKUP(D2545,'Detail Balok'!$C$10:$AU$140,2,FALSE)</f>
        <v>200</v>
      </c>
      <c r="F2546" t="str">
        <v>x</v>
      </c>
      <c r="G2546">
        <f>VLOOKUP(D2545,'Detail Balok'!$C$10:$AU$140,3,FALSE)</f>
        <v>400</v>
      </c>
    </row>
    <row r="2547">
      <c r="C2547" t="str">
        <v>Panjang as ke as</v>
      </c>
      <c r="D2547">
        <f>VLOOKUP(C2545,'Data Panjang Balok'!$C$9:$N$254,4,FALSE)</f>
        <v>3090</v>
      </c>
    </row>
    <row r="2548">
      <c r="C2548" t="str">
        <v>Panjang netto</v>
      </c>
      <c r="D2548">
        <f>VLOOKUP(C2545,'Data Panjang Balok'!$C$9:$N$254,7,FALSE)</f>
        <v>3090</v>
      </c>
    </row>
    <row r="2549">
      <c r="C2549" t="str">
        <v>Kolom / balok kiri</v>
      </c>
      <c r="D2549">
        <f>VLOOKUP(C2545,'Data Panjang Balok'!$C$9:$N$254,9,FALSE)</f>
        <v>0</v>
      </c>
    </row>
    <row r="2550">
      <c r="C2550" t="str">
        <v>Kolom / balok kanan</v>
      </c>
      <c r="D2550">
        <f>VLOOKUP(C2545,'Data Panjang Balok'!$C$9:$N$254,10,FALSE)</f>
        <v>0</v>
      </c>
    </row>
    <row r="2551">
      <c r="C2551" t="str">
        <v>Jumlah</v>
      </c>
      <c r="D2551">
        <f>VLOOKUP(C2545,'Data Panjang Balok'!$C$9:$N$254,3,FALSE)</f>
        <v>1</v>
      </c>
    </row>
    <row r="2552">
      <c r="A2552" t="str">
        <f>A2545</f>
        <v>Lantai 1</v>
      </c>
      <c r="B2552">
        <f>B2545</f>
        <v>83</v>
      </c>
      <c r="C2552" t="str">
        <v>Tul Atas Tumpuan</v>
      </c>
      <c r="D2552">
        <f>VLOOKUP(D2545,'Detail Balok'!$C$10:$AU$140,4,FALSE)</f>
        <v>3</v>
      </c>
      <c r="E2552" t="str">
        <v>D</v>
      </c>
      <c r="F2552">
        <f>VLOOKUP(D2545,'Detail Balok'!$C$10:$AU$140,6,FALSE)</f>
        <v>13</v>
      </c>
      <c r="I2552" t="str">
        <v>(</v>
      </c>
      <c r="J2552">
        <f>+D2547/4/1000</f>
        <v>0.7725</v>
      </c>
      <c r="K2552" t="str">
        <v>+</v>
      </c>
      <c r="L2552">
        <f>MAX(VLOOKUP(F2552,N$6:P$15,3,FALSE)/1000,2/3*D2549/1000)+F$16*F2552/1000</f>
        <v>0.156</v>
      </c>
      <c r="M2552" t="str">
        <v>=</v>
      </c>
      <c r="N2552">
        <f>J2552+L2552</f>
        <v>0.9285</v>
      </c>
      <c r="O2552" t="str">
        <v>+</v>
      </c>
      <c r="P2552">
        <f>D2552-D2553</f>
        <v>0</v>
      </c>
      <c r="Q2552" t="str">
        <v>x</v>
      </c>
      <c r="R2552">
        <f>IF(P2552&gt;0,$F$18*F2552/1000,0)</f>
        <v>0</v>
      </c>
      <c r="S2552" t="str">
        <v>)</v>
      </c>
      <c r="T2552" t="str">
        <v>x</v>
      </c>
      <c r="U2552">
        <f>0.006165*F2552^2</f>
        <v>1.041885</v>
      </c>
      <c r="X2552" t="str">
        <v>x</v>
      </c>
      <c r="Y2552">
        <f>D2551</f>
        <v>1</v>
      </c>
      <c r="Z2552" t="str">
        <v>=</v>
      </c>
      <c r="AA2552">
        <f>IF(AA2555=0,(D2552*N2552+P2552*R2552)*U2552*Y2552,0)</f>
        <v>0</v>
      </c>
    </row>
    <row r="2553">
      <c r="A2553" t="str">
        <f>A2545</f>
        <v>Lantai 1</v>
      </c>
      <c r="B2553">
        <f>B2545</f>
        <v>83</v>
      </c>
      <c r="C2553" t="str">
        <v>Tul Atas Lapangan</v>
      </c>
      <c r="D2553">
        <f>VLOOKUP(D2545,'Detail Balok'!$C$10:$AU$140,7,FALSE)</f>
        <v>3</v>
      </c>
      <c r="E2553" t="str">
        <v>D</v>
      </c>
      <c r="F2553">
        <f>VLOOKUP(D2545,'Detail Balok'!$C$10:$AU$140,9,FALSE)</f>
        <v>13</v>
      </c>
      <c r="I2553" t="str">
        <v>(</v>
      </c>
      <c r="J2553">
        <f>+D2547/2/1000</f>
        <v>1.545</v>
      </c>
      <c r="K2553" t="str">
        <v>+</v>
      </c>
      <c r="M2553" t="str">
        <v>=</v>
      </c>
      <c r="N2553">
        <f>J2553+L2553</f>
        <v>1.545</v>
      </c>
      <c r="O2553" t="str">
        <v>+</v>
      </c>
      <c r="P2553">
        <f>MAX(D2553-D2552,D2553-D2554)</f>
        <v>0</v>
      </c>
      <c r="Q2553" t="str">
        <v>x</v>
      </c>
      <c r="R2553">
        <f>IF(P2553&gt;0,2*(1-2*$F$19-1/2)*D2548/1000,0)</f>
        <v>0</v>
      </c>
      <c r="S2553" t="str">
        <v>)</v>
      </c>
      <c r="T2553" t="str">
        <v>x</v>
      </c>
      <c r="U2553">
        <f>0.006165*F2553^2</f>
        <v>1.041885</v>
      </c>
      <c r="X2553" t="str">
        <v>x</v>
      </c>
      <c r="Y2553">
        <f>D2551</f>
        <v>1</v>
      </c>
      <c r="Z2553" t="str">
        <v>=</v>
      </c>
      <c r="AA2553">
        <f>IF(AA2555=0,(D2553*N2553+P2553*R2553)*U2553*Y2553,0)</f>
        <v>0</v>
      </c>
    </row>
    <row r="2554">
      <c r="A2554" t="str">
        <f>A2545</f>
        <v>Lantai 1</v>
      </c>
      <c r="B2554">
        <f>B2545</f>
        <v>83</v>
      </c>
      <c r="C2554" t="str">
        <v>Tul Atas Tumpuan</v>
      </c>
      <c r="D2554">
        <f>VLOOKUP(D2545,'Detail Balok'!$C$10:$AU$140,10,FALSE)</f>
        <v>3</v>
      </c>
      <c r="E2554" t="str">
        <v>D</v>
      </c>
      <c r="F2554">
        <f>VLOOKUP(D2545,'Detail Balok'!$C$10:$AU$140,12,FALSE)</f>
        <v>13</v>
      </c>
      <c r="I2554" t="str">
        <v>(</v>
      </c>
      <c r="J2554">
        <f>+D2547/4/1000</f>
        <v>0.7725</v>
      </c>
      <c r="K2554" t="str">
        <v>+</v>
      </c>
      <c r="L2554">
        <f>MAX(VLOOKUP(F2554,N$6:P$15,3,FALSE)/1000,2/3*D2549/1000)+F$16*F2554/1000</f>
        <v>0.156</v>
      </c>
      <c r="M2554" t="str">
        <v>=</v>
      </c>
      <c r="N2554">
        <f>J2554+L2554</f>
        <v>0.9285</v>
      </c>
      <c r="O2554" t="str">
        <v>+</v>
      </c>
      <c r="P2554">
        <f>D2554-D2553</f>
        <v>0</v>
      </c>
      <c r="Q2554" t="str">
        <v>x</v>
      </c>
      <c r="R2554">
        <f>IF(P2554&gt;0,$F$18*F2554/1000,0)</f>
        <v>0</v>
      </c>
      <c r="S2554" t="str">
        <v>)</v>
      </c>
      <c r="T2554" t="str">
        <v>x</v>
      </c>
      <c r="U2554">
        <f>0.006165*F2554^2</f>
        <v>1.041885</v>
      </c>
      <c r="X2554" t="str">
        <v>x</v>
      </c>
      <c r="Y2554">
        <f>D2551</f>
        <v>1</v>
      </c>
      <c r="Z2554" t="str">
        <v>=</v>
      </c>
      <c r="AA2554">
        <f>IF(AA2555=0,(D2554*N2554+P2554*R2554)*U2554*Y2554,0)</f>
        <v>0</v>
      </c>
    </row>
    <row r="2555">
      <c r="A2555" t="str">
        <f>A2545</f>
        <v>Lantai 1</v>
      </c>
      <c r="B2555">
        <f>B2545</f>
        <v>83</v>
      </c>
      <c r="D2555">
        <f>IF(AND(D2552=D2553,D2553=D2554,D2552=D2554),D2552,0)</f>
        <v>3</v>
      </c>
      <c r="E2555" t="str">
        <v>D</v>
      </c>
      <c r="F2555">
        <f>IF(AND(F2552=F2553,F2552=F2554,F2553=F2554),F2552,0)</f>
        <v>13</v>
      </c>
      <c r="L2555" t="str">
        <v>Total panjang per balok</v>
      </c>
      <c r="M2555" t="str">
        <v>=</v>
      </c>
      <c r="N2555">
        <f>IF(AND(D2552=D2553,D2552=D2554,D2553=D2554,F2552=F2553,F2552=F2554,F2553=F2554),SUM(N2552:N2554),0)</f>
        <v>3.402</v>
      </c>
      <c r="O2555" t="str">
        <v>+</v>
      </c>
      <c r="P2555">
        <f>IF(N2555&gt;12,ROUNDDOWN(N2555/12,0),0)</f>
        <v>0</v>
      </c>
      <c r="Q2555" t="str">
        <v>x</v>
      </c>
      <c r="R2555">
        <f>IF(P2555&gt;0,MAX(VLOOKUP(F2555,$D$6:$G$15,3,FALSE),600),0)/1000</f>
        <v>0</v>
      </c>
      <c r="T2555" t="str">
        <v>x</v>
      </c>
      <c r="U2555">
        <f>U2554</f>
        <v>1.041885</v>
      </c>
      <c r="V2555" t="str">
        <v>x</v>
      </c>
      <c r="W2555">
        <f>D2555</f>
        <v>3</v>
      </c>
      <c r="X2555" t="str">
        <v>x</v>
      </c>
      <c r="Y2555">
        <f>Y2554</f>
        <v>1</v>
      </c>
      <c r="Z2555" t="str">
        <v>=</v>
      </c>
      <c r="AA2555">
        <f>(N2555+P2555*R2555/1000)*U2555*W2555*Y2555</f>
        <v>10.633478310000001</v>
      </c>
    </row>
    <row r="2557">
      <c r="A2557" t="str">
        <f>A2545</f>
        <v>Lantai 1</v>
      </c>
      <c r="B2557">
        <f>B2545</f>
        <v>83</v>
      </c>
      <c r="C2557" t="str">
        <v>Tul Peminggang</v>
      </c>
      <c r="D2557">
        <f>VLOOKUP(D2545,'Detail Balok'!$C$10:$AU$140,13,FALSE)</f>
        <v>0</v>
      </c>
      <c r="E2557" t="str">
        <v>D</v>
      </c>
      <c r="F2557">
        <f>VLOOKUP(D2545,'Detail Balok'!$C$10:$AU$140,15,FALSE)</f>
        <v>8</v>
      </c>
      <c r="J2557">
        <f>+D2547/1000</f>
        <v>3.09</v>
      </c>
      <c r="K2557" t="str">
        <v>+</v>
      </c>
      <c r="L2557">
        <f>2*$F$16*F2557/1000</f>
        <v>0.192</v>
      </c>
      <c r="M2557" t="str">
        <v>=</v>
      </c>
      <c r="N2557">
        <f>J2557+L2557</f>
        <v>3.282</v>
      </c>
      <c r="O2557" t="str">
        <v>+</v>
      </c>
      <c r="P2557">
        <f>IF(N2557&gt;12,ROUNDDOWN(N2557/12,0),0)</f>
        <v>0</v>
      </c>
      <c r="Q2557" t="str">
        <v>x</v>
      </c>
      <c r="R2557">
        <f>IF(P2557&gt;0,MAX(VLOOKUP(F2557,$D$6:$G$15,3,FALSE),600),0)/1000</f>
        <v>0</v>
      </c>
      <c r="T2557" t="str">
        <v>x</v>
      </c>
      <c r="U2557">
        <f>0.006165*F2557^2</f>
        <v>0.39456</v>
      </c>
      <c r="V2557" t="str">
        <v>x</v>
      </c>
      <c r="W2557">
        <f>+D2557</f>
        <v>0</v>
      </c>
      <c r="X2557" t="str">
        <v>x</v>
      </c>
      <c r="Y2557">
        <f>D2551</f>
        <v>1</v>
      </c>
      <c r="Z2557" t="str">
        <v>=</v>
      </c>
      <c r="AA2557">
        <f>(N2557+P2557*R2557/1000)*U2557*W2557*Y2557</f>
        <v>0</v>
      </c>
    </row>
    <row r="2560">
      <c r="A2560" t="str">
        <f>A2545</f>
        <v>Lantai 1</v>
      </c>
      <c r="B2560">
        <f>B2545</f>
        <v>83</v>
      </c>
      <c r="C2560" t="str">
        <v>Tul Bawah Tumpuan</v>
      </c>
      <c r="D2560">
        <f>VLOOKUP(D2545,'Detail Balok'!$C$10:$AU$140,22,FALSE)</f>
        <v>3</v>
      </c>
      <c r="E2560" t="str">
        <v>D</v>
      </c>
      <c r="F2560">
        <f>VLOOKUP(D2545,'Detail Balok'!$C$10:$AU$140,24,FALSE)</f>
        <v>13</v>
      </c>
      <c r="I2560" t="str">
        <v>(</v>
      </c>
      <c r="J2560">
        <f>+J2552</f>
        <v>0.7725</v>
      </c>
      <c r="K2560" t="str">
        <v>+</v>
      </c>
      <c r="L2560">
        <f>MAX(VLOOKUP(F2560,N$6:P$15,3,FALSE)/1000,2/3*D2550/1000)+F$16*F2560/1000</f>
        <v>0.156</v>
      </c>
      <c r="M2560" t="str">
        <v>=</v>
      </c>
      <c r="N2560">
        <f>J2560+L2560</f>
        <v>0.9285</v>
      </c>
      <c r="O2560" t="str">
        <v>+</v>
      </c>
      <c r="P2560">
        <f>D2560-D2561</f>
        <v>0</v>
      </c>
      <c r="Q2560" t="str">
        <v>x</v>
      </c>
      <c r="R2560">
        <f>IF(P2560&gt;0,$F$18*F2560/1000,0)</f>
        <v>0</v>
      </c>
      <c r="S2560" t="str">
        <v>)</v>
      </c>
      <c r="T2560" t="str">
        <v>x</v>
      </c>
      <c r="U2560">
        <f>0.006165*F2560^2</f>
        <v>1.041885</v>
      </c>
      <c r="X2560" t="str">
        <v>x</v>
      </c>
      <c r="Y2560">
        <f>D2551</f>
        <v>1</v>
      </c>
      <c r="Z2560" t="str">
        <v>=</v>
      </c>
      <c r="AA2560">
        <f>IF(AA2563=0,(D2560*N2560+P2560*R2560)*U2560*Y2560,0)</f>
        <v>0</v>
      </c>
    </row>
    <row r="2561">
      <c r="A2561" t="str">
        <f>A2545</f>
        <v>Lantai 1</v>
      </c>
      <c r="B2561">
        <f>B2545</f>
        <v>83</v>
      </c>
      <c r="C2561" t="str">
        <v>Tul Bawah Lapangan</v>
      </c>
      <c r="D2561">
        <f>VLOOKUP(D2545,'Detail Balok'!$C$10:$AU$140,25,FALSE)</f>
        <v>3</v>
      </c>
      <c r="E2561" t="str">
        <v>D</v>
      </c>
      <c r="F2561">
        <f>VLOOKUP(D2545,'Detail Balok'!$C$10:$AU$140,27,FALSE)</f>
        <v>13</v>
      </c>
      <c r="I2561" t="str">
        <v>(</v>
      </c>
      <c r="J2561">
        <f>+J2553</f>
        <v>1.545</v>
      </c>
      <c r="K2561" t="str">
        <v>+</v>
      </c>
      <c r="M2561" t="str">
        <v>=</v>
      </c>
      <c r="N2561">
        <f>J2561+L2561</f>
        <v>1.545</v>
      </c>
      <c r="O2561" t="str">
        <v>+</v>
      </c>
      <c r="P2561">
        <f>MAX(D2561-D2560,D2561-D2562)</f>
        <v>0</v>
      </c>
      <c r="Q2561" t="str">
        <v>x</v>
      </c>
      <c r="R2561">
        <f>IF(P2561&gt;0,2*(1-2*$F$19-1/2)*D2548/1000,0)</f>
        <v>0</v>
      </c>
      <c r="S2561" t="str">
        <v>)</v>
      </c>
      <c r="T2561" t="str">
        <v>x</v>
      </c>
      <c r="U2561">
        <f>0.006165*F2561^2</f>
        <v>1.041885</v>
      </c>
      <c r="X2561" t="str">
        <v>x</v>
      </c>
      <c r="Y2561">
        <f>D2551</f>
        <v>1</v>
      </c>
      <c r="Z2561" t="str">
        <v>=</v>
      </c>
      <c r="AA2561">
        <f>IF(AA2563=0,(D2561*N2561+P2561*R2561)*U2561*Y2561,0)</f>
        <v>0</v>
      </c>
    </row>
    <row r="2562">
      <c r="A2562" t="str">
        <f>A2545</f>
        <v>Lantai 1</v>
      </c>
      <c r="B2562">
        <f>B2545</f>
        <v>83</v>
      </c>
      <c r="C2562" t="str">
        <v>Tul Bawah Tumpuan</v>
      </c>
      <c r="D2562">
        <f>VLOOKUP(D2545,'Detail Balok'!$C$10:$AU$140,28,FALSE)</f>
        <v>3</v>
      </c>
      <c r="E2562" t="str">
        <v>D</v>
      </c>
      <c r="F2562">
        <f>VLOOKUP(D2545,'Detail Balok'!$C$10:$AU$140,30,FALSE)</f>
        <v>13</v>
      </c>
      <c r="I2562" t="str">
        <v>(</v>
      </c>
      <c r="J2562">
        <f>+J2554</f>
        <v>0.7725</v>
      </c>
      <c r="K2562" t="str">
        <v>+</v>
      </c>
      <c r="L2562">
        <f>MAX(VLOOKUP(F2562,N$6:P$15,3,FALSE)/1000,2/3*D2550/1000)+F$16*F2562/1000</f>
        <v>0.156</v>
      </c>
      <c r="M2562" t="str">
        <v>=</v>
      </c>
      <c r="N2562">
        <f>J2562+L2562</f>
        <v>0.9285</v>
      </c>
      <c r="O2562" t="str">
        <v>+</v>
      </c>
      <c r="P2562">
        <f>D2562-D2561</f>
        <v>0</v>
      </c>
      <c r="Q2562" t="str">
        <v>x</v>
      </c>
      <c r="R2562">
        <f>IF(P2562&gt;0,$F$18*F2562/1000,0)</f>
        <v>0</v>
      </c>
      <c r="S2562" t="str">
        <v>)</v>
      </c>
      <c r="T2562" t="str">
        <v>x</v>
      </c>
      <c r="U2562">
        <f>0.006165*F2562^2</f>
        <v>1.041885</v>
      </c>
      <c r="X2562" t="str">
        <v>x</v>
      </c>
      <c r="Y2562">
        <f>D2551</f>
        <v>1</v>
      </c>
      <c r="Z2562" t="str">
        <v>=</v>
      </c>
      <c r="AA2562">
        <f>IF(AA2563=0,(D2562*N2562+P2562*R2562)*U2562*Y2562,0)</f>
        <v>0</v>
      </c>
    </row>
    <row r="2563">
      <c r="A2563" t="str">
        <f>A2545</f>
        <v>Lantai 1</v>
      </c>
      <c r="B2563">
        <f>B2545</f>
        <v>83</v>
      </c>
      <c r="D2563">
        <f>IF(AND(D2560=D2561,D2561=D2562,D2560=D2562),D2560,0)</f>
        <v>3</v>
      </c>
      <c r="E2563" t="str">
        <v>D</v>
      </c>
      <c r="F2563">
        <f>IF(AND(F2560=F2561,F2560=F2562,F2561=F2562),F2560,0)</f>
        <v>13</v>
      </c>
      <c r="L2563" t="str">
        <v>Total panjang per balok</v>
      </c>
      <c r="M2563" t="str">
        <v>=</v>
      </c>
      <c r="N2563">
        <f>IF(AND(D2560=D2561,D2560=D2562,D2561=D2562,F2560=F2561,F2560=F2562,F2561=F2562),SUM(N2560:N2562),0)</f>
        <v>3.402</v>
      </c>
      <c r="O2563" t="str">
        <v>+</v>
      </c>
      <c r="P2563">
        <f>IF(N2563&gt;12,ROUNDDOWN(N2563/12,0),0)</f>
        <v>0</v>
      </c>
      <c r="Q2563" t="str">
        <v>x</v>
      </c>
      <c r="R2563">
        <f>IF(P2563&gt;0,MAX(VLOOKUP(F2563,$D$6:$G$15,3,FALSE),600),0)/1000</f>
        <v>0</v>
      </c>
      <c r="T2563" t="str">
        <v>x</v>
      </c>
      <c r="U2563">
        <f>U2562</f>
        <v>1.041885</v>
      </c>
      <c r="V2563" t="str">
        <v>x</v>
      </c>
      <c r="W2563">
        <f>D2563</f>
        <v>3</v>
      </c>
      <c r="X2563" t="str">
        <v>x</v>
      </c>
      <c r="Y2563">
        <f>Y2562</f>
        <v>1</v>
      </c>
      <c r="Z2563" t="str">
        <v>=</v>
      </c>
      <c r="AA2563">
        <f>(N2563+P2563*R2563/1000)*U2563*W2563*Y2563</f>
        <v>10.633478310000001</v>
      </c>
    </row>
    <row r="2565">
      <c r="A2565" t="str">
        <f>A2545</f>
        <v>Lantai 1</v>
      </c>
      <c r="B2565">
        <f>B2545</f>
        <v>83</v>
      </c>
      <c r="C2565" t="str">
        <v>Sengkang Tumpuan</v>
      </c>
      <c r="D2565">
        <f>VLOOKUP(D2545,'Detail Balok'!$C$10:$AU$140,31,FALSE)</f>
        <v>0</v>
      </c>
      <c r="E2565" t="str">
        <v>D</v>
      </c>
      <c r="F2565">
        <f>VLOOKUP(D2545,'Detail Balok'!$C$10:$AU$140,33,FALSE)</f>
        <v>10</v>
      </c>
      <c r="G2565" t="str">
        <v>-</v>
      </c>
      <c r="H2565">
        <f>VLOOKUP(D2545,'Detail Balok'!$C$10:$AU$140,35,FALSE)</f>
        <v>100</v>
      </c>
      <c r="J2565">
        <f>(IF(D2565=0,(2*(D2546+G2546))-(F$5*8),IF(D2565=3,(2*(D2546+G2546))-(F$5*8)+(G2546-2*F$5),IF(D2565=4,(2*(D2546+G2546))-(F$5*8)+2*(G2546-2*F$5)))))/1000</f>
        <v>0.88</v>
      </c>
      <c r="K2565" t="str">
        <v>+</v>
      </c>
      <c r="L2565">
        <f>IF(D2565=0,2*MAX(6*F2565,75),(D2565-1)*2*MAX(6*F2565,75))/1000</f>
        <v>0.15</v>
      </c>
      <c r="M2565" t="str">
        <v>=</v>
      </c>
      <c r="N2565">
        <f>J2565+L2565</f>
        <v>1.03</v>
      </c>
      <c r="T2565" t="str">
        <v>x</v>
      </c>
      <c r="U2565">
        <f>0.006165*F2565^2</f>
        <v>0.6165</v>
      </c>
      <c r="V2565" t="str">
        <v>x</v>
      </c>
      <c r="W2565">
        <f>IF(D2548&gt;4*G2546,ROUND(MAX(D2548/4,2*G2546)/H2565,0)+1,ROUND(D2548/H2565,0)+1)</f>
        <v>9</v>
      </c>
      <c r="X2565" t="str">
        <v>x</v>
      </c>
      <c r="Y2565">
        <f>D2551</f>
        <v>1</v>
      </c>
      <c r="Z2565" t="str">
        <v>=</v>
      </c>
      <c r="AA2565">
        <f>N2565*U2565*W2565*Y2565</f>
        <v>5.714955000000001</v>
      </c>
    </row>
    <row r="2566">
      <c r="A2566" t="str">
        <f>A2545</f>
        <v>Lantai 1</v>
      </c>
      <c r="B2566">
        <f>B2545</f>
        <v>83</v>
      </c>
      <c r="C2566" t="str">
        <v>Sengkang Lapangan</v>
      </c>
      <c r="D2566">
        <f>VLOOKUP(D2545,'Detail Balok'!$C$10:$AU$140,36,FALSE)</f>
        <v>0</v>
      </c>
      <c r="E2566" t="str">
        <v>D</v>
      </c>
      <c r="F2566">
        <f>VLOOKUP(D2545,'Detail Balok'!$C$10:$AU$140,38,FALSE)</f>
        <v>10</v>
      </c>
      <c r="G2566" t="str">
        <v>-</v>
      </c>
      <c r="H2566">
        <f>VLOOKUP(D2545,'Detail Balok'!$C$10:$AU$140,40,FALSE)</f>
        <v>200</v>
      </c>
      <c r="J2566">
        <f>(IF(D2566=0,(2*(D2546+G2546))-(F$5*8),IF(D2566=3,(2*(D2546+G2546))-(F$5*8)+(G2546-2*F$5),IF(D2566=4,(2*(D2546+G2546))-(F$5*8)+2*(G2546-2*F$5)))))/1000</f>
        <v>0.88</v>
      </c>
      <c r="K2566" t="str">
        <v>+</v>
      </c>
      <c r="L2566">
        <f>IF(D2566=0,2*MAX(6*F2566,75),(D2566-1)*2*MAX(6*F2566,75))/1000</f>
        <v>0.15</v>
      </c>
      <c r="M2566" t="str">
        <v>=</v>
      </c>
      <c r="N2566">
        <f>J2566+L2566</f>
        <v>1.03</v>
      </c>
      <c r="T2566" t="str">
        <v>x</v>
      </c>
      <c r="U2566">
        <f>0.006165*F2566^2</f>
        <v>0.6165</v>
      </c>
      <c r="V2566" t="str">
        <v>x</v>
      </c>
      <c r="W2566">
        <f>IF(D2548-MAX(D2548/4,2*G2546)*2&gt;0,ROUND((D2548-MAX(D2548/4,2*G2546)*2)/H2566,0),0)</f>
        <v>7</v>
      </c>
      <c r="X2566" t="str">
        <v>x</v>
      </c>
      <c r="Y2566">
        <f>D2551</f>
        <v>1</v>
      </c>
      <c r="Z2566" t="str">
        <v>=</v>
      </c>
      <c r="AA2566">
        <f>N2566*U2566*W2566*Y2566</f>
        <v>4.444965000000001</v>
      </c>
    </row>
    <row r="2567">
      <c r="A2567" t="str">
        <f>A2545</f>
        <v>Lantai 1</v>
      </c>
      <c r="B2567">
        <f>B2545</f>
        <v>83</v>
      </c>
      <c r="C2567" t="str">
        <v>Sengkang Tumpuan</v>
      </c>
      <c r="D2567">
        <f>VLOOKUP(D2545,'Detail Balok'!$C$10:$AU$140,41,FALSE)</f>
        <v>0</v>
      </c>
      <c r="E2567" t="str">
        <v>D</v>
      </c>
      <c r="F2567">
        <f>VLOOKUP(D2545,'Detail Balok'!$C$10:$AU$140,43,FALSE)</f>
        <v>10</v>
      </c>
      <c r="G2567" t="str">
        <v>-</v>
      </c>
      <c r="H2567">
        <f>VLOOKUP(D2545,'Detail Balok'!$C$10:$AU$140,45,FALSE)</f>
        <v>100</v>
      </c>
      <c r="J2567">
        <f>(IF(D2567=0,(2*(D2546+G2546))-(F$5*8),IF(D2567=3,(2*(D2546+G2546))-(F$5*8)+(G2546-2*F$5),IF(D2567=4,(2*(D2546+G2546))-(F$5*8)+2*(G2546-2*F$5)))))/1000</f>
        <v>0.88</v>
      </c>
      <c r="K2567" t="str">
        <v>+</v>
      </c>
      <c r="L2567">
        <f>IF(D2567=0,2*MAX(6*F2567,75),(D2567-1)*2*MAX(6*F2567,75))/1000</f>
        <v>0.15</v>
      </c>
      <c r="M2567" t="str">
        <v>=</v>
      </c>
      <c r="N2567">
        <f>J2567+L2567</f>
        <v>1.03</v>
      </c>
      <c r="T2567" t="str">
        <v>x</v>
      </c>
      <c r="U2567">
        <f>0.006165*F2567^2</f>
        <v>0.6165</v>
      </c>
      <c r="V2567" t="str">
        <v>x</v>
      </c>
      <c r="W2567">
        <f>IF(D2548&gt;4*G2546,ROUND(MAX(D2548/4,2*G2546)/H2567,0)+1,0)</f>
        <v>9</v>
      </c>
      <c r="X2567" t="str">
        <v>x</v>
      </c>
      <c r="Y2567">
        <f>D2551</f>
        <v>1</v>
      </c>
      <c r="Z2567" t="str">
        <v>=</v>
      </c>
      <c r="AA2567">
        <f>N2567*U2567*W2567*Y2567</f>
        <v>5.714955000000001</v>
      </c>
    </row>
    <row r="2569">
      <c r="A2569" t="str">
        <f>A2545</f>
        <v>Lantai 1</v>
      </c>
      <c r="B2569">
        <f>B2545</f>
        <v>83</v>
      </c>
      <c r="C2569" t="str">
        <v>Kait Horizontal Tump.</v>
      </c>
      <c r="D2569">
        <f>VLOOKUP(D2545,'Detail Balok'!$C$10:$BJ$140,46,FALSE)</f>
        <v>0</v>
      </c>
      <c r="E2569" t="str">
        <v>D</v>
      </c>
      <c r="F2569">
        <f>VLOOKUP(D2545,'Detail Balok'!$C$10:$BJ$140,48,FALSE)</f>
        <v>0</v>
      </c>
      <c r="G2569" t="str">
        <v>-</v>
      </c>
      <c r="H2569">
        <f>VLOOKUP(D2545,'Detail Balok'!$C$10:$BJ$140,50,FALSE)</f>
        <v>100</v>
      </c>
      <c r="J2569">
        <f>(D2546-2*F$5)/1000</f>
        <v>0.12</v>
      </c>
      <c r="K2569" t="str">
        <v>+</v>
      </c>
      <c r="L2569">
        <f>IF(D2569=0,2*MAX(6*F2569,75),(D2569-1)*2*MAX(6*F2569,75))/1000</f>
        <v>0.15</v>
      </c>
      <c r="M2569" t="str">
        <v>=</v>
      </c>
      <c r="N2569">
        <f>J2569+L2569</f>
        <v>0.27</v>
      </c>
      <c r="T2569" t="str">
        <v>x</v>
      </c>
      <c r="U2569">
        <f>0.006165*F2569^2</f>
        <v>0</v>
      </c>
      <c r="V2569" t="str">
        <v>x</v>
      </c>
      <c r="W2569">
        <f>W2565</f>
        <v>9</v>
      </c>
      <c r="X2569" t="str">
        <v>x</v>
      </c>
      <c r="Y2569">
        <f>D2555</f>
        <v>3</v>
      </c>
      <c r="Z2569" t="str">
        <v>=</v>
      </c>
      <c r="AA2569">
        <f>N2569*U2569*W2569*Y2569</f>
        <v>0</v>
      </c>
    </row>
    <row r="2570">
      <c r="A2570" t="str">
        <f>A2545</f>
        <v>Lantai 1</v>
      </c>
      <c r="B2570">
        <f>B2545</f>
        <v>83</v>
      </c>
      <c r="C2570" t="str">
        <v>Kait Horizontal Lap.</v>
      </c>
      <c r="D2570">
        <f>VLOOKUP(D2545,'Detail Balok'!$C$10:$BJ$140,51,FALSE)</f>
        <v>0</v>
      </c>
      <c r="E2570" t="str">
        <v>D</v>
      </c>
      <c r="F2570">
        <f>VLOOKUP(D2545,'Detail Balok'!$C$10:$BJ$140,53,FALSE)</f>
        <v>0</v>
      </c>
      <c r="G2570" t="str">
        <v>-</v>
      </c>
      <c r="H2570">
        <f>VLOOKUP(D2545,'Detail Balok'!$C$10:$BJ$140,55,FALSE)</f>
        <v>100</v>
      </c>
      <c r="J2570">
        <f>(D2546-2*F$5)/1000</f>
        <v>0.12</v>
      </c>
      <c r="K2570" t="str">
        <v>+</v>
      </c>
      <c r="L2570">
        <f>IF(D2570=0,2*MAX(6*F2570,75),(D2570-1)*2*MAX(6*F2570,75))/1000</f>
        <v>0.15</v>
      </c>
      <c r="M2570" t="str">
        <v>=</v>
      </c>
      <c r="N2570">
        <f>J2570+L2570</f>
        <v>0.27</v>
      </c>
      <c r="T2570" t="str">
        <v>x</v>
      </c>
      <c r="U2570">
        <f>0.006165*F2570^2</f>
        <v>0</v>
      </c>
      <c r="V2570" t="str">
        <v>x</v>
      </c>
      <c r="W2570">
        <f>W2566</f>
        <v>7</v>
      </c>
      <c r="X2570" t="str">
        <v>x</v>
      </c>
      <c r="Y2570">
        <f>D2555</f>
        <v>3</v>
      </c>
      <c r="Z2570" t="str">
        <v>=</v>
      </c>
      <c r="AA2570">
        <f>N2570*U2570*W2570*Y2570</f>
        <v>0</v>
      </c>
    </row>
    <row r="2571">
      <c r="A2571" t="str">
        <f>A2545</f>
        <v>Lantai 1</v>
      </c>
      <c r="B2571">
        <f>B2545</f>
        <v>83</v>
      </c>
      <c r="C2571" t="str">
        <v>Kait Horizontal Tump.</v>
      </c>
      <c r="D2571">
        <f>VLOOKUP(D2545,'Detail Balok'!$C$10:$BJ$140,56,FALSE)</f>
        <v>0</v>
      </c>
      <c r="E2571" t="str">
        <v>D</v>
      </c>
      <c r="F2571">
        <f>VLOOKUP(D2545,'Detail Balok'!$C$10:$BJ$140,58,FALSE)</f>
        <v>0</v>
      </c>
      <c r="G2571" t="str">
        <v>-</v>
      </c>
      <c r="H2571">
        <f>VLOOKUP(D2545,'Detail Balok'!$C$10:$BJ$140,60,FALSE)</f>
        <v>100</v>
      </c>
      <c r="J2571">
        <f>(D2546-2*F$5)/1000</f>
        <v>0.12</v>
      </c>
      <c r="K2571" t="str">
        <v>+</v>
      </c>
      <c r="L2571">
        <f>IF(D2571=0,2*MAX(6*F2571,75),(D2571-1)*2*MAX(6*F2571,75))/1000</f>
        <v>0.15</v>
      </c>
      <c r="M2571" t="str">
        <v>=</v>
      </c>
      <c r="N2571">
        <f>J2571+L2571</f>
        <v>0.27</v>
      </c>
      <c r="T2571" t="str">
        <v>x</v>
      </c>
      <c r="U2571">
        <f>0.006165*F2571^2</f>
        <v>0</v>
      </c>
      <c r="V2571" t="str">
        <v>x</v>
      </c>
      <c r="W2571">
        <f>W2567</f>
        <v>9</v>
      </c>
      <c r="X2571" t="str">
        <v>x</v>
      </c>
      <c r="Y2571">
        <f>D2555</f>
        <v>3</v>
      </c>
      <c r="Z2571" t="str">
        <v>=</v>
      </c>
      <c r="AA2571">
        <f>N2571*U2571*W2571*Y2571</f>
        <v>0</v>
      </c>
    </row>
    <row r="2575">
      <c r="A2575" t="str">
        <f>A2545</f>
        <v>Lantai 1</v>
      </c>
      <c r="B2575">
        <f>B2545+1</f>
        <v>84</v>
      </c>
      <c r="C2575" t="str">
        <f>CONCATENATE(A2575," no. ",B2575)</f>
        <v>Lantai 1 no. 84</v>
      </c>
      <c r="D2575" t="str">
        <f>VLOOKUP(C2575,'Data Panjang Balok'!$C$9:$N$254,2,FALSE)</f>
        <v>B25-1</v>
      </c>
    </row>
    <row r="2576">
      <c r="C2576" t="str">
        <v>Dimensi</v>
      </c>
      <c r="D2576">
        <f>VLOOKUP(D2575,'Detail Balok'!$C$10:$AU$140,2,FALSE)</f>
        <v>200</v>
      </c>
      <c r="F2576" t="str">
        <v>x</v>
      </c>
      <c r="G2576">
        <f>VLOOKUP(D2575,'Detail Balok'!$C$10:$AU$140,3,FALSE)</f>
        <v>500</v>
      </c>
    </row>
    <row r="2577">
      <c r="C2577" t="str">
        <v>Panjang as ke as</v>
      </c>
      <c r="D2577">
        <f>VLOOKUP(C2575,'Data Panjang Balok'!$C$9:$N$254,4,FALSE)</f>
        <v>6170</v>
      </c>
    </row>
    <row r="2578">
      <c r="C2578" t="str">
        <v>Panjang netto</v>
      </c>
      <c r="D2578">
        <f>VLOOKUP(C2575,'Data Panjang Balok'!$C$9:$N$254,7,FALSE)</f>
        <v>6170</v>
      </c>
    </row>
    <row r="2579">
      <c r="C2579" t="str">
        <v>Kolom / balok kiri</v>
      </c>
      <c r="D2579">
        <f>VLOOKUP(C2575,'Data Panjang Balok'!$C$9:$N$254,9,FALSE)</f>
        <v>0</v>
      </c>
    </row>
    <row r="2580">
      <c r="C2580" t="str">
        <v>Kolom / balok kanan</v>
      </c>
      <c r="D2580">
        <f>VLOOKUP(C2575,'Data Panjang Balok'!$C$9:$N$254,10,FALSE)</f>
        <v>0</v>
      </c>
    </row>
    <row r="2581">
      <c r="C2581" t="str">
        <v>Jumlah</v>
      </c>
      <c r="D2581">
        <f>VLOOKUP(C2575,'Data Panjang Balok'!$C$9:$N$254,3,FALSE)</f>
        <v>1</v>
      </c>
    </row>
    <row r="2582">
      <c r="A2582" t="str">
        <f>A2575</f>
        <v>Lantai 1</v>
      </c>
      <c r="B2582">
        <f>B2575</f>
        <v>84</v>
      </c>
      <c r="C2582" t="str">
        <v>Tul Atas Tumpuan</v>
      </c>
      <c r="D2582">
        <f>VLOOKUP(D2575,'Detail Balok'!$C$10:$AU$140,4,FALSE)</f>
        <v>4</v>
      </c>
      <c r="E2582" t="str">
        <v>D</v>
      </c>
      <c r="F2582">
        <f>VLOOKUP(D2575,'Detail Balok'!$C$10:$AU$140,6,FALSE)</f>
        <v>16</v>
      </c>
      <c r="I2582" t="str">
        <v>(</v>
      </c>
      <c r="J2582">
        <f>+D2577/4/1000</f>
        <v>1.5425</v>
      </c>
      <c r="K2582" t="str">
        <v>+</v>
      </c>
      <c r="L2582">
        <f>MAX(VLOOKUP(F2582,N$6:P$15,3,FALSE)/1000,2/3*D2579/1000)+F$16*F2582/1000</f>
        <v>0.192</v>
      </c>
      <c r="M2582" t="str">
        <v>=</v>
      </c>
      <c r="N2582">
        <f>J2582+L2582</f>
        <v>1.7345</v>
      </c>
      <c r="O2582" t="str">
        <v>+</v>
      </c>
      <c r="P2582">
        <f>D2582-D2583</f>
        <v>0</v>
      </c>
      <c r="Q2582" t="str">
        <v>x</v>
      </c>
      <c r="R2582">
        <f>IF(P2582&gt;0,$F$18*F2582/1000,0)</f>
        <v>0</v>
      </c>
      <c r="S2582" t="str">
        <v>)</v>
      </c>
      <c r="T2582" t="str">
        <v>x</v>
      </c>
      <c r="U2582">
        <f>0.006165*F2582^2</f>
        <v>1.57824</v>
      </c>
      <c r="X2582" t="str">
        <v>x</v>
      </c>
      <c r="Y2582">
        <f>D2581</f>
        <v>1</v>
      </c>
      <c r="Z2582" t="str">
        <v>=</v>
      </c>
      <c r="AA2582">
        <f>IF(AA2585=0,(D2582*N2582+P2582*R2582)*U2582*Y2582,0)</f>
        <v>0</v>
      </c>
    </row>
    <row r="2583">
      <c r="A2583" t="str">
        <f>A2575</f>
        <v>Lantai 1</v>
      </c>
      <c r="B2583">
        <f>B2575</f>
        <v>84</v>
      </c>
      <c r="C2583" t="str">
        <v>Tul Atas Lapangan</v>
      </c>
      <c r="D2583">
        <f>VLOOKUP(D2575,'Detail Balok'!$C$10:$AU$140,7,FALSE)</f>
        <v>4</v>
      </c>
      <c r="E2583" t="str">
        <v>D</v>
      </c>
      <c r="F2583">
        <f>VLOOKUP(D2575,'Detail Balok'!$C$10:$AU$140,9,FALSE)</f>
        <v>16</v>
      </c>
      <c r="I2583" t="str">
        <v>(</v>
      </c>
      <c r="J2583">
        <f>+D2577/2/1000</f>
        <v>3.085</v>
      </c>
      <c r="K2583" t="str">
        <v>+</v>
      </c>
      <c r="M2583" t="str">
        <v>=</v>
      </c>
      <c r="N2583">
        <f>J2583+L2583</f>
        <v>3.085</v>
      </c>
      <c r="O2583" t="str">
        <v>+</v>
      </c>
      <c r="P2583">
        <f>MAX(D2583-D2582,D2583-D2584)</f>
        <v>0</v>
      </c>
      <c r="Q2583" t="str">
        <v>x</v>
      </c>
      <c r="R2583">
        <f>IF(P2583&gt;0,2*(1-2*$F$19-1/2)*D2578/1000,0)</f>
        <v>0</v>
      </c>
      <c r="S2583" t="str">
        <v>)</v>
      </c>
      <c r="T2583" t="str">
        <v>x</v>
      </c>
      <c r="U2583">
        <f>0.006165*F2583^2</f>
        <v>1.57824</v>
      </c>
      <c r="X2583" t="str">
        <v>x</v>
      </c>
      <c r="Y2583">
        <f>D2581</f>
        <v>1</v>
      </c>
      <c r="Z2583" t="str">
        <v>=</v>
      </c>
      <c r="AA2583">
        <f>IF(AA2585=0,(D2583*N2583+P2583*R2583)*U2583*Y2583,0)</f>
        <v>0</v>
      </c>
    </row>
    <row r="2584">
      <c r="A2584" t="str">
        <f>A2575</f>
        <v>Lantai 1</v>
      </c>
      <c r="B2584">
        <f>B2575</f>
        <v>84</v>
      </c>
      <c r="C2584" t="str">
        <v>Tul Atas Tumpuan</v>
      </c>
      <c r="D2584">
        <f>VLOOKUP(D2575,'Detail Balok'!$C$10:$AU$140,10,FALSE)</f>
        <v>4</v>
      </c>
      <c r="E2584" t="str">
        <v>D</v>
      </c>
      <c r="F2584">
        <f>VLOOKUP(D2575,'Detail Balok'!$C$10:$AU$140,12,FALSE)</f>
        <v>16</v>
      </c>
      <c r="I2584" t="str">
        <v>(</v>
      </c>
      <c r="J2584">
        <f>+D2577/4/1000</f>
        <v>1.5425</v>
      </c>
      <c r="K2584" t="str">
        <v>+</v>
      </c>
      <c r="L2584">
        <f>MAX(VLOOKUP(F2584,N$6:P$15,3,FALSE)/1000,2/3*D2579/1000)+F$16*F2584/1000</f>
        <v>0.192</v>
      </c>
      <c r="M2584" t="str">
        <v>=</v>
      </c>
      <c r="N2584">
        <f>J2584+L2584</f>
        <v>1.7345</v>
      </c>
      <c r="O2584" t="str">
        <v>+</v>
      </c>
      <c r="P2584">
        <f>D2584-D2583</f>
        <v>0</v>
      </c>
      <c r="Q2584" t="str">
        <v>x</v>
      </c>
      <c r="R2584">
        <f>IF(P2584&gt;0,$F$18*F2584/1000,0)</f>
        <v>0</v>
      </c>
      <c r="S2584" t="str">
        <v>)</v>
      </c>
      <c r="T2584" t="str">
        <v>x</v>
      </c>
      <c r="U2584">
        <f>0.006165*F2584^2</f>
        <v>1.57824</v>
      </c>
      <c r="X2584" t="str">
        <v>x</v>
      </c>
      <c r="Y2584">
        <f>D2581</f>
        <v>1</v>
      </c>
      <c r="Z2584" t="str">
        <v>=</v>
      </c>
      <c r="AA2584">
        <f>IF(AA2585=0,(D2584*N2584+P2584*R2584)*U2584*Y2584,0)</f>
        <v>0</v>
      </c>
    </row>
    <row r="2585">
      <c r="A2585" t="str">
        <f>A2575</f>
        <v>Lantai 1</v>
      </c>
      <c r="B2585">
        <f>B2575</f>
        <v>84</v>
      </c>
      <c r="D2585">
        <f>IF(AND(D2582=D2583,D2583=D2584,D2582=D2584),D2582,0)</f>
        <v>4</v>
      </c>
      <c r="E2585" t="str">
        <v>D</v>
      </c>
      <c r="F2585">
        <f>IF(AND(F2582=F2583,F2582=F2584,F2583=F2584),F2582,0)</f>
        <v>16</v>
      </c>
      <c r="L2585" t="str">
        <v>Total panjang per balok</v>
      </c>
      <c r="M2585" t="str">
        <v>=</v>
      </c>
      <c r="N2585">
        <f>IF(AND(D2582=D2583,D2582=D2584,D2583=D2584,F2582=F2583,F2582=F2584,F2583=F2584),SUM(N2582:N2584),0)</f>
        <v>6.553999999999999</v>
      </c>
      <c r="O2585" t="str">
        <v>+</v>
      </c>
      <c r="P2585">
        <f>IF(N2585&gt;12,ROUNDDOWN(N2585/12,0),0)</f>
        <v>0</v>
      </c>
      <c r="Q2585" t="str">
        <v>x</v>
      </c>
      <c r="R2585">
        <f>IF(P2585&gt;0,MAX(VLOOKUP(F2585,$D$6:$G$15,3,FALSE),600),0)/1000</f>
        <v>0</v>
      </c>
      <c r="T2585" t="str">
        <v>x</v>
      </c>
      <c r="U2585">
        <f>U2584</f>
        <v>1.57824</v>
      </c>
      <c r="V2585" t="str">
        <v>x</v>
      </c>
      <c r="W2585">
        <f>D2585</f>
        <v>4</v>
      </c>
      <c r="X2585" t="str">
        <v>x</v>
      </c>
      <c r="Y2585">
        <f>Y2584</f>
        <v>1</v>
      </c>
      <c r="Z2585" t="str">
        <v>=</v>
      </c>
      <c r="AA2585">
        <f>(N2585+P2585*R2585/1000)*U2585*W2585*Y2585</f>
        <v>41.375139839999996</v>
      </c>
    </row>
    <row r="2587">
      <c r="A2587" t="str">
        <f>A2575</f>
        <v>Lantai 1</v>
      </c>
      <c r="B2587">
        <f>B2575</f>
        <v>84</v>
      </c>
      <c r="C2587" t="str">
        <v>Tul Peminggang</v>
      </c>
      <c r="D2587">
        <f>VLOOKUP(D2575,'Detail Balok'!$C$10:$AU$140,13,FALSE)</f>
        <v>2</v>
      </c>
      <c r="E2587" t="str">
        <v>D</v>
      </c>
      <c r="F2587">
        <f>VLOOKUP(D2575,'Detail Balok'!$C$10:$AU$140,15,FALSE)</f>
        <v>10</v>
      </c>
      <c r="J2587">
        <f>+D2577/1000</f>
        <v>6.17</v>
      </c>
      <c r="K2587" t="str">
        <v>+</v>
      </c>
      <c r="L2587">
        <f>2*$F$16*F2587/1000</f>
        <v>0.24</v>
      </c>
      <c r="M2587" t="str">
        <v>=</v>
      </c>
      <c r="N2587">
        <f>J2587+L2587</f>
        <v>6.41</v>
      </c>
      <c r="O2587" t="str">
        <v>+</v>
      </c>
      <c r="P2587">
        <f>IF(N2587&gt;12,ROUNDDOWN(N2587/12,0),0)</f>
        <v>0</v>
      </c>
      <c r="Q2587" t="str">
        <v>x</v>
      </c>
      <c r="R2587">
        <f>IF(P2587&gt;0,MAX(VLOOKUP(F2587,$D$6:$G$15,3,FALSE),600),0)/1000</f>
        <v>0</v>
      </c>
      <c r="T2587" t="str">
        <v>x</v>
      </c>
      <c r="U2587">
        <f>0.006165*F2587^2</f>
        <v>0.6165</v>
      </c>
      <c r="V2587" t="str">
        <v>x</v>
      </c>
      <c r="W2587">
        <f>+D2587</f>
        <v>2</v>
      </c>
      <c r="X2587" t="str">
        <v>x</v>
      </c>
      <c r="Y2587">
        <f>D2581</f>
        <v>1</v>
      </c>
      <c r="Z2587" t="str">
        <v>=</v>
      </c>
      <c r="AA2587">
        <f>(N2587+P2587*R2587/1000)*U2587*W2587*Y2587</f>
        <v>7.903530000000001</v>
      </c>
    </row>
    <row r="2590">
      <c r="A2590" t="str">
        <f>A2575</f>
        <v>Lantai 1</v>
      </c>
      <c r="B2590">
        <f>B2575</f>
        <v>84</v>
      </c>
      <c r="C2590" t="str">
        <v>Tul Bawah Tumpuan</v>
      </c>
      <c r="D2590">
        <f>VLOOKUP(D2575,'Detail Balok'!$C$10:$AU$140,22,FALSE)</f>
        <v>4</v>
      </c>
      <c r="E2590" t="str">
        <v>D</v>
      </c>
      <c r="F2590">
        <f>VLOOKUP(D2575,'Detail Balok'!$C$10:$AU$140,24,FALSE)</f>
        <v>16</v>
      </c>
      <c r="I2590" t="str">
        <v>(</v>
      </c>
      <c r="J2590">
        <f>+J2582</f>
        <v>1.5425</v>
      </c>
      <c r="K2590" t="str">
        <v>+</v>
      </c>
      <c r="L2590">
        <f>MAX(VLOOKUP(F2590,N$6:P$15,3,FALSE)/1000,2/3*D2580/1000)+F$16*F2590/1000</f>
        <v>0.192</v>
      </c>
      <c r="M2590" t="str">
        <v>=</v>
      </c>
      <c r="N2590">
        <f>J2590+L2590</f>
        <v>1.7345</v>
      </c>
      <c r="O2590" t="str">
        <v>+</v>
      </c>
      <c r="P2590">
        <f>D2590-D2591</f>
        <v>0</v>
      </c>
      <c r="Q2590" t="str">
        <v>x</v>
      </c>
      <c r="R2590">
        <f>IF(P2590&gt;0,$F$18*F2590/1000,0)</f>
        <v>0</v>
      </c>
      <c r="S2590" t="str">
        <v>)</v>
      </c>
      <c r="T2590" t="str">
        <v>x</v>
      </c>
      <c r="U2590">
        <f>0.006165*F2590^2</f>
        <v>1.57824</v>
      </c>
      <c r="X2590" t="str">
        <v>x</v>
      </c>
      <c r="Y2590">
        <f>D2581</f>
        <v>1</v>
      </c>
      <c r="Z2590" t="str">
        <v>=</v>
      </c>
      <c r="AA2590">
        <f>IF(AA2593=0,(D2590*N2590+P2590*R2590)*U2590*Y2590,0)</f>
        <v>0</v>
      </c>
    </row>
    <row r="2591">
      <c r="A2591" t="str">
        <f>A2575</f>
        <v>Lantai 1</v>
      </c>
      <c r="B2591">
        <f>B2575</f>
        <v>84</v>
      </c>
      <c r="C2591" t="str">
        <v>Tul Bawah Lapangan</v>
      </c>
      <c r="D2591">
        <f>VLOOKUP(D2575,'Detail Balok'!$C$10:$AU$140,25,FALSE)</f>
        <v>4</v>
      </c>
      <c r="E2591" t="str">
        <v>D</v>
      </c>
      <c r="F2591">
        <f>VLOOKUP(D2575,'Detail Balok'!$C$10:$AU$140,27,FALSE)</f>
        <v>16</v>
      </c>
      <c r="I2591" t="str">
        <v>(</v>
      </c>
      <c r="J2591">
        <f>+J2583</f>
        <v>3.085</v>
      </c>
      <c r="K2591" t="str">
        <v>+</v>
      </c>
      <c r="M2591" t="str">
        <v>=</v>
      </c>
      <c r="N2591">
        <f>J2591+L2591</f>
        <v>3.085</v>
      </c>
      <c r="O2591" t="str">
        <v>+</v>
      </c>
      <c r="P2591">
        <f>MAX(D2591-D2590,D2591-D2592)</f>
        <v>0</v>
      </c>
      <c r="Q2591" t="str">
        <v>x</v>
      </c>
      <c r="R2591">
        <f>IF(P2591&gt;0,2*(1-2*$F$19-1/2)*D2578/1000,0)</f>
        <v>0</v>
      </c>
      <c r="S2591" t="str">
        <v>)</v>
      </c>
      <c r="T2591" t="str">
        <v>x</v>
      </c>
      <c r="U2591">
        <f>0.006165*F2591^2</f>
        <v>1.57824</v>
      </c>
      <c r="X2591" t="str">
        <v>x</v>
      </c>
      <c r="Y2591">
        <f>D2581</f>
        <v>1</v>
      </c>
      <c r="Z2591" t="str">
        <v>=</v>
      </c>
      <c r="AA2591">
        <f>IF(AA2593=0,(D2591*N2591+P2591*R2591)*U2591*Y2591,0)</f>
        <v>0</v>
      </c>
    </row>
    <row r="2592">
      <c r="A2592" t="str">
        <f>A2575</f>
        <v>Lantai 1</v>
      </c>
      <c r="B2592">
        <f>B2575</f>
        <v>84</v>
      </c>
      <c r="C2592" t="str">
        <v>Tul Bawah Tumpuan</v>
      </c>
      <c r="D2592">
        <f>VLOOKUP(D2575,'Detail Balok'!$C$10:$AU$140,28,FALSE)</f>
        <v>4</v>
      </c>
      <c r="E2592" t="str">
        <v>D</v>
      </c>
      <c r="F2592">
        <f>VLOOKUP(D2575,'Detail Balok'!$C$10:$AU$140,30,FALSE)</f>
        <v>16</v>
      </c>
      <c r="I2592" t="str">
        <v>(</v>
      </c>
      <c r="J2592">
        <f>+J2584</f>
        <v>1.5425</v>
      </c>
      <c r="K2592" t="str">
        <v>+</v>
      </c>
      <c r="L2592">
        <f>MAX(VLOOKUP(F2592,N$6:P$15,3,FALSE)/1000,2/3*D2580/1000)+F$16*F2592/1000</f>
        <v>0.192</v>
      </c>
      <c r="M2592" t="str">
        <v>=</v>
      </c>
      <c r="N2592">
        <f>J2592+L2592</f>
        <v>1.7345</v>
      </c>
      <c r="O2592" t="str">
        <v>+</v>
      </c>
      <c r="P2592">
        <f>D2592-D2591</f>
        <v>0</v>
      </c>
      <c r="Q2592" t="str">
        <v>x</v>
      </c>
      <c r="R2592">
        <f>IF(P2592&gt;0,$F$18*F2592/1000,0)</f>
        <v>0</v>
      </c>
      <c r="S2592" t="str">
        <v>)</v>
      </c>
      <c r="T2592" t="str">
        <v>x</v>
      </c>
      <c r="U2592">
        <f>0.006165*F2592^2</f>
        <v>1.57824</v>
      </c>
      <c r="X2592" t="str">
        <v>x</v>
      </c>
      <c r="Y2592">
        <f>D2581</f>
        <v>1</v>
      </c>
      <c r="Z2592" t="str">
        <v>=</v>
      </c>
      <c r="AA2592">
        <f>IF(AA2593=0,(D2592*N2592+P2592*R2592)*U2592*Y2592,0)</f>
        <v>0</v>
      </c>
    </row>
    <row r="2593">
      <c r="A2593" t="str">
        <f>A2575</f>
        <v>Lantai 1</v>
      </c>
      <c r="B2593">
        <f>B2575</f>
        <v>84</v>
      </c>
      <c r="D2593">
        <f>IF(AND(D2590=D2591,D2591=D2592,D2590=D2592),D2590,0)</f>
        <v>4</v>
      </c>
      <c r="E2593" t="str">
        <v>D</v>
      </c>
      <c r="F2593">
        <f>IF(AND(F2590=F2591,F2590=F2592,F2591=F2592),F2590,0)</f>
        <v>16</v>
      </c>
      <c r="L2593" t="str">
        <v>Total panjang per balok</v>
      </c>
      <c r="M2593" t="str">
        <v>=</v>
      </c>
      <c r="N2593">
        <f>IF(AND(D2590=D2591,D2590=D2592,D2591=D2592,F2590=F2591,F2590=F2592,F2591=F2592),SUM(N2590:N2592),0)</f>
        <v>6.553999999999999</v>
      </c>
      <c r="O2593" t="str">
        <v>+</v>
      </c>
      <c r="P2593">
        <f>IF(N2593&gt;12,ROUNDDOWN(N2593/12,0),0)</f>
        <v>0</v>
      </c>
      <c r="Q2593" t="str">
        <v>x</v>
      </c>
      <c r="R2593">
        <f>IF(P2593&gt;0,MAX(VLOOKUP(F2593,$D$6:$G$15,3,FALSE),600),0)/1000</f>
        <v>0</v>
      </c>
      <c r="T2593" t="str">
        <v>x</v>
      </c>
      <c r="U2593">
        <f>U2592</f>
        <v>1.57824</v>
      </c>
      <c r="V2593" t="str">
        <v>x</v>
      </c>
      <c r="W2593">
        <f>D2593</f>
        <v>4</v>
      </c>
      <c r="X2593" t="str">
        <v>x</v>
      </c>
      <c r="Y2593">
        <f>Y2592</f>
        <v>1</v>
      </c>
      <c r="Z2593" t="str">
        <v>=</v>
      </c>
      <c r="AA2593">
        <f>(N2593+P2593*R2593/1000)*U2593*W2593*Y2593</f>
        <v>41.375139839999996</v>
      </c>
    </row>
    <row r="2595">
      <c r="A2595" t="str">
        <f>A2575</f>
        <v>Lantai 1</v>
      </c>
      <c r="B2595">
        <f>B2575</f>
        <v>84</v>
      </c>
      <c r="C2595" t="str">
        <v>Sengkang Tumpuan</v>
      </c>
      <c r="D2595">
        <f>VLOOKUP(D2575,'Detail Balok'!$C$10:$AU$140,31,FALSE)</f>
        <v>0</v>
      </c>
      <c r="E2595" t="str">
        <v>D</v>
      </c>
      <c r="F2595">
        <f>VLOOKUP(D2575,'Detail Balok'!$C$10:$AU$140,33,FALSE)</f>
        <v>10</v>
      </c>
      <c r="G2595" t="str">
        <v>-</v>
      </c>
      <c r="H2595">
        <f>VLOOKUP(D2575,'Detail Balok'!$C$10:$AU$140,35,FALSE)</f>
        <v>150</v>
      </c>
      <c r="J2595">
        <f>(IF(D2595=0,(2*(D2576+G2576))-(F$5*8),IF(D2595=3,(2*(D2576+G2576))-(F$5*8)+(G2576-2*F$5),IF(D2595=4,(2*(D2576+G2576))-(F$5*8)+2*(G2576-2*F$5)))))/1000</f>
        <v>1.08</v>
      </c>
      <c r="K2595" t="str">
        <v>+</v>
      </c>
      <c r="L2595">
        <f>IF(D2595=0,2*MAX(6*F2595,75),(D2595-1)*2*MAX(6*F2595,75))/1000</f>
        <v>0.15</v>
      </c>
      <c r="M2595" t="str">
        <v>=</v>
      </c>
      <c r="N2595">
        <f>J2595+L2595</f>
        <v>1.23</v>
      </c>
      <c r="T2595" t="str">
        <v>x</v>
      </c>
      <c r="U2595">
        <f>0.006165*F2595^2</f>
        <v>0.6165</v>
      </c>
      <c r="V2595" t="str">
        <v>x</v>
      </c>
      <c r="W2595">
        <f>IF(D2578&gt;4*G2576,ROUND(MAX(D2578/4,2*G2576)/H2595,0)+1,ROUND(D2578/H2595,0)+1)</f>
        <v>11</v>
      </c>
      <c r="X2595" t="str">
        <v>x</v>
      </c>
      <c r="Y2595">
        <f>D2581</f>
        <v>1</v>
      </c>
      <c r="Z2595" t="str">
        <v>=</v>
      </c>
      <c r="AA2595">
        <f>N2595*U2595*W2595*Y2595</f>
        <v>8.341245</v>
      </c>
    </row>
    <row r="2596">
      <c r="A2596" t="str">
        <f>A2575</f>
        <v>Lantai 1</v>
      </c>
      <c r="B2596">
        <f>B2575</f>
        <v>84</v>
      </c>
      <c r="C2596" t="str">
        <v>Sengkang Lapangan</v>
      </c>
      <c r="D2596">
        <f>VLOOKUP(D2575,'Detail Balok'!$C$10:$AU$140,36,FALSE)</f>
        <v>0</v>
      </c>
      <c r="E2596" t="str">
        <v>D</v>
      </c>
      <c r="F2596">
        <f>VLOOKUP(D2575,'Detail Balok'!$C$10:$AU$140,38,FALSE)</f>
        <v>10</v>
      </c>
      <c r="G2596" t="str">
        <v>-</v>
      </c>
      <c r="H2596">
        <f>VLOOKUP(D2575,'Detail Balok'!$C$10:$AU$140,40,FALSE)</f>
        <v>200</v>
      </c>
      <c r="J2596">
        <f>(IF(D2596=0,(2*(D2576+G2576))-(F$5*8),IF(D2596=3,(2*(D2576+G2576))-(F$5*8)+(G2576-2*F$5),IF(D2596=4,(2*(D2576+G2576))-(F$5*8)+2*(G2576-2*F$5)))))/1000</f>
        <v>1.08</v>
      </c>
      <c r="K2596" t="str">
        <v>+</v>
      </c>
      <c r="L2596">
        <f>IF(D2596=0,2*MAX(6*F2596,75),(D2596-1)*2*MAX(6*F2596,75))/1000</f>
        <v>0.15</v>
      </c>
      <c r="M2596" t="str">
        <v>=</v>
      </c>
      <c r="N2596">
        <f>J2596+L2596</f>
        <v>1.23</v>
      </c>
      <c r="T2596" t="str">
        <v>x</v>
      </c>
      <c r="U2596">
        <f>0.006165*F2596^2</f>
        <v>0.6165</v>
      </c>
      <c r="V2596" t="str">
        <v>x</v>
      </c>
      <c r="W2596">
        <f>IF(D2578-MAX(D2578/4,2*G2576)*2&gt;0,ROUND((D2578-MAX(D2578/4,2*G2576)*2)/H2596,0),0)</f>
        <v>15</v>
      </c>
      <c r="X2596" t="str">
        <v>x</v>
      </c>
      <c r="Y2596">
        <f>D2581</f>
        <v>1</v>
      </c>
      <c r="Z2596" t="str">
        <v>=</v>
      </c>
      <c r="AA2596">
        <f>N2596*U2596*W2596*Y2596</f>
        <v>11.374425</v>
      </c>
    </row>
    <row r="2597">
      <c r="A2597" t="str">
        <f>A2575</f>
        <v>Lantai 1</v>
      </c>
      <c r="B2597">
        <f>B2575</f>
        <v>84</v>
      </c>
      <c r="C2597" t="str">
        <v>Sengkang Tumpuan</v>
      </c>
      <c r="D2597">
        <f>VLOOKUP(D2575,'Detail Balok'!$C$10:$AU$140,41,FALSE)</f>
        <v>0</v>
      </c>
      <c r="E2597" t="str">
        <v>D</v>
      </c>
      <c r="F2597">
        <f>VLOOKUP(D2575,'Detail Balok'!$C$10:$AU$140,43,FALSE)</f>
        <v>10</v>
      </c>
      <c r="G2597" t="str">
        <v>-</v>
      </c>
      <c r="H2597">
        <f>VLOOKUP(D2575,'Detail Balok'!$C$10:$AU$140,45,FALSE)</f>
        <v>150</v>
      </c>
      <c r="J2597">
        <f>(IF(D2597=0,(2*(D2576+G2576))-(F$5*8),IF(D2597=3,(2*(D2576+G2576))-(F$5*8)+(G2576-2*F$5),IF(D2597=4,(2*(D2576+G2576))-(F$5*8)+2*(G2576-2*F$5)))))/1000</f>
        <v>1.08</v>
      </c>
      <c r="K2597" t="str">
        <v>+</v>
      </c>
      <c r="L2597">
        <f>IF(D2597=0,2*MAX(6*F2597,75),(D2597-1)*2*MAX(6*F2597,75))/1000</f>
        <v>0.15</v>
      </c>
      <c r="M2597" t="str">
        <v>=</v>
      </c>
      <c r="N2597">
        <f>J2597+L2597</f>
        <v>1.23</v>
      </c>
      <c r="T2597" t="str">
        <v>x</v>
      </c>
      <c r="U2597">
        <f>0.006165*F2597^2</f>
        <v>0.6165</v>
      </c>
      <c r="V2597" t="str">
        <v>x</v>
      </c>
      <c r="W2597">
        <f>IF(D2578&gt;4*G2576,ROUND(MAX(D2578/4,2*G2576)/H2597,0)+1,0)</f>
        <v>11</v>
      </c>
      <c r="X2597" t="str">
        <v>x</v>
      </c>
      <c r="Y2597">
        <f>D2581</f>
        <v>1</v>
      </c>
      <c r="Z2597" t="str">
        <v>=</v>
      </c>
      <c r="AA2597">
        <f>N2597*U2597*W2597*Y2597</f>
        <v>8.341245</v>
      </c>
    </row>
    <row r="2599">
      <c r="A2599" t="str">
        <f>A2575</f>
        <v>Lantai 1</v>
      </c>
      <c r="B2599">
        <f>B2575</f>
        <v>84</v>
      </c>
      <c r="C2599" t="str">
        <v>Kait Horizontal Tump.</v>
      </c>
      <c r="D2599">
        <f>VLOOKUP(D2575,'Detail Balok'!$C$10:$BJ$140,46,FALSE)</f>
        <v>0</v>
      </c>
      <c r="E2599" t="str">
        <v>D</v>
      </c>
      <c r="F2599">
        <f>VLOOKUP(D2575,'Detail Balok'!$C$10:$BJ$140,48,FALSE)</f>
        <v>0</v>
      </c>
      <c r="G2599" t="str">
        <v>-</v>
      </c>
      <c r="H2599">
        <f>VLOOKUP(D2575,'Detail Balok'!$C$10:$BJ$140,50,FALSE)</f>
        <v>100</v>
      </c>
      <c r="J2599">
        <f>(D2576-2*F$5)/1000</f>
        <v>0.12</v>
      </c>
      <c r="K2599" t="str">
        <v>+</v>
      </c>
      <c r="L2599">
        <f>IF(D2599=0,2*MAX(6*F2599,75),(D2599-1)*2*MAX(6*F2599,75))/1000</f>
        <v>0.15</v>
      </c>
      <c r="M2599" t="str">
        <v>=</v>
      </c>
      <c r="N2599">
        <f>J2599+L2599</f>
        <v>0.27</v>
      </c>
      <c r="T2599" t="str">
        <v>x</v>
      </c>
      <c r="U2599">
        <f>0.006165*F2599^2</f>
        <v>0</v>
      </c>
      <c r="V2599" t="str">
        <v>x</v>
      </c>
      <c r="W2599">
        <f>W2595</f>
        <v>11</v>
      </c>
      <c r="X2599" t="str">
        <v>x</v>
      </c>
      <c r="Y2599">
        <f>D2585</f>
        <v>4</v>
      </c>
      <c r="Z2599" t="str">
        <v>=</v>
      </c>
      <c r="AA2599">
        <f>N2599*U2599*W2599*Y2599</f>
        <v>0</v>
      </c>
    </row>
    <row r="2600">
      <c r="A2600" t="str">
        <f>A2575</f>
        <v>Lantai 1</v>
      </c>
      <c r="B2600">
        <f>B2575</f>
        <v>84</v>
      </c>
      <c r="C2600" t="str">
        <v>Kait Horizontal Lap.</v>
      </c>
      <c r="D2600">
        <f>VLOOKUP(D2575,'Detail Balok'!$C$10:$BJ$140,51,FALSE)</f>
        <v>0</v>
      </c>
      <c r="E2600" t="str">
        <v>D</v>
      </c>
      <c r="F2600">
        <f>VLOOKUP(D2575,'Detail Balok'!$C$10:$BJ$140,53,FALSE)</f>
        <v>0</v>
      </c>
      <c r="G2600" t="str">
        <v>-</v>
      </c>
      <c r="H2600">
        <f>VLOOKUP(D2575,'Detail Balok'!$C$10:$BJ$140,55,FALSE)</f>
        <v>100</v>
      </c>
      <c r="J2600">
        <f>(D2576-2*F$5)/1000</f>
        <v>0.12</v>
      </c>
      <c r="K2600" t="str">
        <v>+</v>
      </c>
      <c r="L2600">
        <f>IF(D2600=0,2*MAX(6*F2600,75),(D2600-1)*2*MAX(6*F2600,75))/1000</f>
        <v>0.15</v>
      </c>
      <c r="M2600" t="str">
        <v>=</v>
      </c>
      <c r="N2600">
        <f>J2600+L2600</f>
        <v>0.27</v>
      </c>
      <c r="T2600" t="str">
        <v>x</v>
      </c>
      <c r="U2600">
        <f>0.006165*F2600^2</f>
        <v>0</v>
      </c>
      <c r="V2600" t="str">
        <v>x</v>
      </c>
      <c r="W2600">
        <f>W2596</f>
        <v>15</v>
      </c>
      <c r="X2600" t="str">
        <v>x</v>
      </c>
      <c r="Y2600">
        <f>D2585</f>
        <v>4</v>
      </c>
      <c r="Z2600" t="str">
        <v>=</v>
      </c>
      <c r="AA2600">
        <f>N2600*U2600*W2600*Y2600</f>
        <v>0</v>
      </c>
    </row>
    <row r="2601">
      <c r="A2601" t="str">
        <f>A2575</f>
        <v>Lantai 1</v>
      </c>
      <c r="B2601">
        <f>B2575</f>
        <v>84</v>
      </c>
      <c r="C2601" t="str">
        <v>Kait Horizontal Tump.</v>
      </c>
      <c r="D2601">
        <f>VLOOKUP(D2575,'Detail Balok'!$C$10:$BJ$140,56,FALSE)</f>
        <v>0</v>
      </c>
      <c r="E2601" t="str">
        <v>D</v>
      </c>
      <c r="F2601">
        <f>VLOOKUP(D2575,'Detail Balok'!$C$10:$BJ$140,58,FALSE)</f>
        <v>0</v>
      </c>
      <c r="G2601" t="str">
        <v>-</v>
      </c>
      <c r="H2601">
        <f>VLOOKUP(D2575,'Detail Balok'!$C$10:$BJ$140,60,FALSE)</f>
        <v>100</v>
      </c>
      <c r="J2601">
        <f>(D2576-2*F$5)/1000</f>
        <v>0.12</v>
      </c>
      <c r="K2601" t="str">
        <v>+</v>
      </c>
      <c r="L2601">
        <f>IF(D2601=0,2*MAX(6*F2601,75),(D2601-1)*2*MAX(6*F2601,75))/1000</f>
        <v>0.15</v>
      </c>
      <c r="M2601" t="str">
        <v>=</v>
      </c>
      <c r="N2601">
        <f>J2601+L2601</f>
        <v>0.27</v>
      </c>
      <c r="T2601" t="str">
        <v>x</v>
      </c>
      <c r="U2601">
        <f>0.006165*F2601^2</f>
        <v>0</v>
      </c>
      <c r="V2601" t="str">
        <v>x</v>
      </c>
      <c r="W2601">
        <f>W2597</f>
        <v>11</v>
      </c>
      <c r="X2601" t="str">
        <v>x</v>
      </c>
      <c r="Y2601">
        <f>D2585</f>
        <v>4</v>
      </c>
      <c r="Z2601" t="str">
        <v>=</v>
      </c>
      <c r="AA2601">
        <f>N2601*U2601*W2601*Y2601</f>
        <v>0</v>
      </c>
    </row>
    <row r="2605">
      <c r="A2605" t="str">
        <f>A2575</f>
        <v>Lantai 1</v>
      </c>
      <c r="B2605">
        <f>B2575+1</f>
        <v>85</v>
      </c>
      <c r="C2605" t="str">
        <f>CONCATENATE(A2605," no. ",B2605)</f>
        <v>Lantai 1 no. 85</v>
      </c>
      <c r="D2605" t="str">
        <f>VLOOKUP(C2605,'Data Panjang Balok'!$C$9:$N$254,2,FALSE)</f>
        <v>B25-1</v>
      </c>
    </row>
    <row r="2606">
      <c r="C2606" t="str">
        <v>Dimensi</v>
      </c>
      <c r="D2606">
        <f>VLOOKUP(D2605,'Detail Balok'!$C$10:$AU$140,2,FALSE)</f>
        <v>200</v>
      </c>
      <c r="F2606" t="str">
        <v>x</v>
      </c>
      <c r="G2606">
        <f>VLOOKUP(D2605,'Detail Balok'!$C$10:$AU$140,3,FALSE)</f>
        <v>500</v>
      </c>
    </row>
    <row r="2607">
      <c r="C2607" t="str">
        <v>Panjang as ke as</v>
      </c>
      <c r="D2607">
        <f>VLOOKUP(C2605,'Data Panjang Balok'!$C$9:$N$254,4,FALSE)</f>
        <v>8435</v>
      </c>
    </row>
    <row r="2608">
      <c r="C2608" t="str">
        <v>Panjang netto</v>
      </c>
      <c r="D2608">
        <f>VLOOKUP(C2605,'Data Panjang Balok'!$C$9:$N$254,7,FALSE)</f>
        <v>8435</v>
      </c>
    </row>
    <row r="2609">
      <c r="C2609" t="str">
        <v>Kolom / balok kiri</v>
      </c>
      <c r="D2609">
        <f>VLOOKUP(C2605,'Data Panjang Balok'!$C$9:$N$254,9,FALSE)</f>
        <v>0</v>
      </c>
    </row>
    <row r="2610">
      <c r="C2610" t="str">
        <v>Kolom / balok kanan</v>
      </c>
      <c r="D2610">
        <f>VLOOKUP(C2605,'Data Panjang Balok'!$C$9:$N$254,10,FALSE)</f>
        <v>0</v>
      </c>
    </row>
    <row r="2611">
      <c r="C2611" t="str">
        <v>Jumlah</v>
      </c>
      <c r="D2611">
        <f>VLOOKUP(C2605,'Data Panjang Balok'!$C$9:$N$254,3,FALSE)</f>
        <v>1</v>
      </c>
    </row>
    <row r="2612">
      <c r="A2612" t="str">
        <f>A2605</f>
        <v>Lantai 1</v>
      </c>
      <c r="B2612">
        <f>B2605</f>
        <v>85</v>
      </c>
      <c r="C2612" t="str">
        <v>Tul Atas Tumpuan</v>
      </c>
      <c r="D2612">
        <f>VLOOKUP(D2605,'Detail Balok'!$C$10:$AU$140,4,FALSE)</f>
        <v>4</v>
      </c>
      <c r="E2612" t="str">
        <v>D</v>
      </c>
      <c r="F2612">
        <f>VLOOKUP(D2605,'Detail Balok'!$C$10:$AU$140,6,FALSE)</f>
        <v>16</v>
      </c>
      <c r="I2612" t="str">
        <v>(</v>
      </c>
      <c r="J2612">
        <f>+D2607/4/1000</f>
        <v>2.10875</v>
      </c>
      <c r="K2612" t="str">
        <v>+</v>
      </c>
      <c r="L2612">
        <f>MAX(VLOOKUP(F2612,N$6:P$15,3,FALSE)/1000,2/3*D2609/1000)+F$16*F2612/1000</f>
        <v>0.192</v>
      </c>
      <c r="M2612" t="str">
        <v>=</v>
      </c>
      <c r="N2612">
        <f>J2612+L2612</f>
        <v>2.3007500000000003</v>
      </c>
      <c r="O2612" t="str">
        <v>+</v>
      </c>
      <c r="P2612">
        <f>D2612-D2613</f>
        <v>0</v>
      </c>
      <c r="Q2612" t="str">
        <v>x</v>
      </c>
      <c r="R2612">
        <f>IF(P2612&gt;0,$F$18*F2612/1000,0)</f>
        <v>0</v>
      </c>
      <c r="S2612" t="str">
        <v>)</v>
      </c>
      <c r="T2612" t="str">
        <v>x</v>
      </c>
      <c r="U2612">
        <f>0.006165*F2612^2</f>
        <v>1.57824</v>
      </c>
      <c r="X2612" t="str">
        <v>x</v>
      </c>
      <c r="Y2612">
        <f>D2611</f>
        <v>1</v>
      </c>
      <c r="Z2612" t="str">
        <v>=</v>
      </c>
      <c r="AA2612">
        <f>IF(AA2615=0,(D2612*N2612+P2612*R2612)*U2612*Y2612,0)</f>
        <v>0</v>
      </c>
    </row>
    <row r="2613">
      <c r="A2613" t="str">
        <f>A2605</f>
        <v>Lantai 1</v>
      </c>
      <c r="B2613">
        <f>B2605</f>
        <v>85</v>
      </c>
      <c r="C2613" t="str">
        <v>Tul Atas Lapangan</v>
      </c>
      <c r="D2613">
        <f>VLOOKUP(D2605,'Detail Balok'!$C$10:$AU$140,7,FALSE)</f>
        <v>4</v>
      </c>
      <c r="E2613" t="str">
        <v>D</v>
      </c>
      <c r="F2613">
        <f>VLOOKUP(D2605,'Detail Balok'!$C$10:$AU$140,9,FALSE)</f>
        <v>16</v>
      </c>
      <c r="I2613" t="str">
        <v>(</v>
      </c>
      <c r="J2613">
        <f>+D2607/2/1000</f>
        <v>4.2175</v>
      </c>
      <c r="K2613" t="str">
        <v>+</v>
      </c>
      <c r="M2613" t="str">
        <v>=</v>
      </c>
      <c r="N2613">
        <f>J2613+L2613</f>
        <v>4.2175</v>
      </c>
      <c r="O2613" t="str">
        <v>+</v>
      </c>
      <c r="P2613">
        <f>MAX(D2613-D2612,D2613-D2614)</f>
        <v>0</v>
      </c>
      <c r="Q2613" t="str">
        <v>x</v>
      </c>
      <c r="R2613">
        <f>IF(P2613&gt;0,2*(1-2*$F$19-1/2)*D2608/1000,0)</f>
        <v>0</v>
      </c>
      <c r="S2613" t="str">
        <v>)</v>
      </c>
      <c r="T2613" t="str">
        <v>x</v>
      </c>
      <c r="U2613">
        <f>0.006165*F2613^2</f>
        <v>1.57824</v>
      </c>
      <c r="X2613" t="str">
        <v>x</v>
      </c>
      <c r="Y2613">
        <f>D2611</f>
        <v>1</v>
      </c>
      <c r="Z2613" t="str">
        <v>=</v>
      </c>
      <c r="AA2613">
        <f>IF(AA2615=0,(D2613*N2613+P2613*R2613)*U2613*Y2613,0)</f>
        <v>0</v>
      </c>
    </row>
    <row r="2614">
      <c r="A2614" t="str">
        <f>A2605</f>
        <v>Lantai 1</v>
      </c>
      <c r="B2614">
        <f>B2605</f>
        <v>85</v>
      </c>
      <c r="C2614" t="str">
        <v>Tul Atas Tumpuan</v>
      </c>
      <c r="D2614">
        <f>VLOOKUP(D2605,'Detail Balok'!$C$10:$AU$140,10,FALSE)</f>
        <v>4</v>
      </c>
      <c r="E2614" t="str">
        <v>D</v>
      </c>
      <c r="F2614">
        <f>VLOOKUP(D2605,'Detail Balok'!$C$10:$AU$140,12,FALSE)</f>
        <v>16</v>
      </c>
      <c r="I2614" t="str">
        <v>(</v>
      </c>
      <c r="J2614">
        <f>+D2607/4/1000</f>
        <v>2.10875</v>
      </c>
      <c r="K2614" t="str">
        <v>+</v>
      </c>
      <c r="L2614">
        <f>MAX(VLOOKUP(F2614,N$6:P$15,3,FALSE)/1000,2/3*D2609/1000)+F$16*F2614/1000</f>
        <v>0.192</v>
      </c>
      <c r="M2614" t="str">
        <v>=</v>
      </c>
      <c r="N2614">
        <f>J2614+L2614</f>
        <v>2.3007500000000003</v>
      </c>
      <c r="O2614" t="str">
        <v>+</v>
      </c>
      <c r="P2614">
        <f>D2614-D2613</f>
        <v>0</v>
      </c>
      <c r="Q2614" t="str">
        <v>x</v>
      </c>
      <c r="R2614">
        <f>IF(P2614&gt;0,$F$18*F2614/1000,0)</f>
        <v>0</v>
      </c>
      <c r="S2614" t="str">
        <v>)</v>
      </c>
      <c r="T2614" t="str">
        <v>x</v>
      </c>
      <c r="U2614">
        <f>0.006165*F2614^2</f>
        <v>1.57824</v>
      </c>
      <c r="X2614" t="str">
        <v>x</v>
      </c>
      <c r="Y2614">
        <f>D2611</f>
        <v>1</v>
      </c>
      <c r="Z2614" t="str">
        <v>=</v>
      </c>
      <c r="AA2614">
        <f>IF(AA2615=0,(D2614*N2614+P2614*R2614)*U2614*Y2614,0)</f>
        <v>0</v>
      </c>
    </row>
    <row r="2615">
      <c r="A2615" t="str">
        <f>A2605</f>
        <v>Lantai 1</v>
      </c>
      <c r="B2615">
        <f>B2605</f>
        <v>85</v>
      </c>
      <c r="D2615">
        <f>IF(AND(D2612=D2613,D2613=D2614,D2612=D2614),D2612,0)</f>
        <v>4</v>
      </c>
      <c r="E2615" t="str">
        <v>D</v>
      </c>
      <c r="F2615">
        <f>IF(AND(F2612=F2613,F2612=F2614,F2613=F2614),F2612,0)</f>
        <v>16</v>
      </c>
      <c r="L2615" t="str">
        <v>Total panjang per balok</v>
      </c>
      <c r="M2615" t="str">
        <v>=</v>
      </c>
      <c r="N2615">
        <f>IF(AND(D2612=D2613,D2612=D2614,D2613=D2614,F2612=F2613,F2612=F2614,F2613=F2614),SUM(N2612:N2614),0)</f>
        <v>8.819</v>
      </c>
      <c r="O2615" t="str">
        <v>+</v>
      </c>
      <c r="P2615">
        <f>IF(N2615&gt;12,ROUNDDOWN(N2615/12,0),0)</f>
        <v>0</v>
      </c>
      <c r="Q2615" t="str">
        <v>x</v>
      </c>
      <c r="R2615">
        <f>IF(P2615&gt;0,MAX(VLOOKUP(F2615,$D$6:$G$15,3,FALSE),600),0)/1000</f>
        <v>0</v>
      </c>
      <c r="T2615" t="str">
        <v>x</v>
      </c>
      <c r="U2615">
        <f>U2614</f>
        <v>1.57824</v>
      </c>
      <c r="V2615" t="str">
        <v>x</v>
      </c>
      <c r="W2615">
        <f>D2615</f>
        <v>4</v>
      </c>
      <c r="X2615" t="str">
        <v>x</v>
      </c>
      <c r="Y2615">
        <f>Y2614</f>
        <v>1</v>
      </c>
      <c r="Z2615" t="str">
        <v>=</v>
      </c>
      <c r="AA2615">
        <f>(N2615+P2615*R2615/1000)*U2615*W2615*Y2615</f>
        <v>55.673994240000006</v>
      </c>
    </row>
    <row r="2617">
      <c r="A2617" t="str">
        <f>A2605</f>
        <v>Lantai 1</v>
      </c>
      <c r="B2617">
        <f>B2605</f>
        <v>85</v>
      </c>
      <c r="C2617" t="str">
        <v>Tul Peminggang</v>
      </c>
      <c r="D2617">
        <f>VLOOKUP(D2605,'Detail Balok'!$C$10:$AU$140,13,FALSE)</f>
        <v>2</v>
      </c>
      <c r="E2617" t="str">
        <v>D</v>
      </c>
      <c r="F2617">
        <f>VLOOKUP(D2605,'Detail Balok'!$C$10:$AU$140,15,FALSE)</f>
        <v>10</v>
      </c>
      <c r="J2617">
        <f>+D2607/1000</f>
        <v>8.435</v>
      </c>
      <c r="K2617" t="str">
        <v>+</v>
      </c>
      <c r="L2617">
        <f>2*$F$16*F2617/1000</f>
        <v>0.24</v>
      </c>
      <c r="M2617" t="str">
        <v>=</v>
      </c>
      <c r="N2617">
        <f>J2617+L2617</f>
        <v>8.675</v>
      </c>
      <c r="O2617" t="str">
        <v>+</v>
      </c>
      <c r="P2617">
        <f>IF(N2617&gt;12,ROUNDDOWN(N2617/12,0),0)</f>
        <v>0</v>
      </c>
      <c r="Q2617" t="str">
        <v>x</v>
      </c>
      <c r="R2617">
        <f>IF(P2617&gt;0,MAX(VLOOKUP(F2617,$D$6:$G$15,3,FALSE),600),0)/1000</f>
        <v>0</v>
      </c>
      <c r="T2617" t="str">
        <v>x</v>
      </c>
      <c r="U2617">
        <f>0.006165*F2617^2</f>
        <v>0.6165</v>
      </c>
      <c r="V2617" t="str">
        <v>x</v>
      </c>
      <c r="W2617">
        <f>+D2617</f>
        <v>2</v>
      </c>
      <c r="X2617" t="str">
        <v>x</v>
      </c>
      <c r="Y2617">
        <f>D2611</f>
        <v>1</v>
      </c>
      <c r="Z2617" t="str">
        <v>=</v>
      </c>
      <c r="AA2617">
        <f>(N2617+P2617*R2617/1000)*U2617*W2617*Y2617</f>
        <v>10.696275000000002</v>
      </c>
    </row>
    <row r="2620">
      <c r="A2620" t="str">
        <f>A2605</f>
        <v>Lantai 1</v>
      </c>
      <c r="B2620">
        <f>B2605</f>
        <v>85</v>
      </c>
      <c r="C2620" t="str">
        <v>Tul Bawah Tumpuan</v>
      </c>
      <c r="D2620">
        <f>VLOOKUP(D2605,'Detail Balok'!$C$10:$AU$140,22,FALSE)</f>
        <v>4</v>
      </c>
      <c r="E2620" t="str">
        <v>D</v>
      </c>
      <c r="F2620">
        <f>VLOOKUP(D2605,'Detail Balok'!$C$10:$AU$140,24,FALSE)</f>
        <v>16</v>
      </c>
      <c r="I2620" t="str">
        <v>(</v>
      </c>
      <c r="J2620">
        <f>+J2612</f>
        <v>2.10875</v>
      </c>
      <c r="K2620" t="str">
        <v>+</v>
      </c>
      <c r="L2620">
        <f>MAX(VLOOKUP(F2620,N$6:P$15,3,FALSE)/1000,2/3*D2610/1000)+F$16*F2620/1000</f>
        <v>0.192</v>
      </c>
      <c r="M2620" t="str">
        <v>=</v>
      </c>
      <c r="N2620">
        <f>J2620+L2620</f>
        <v>2.3007500000000003</v>
      </c>
      <c r="O2620" t="str">
        <v>+</v>
      </c>
      <c r="P2620">
        <f>D2620-D2621</f>
        <v>0</v>
      </c>
      <c r="Q2620" t="str">
        <v>x</v>
      </c>
      <c r="R2620">
        <f>IF(P2620&gt;0,$F$18*F2620/1000,0)</f>
        <v>0</v>
      </c>
      <c r="S2620" t="str">
        <v>)</v>
      </c>
      <c r="T2620" t="str">
        <v>x</v>
      </c>
      <c r="U2620">
        <f>0.006165*F2620^2</f>
        <v>1.57824</v>
      </c>
      <c r="X2620" t="str">
        <v>x</v>
      </c>
      <c r="Y2620">
        <f>D2611</f>
        <v>1</v>
      </c>
      <c r="Z2620" t="str">
        <v>=</v>
      </c>
      <c r="AA2620">
        <f>IF(AA2623=0,(D2620*N2620+P2620*R2620)*U2620*Y2620,0)</f>
        <v>0</v>
      </c>
    </row>
    <row r="2621">
      <c r="A2621" t="str">
        <f>A2605</f>
        <v>Lantai 1</v>
      </c>
      <c r="B2621">
        <f>B2605</f>
        <v>85</v>
      </c>
      <c r="C2621" t="str">
        <v>Tul Bawah Lapangan</v>
      </c>
      <c r="D2621">
        <f>VLOOKUP(D2605,'Detail Balok'!$C$10:$AU$140,25,FALSE)</f>
        <v>4</v>
      </c>
      <c r="E2621" t="str">
        <v>D</v>
      </c>
      <c r="F2621">
        <f>VLOOKUP(D2605,'Detail Balok'!$C$10:$AU$140,27,FALSE)</f>
        <v>16</v>
      </c>
      <c r="I2621" t="str">
        <v>(</v>
      </c>
      <c r="J2621">
        <f>+J2613</f>
        <v>4.2175</v>
      </c>
      <c r="K2621" t="str">
        <v>+</v>
      </c>
      <c r="M2621" t="str">
        <v>=</v>
      </c>
      <c r="N2621">
        <f>J2621+L2621</f>
        <v>4.2175</v>
      </c>
      <c r="O2621" t="str">
        <v>+</v>
      </c>
      <c r="P2621">
        <f>MAX(D2621-D2620,D2621-D2622)</f>
        <v>0</v>
      </c>
      <c r="Q2621" t="str">
        <v>x</v>
      </c>
      <c r="R2621">
        <f>IF(P2621&gt;0,2*(1-2*$F$19-1/2)*D2608/1000,0)</f>
        <v>0</v>
      </c>
      <c r="S2621" t="str">
        <v>)</v>
      </c>
      <c r="T2621" t="str">
        <v>x</v>
      </c>
      <c r="U2621">
        <f>0.006165*F2621^2</f>
        <v>1.57824</v>
      </c>
      <c r="X2621" t="str">
        <v>x</v>
      </c>
      <c r="Y2621">
        <f>D2611</f>
        <v>1</v>
      </c>
      <c r="Z2621" t="str">
        <v>=</v>
      </c>
      <c r="AA2621">
        <f>IF(AA2623=0,(D2621*N2621+P2621*R2621)*U2621*Y2621,0)</f>
        <v>0</v>
      </c>
    </row>
    <row r="2622">
      <c r="A2622" t="str">
        <f>A2605</f>
        <v>Lantai 1</v>
      </c>
      <c r="B2622">
        <f>B2605</f>
        <v>85</v>
      </c>
      <c r="C2622" t="str">
        <v>Tul Bawah Tumpuan</v>
      </c>
      <c r="D2622">
        <f>VLOOKUP(D2605,'Detail Balok'!$C$10:$AU$140,28,FALSE)</f>
        <v>4</v>
      </c>
      <c r="E2622" t="str">
        <v>D</v>
      </c>
      <c r="F2622">
        <f>VLOOKUP(D2605,'Detail Balok'!$C$10:$AU$140,30,FALSE)</f>
        <v>16</v>
      </c>
      <c r="I2622" t="str">
        <v>(</v>
      </c>
      <c r="J2622">
        <f>+J2614</f>
        <v>2.10875</v>
      </c>
      <c r="K2622" t="str">
        <v>+</v>
      </c>
      <c r="L2622">
        <f>MAX(VLOOKUP(F2622,N$6:P$15,3,FALSE)/1000,2/3*D2610/1000)+F$16*F2622/1000</f>
        <v>0.192</v>
      </c>
      <c r="M2622" t="str">
        <v>=</v>
      </c>
      <c r="N2622">
        <f>J2622+L2622</f>
        <v>2.3007500000000003</v>
      </c>
      <c r="O2622" t="str">
        <v>+</v>
      </c>
      <c r="P2622">
        <f>D2622-D2621</f>
        <v>0</v>
      </c>
      <c r="Q2622" t="str">
        <v>x</v>
      </c>
      <c r="R2622">
        <f>IF(P2622&gt;0,$F$18*F2622/1000,0)</f>
        <v>0</v>
      </c>
      <c r="S2622" t="str">
        <v>)</v>
      </c>
      <c r="T2622" t="str">
        <v>x</v>
      </c>
      <c r="U2622">
        <f>0.006165*F2622^2</f>
        <v>1.57824</v>
      </c>
      <c r="X2622" t="str">
        <v>x</v>
      </c>
      <c r="Y2622">
        <f>D2611</f>
        <v>1</v>
      </c>
      <c r="Z2622" t="str">
        <v>=</v>
      </c>
      <c r="AA2622">
        <f>IF(AA2623=0,(D2622*N2622+P2622*R2622)*U2622*Y2622,0)</f>
        <v>0</v>
      </c>
    </row>
    <row r="2623">
      <c r="A2623" t="str">
        <f>A2605</f>
        <v>Lantai 1</v>
      </c>
      <c r="B2623">
        <f>B2605</f>
        <v>85</v>
      </c>
      <c r="D2623">
        <f>IF(AND(D2620=D2621,D2621=D2622,D2620=D2622),D2620,0)</f>
        <v>4</v>
      </c>
      <c r="E2623" t="str">
        <v>D</v>
      </c>
      <c r="F2623">
        <f>IF(AND(F2620=F2621,F2620=F2622,F2621=F2622),F2620,0)</f>
        <v>16</v>
      </c>
      <c r="L2623" t="str">
        <v>Total panjang per balok</v>
      </c>
      <c r="M2623" t="str">
        <v>=</v>
      </c>
      <c r="N2623">
        <f>IF(AND(D2620=D2621,D2620=D2622,D2621=D2622,F2620=F2621,F2620=F2622,F2621=F2622),SUM(N2620:N2622),0)</f>
        <v>8.819</v>
      </c>
      <c r="O2623" t="str">
        <v>+</v>
      </c>
      <c r="P2623">
        <f>IF(N2623&gt;12,ROUNDDOWN(N2623/12,0),0)</f>
        <v>0</v>
      </c>
      <c r="Q2623" t="str">
        <v>x</v>
      </c>
      <c r="R2623">
        <f>IF(P2623&gt;0,MAX(VLOOKUP(F2623,$D$6:$G$15,3,FALSE),600),0)/1000</f>
        <v>0</v>
      </c>
      <c r="T2623" t="str">
        <v>x</v>
      </c>
      <c r="U2623">
        <f>U2622</f>
        <v>1.57824</v>
      </c>
      <c r="V2623" t="str">
        <v>x</v>
      </c>
      <c r="W2623">
        <f>D2623</f>
        <v>4</v>
      </c>
      <c r="X2623" t="str">
        <v>x</v>
      </c>
      <c r="Y2623">
        <f>Y2622</f>
        <v>1</v>
      </c>
      <c r="Z2623" t="str">
        <v>=</v>
      </c>
      <c r="AA2623">
        <f>(N2623+P2623*R2623/1000)*U2623*W2623*Y2623</f>
        <v>55.673994240000006</v>
      </c>
    </row>
    <row r="2625">
      <c r="A2625" t="str">
        <f>A2605</f>
        <v>Lantai 1</v>
      </c>
      <c r="B2625">
        <f>B2605</f>
        <v>85</v>
      </c>
      <c r="C2625" t="str">
        <v>Sengkang Tumpuan</v>
      </c>
      <c r="D2625">
        <f>VLOOKUP(D2605,'Detail Balok'!$C$10:$AU$140,31,FALSE)</f>
        <v>0</v>
      </c>
      <c r="E2625" t="str">
        <v>D</v>
      </c>
      <c r="F2625">
        <f>VLOOKUP(D2605,'Detail Balok'!$C$10:$AU$140,33,FALSE)</f>
        <v>10</v>
      </c>
      <c r="G2625" t="str">
        <v>-</v>
      </c>
      <c r="H2625">
        <f>VLOOKUP(D2605,'Detail Balok'!$C$10:$AU$140,35,FALSE)</f>
        <v>150</v>
      </c>
      <c r="J2625">
        <f>(IF(D2625=0,(2*(D2606+G2606))-(F$5*8),IF(D2625=3,(2*(D2606+G2606))-(F$5*8)+(G2606-2*F$5),IF(D2625=4,(2*(D2606+G2606))-(F$5*8)+2*(G2606-2*F$5)))))/1000</f>
        <v>1.08</v>
      </c>
      <c r="K2625" t="str">
        <v>+</v>
      </c>
      <c r="L2625">
        <f>IF(D2625=0,2*MAX(6*F2625,75),(D2625-1)*2*MAX(6*F2625,75))/1000</f>
        <v>0.15</v>
      </c>
      <c r="M2625" t="str">
        <v>=</v>
      </c>
      <c r="N2625">
        <f>J2625+L2625</f>
        <v>1.23</v>
      </c>
      <c r="T2625" t="str">
        <v>x</v>
      </c>
      <c r="U2625">
        <f>0.006165*F2625^2</f>
        <v>0.6165</v>
      </c>
      <c r="V2625" t="str">
        <v>x</v>
      </c>
      <c r="W2625">
        <f>IF(D2608&gt;4*G2606,ROUND(MAX(D2608/4,2*G2606)/H2625,0)+1,ROUND(D2608/H2625,0)+1)</f>
        <v>15</v>
      </c>
      <c r="X2625" t="str">
        <v>x</v>
      </c>
      <c r="Y2625">
        <f>D2611</f>
        <v>1</v>
      </c>
      <c r="Z2625" t="str">
        <v>=</v>
      </c>
      <c r="AA2625">
        <f>N2625*U2625*W2625*Y2625</f>
        <v>11.374425</v>
      </c>
    </row>
    <row r="2626">
      <c r="A2626" t="str">
        <f>A2605</f>
        <v>Lantai 1</v>
      </c>
      <c r="B2626">
        <f>B2605</f>
        <v>85</v>
      </c>
      <c r="C2626" t="str">
        <v>Sengkang Lapangan</v>
      </c>
      <c r="D2626">
        <f>VLOOKUP(D2605,'Detail Balok'!$C$10:$AU$140,36,FALSE)</f>
        <v>0</v>
      </c>
      <c r="E2626" t="str">
        <v>D</v>
      </c>
      <c r="F2626">
        <f>VLOOKUP(D2605,'Detail Balok'!$C$10:$AU$140,38,FALSE)</f>
        <v>10</v>
      </c>
      <c r="G2626" t="str">
        <v>-</v>
      </c>
      <c r="H2626">
        <f>VLOOKUP(D2605,'Detail Balok'!$C$10:$AU$140,40,FALSE)</f>
        <v>200</v>
      </c>
      <c r="J2626">
        <f>(IF(D2626=0,(2*(D2606+G2606))-(F$5*8),IF(D2626=3,(2*(D2606+G2606))-(F$5*8)+(G2606-2*F$5),IF(D2626=4,(2*(D2606+G2606))-(F$5*8)+2*(G2606-2*F$5)))))/1000</f>
        <v>1.08</v>
      </c>
      <c r="K2626" t="str">
        <v>+</v>
      </c>
      <c r="L2626">
        <f>IF(D2626=0,2*MAX(6*F2626,75),(D2626-1)*2*MAX(6*F2626,75))/1000</f>
        <v>0.15</v>
      </c>
      <c r="M2626" t="str">
        <v>=</v>
      </c>
      <c r="N2626">
        <f>J2626+L2626</f>
        <v>1.23</v>
      </c>
      <c r="T2626" t="str">
        <v>x</v>
      </c>
      <c r="U2626">
        <f>0.006165*F2626^2</f>
        <v>0.6165</v>
      </c>
      <c r="V2626" t="str">
        <v>x</v>
      </c>
      <c r="W2626">
        <f>IF(D2608-MAX(D2608/4,2*G2606)*2&gt;0,ROUND((D2608-MAX(D2608/4,2*G2606)*2)/H2626,0),0)</f>
        <v>21</v>
      </c>
      <c r="X2626" t="str">
        <v>x</v>
      </c>
      <c r="Y2626">
        <f>D2611</f>
        <v>1</v>
      </c>
      <c r="Z2626" t="str">
        <v>=</v>
      </c>
      <c r="AA2626">
        <f>N2626*U2626*W2626*Y2626</f>
        <v>15.924195000000001</v>
      </c>
    </row>
    <row r="2627">
      <c r="A2627" t="str">
        <f>A2605</f>
        <v>Lantai 1</v>
      </c>
      <c r="B2627">
        <f>B2605</f>
        <v>85</v>
      </c>
      <c r="C2627" t="str">
        <v>Sengkang Tumpuan</v>
      </c>
      <c r="D2627">
        <f>VLOOKUP(D2605,'Detail Balok'!$C$10:$AU$140,41,FALSE)</f>
        <v>0</v>
      </c>
      <c r="E2627" t="str">
        <v>D</v>
      </c>
      <c r="F2627">
        <f>VLOOKUP(D2605,'Detail Balok'!$C$10:$AU$140,43,FALSE)</f>
        <v>10</v>
      </c>
      <c r="G2627" t="str">
        <v>-</v>
      </c>
      <c r="H2627">
        <f>VLOOKUP(D2605,'Detail Balok'!$C$10:$AU$140,45,FALSE)</f>
        <v>150</v>
      </c>
      <c r="J2627">
        <f>(IF(D2627=0,(2*(D2606+G2606))-(F$5*8),IF(D2627=3,(2*(D2606+G2606))-(F$5*8)+(G2606-2*F$5),IF(D2627=4,(2*(D2606+G2606))-(F$5*8)+2*(G2606-2*F$5)))))/1000</f>
        <v>1.08</v>
      </c>
      <c r="K2627" t="str">
        <v>+</v>
      </c>
      <c r="L2627">
        <f>IF(D2627=0,2*MAX(6*F2627,75),(D2627-1)*2*MAX(6*F2627,75))/1000</f>
        <v>0.15</v>
      </c>
      <c r="M2627" t="str">
        <v>=</v>
      </c>
      <c r="N2627">
        <f>J2627+L2627</f>
        <v>1.23</v>
      </c>
      <c r="T2627" t="str">
        <v>x</v>
      </c>
      <c r="U2627">
        <f>0.006165*F2627^2</f>
        <v>0.6165</v>
      </c>
      <c r="V2627" t="str">
        <v>x</v>
      </c>
      <c r="W2627">
        <f>IF(D2608&gt;4*G2606,ROUND(MAX(D2608/4,2*G2606)/H2627,0)+1,0)</f>
        <v>15</v>
      </c>
      <c r="X2627" t="str">
        <v>x</v>
      </c>
      <c r="Y2627">
        <f>D2611</f>
        <v>1</v>
      </c>
      <c r="Z2627" t="str">
        <v>=</v>
      </c>
      <c r="AA2627">
        <f>N2627*U2627*W2627*Y2627</f>
        <v>11.374425</v>
      </c>
    </row>
    <row r="2629">
      <c r="A2629" t="str">
        <f>A2605</f>
        <v>Lantai 1</v>
      </c>
      <c r="B2629">
        <f>B2605</f>
        <v>85</v>
      </c>
      <c r="C2629" t="str">
        <v>Kait Horizontal Tump.</v>
      </c>
      <c r="D2629">
        <f>VLOOKUP(D2605,'Detail Balok'!$C$10:$BJ$140,46,FALSE)</f>
        <v>0</v>
      </c>
      <c r="E2629" t="str">
        <v>D</v>
      </c>
      <c r="F2629">
        <f>VLOOKUP(D2605,'Detail Balok'!$C$10:$BJ$140,48,FALSE)</f>
        <v>0</v>
      </c>
      <c r="G2629" t="str">
        <v>-</v>
      </c>
      <c r="H2629">
        <f>VLOOKUP(D2605,'Detail Balok'!$C$10:$BJ$140,50,FALSE)</f>
        <v>100</v>
      </c>
      <c r="J2629">
        <f>(D2606-2*F$5)/1000</f>
        <v>0.12</v>
      </c>
      <c r="K2629" t="str">
        <v>+</v>
      </c>
      <c r="L2629">
        <f>IF(D2629=0,2*MAX(6*F2629,75),(D2629-1)*2*MAX(6*F2629,75))/1000</f>
        <v>0.15</v>
      </c>
      <c r="M2629" t="str">
        <v>=</v>
      </c>
      <c r="N2629">
        <f>J2629+L2629</f>
        <v>0.27</v>
      </c>
      <c r="T2629" t="str">
        <v>x</v>
      </c>
      <c r="U2629">
        <f>0.006165*F2629^2</f>
        <v>0</v>
      </c>
      <c r="V2629" t="str">
        <v>x</v>
      </c>
      <c r="W2629">
        <f>W2625</f>
        <v>15</v>
      </c>
      <c r="X2629" t="str">
        <v>x</v>
      </c>
      <c r="Y2629">
        <f>D2615</f>
        <v>4</v>
      </c>
      <c r="Z2629" t="str">
        <v>=</v>
      </c>
      <c r="AA2629">
        <f>N2629*U2629*W2629*Y2629</f>
        <v>0</v>
      </c>
    </row>
    <row r="2630">
      <c r="A2630" t="str">
        <f>A2605</f>
        <v>Lantai 1</v>
      </c>
      <c r="B2630">
        <f>B2605</f>
        <v>85</v>
      </c>
      <c r="C2630" t="str">
        <v>Kait Horizontal Lap.</v>
      </c>
      <c r="D2630">
        <f>VLOOKUP(D2605,'Detail Balok'!$C$10:$BJ$140,51,FALSE)</f>
        <v>0</v>
      </c>
      <c r="E2630" t="str">
        <v>D</v>
      </c>
      <c r="F2630">
        <f>VLOOKUP(D2605,'Detail Balok'!$C$10:$BJ$140,53,FALSE)</f>
        <v>0</v>
      </c>
      <c r="G2630" t="str">
        <v>-</v>
      </c>
      <c r="H2630">
        <f>VLOOKUP(D2605,'Detail Balok'!$C$10:$BJ$140,55,FALSE)</f>
        <v>100</v>
      </c>
      <c r="J2630">
        <f>(D2606-2*F$5)/1000</f>
        <v>0.12</v>
      </c>
      <c r="K2630" t="str">
        <v>+</v>
      </c>
      <c r="L2630">
        <f>IF(D2630=0,2*MAX(6*F2630,75),(D2630-1)*2*MAX(6*F2630,75))/1000</f>
        <v>0.15</v>
      </c>
      <c r="M2630" t="str">
        <v>=</v>
      </c>
      <c r="N2630">
        <f>J2630+L2630</f>
        <v>0.27</v>
      </c>
      <c r="T2630" t="str">
        <v>x</v>
      </c>
      <c r="U2630">
        <f>0.006165*F2630^2</f>
        <v>0</v>
      </c>
      <c r="V2630" t="str">
        <v>x</v>
      </c>
      <c r="W2630">
        <f>W2626</f>
        <v>21</v>
      </c>
      <c r="X2630" t="str">
        <v>x</v>
      </c>
      <c r="Y2630">
        <f>D2615</f>
        <v>4</v>
      </c>
      <c r="Z2630" t="str">
        <v>=</v>
      </c>
      <c r="AA2630">
        <f>N2630*U2630*W2630*Y2630</f>
        <v>0</v>
      </c>
    </row>
    <row r="2631">
      <c r="A2631" t="str">
        <f>A2605</f>
        <v>Lantai 1</v>
      </c>
      <c r="B2631">
        <f>B2605</f>
        <v>85</v>
      </c>
      <c r="C2631" t="str">
        <v>Kait Horizontal Tump.</v>
      </c>
      <c r="D2631">
        <f>VLOOKUP(D2605,'Detail Balok'!$C$10:$BJ$140,56,FALSE)</f>
        <v>0</v>
      </c>
      <c r="E2631" t="str">
        <v>D</v>
      </c>
      <c r="F2631">
        <f>VLOOKUP(D2605,'Detail Balok'!$C$10:$BJ$140,58,FALSE)</f>
        <v>0</v>
      </c>
      <c r="G2631" t="str">
        <v>-</v>
      </c>
      <c r="H2631">
        <f>VLOOKUP(D2605,'Detail Balok'!$C$10:$BJ$140,60,FALSE)</f>
        <v>100</v>
      </c>
      <c r="J2631">
        <f>(D2606-2*F$5)/1000</f>
        <v>0.12</v>
      </c>
      <c r="K2631" t="str">
        <v>+</v>
      </c>
      <c r="L2631">
        <f>IF(D2631=0,2*MAX(6*F2631,75),(D2631-1)*2*MAX(6*F2631,75))/1000</f>
        <v>0.15</v>
      </c>
      <c r="M2631" t="str">
        <v>=</v>
      </c>
      <c r="N2631">
        <f>J2631+L2631</f>
        <v>0.27</v>
      </c>
      <c r="T2631" t="str">
        <v>x</v>
      </c>
      <c r="U2631">
        <f>0.006165*F2631^2</f>
        <v>0</v>
      </c>
      <c r="V2631" t="str">
        <v>x</v>
      </c>
      <c r="W2631">
        <f>W2627</f>
        <v>15</v>
      </c>
      <c r="X2631" t="str">
        <v>x</v>
      </c>
      <c r="Y2631">
        <f>D2615</f>
        <v>4</v>
      </c>
      <c r="Z2631" t="str">
        <v>=</v>
      </c>
      <c r="AA2631">
        <f>N2631*U2631*W2631*Y2631</f>
        <v>0</v>
      </c>
    </row>
    <row r="2635">
      <c r="A2635" t="str">
        <v>Lantai 2</v>
      </c>
      <c r="B2635">
        <v>1</v>
      </c>
      <c r="C2635" t="str">
        <f>CONCATENATE(A2635," no. ",B2635)</f>
        <v>Lantai 2 no. 1</v>
      </c>
      <c r="D2635" t="str">
        <f>VLOOKUP(C2635,'Data Panjang Balok'!$C$9:$N$254,2,FALSE)</f>
        <v>B26-1</v>
      </c>
    </row>
    <row r="2636">
      <c r="C2636" t="str">
        <v>Dimensi</v>
      </c>
      <c r="D2636">
        <f>VLOOKUP(D2635,'Detail Balok'!$C$10:$AU$140,2,FALSE)</f>
        <v>200</v>
      </c>
      <c r="F2636" t="str">
        <v>x</v>
      </c>
      <c r="G2636">
        <f>VLOOKUP(D2635,'Detail Balok'!$C$10:$AU$140,3,FALSE)</f>
        <v>600</v>
      </c>
    </row>
    <row r="2637">
      <c r="C2637" t="str">
        <v>Panjang as ke as</v>
      </c>
      <c r="D2637">
        <f>VLOOKUP(C2635,'Data Panjang Balok'!$C$9:$N$254,4,FALSE)</f>
        <v>4825</v>
      </c>
    </row>
    <row r="2638">
      <c r="C2638" t="str">
        <v>Panjang netto</v>
      </c>
      <c r="D2638">
        <f>VLOOKUP(C2635,'Data Panjang Balok'!$C$9:$N$254,7,FALSE)</f>
        <v>4825</v>
      </c>
    </row>
    <row r="2639">
      <c r="C2639" t="str">
        <v>Kolom / balok kiri</v>
      </c>
      <c r="D2639">
        <f>VLOOKUP(C2635,'Data Panjang Balok'!$C$9:$N$254,9,FALSE)</f>
        <v>0</v>
      </c>
    </row>
    <row r="2640">
      <c r="C2640" t="str">
        <v>Kolom / balok kanan</v>
      </c>
      <c r="D2640">
        <f>VLOOKUP(C2635,'Data Panjang Balok'!$C$9:$N$254,10,FALSE)</f>
        <v>0</v>
      </c>
    </row>
    <row r="2641">
      <c r="C2641" t="str">
        <v>Jumlah</v>
      </c>
      <c r="D2641">
        <f>VLOOKUP(C2635,'Data Panjang Balok'!$C$9:$N$254,3,FALSE)</f>
        <v>1</v>
      </c>
    </row>
    <row r="2642">
      <c r="A2642" t="str">
        <f>A2635</f>
        <v>Lantai 2</v>
      </c>
      <c r="B2642">
        <f>B2635</f>
        <v>1</v>
      </c>
      <c r="C2642" t="str">
        <v>Tul Atas Tumpuan</v>
      </c>
      <c r="D2642">
        <f>VLOOKUP(D2635,'Detail Balok'!$C$10:$AU$140,4,FALSE)</f>
        <v>4</v>
      </c>
      <c r="E2642" t="str">
        <v>D</v>
      </c>
      <c r="F2642">
        <f>VLOOKUP(D2635,'Detail Balok'!$C$10:$AU$140,6,FALSE)</f>
        <v>16</v>
      </c>
      <c r="I2642" t="str">
        <v>(</v>
      </c>
      <c r="J2642">
        <f>+D2637/4/1000</f>
        <v>1.20625</v>
      </c>
      <c r="K2642" t="str">
        <v>+</v>
      </c>
      <c r="L2642">
        <f>MAX(VLOOKUP(F2642,N$6:P$15,3,FALSE)/1000,2/3*D2639/1000)+F$16*F2642/1000</f>
        <v>0.192</v>
      </c>
      <c r="M2642" t="str">
        <v>=</v>
      </c>
      <c r="N2642">
        <f>J2642+L2642</f>
        <v>1.39825</v>
      </c>
      <c r="O2642" t="str">
        <v>+</v>
      </c>
      <c r="P2642">
        <f>D2642-D2643</f>
        <v>1</v>
      </c>
      <c r="Q2642" t="str">
        <v>x</v>
      </c>
      <c r="R2642">
        <f>IF(P2642&gt;0,$F$18*F2642/1000,0)</f>
        <v>0.24</v>
      </c>
      <c r="S2642" t="str">
        <v>)</v>
      </c>
      <c r="T2642" t="str">
        <v>x</v>
      </c>
      <c r="U2642">
        <f>0.006165*F2642^2</f>
        <v>1.57824</v>
      </c>
      <c r="X2642" t="str">
        <v>x</v>
      </c>
      <c r="Y2642">
        <f>D2641</f>
        <v>1</v>
      </c>
      <c r="Z2642" t="str">
        <v>=</v>
      </c>
      <c r="AA2642">
        <f>IF(AA2645=0,(D2642*N2642+P2642*R2642)*U2642*Y2642,0)</f>
        <v>9.20587392</v>
      </c>
    </row>
    <row r="2643">
      <c r="A2643" t="str">
        <f>A2635</f>
        <v>Lantai 2</v>
      </c>
      <c r="B2643">
        <f>B2635</f>
        <v>1</v>
      </c>
      <c r="C2643" t="str">
        <v>Tul Atas Lapangan</v>
      </c>
      <c r="D2643">
        <f>VLOOKUP(D2635,'Detail Balok'!$C$10:$AU$140,7,FALSE)</f>
        <v>3</v>
      </c>
      <c r="E2643" t="str">
        <v>D</v>
      </c>
      <c r="F2643">
        <f>VLOOKUP(D2635,'Detail Balok'!$C$10:$AU$140,9,FALSE)</f>
        <v>16</v>
      </c>
      <c r="I2643" t="str">
        <v>(</v>
      </c>
      <c r="J2643">
        <f>+D2637/2/1000</f>
        <v>2.4125</v>
      </c>
      <c r="K2643" t="str">
        <v>+</v>
      </c>
      <c r="M2643" t="str">
        <v>=</v>
      </c>
      <c r="N2643">
        <f>J2643+L2643</f>
        <v>2.4125</v>
      </c>
      <c r="O2643" t="str">
        <v>+</v>
      </c>
      <c r="P2643">
        <f>MAX(D2643-D2642,D2643-D2644)</f>
        <v>-1</v>
      </c>
      <c r="Q2643" t="str">
        <v>x</v>
      </c>
      <c r="R2643">
        <f>IF(P2643&gt;0,2*(1-2*$F$19-1/2)*D2638/1000,0)</f>
        <v>0</v>
      </c>
      <c r="S2643" t="str">
        <v>)</v>
      </c>
      <c r="T2643" t="str">
        <v>x</v>
      </c>
      <c r="U2643">
        <f>0.006165*F2643^2</f>
        <v>1.57824</v>
      </c>
      <c r="X2643" t="str">
        <v>x</v>
      </c>
      <c r="Y2643">
        <f>D2641</f>
        <v>1</v>
      </c>
      <c r="Z2643" t="str">
        <v>=</v>
      </c>
      <c r="AA2643">
        <f>IF(AA2645=0,(D2643*N2643+P2643*R2643)*U2643*Y2643,0)</f>
        <v>11.422512000000001</v>
      </c>
    </row>
    <row r="2644">
      <c r="A2644" t="str">
        <f>A2635</f>
        <v>Lantai 2</v>
      </c>
      <c r="B2644">
        <f>B2635</f>
        <v>1</v>
      </c>
      <c r="C2644" t="str">
        <v>Tul Atas Tumpuan</v>
      </c>
      <c r="D2644">
        <f>VLOOKUP(D2635,'Detail Balok'!$C$10:$AU$140,10,FALSE)</f>
        <v>4</v>
      </c>
      <c r="E2644" t="str">
        <v>D</v>
      </c>
      <c r="F2644">
        <f>VLOOKUP(D2635,'Detail Balok'!$C$10:$AU$140,12,FALSE)</f>
        <v>16</v>
      </c>
      <c r="I2644" t="str">
        <v>(</v>
      </c>
      <c r="J2644">
        <f>+D2637/4/1000</f>
        <v>1.20625</v>
      </c>
      <c r="K2644" t="str">
        <v>+</v>
      </c>
      <c r="L2644">
        <f>MAX(VLOOKUP(F2644,N$6:P$15,3,FALSE)/1000,2/3*D2639/1000)+F$16*F2644/1000</f>
        <v>0.192</v>
      </c>
      <c r="M2644" t="str">
        <v>=</v>
      </c>
      <c r="N2644">
        <f>J2644+L2644</f>
        <v>1.39825</v>
      </c>
      <c r="O2644" t="str">
        <v>+</v>
      </c>
      <c r="P2644">
        <f>D2644-D2643</f>
        <v>1</v>
      </c>
      <c r="Q2644" t="str">
        <v>x</v>
      </c>
      <c r="R2644">
        <f>IF(P2644&gt;0,$F$18*F2644/1000,0)</f>
        <v>0.24</v>
      </c>
      <c r="S2644" t="str">
        <v>)</v>
      </c>
      <c r="T2644" t="str">
        <v>x</v>
      </c>
      <c r="U2644">
        <f>0.006165*F2644^2</f>
        <v>1.57824</v>
      </c>
      <c r="X2644" t="str">
        <v>x</v>
      </c>
      <c r="Y2644">
        <f>D2641</f>
        <v>1</v>
      </c>
      <c r="Z2644" t="str">
        <v>=</v>
      </c>
      <c r="AA2644">
        <f>IF(AA2645=0,(D2644*N2644+P2644*R2644)*U2644*Y2644,0)</f>
        <v>9.20587392</v>
      </c>
    </row>
    <row r="2645">
      <c r="A2645" t="str">
        <f>A2635</f>
        <v>Lantai 2</v>
      </c>
      <c r="B2645">
        <f>B2635</f>
        <v>1</v>
      </c>
      <c r="D2645">
        <f>IF(AND(D2642=D2643,D2643=D2644,D2642=D2644),D2642,0)</f>
        <v>0</v>
      </c>
      <c r="E2645" t="str">
        <v>D</v>
      </c>
      <c r="F2645">
        <f>IF(AND(F2642=F2643,F2642=F2644,F2643=F2644),F2642,0)</f>
        <v>16</v>
      </c>
      <c r="L2645" t="str">
        <v>Total panjang per balok</v>
      </c>
      <c r="M2645" t="str">
        <v>=</v>
      </c>
      <c r="N2645">
        <f>IF(AND(D2642=D2643,D2642=D2644,D2643=D2644,F2642=F2643,F2642=F2644,F2643=F2644),SUM(N2642:N2644),0)</f>
        <v>0</v>
      </c>
      <c r="O2645" t="str">
        <v>+</v>
      </c>
      <c r="P2645">
        <f>IF(N2645&gt;12,ROUNDDOWN(N2645/12,0),0)</f>
        <v>0</v>
      </c>
      <c r="Q2645" t="str">
        <v>x</v>
      </c>
      <c r="R2645">
        <f>IF(P2645&gt;0,MAX(VLOOKUP(F2645,$D$6:$G$15,3,FALSE),600),0)/1000</f>
        <v>0</v>
      </c>
      <c r="T2645" t="str">
        <v>x</v>
      </c>
      <c r="U2645">
        <f>U2644</f>
        <v>1.57824</v>
      </c>
      <c r="V2645" t="str">
        <v>x</v>
      </c>
      <c r="W2645">
        <f>D2645</f>
        <v>0</v>
      </c>
      <c r="X2645" t="str">
        <v>x</v>
      </c>
      <c r="Y2645">
        <f>Y2644</f>
        <v>1</v>
      </c>
      <c r="Z2645" t="str">
        <v>=</v>
      </c>
      <c r="AA2645">
        <f>(N2645+P2645*R2645/1000)*U2645*W2645*Y2645</f>
        <v>0</v>
      </c>
    </row>
    <row r="2647">
      <c r="A2647" t="str">
        <f>A2635</f>
        <v>Lantai 2</v>
      </c>
      <c r="B2647">
        <f>B2635</f>
        <v>1</v>
      </c>
      <c r="C2647" t="str">
        <v>Tul Peminggang</v>
      </c>
      <c r="D2647">
        <f>VLOOKUP(D2635,'Detail Balok'!$C$10:$AU$140,13,FALSE)</f>
        <v>2</v>
      </c>
      <c r="E2647" t="str">
        <v>D</v>
      </c>
      <c r="F2647">
        <f>VLOOKUP(D2635,'Detail Balok'!$C$10:$AU$140,15,FALSE)</f>
        <v>10</v>
      </c>
      <c r="J2647">
        <f>+D2637/1000</f>
        <v>4.825</v>
      </c>
      <c r="K2647" t="str">
        <v>+</v>
      </c>
      <c r="L2647">
        <f>2*$F$16*F2647/1000</f>
        <v>0.24</v>
      </c>
      <c r="M2647" t="str">
        <v>=</v>
      </c>
      <c r="N2647">
        <f>J2647+L2647</f>
        <v>5.065</v>
      </c>
      <c r="O2647" t="str">
        <v>+</v>
      </c>
      <c r="P2647">
        <f>IF(N2647&gt;12,ROUNDDOWN(N2647/12,0),0)</f>
        <v>0</v>
      </c>
      <c r="Q2647" t="str">
        <v>x</v>
      </c>
      <c r="R2647">
        <f>IF(P2647&gt;0,MAX(VLOOKUP(F2647,$D$6:$G$15,3,FALSE),600),0)/1000</f>
        <v>0</v>
      </c>
      <c r="T2647" t="str">
        <v>x</v>
      </c>
      <c r="U2647">
        <f>0.006165*F2647^2</f>
        <v>0.6165</v>
      </c>
      <c r="V2647" t="str">
        <v>x</v>
      </c>
      <c r="W2647">
        <f>+D2647</f>
        <v>2</v>
      </c>
      <c r="X2647" t="str">
        <v>x</v>
      </c>
      <c r="Y2647">
        <f>D2641</f>
        <v>1</v>
      </c>
      <c r="Z2647" t="str">
        <v>=</v>
      </c>
      <c r="AA2647">
        <f>(N2647+P2647*R2647/1000)*U2647*W2647*Y2647</f>
        <v>6.245145000000001</v>
      </c>
    </row>
    <row r="2650">
      <c r="A2650" t="str">
        <f>A2635</f>
        <v>Lantai 2</v>
      </c>
      <c r="B2650">
        <f>B2635</f>
        <v>1</v>
      </c>
      <c r="C2650" t="str">
        <v>Tul Bawah Tumpuan</v>
      </c>
      <c r="D2650">
        <f>VLOOKUP(D2635,'Detail Balok'!$C$10:$AU$140,22,FALSE)</f>
        <v>3</v>
      </c>
      <c r="E2650" t="str">
        <v>D</v>
      </c>
      <c r="F2650">
        <f>VLOOKUP(D2635,'Detail Balok'!$C$10:$AU$140,24,FALSE)</f>
        <v>16</v>
      </c>
      <c r="I2650" t="str">
        <v>(</v>
      </c>
      <c r="J2650">
        <f>+J2642</f>
        <v>1.20625</v>
      </c>
      <c r="K2650" t="str">
        <v>+</v>
      </c>
      <c r="L2650">
        <f>MAX(VLOOKUP(F2650,N$6:P$15,3,FALSE)/1000,2/3*D2640/1000)+F$16*F2650/1000</f>
        <v>0.192</v>
      </c>
      <c r="M2650" t="str">
        <v>=</v>
      </c>
      <c r="N2650">
        <f>J2650+L2650</f>
        <v>1.39825</v>
      </c>
      <c r="O2650" t="str">
        <v>+</v>
      </c>
      <c r="P2650">
        <f>D2650-D2651</f>
        <v>-1</v>
      </c>
      <c r="Q2650" t="str">
        <v>x</v>
      </c>
      <c r="R2650">
        <f>IF(P2650&gt;0,$F$18*F2650/1000,0)</f>
        <v>0</v>
      </c>
      <c r="S2650" t="str">
        <v>)</v>
      </c>
      <c r="T2650" t="str">
        <v>x</v>
      </c>
      <c r="U2650">
        <f>0.006165*F2650^2</f>
        <v>1.57824</v>
      </c>
      <c r="X2650" t="str">
        <v>x</v>
      </c>
      <c r="Y2650">
        <f>D2641</f>
        <v>1</v>
      </c>
      <c r="Z2650" t="str">
        <v>=</v>
      </c>
      <c r="AA2650">
        <f>IF(AA2653=0,(D2650*N2650+P2650*R2650)*U2650*Y2650,0)</f>
        <v>6.62032224</v>
      </c>
    </row>
    <row r="2651">
      <c r="A2651" t="str">
        <f>A2635</f>
        <v>Lantai 2</v>
      </c>
      <c r="B2651">
        <f>B2635</f>
        <v>1</v>
      </c>
      <c r="C2651" t="str">
        <v>Tul Bawah Lapangan</v>
      </c>
      <c r="D2651">
        <f>VLOOKUP(D2635,'Detail Balok'!$C$10:$AU$140,25,FALSE)</f>
        <v>4</v>
      </c>
      <c r="E2651" t="str">
        <v>D</v>
      </c>
      <c r="F2651">
        <f>VLOOKUP(D2635,'Detail Balok'!$C$10:$AU$140,27,FALSE)</f>
        <v>16</v>
      </c>
      <c r="I2651" t="str">
        <v>(</v>
      </c>
      <c r="J2651">
        <f>+J2643</f>
        <v>2.4125</v>
      </c>
      <c r="K2651" t="str">
        <v>+</v>
      </c>
      <c r="M2651" t="str">
        <v>=</v>
      </c>
      <c r="N2651">
        <f>J2651+L2651</f>
        <v>2.4125</v>
      </c>
      <c r="O2651" t="str">
        <v>+</v>
      </c>
      <c r="P2651">
        <f>MAX(D2651-D2650,D2651-D2652)</f>
        <v>1</v>
      </c>
      <c r="Q2651" t="str">
        <v>x</v>
      </c>
      <c r="R2651">
        <f>IF(P2651&gt;0,2*(1-2*$F$19-1/2)*D2638/1000,0)</f>
        <v>0.9649999999999997</v>
      </c>
      <c r="S2651" t="str">
        <v>)</v>
      </c>
      <c r="T2651" t="str">
        <v>x</v>
      </c>
      <c r="U2651">
        <f>0.006165*F2651^2</f>
        <v>1.57824</v>
      </c>
      <c r="X2651" t="str">
        <v>x</v>
      </c>
      <c r="Y2651">
        <f>D2641</f>
        <v>1</v>
      </c>
      <c r="Z2651" t="str">
        <v>=</v>
      </c>
      <c r="AA2651">
        <f>IF(AA2653=0,(D2651*N2651+P2651*R2651)*U2651*Y2651,0)</f>
        <v>16.7530176</v>
      </c>
    </row>
    <row r="2652">
      <c r="A2652" t="str">
        <f>A2635</f>
        <v>Lantai 2</v>
      </c>
      <c r="B2652">
        <f>B2635</f>
        <v>1</v>
      </c>
      <c r="C2652" t="str">
        <v>Tul Bawah Tumpuan</v>
      </c>
      <c r="D2652">
        <f>VLOOKUP(D2635,'Detail Balok'!$C$10:$AU$140,28,FALSE)</f>
        <v>3</v>
      </c>
      <c r="E2652" t="str">
        <v>D</v>
      </c>
      <c r="F2652">
        <f>VLOOKUP(D2635,'Detail Balok'!$C$10:$AU$140,30,FALSE)</f>
        <v>16</v>
      </c>
      <c r="I2652" t="str">
        <v>(</v>
      </c>
      <c r="J2652">
        <f>+J2644</f>
        <v>1.20625</v>
      </c>
      <c r="K2652" t="str">
        <v>+</v>
      </c>
      <c r="L2652">
        <f>MAX(VLOOKUP(F2652,N$6:P$15,3,FALSE)/1000,2/3*D2640/1000)+F$16*F2652/1000</f>
        <v>0.192</v>
      </c>
      <c r="M2652" t="str">
        <v>=</v>
      </c>
      <c r="N2652">
        <f>J2652+L2652</f>
        <v>1.39825</v>
      </c>
      <c r="O2652" t="str">
        <v>+</v>
      </c>
      <c r="P2652">
        <f>D2652-D2651</f>
        <v>-1</v>
      </c>
      <c r="Q2652" t="str">
        <v>x</v>
      </c>
      <c r="R2652">
        <f>IF(P2652&gt;0,$F$18*F2652/1000,0)</f>
        <v>0</v>
      </c>
      <c r="S2652" t="str">
        <v>)</v>
      </c>
      <c r="T2652" t="str">
        <v>x</v>
      </c>
      <c r="U2652">
        <f>0.006165*F2652^2</f>
        <v>1.57824</v>
      </c>
      <c r="X2652" t="str">
        <v>x</v>
      </c>
      <c r="Y2652">
        <f>D2641</f>
        <v>1</v>
      </c>
      <c r="Z2652" t="str">
        <v>=</v>
      </c>
      <c r="AA2652">
        <f>IF(AA2653=0,(D2652*N2652+P2652*R2652)*U2652*Y2652,0)</f>
        <v>6.62032224</v>
      </c>
    </row>
    <row r="2653">
      <c r="A2653" t="str">
        <f>A2635</f>
        <v>Lantai 2</v>
      </c>
      <c r="B2653">
        <f>B2635</f>
        <v>1</v>
      </c>
      <c r="D2653">
        <f>IF(AND(D2650=D2651,D2651=D2652,D2650=D2652),D2650,0)</f>
        <v>0</v>
      </c>
      <c r="E2653" t="str">
        <v>D</v>
      </c>
      <c r="F2653">
        <f>IF(AND(F2650=F2651,F2650=F2652,F2651=F2652),F2650,0)</f>
        <v>16</v>
      </c>
      <c r="L2653" t="str">
        <v>Total panjang per balok</v>
      </c>
      <c r="M2653" t="str">
        <v>=</v>
      </c>
      <c r="N2653">
        <f>IF(AND(D2650=D2651,D2650=D2652,D2651=D2652,F2650=F2651,F2650=F2652,F2651=F2652),SUM(N2650:N2652),0)</f>
        <v>0</v>
      </c>
      <c r="O2653" t="str">
        <v>+</v>
      </c>
      <c r="P2653">
        <f>IF(N2653&gt;12,ROUNDDOWN(N2653/12,0),0)</f>
        <v>0</v>
      </c>
      <c r="Q2653" t="str">
        <v>x</v>
      </c>
      <c r="R2653">
        <f>IF(P2653&gt;0,MAX(VLOOKUP(F2653,$D$6:$G$15,3,FALSE),600),0)/1000</f>
        <v>0</v>
      </c>
      <c r="T2653" t="str">
        <v>x</v>
      </c>
      <c r="U2653">
        <f>U2652</f>
        <v>1.57824</v>
      </c>
      <c r="V2653" t="str">
        <v>x</v>
      </c>
      <c r="W2653">
        <f>D2653</f>
        <v>0</v>
      </c>
      <c r="X2653" t="str">
        <v>x</v>
      </c>
      <c r="Y2653">
        <f>Y2652</f>
        <v>1</v>
      </c>
      <c r="Z2653" t="str">
        <v>=</v>
      </c>
      <c r="AA2653">
        <f>(N2653+P2653*R2653/1000)*U2653*W2653*Y2653</f>
        <v>0</v>
      </c>
    </row>
    <row r="2655">
      <c r="A2655" t="str">
        <f>A2635</f>
        <v>Lantai 2</v>
      </c>
      <c r="B2655">
        <f>B2635</f>
        <v>1</v>
      </c>
      <c r="C2655" t="str">
        <v>Sengkang Tumpuan</v>
      </c>
      <c r="D2655">
        <f>VLOOKUP(D2635,'Detail Balok'!$C$10:$AU$140,31,FALSE)</f>
        <v>0</v>
      </c>
      <c r="E2655" t="str">
        <v>D</v>
      </c>
      <c r="F2655">
        <f>VLOOKUP(D2635,'Detail Balok'!$C$10:$AU$140,33,FALSE)</f>
        <v>10</v>
      </c>
      <c r="G2655" t="str">
        <v>-</v>
      </c>
      <c r="H2655">
        <f>VLOOKUP(D2635,'Detail Balok'!$C$10:$AU$140,35,FALSE)</f>
        <v>100</v>
      </c>
      <c r="J2655">
        <f>(IF(D2655=0,(2*(D2636+G2636))-(F$5*8),IF(D2655=3,(2*(D2636+G2636))-(F$5*8)+(G2636-2*F$5),IF(D2655=4,(2*(D2636+G2636))-(F$5*8)+2*(G2636-2*F$5)))))/1000</f>
        <v>1.28</v>
      </c>
      <c r="K2655" t="str">
        <v>+</v>
      </c>
      <c r="L2655">
        <f>IF(D2655=0,2*MAX(6*F2655,75),(D2655-1)*2*MAX(6*F2655,75))/1000</f>
        <v>0.15</v>
      </c>
      <c r="M2655" t="str">
        <v>=</v>
      </c>
      <c r="N2655">
        <f>J2655+L2655</f>
        <v>1.43</v>
      </c>
      <c r="T2655" t="str">
        <v>x</v>
      </c>
      <c r="U2655">
        <f>0.006165*F2655^2</f>
        <v>0.6165</v>
      </c>
      <c r="V2655" t="str">
        <v>x</v>
      </c>
      <c r="W2655">
        <f>IF(D2638&gt;4*G2636,ROUND(MAX(D2638/4,2*G2636)/H2655,0)+1,ROUND(D2638/H2655,0)+1)</f>
        <v>13</v>
      </c>
      <c r="X2655" t="str">
        <v>x</v>
      </c>
      <c r="Y2655">
        <f>D2641</f>
        <v>1</v>
      </c>
      <c r="Z2655" t="str">
        <v>=</v>
      </c>
      <c r="AA2655">
        <f>N2655*U2655*W2655*Y2655</f>
        <v>11.460735</v>
      </c>
    </row>
    <row r="2656">
      <c r="A2656" t="str">
        <f>A2635</f>
        <v>Lantai 2</v>
      </c>
      <c r="B2656">
        <f>B2635</f>
        <v>1</v>
      </c>
      <c r="C2656" t="str">
        <v>Sengkang Lapangan</v>
      </c>
      <c r="D2656">
        <f>VLOOKUP(D2635,'Detail Balok'!$C$10:$AU$140,36,FALSE)</f>
        <v>0</v>
      </c>
      <c r="E2656" t="str">
        <v>D</v>
      </c>
      <c r="F2656">
        <f>VLOOKUP(D2635,'Detail Balok'!$C$10:$AU$140,38,FALSE)</f>
        <v>10</v>
      </c>
      <c r="G2656" t="str">
        <v>-</v>
      </c>
      <c r="H2656">
        <f>VLOOKUP(D2635,'Detail Balok'!$C$10:$AU$140,40,FALSE)</f>
        <v>150</v>
      </c>
      <c r="J2656">
        <f>(IF(D2656=0,(2*(D2636+G2636))-(F$5*8),IF(D2656=3,(2*(D2636+G2636))-(F$5*8)+(G2636-2*F$5),IF(D2656=4,(2*(D2636+G2636))-(F$5*8)+2*(G2636-2*F$5)))))/1000</f>
        <v>1.28</v>
      </c>
      <c r="K2656" t="str">
        <v>+</v>
      </c>
      <c r="L2656">
        <f>IF(D2656=0,2*MAX(6*F2656,75),(D2656-1)*2*MAX(6*F2656,75))/1000</f>
        <v>0.15</v>
      </c>
      <c r="M2656" t="str">
        <v>=</v>
      </c>
      <c r="N2656">
        <f>J2656+L2656</f>
        <v>1.43</v>
      </c>
      <c r="T2656" t="str">
        <v>x</v>
      </c>
      <c r="U2656">
        <f>0.006165*F2656^2</f>
        <v>0.6165</v>
      </c>
      <c r="V2656" t="str">
        <v>x</v>
      </c>
      <c r="W2656">
        <f>IF(D2638-MAX(D2638/4,2*G2636)*2&gt;0,ROUND((D2638-MAX(D2638/4,2*G2636)*2)/H2656,0),0)</f>
        <v>16</v>
      </c>
      <c r="X2656" t="str">
        <v>x</v>
      </c>
      <c r="Y2656">
        <f>D2641</f>
        <v>1</v>
      </c>
      <c r="Z2656" t="str">
        <v>=</v>
      </c>
      <c r="AA2656">
        <f>N2656*U2656*W2656*Y2656</f>
        <v>14.10552</v>
      </c>
    </row>
    <row r="2657">
      <c r="A2657" t="str">
        <f>A2635</f>
        <v>Lantai 2</v>
      </c>
      <c r="B2657">
        <f>B2635</f>
        <v>1</v>
      </c>
      <c r="C2657" t="str">
        <v>Sengkang Tumpuan</v>
      </c>
      <c r="D2657">
        <f>VLOOKUP(D2635,'Detail Balok'!$C$10:$AU$140,41,FALSE)</f>
        <v>0</v>
      </c>
      <c r="E2657" t="str">
        <v>D</v>
      </c>
      <c r="F2657">
        <f>VLOOKUP(D2635,'Detail Balok'!$C$10:$AU$140,43,FALSE)</f>
        <v>10</v>
      </c>
      <c r="G2657" t="str">
        <v>-</v>
      </c>
      <c r="H2657">
        <f>VLOOKUP(D2635,'Detail Balok'!$C$10:$AU$140,45,FALSE)</f>
        <v>100</v>
      </c>
      <c r="J2657">
        <f>(IF(D2657=0,(2*(D2636+G2636))-(F$5*8),IF(D2657=3,(2*(D2636+G2636))-(F$5*8)+(G2636-2*F$5),IF(D2657=4,(2*(D2636+G2636))-(F$5*8)+2*(G2636-2*F$5)))))/1000</f>
        <v>1.28</v>
      </c>
      <c r="K2657" t="str">
        <v>+</v>
      </c>
      <c r="L2657">
        <f>IF(D2657=0,2*MAX(6*F2657,75),(D2657-1)*2*MAX(6*F2657,75))/1000</f>
        <v>0.15</v>
      </c>
      <c r="M2657" t="str">
        <v>=</v>
      </c>
      <c r="N2657">
        <f>J2657+L2657</f>
        <v>1.43</v>
      </c>
      <c r="T2657" t="str">
        <v>x</v>
      </c>
      <c r="U2657">
        <f>0.006165*F2657^2</f>
        <v>0.6165</v>
      </c>
      <c r="V2657" t="str">
        <v>x</v>
      </c>
      <c r="W2657">
        <f>IF(D2638&gt;4*G2636,ROUND(MAX(D2638/4,2*G2636)/H2657,0)+1,0)</f>
        <v>13</v>
      </c>
      <c r="X2657" t="str">
        <v>x</v>
      </c>
      <c r="Y2657">
        <f>D2641</f>
        <v>1</v>
      </c>
      <c r="Z2657" t="str">
        <v>=</v>
      </c>
      <c r="AA2657">
        <f>N2657*U2657*W2657*Y2657</f>
        <v>11.460735</v>
      </c>
    </row>
    <row r="2659">
      <c r="A2659" t="str">
        <f>A2635</f>
        <v>Lantai 2</v>
      </c>
      <c r="B2659">
        <f>B2635</f>
        <v>1</v>
      </c>
      <c r="C2659" t="str">
        <v>Kait Horizontal Tump.</v>
      </c>
      <c r="D2659">
        <f>VLOOKUP(D2635,'Detail Balok'!$C$10:$BJ$140,46,FALSE)</f>
        <v>0</v>
      </c>
      <c r="E2659" t="str">
        <v>D</v>
      </c>
      <c r="F2659">
        <f>VLOOKUP(D2635,'Detail Balok'!$C$10:$BJ$140,48,FALSE)</f>
        <v>0</v>
      </c>
      <c r="G2659" t="str">
        <v>-</v>
      </c>
      <c r="H2659">
        <f>VLOOKUP(D2635,'Detail Balok'!$C$10:$BJ$140,50,FALSE)</f>
        <v>100</v>
      </c>
      <c r="J2659">
        <f>(D2636-2*F$5)/1000</f>
        <v>0.12</v>
      </c>
      <c r="K2659" t="str">
        <v>+</v>
      </c>
      <c r="L2659">
        <f>IF(D2659=0,2*MAX(6*F2659,75),(D2659-1)*2*MAX(6*F2659,75))/1000</f>
        <v>0.15</v>
      </c>
      <c r="M2659" t="str">
        <v>=</v>
      </c>
      <c r="N2659">
        <f>J2659+L2659</f>
        <v>0.27</v>
      </c>
      <c r="T2659" t="str">
        <v>x</v>
      </c>
      <c r="U2659">
        <f>0.006165*F2659^2</f>
        <v>0</v>
      </c>
      <c r="V2659" t="str">
        <v>x</v>
      </c>
      <c r="W2659">
        <f>W2655</f>
        <v>13</v>
      </c>
      <c r="X2659" t="str">
        <v>x</v>
      </c>
      <c r="Y2659">
        <f>D2645</f>
        <v>0</v>
      </c>
      <c r="Z2659" t="str">
        <v>=</v>
      </c>
      <c r="AA2659">
        <f>N2659*U2659*W2659*Y2659</f>
        <v>0</v>
      </c>
    </row>
    <row r="2660">
      <c r="A2660" t="str">
        <f>A2635</f>
        <v>Lantai 2</v>
      </c>
      <c r="B2660">
        <f>B2635</f>
        <v>1</v>
      </c>
      <c r="C2660" t="str">
        <v>Kait Horizontal Lap.</v>
      </c>
      <c r="D2660">
        <f>VLOOKUP(D2635,'Detail Balok'!$C$10:$BJ$140,51,FALSE)</f>
        <v>0</v>
      </c>
      <c r="E2660" t="str">
        <v>D</v>
      </c>
      <c r="F2660">
        <f>VLOOKUP(D2635,'Detail Balok'!$C$10:$BJ$140,53,FALSE)</f>
        <v>0</v>
      </c>
      <c r="G2660" t="str">
        <v>-</v>
      </c>
      <c r="H2660">
        <f>VLOOKUP(D2635,'Detail Balok'!$C$10:$BJ$140,55,FALSE)</f>
        <v>100</v>
      </c>
      <c r="J2660">
        <f>(D2636-2*F$5)/1000</f>
        <v>0.12</v>
      </c>
      <c r="K2660" t="str">
        <v>+</v>
      </c>
      <c r="L2660">
        <f>IF(D2660=0,2*MAX(6*F2660,75),(D2660-1)*2*MAX(6*F2660,75))/1000</f>
        <v>0.15</v>
      </c>
      <c r="M2660" t="str">
        <v>=</v>
      </c>
      <c r="N2660">
        <f>J2660+L2660</f>
        <v>0.27</v>
      </c>
      <c r="T2660" t="str">
        <v>x</v>
      </c>
      <c r="U2660">
        <f>0.006165*F2660^2</f>
        <v>0</v>
      </c>
      <c r="V2660" t="str">
        <v>x</v>
      </c>
      <c r="W2660">
        <f>W2656</f>
        <v>16</v>
      </c>
      <c r="X2660" t="str">
        <v>x</v>
      </c>
      <c r="Y2660">
        <f>D2645</f>
        <v>0</v>
      </c>
      <c r="Z2660" t="str">
        <v>=</v>
      </c>
      <c r="AA2660">
        <f>N2660*U2660*W2660*Y2660</f>
        <v>0</v>
      </c>
    </row>
    <row r="2661">
      <c r="A2661" t="str">
        <f>A2635</f>
        <v>Lantai 2</v>
      </c>
      <c r="B2661">
        <f>B2635</f>
        <v>1</v>
      </c>
      <c r="C2661" t="str">
        <v>Kait Horizontal Tump.</v>
      </c>
      <c r="D2661">
        <f>VLOOKUP(D2635,'Detail Balok'!$C$10:$BJ$140,56,FALSE)</f>
        <v>0</v>
      </c>
      <c r="E2661" t="str">
        <v>D</v>
      </c>
      <c r="F2661">
        <f>VLOOKUP(D2635,'Detail Balok'!$C$10:$BJ$140,58,FALSE)</f>
        <v>0</v>
      </c>
      <c r="G2661" t="str">
        <v>-</v>
      </c>
      <c r="H2661">
        <f>VLOOKUP(D2635,'Detail Balok'!$C$10:$BJ$140,60,FALSE)</f>
        <v>100</v>
      </c>
      <c r="J2661">
        <f>(D2636-2*F$5)/1000</f>
        <v>0.12</v>
      </c>
      <c r="K2661" t="str">
        <v>+</v>
      </c>
      <c r="L2661">
        <f>IF(D2661=0,2*MAX(6*F2661,75),(D2661-1)*2*MAX(6*F2661,75))/1000</f>
        <v>0.15</v>
      </c>
      <c r="M2661" t="str">
        <v>=</v>
      </c>
      <c r="N2661">
        <f>J2661+L2661</f>
        <v>0.27</v>
      </c>
      <c r="T2661" t="str">
        <v>x</v>
      </c>
      <c r="U2661">
        <f>0.006165*F2661^2</f>
        <v>0</v>
      </c>
      <c r="V2661" t="str">
        <v>x</v>
      </c>
      <c r="W2661">
        <f>W2657</f>
        <v>13</v>
      </c>
      <c r="X2661" t="str">
        <v>x</v>
      </c>
      <c r="Y2661">
        <f>D2645</f>
        <v>0</v>
      </c>
      <c r="Z2661" t="str">
        <v>=</v>
      </c>
      <c r="AA2661">
        <f>N2661*U2661*W2661*Y2661</f>
        <v>0</v>
      </c>
    </row>
    <row r="2665">
      <c r="A2665" t="str">
        <f>A2635</f>
        <v>Lantai 2</v>
      </c>
      <c r="B2665">
        <f>B2635+1</f>
        <v>2</v>
      </c>
      <c r="C2665" t="str">
        <f>CONCATENATE(A2665," no. ",B2665)</f>
        <v>Lantai 2 no. 2</v>
      </c>
      <c r="D2665" t="str">
        <f>VLOOKUP(C2665,'Data Panjang Balok'!$C$9:$N$254,2,FALSE)</f>
        <v>B26-1</v>
      </c>
    </row>
    <row r="2666">
      <c r="C2666" t="str">
        <v>Dimensi</v>
      </c>
      <c r="D2666">
        <f>VLOOKUP(D2665,'Detail Balok'!$C$10:$AU$140,2,FALSE)</f>
        <v>200</v>
      </c>
      <c r="F2666" t="str">
        <v>x</v>
      </c>
      <c r="G2666">
        <f>VLOOKUP(D2665,'Detail Balok'!$C$10:$AU$140,3,FALSE)</f>
        <v>600</v>
      </c>
    </row>
    <row r="2667">
      <c r="C2667" t="str">
        <v>Panjang as ke as</v>
      </c>
      <c r="D2667">
        <f>VLOOKUP(C2665,'Data Panjang Balok'!$C$9:$N$254,4,FALSE)</f>
        <v>4175</v>
      </c>
    </row>
    <row r="2668">
      <c r="C2668" t="str">
        <v>Panjang netto</v>
      </c>
      <c r="D2668">
        <f>VLOOKUP(C2665,'Data Panjang Balok'!$C$9:$N$254,7,FALSE)</f>
        <v>4175</v>
      </c>
    </row>
    <row r="2669">
      <c r="C2669" t="str">
        <v>Kolom / balok kiri</v>
      </c>
      <c r="D2669">
        <f>VLOOKUP(C2665,'Data Panjang Balok'!$C$9:$N$254,9,FALSE)</f>
        <v>0</v>
      </c>
    </row>
    <row r="2670">
      <c r="C2670" t="str">
        <v>Kolom / balok kanan</v>
      </c>
      <c r="D2670">
        <f>VLOOKUP(C2665,'Data Panjang Balok'!$C$9:$N$254,10,FALSE)</f>
        <v>0</v>
      </c>
    </row>
    <row r="2671">
      <c r="C2671" t="str">
        <v>Jumlah</v>
      </c>
      <c r="D2671">
        <f>VLOOKUP(C2665,'Data Panjang Balok'!$C$9:$N$254,3,FALSE)</f>
        <v>1</v>
      </c>
    </row>
    <row r="2672">
      <c r="A2672" t="str">
        <f>A2665</f>
        <v>Lantai 2</v>
      </c>
      <c r="B2672">
        <f>B2665</f>
        <v>2</v>
      </c>
      <c r="C2672" t="str">
        <v>Tul Atas Tumpuan</v>
      </c>
      <c r="D2672">
        <f>VLOOKUP(D2665,'Detail Balok'!$C$10:$AU$140,4,FALSE)</f>
        <v>4</v>
      </c>
      <c r="E2672" t="str">
        <v>D</v>
      </c>
      <c r="F2672">
        <f>VLOOKUP(D2665,'Detail Balok'!$C$10:$AU$140,6,FALSE)</f>
        <v>16</v>
      </c>
      <c r="I2672" t="str">
        <v>(</v>
      </c>
      <c r="J2672">
        <f>+D2667/4/1000</f>
        <v>1.04375</v>
      </c>
      <c r="K2672" t="str">
        <v>+</v>
      </c>
      <c r="L2672">
        <f>MAX(VLOOKUP(F2672,N$6:P$15,3,FALSE)/1000,2/3*D2669/1000)+F$16*F2672/1000</f>
        <v>0.192</v>
      </c>
      <c r="M2672" t="str">
        <v>=</v>
      </c>
      <c r="N2672">
        <f>J2672+L2672</f>
        <v>1.23575</v>
      </c>
      <c r="O2672" t="str">
        <v>+</v>
      </c>
      <c r="P2672">
        <f>D2672-D2673</f>
        <v>1</v>
      </c>
      <c r="Q2672" t="str">
        <v>x</v>
      </c>
      <c r="R2672">
        <f>IF(P2672&gt;0,$F$18*F2672/1000,0)</f>
        <v>0.24</v>
      </c>
      <c r="S2672" t="str">
        <v>)</v>
      </c>
      <c r="T2672" t="str">
        <v>x</v>
      </c>
      <c r="U2672">
        <f>0.006165*F2672^2</f>
        <v>1.57824</v>
      </c>
      <c r="X2672" t="str">
        <v>x</v>
      </c>
      <c r="Y2672">
        <f>D2671</f>
        <v>1</v>
      </c>
      <c r="Z2672" t="str">
        <v>=</v>
      </c>
      <c r="AA2672">
        <f>IF(AA2675=0,(D2672*N2672+P2672*R2672)*U2672*Y2672,0)</f>
        <v>8.180017920000001</v>
      </c>
    </row>
    <row r="2673">
      <c r="A2673" t="str">
        <f>A2665</f>
        <v>Lantai 2</v>
      </c>
      <c r="B2673">
        <f>B2665</f>
        <v>2</v>
      </c>
      <c r="C2673" t="str">
        <v>Tul Atas Lapangan</v>
      </c>
      <c r="D2673">
        <f>VLOOKUP(D2665,'Detail Balok'!$C$10:$AU$140,7,FALSE)</f>
        <v>3</v>
      </c>
      <c r="E2673" t="str">
        <v>D</v>
      </c>
      <c r="F2673">
        <f>VLOOKUP(D2665,'Detail Balok'!$C$10:$AU$140,9,FALSE)</f>
        <v>16</v>
      </c>
      <c r="I2673" t="str">
        <v>(</v>
      </c>
      <c r="J2673">
        <f>+D2667/2/1000</f>
        <v>2.0875</v>
      </c>
      <c r="K2673" t="str">
        <v>+</v>
      </c>
      <c r="M2673" t="str">
        <v>=</v>
      </c>
      <c r="N2673">
        <f>J2673+L2673</f>
        <v>2.0875</v>
      </c>
      <c r="O2673" t="str">
        <v>+</v>
      </c>
      <c r="P2673">
        <f>MAX(D2673-D2672,D2673-D2674)</f>
        <v>-1</v>
      </c>
      <c r="Q2673" t="str">
        <v>x</v>
      </c>
      <c r="R2673">
        <f>IF(P2673&gt;0,2*(1-2*$F$19-1/2)*D2668/1000,0)</f>
        <v>0</v>
      </c>
      <c r="S2673" t="str">
        <v>)</v>
      </c>
      <c r="T2673" t="str">
        <v>x</v>
      </c>
      <c r="U2673">
        <f>0.006165*F2673^2</f>
        <v>1.57824</v>
      </c>
      <c r="X2673" t="str">
        <v>x</v>
      </c>
      <c r="Y2673">
        <f>D2671</f>
        <v>1</v>
      </c>
      <c r="Z2673" t="str">
        <v>=</v>
      </c>
      <c r="AA2673">
        <f>IF(AA2675=0,(D2673*N2673+P2673*R2673)*U2673*Y2673,0)</f>
        <v>9.883728</v>
      </c>
    </row>
    <row r="2674">
      <c r="A2674" t="str">
        <f>A2665</f>
        <v>Lantai 2</v>
      </c>
      <c r="B2674">
        <f>B2665</f>
        <v>2</v>
      </c>
      <c r="C2674" t="str">
        <v>Tul Atas Tumpuan</v>
      </c>
      <c r="D2674">
        <f>VLOOKUP(D2665,'Detail Balok'!$C$10:$AU$140,10,FALSE)</f>
        <v>4</v>
      </c>
      <c r="E2674" t="str">
        <v>D</v>
      </c>
      <c r="F2674">
        <f>VLOOKUP(D2665,'Detail Balok'!$C$10:$AU$140,12,FALSE)</f>
        <v>16</v>
      </c>
      <c r="I2674" t="str">
        <v>(</v>
      </c>
      <c r="J2674">
        <f>+D2667/4/1000</f>
        <v>1.04375</v>
      </c>
      <c r="K2674" t="str">
        <v>+</v>
      </c>
      <c r="L2674">
        <f>MAX(VLOOKUP(F2674,N$6:P$15,3,FALSE)/1000,2/3*D2669/1000)+F$16*F2674/1000</f>
        <v>0.192</v>
      </c>
      <c r="M2674" t="str">
        <v>=</v>
      </c>
      <c r="N2674">
        <f>J2674+L2674</f>
        <v>1.23575</v>
      </c>
      <c r="O2674" t="str">
        <v>+</v>
      </c>
      <c r="P2674">
        <f>D2674-D2673</f>
        <v>1</v>
      </c>
      <c r="Q2674" t="str">
        <v>x</v>
      </c>
      <c r="R2674">
        <f>IF(P2674&gt;0,$F$18*F2674/1000,0)</f>
        <v>0.24</v>
      </c>
      <c r="S2674" t="str">
        <v>)</v>
      </c>
      <c r="T2674" t="str">
        <v>x</v>
      </c>
      <c r="U2674">
        <f>0.006165*F2674^2</f>
        <v>1.57824</v>
      </c>
      <c r="X2674" t="str">
        <v>x</v>
      </c>
      <c r="Y2674">
        <f>D2671</f>
        <v>1</v>
      </c>
      <c r="Z2674" t="str">
        <v>=</v>
      </c>
      <c r="AA2674">
        <f>IF(AA2675=0,(D2674*N2674+P2674*R2674)*U2674*Y2674,0)</f>
        <v>8.180017920000001</v>
      </c>
    </row>
    <row r="2675">
      <c r="A2675" t="str">
        <f>A2665</f>
        <v>Lantai 2</v>
      </c>
      <c r="B2675">
        <f>B2665</f>
        <v>2</v>
      </c>
      <c r="D2675">
        <f>IF(AND(D2672=D2673,D2673=D2674,D2672=D2674),D2672,0)</f>
        <v>0</v>
      </c>
      <c r="E2675" t="str">
        <v>D</v>
      </c>
      <c r="F2675">
        <f>IF(AND(F2672=F2673,F2672=F2674,F2673=F2674),F2672,0)</f>
        <v>16</v>
      </c>
      <c r="L2675" t="str">
        <v>Total panjang per balok</v>
      </c>
      <c r="M2675" t="str">
        <v>=</v>
      </c>
      <c r="N2675">
        <f>IF(AND(D2672=D2673,D2672=D2674,D2673=D2674,F2672=F2673,F2672=F2674,F2673=F2674),SUM(N2672:N2674),0)</f>
        <v>0</v>
      </c>
      <c r="O2675" t="str">
        <v>+</v>
      </c>
      <c r="P2675">
        <f>IF(N2675&gt;12,ROUNDDOWN(N2675/12,0),0)</f>
        <v>0</v>
      </c>
      <c r="Q2675" t="str">
        <v>x</v>
      </c>
      <c r="R2675">
        <f>IF(P2675&gt;0,MAX(VLOOKUP(F2675,$D$6:$G$15,3,FALSE),600),0)/1000</f>
        <v>0</v>
      </c>
      <c r="T2675" t="str">
        <v>x</v>
      </c>
      <c r="U2675">
        <f>U2674</f>
        <v>1.57824</v>
      </c>
      <c r="V2675" t="str">
        <v>x</v>
      </c>
      <c r="W2675">
        <f>D2675</f>
        <v>0</v>
      </c>
      <c r="X2675" t="str">
        <v>x</v>
      </c>
      <c r="Y2675">
        <f>Y2674</f>
        <v>1</v>
      </c>
      <c r="Z2675" t="str">
        <v>=</v>
      </c>
      <c r="AA2675">
        <f>(N2675+P2675*R2675/1000)*U2675*W2675*Y2675</f>
        <v>0</v>
      </c>
    </row>
    <row r="2677">
      <c r="A2677" t="str">
        <f>A2665</f>
        <v>Lantai 2</v>
      </c>
      <c r="B2677">
        <f>B2665</f>
        <v>2</v>
      </c>
      <c r="C2677" t="str">
        <v>Tul Peminggang</v>
      </c>
      <c r="D2677">
        <f>VLOOKUP(D2665,'Detail Balok'!$C$10:$AU$140,13,FALSE)</f>
        <v>2</v>
      </c>
      <c r="E2677" t="str">
        <v>D</v>
      </c>
      <c r="F2677">
        <f>VLOOKUP(D2665,'Detail Balok'!$C$10:$AU$140,15,FALSE)</f>
        <v>10</v>
      </c>
      <c r="J2677">
        <f>+D2667/1000</f>
        <v>4.175</v>
      </c>
      <c r="K2677" t="str">
        <v>+</v>
      </c>
      <c r="L2677">
        <f>2*$F$16*F2677/1000</f>
        <v>0.24</v>
      </c>
      <c r="M2677" t="str">
        <v>=</v>
      </c>
      <c r="N2677">
        <f>J2677+L2677</f>
        <v>4.415</v>
      </c>
      <c r="O2677" t="str">
        <v>+</v>
      </c>
      <c r="P2677">
        <f>IF(N2677&gt;12,ROUNDDOWN(N2677/12,0),0)</f>
        <v>0</v>
      </c>
      <c r="Q2677" t="str">
        <v>x</v>
      </c>
      <c r="R2677">
        <f>IF(P2677&gt;0,MAX(VLOOKUP(F2677,$D$6:$G$15,3,FALSE),600),0)/1000</f>
        <v>0</v>
      </c>
      <c r="T2677" t="str">
        <v>x</v>
      </c>
      <c r="U2677">
        <f>0.006165*F2677^2</f>
        <v>0.6165</v>
      </c>
      <c r="V2677" t="str">
        <v>x</v>
      </c>
      <c r="W2677">
        <f>+D2677</f>
        <v>2</v>
      </c>
      <c r="X2677" t="str">
        <v>x</v>
      </c>
      <c r="Y2677">
        <f>D2671</f>
        <v>1</v>
      </c>
      <c r="Z2677" t="str">
        <v>=</v>
      </c>
      <c r="AA2677">
        <f>(N2677+P2677*R2677/1000)*U2677*W2677*Y2677</f>
        <v>5.443695000000001</v>
      </c>
    </row>
    <row r="2680">
      <c r="A2680" t="str">
        <f>A2665</f>
        <v>Lantai 2</v>
      </c>
      <c r="B2680">
        <f>B2665</f>
        <v>2</v>
      </c>
      <c r="C2680" t="str">
        <v>Tul Bawah Tumpuan</v>
      </c>
      <c r="D2680">
        <f>VLOOKUP(D2665,'Detail Balok'!$C$10:$AU$140,22,FALSE)</f>
        <v>3</v>
      </c>
      <c r="E2680" t="str">
        <v>D</v>
      </c>
      <c r="F2680">
        <f>VLOOKUP(D2665,'Detail Balok'!$C$10:$AU$140,24,FALSE)</f>
        <v>16</v>
      </c>
      <c r="I2680" t="str">
        <v>(</v>
      </c>
      <c r="J2680">
        <f>+J2672</f>
        <v>1.04375</v>
      </c>
      <c r="K2680" t="str">
        <v>+</v>
      </c>
      <c r="L2680">
        <f>MAX(VLOOKUP(F2680,N$6:P$15,3,FALSE)/1000,2/3*D2670/1000)+F$16*F2680/1000</f>
        <v>0.192</v>
      </c>
      <c r="M2680" t="str">
        <v>=</v>
      </c>
      <c r="N2680">
        <f>J2680+L2680</f>
        <v>1.23575</v>
      </c>
      <c r="O2680" t="str">
        <v>+</v>
      </c>
      <c r="P2680">
        <f>D2680-D2681</f>
        <v>-1</v>
      </c>
      <c r="Q2680" t="str">
        <v>x</v>
      </c>
      <c r="R2680">
        <f>IF(P2680&gt;0,$F$18*F2680/1000,0)</f>
        <v>0</v>
      </c>
      <c r="S2680" t="str">
        <v>)</v>
      </c>
      <c r="T2680" t="str">
        <v>x</v>
      </c>
      <c r="U2680">
        <f>0.006165*F2680^2</f>
        <v>1.57824</v>
      </c>
      <c r="X2680" t="str">
        <v>x</v>
      </c>
      <c r="Y2680">
        <f>D2671</f>
        <v>1</v>
      </c>
      <c r="Z2680" t="str">
        <v>=</v>
      </c>
      <c r="AA2680">
        <f>IF(AA2683=0,(D2680*N2680+P2680*R2680)*U2680*Y2680,0)</f>
        <v>5.85093024</v>
      </c>
    </row>
    <row r="2681">
      <c r="A2681" t="str">
        <f>A2665</f>
        <v>Lantai 2</v>
      </c>
      <c r="B2681">
        <f>B2665</f>
        <v>2</v>
      </c>
      <c r="C2681" t="str">
        <v>Tul Bawah Lapangan</v>
      </c>
      <c r="D2681">
        <f>VLOOKUP(D2665,'Detail Balok'!$C$10:$AU$140,25,FALSE)</f>
        <v>4</v>
      </c>
      <c r="E2681" t="str">
        <v>D</v>
      </c>
      <c r="F2681">
        <f>VLOOKUP(D2665,'Detail Balok'!$C$10:$AU$140,27,FALSE)</f>
        <v>16</v>
      </c>
      <c r="I2681" t="str">
        <v>(</v>
      </c>
      <c r="J2681">
        <f>+J2673</f>
        <v>2.0875</v>
      </c>
      <c r="K2681" t="str">
        <v>+</v>
      </c>
      <c r="M2681" t="str">
        <v>=</v>
      </c>
      <c r="N2681">
        <f>J2681+L2681</f>
        <v>2.0875</v>
      </c>
      <c r="O2681" t="str">
        <v>+</v>
      </c>
      <c r="P2681">
        <f>MAX(D2681-D2680,D2681-D2682)</f>
        <v>1</v>
      </c>
      <c r="Q2681" t="str">
        <v>x</v>
      </c>
      <c r="R2681">
        <f>IF(P2681&gt;0,2*(1-2*$F$19-1/2)*D2668/1000,0)</f>
        <v>0.8349999999999997</v>
      </c>
      <c r="S2681" t="str">
        <v>)</v>
      </c>
      <c r="T2681" t="str">
        <v>x</v>
      </c>
      <c r="U2681">
        <f>0.006165*F2681^2</f>
        <v>1.57824</v>
      </c>
      <c r="X2681" t="str">
        <v>x</v>
      </c>
      <c r="Y2681">
        <f>D2671</f>
        <v>1</v>
      </c>
      <c r="Z2681" t="str">
        <v>=</v>
      </c>
      <c r="AA2681">
        <f>IF(AA2683=0,(D2681*N2681+P2681*R2681)*U2681*Y2681,0)</f>
        <v>14.496134399999999</v>
      </c>
    </row>
    <row r="2682">
      <c r="A2682" t="str">
        <f>A2665</f>
        <v>Lantai 2</v>
      </c>
      <c r="B2682">
        <f>B2665</f>
        <v>2</v>
      </c>
      <c r="C2682" t="str">
        <v>Tul Bawah Tumpuan</v>
      </c>
      <c r="D2682">
        <f>VLOOKUP(D2665,'Detail Balok'!$C$10:$AU$140,28,FALSE)</f>
        <v>3</v>
      </c>
      <c r="E2682" t="str">
        <v>D</v>
      </c>
      <c r="F2682">
        <f>VLOOKUP(D2665,'Detail Balok'!$C$10:$AU$140,30,FALSE)</f>
        <v>16</v>
      </c>
      <c r="I2682" t="str">
        <v>(</v>
      </c>
      <c r="J2682">
        <f>+J2674</f>
        <v>1.04375</v>
      </c>
      <c r="K2682" t="str">
        <v>+</v>
      </c>
      <c r="L2682">
        <f>MAX(VLOOKUP(F2682,N$6:P$15,3,FALSE)/1000,2/3*D2670/1000)+F$16*F2682/1000</f>
        <v>0.192</v>
      </c>
      <c r="M2682" t="str">
        <v>=</v>
      </c>
      <c r="N2682">
        <f>J2682+L2682</f>
        <v>1.23575</v>
      </c>
      <c r="O2682" t="str">
        <v>+</v>
      </c>
      <c r="P2682">
        <f>D2682-D2681</f>
        <v>-1</v>
      </c>
      <c r="Q2682" t="str">
        <v>x</v>
      </c>
      <c r="R2682">
        <f>IF(P2682&gt;0,$F$18*F2682/1000,0)</f>
        <v>0</v>
      </c>
      <c r="S2682" t="str">
        <v>)</v>
      </c>
      <c r="T2682" t="str">
        <v>x</v>
      </c>
      <c r="U2682">
        <f>0.006165*F2682^2</f>
        <v>1.57824</v>
      </c>
      <c r="X2682" t="str">
        <v>x</v>
      </c>
      <c r="Y2682">
        <f>D2671</f>
        <v>1</v>
      </c>
      <c r="Z2682" t="str">
        <v>=</v>
      </c>
      <c r="AA2682">
        <f>IF(AA2683=0,(D2682*N2682+P2682*R2682)*U2682*Y2682,0)</f>
        <v>5.85093024</v>
      </c>
    </row>
    <row r="2683">
      <c r="A2683" t="str">
        <f>A2665</f>
        <v>Lantai 2</v>
      </c>
      <c r="B2683">
        <f>B2665</f>
        <v>2</v>
      </c>
      <c r="D2683">
        <f>IF(AND(D2680=D2681,D2681=D2682,D2680=D2682),D2680,0)</f>
        <v>0</v>
      </c>
      <c r="E2683" t="str">
        <v>D</v>
      </c>
      <c r="F2683">
        <f>IF(AND(F2680=F2681,F2680=F2682,F2681=F2682),F2680,0)</f>
        <v>16</v>
      </c>
      <c r="L2683" t="str">
        <v>Total panjang per balok</v>
      </c>
      <c r="M2683" t="str">
        <v>=</v>
      </c>
      <c r="N2683">
        <f>IF(AND(D2680=D2681,D2680=D2682,D2681=D2682,F2680=F2681,F2680=F2682,F2681=F2682),SUM(N2680:N2682),0)</f>
        <v>0</v>
      </c>
      <c r="O2683" t="str">
        <v>+</v>
      </c>
      <c r="P2683">
        <f>IF(N2683&gt;12,ROUNDDOWN(N2683/12,0),0)</f>
        <v>0</v>
      </c>
      <c r="Q2683" t="str">
        <v>x</v>
      </c>
      <c r="R2683">
        <f>IF(P2683&gt;0,MAX(VLOOKUP(F2683,$D$6:$G$15,3,FALSE),600),0)/1000</f>
        <v>0</v>
      </c>
      <c r="T2683" t="str">
        <v>x</v>
      </c>
      <c r="U2683">
        <f>U2682</f>
        <v>1.57824</v>
      </c>
      <c r="V2683" t="str">
        <v>x</v>
      </c>
      <c r="W2683">
        <f>D2683</f>
        <v>0</v>
      </c>
      <c r="X2683" t="str">
        <v>x</v>
      </c>
      <c r="Y2683">
        <f>Y2682</f>
        <v>1</v>
      </c>
      <c r="Z2683" t="str">
        <v>=</v>
      </c>
      <c r="AA2683">
        <f>(N2683+P2683*R2683/1000)*U2683*W2683*Y2683</f>
        <v>0</v>
      </c>
    </row>
    <row r="2685">
      <c r="A2685" t="str">
        <f>A2665</f>
        <v>Lantai 2</v>
      </c>
      <c r="B2685">
        <f>B2665</f>
        <v>2</v>
      </c>
      <c r="C2685" t="str">
        <v>Sengkang Tumpuan</v>
      </c>
      <c r="D2685">
        <f>VLOOKUP(D2665,'Detail Balok'!$C$10:$AU$140,31,FALSE)</f>
        <v>0</v>
      </c>
      <c r="E2685" t="str">
        <v>D</v>
      </c>
      <c r="F2685">
        <f>VLOOKUP(D2665,'Detail Balok'!$C$10:$AU$140,33,FALSE)</f>
        <v>10</v>
      </c>
      <c r="G2685" t="str">
        <v>-</v>
      </c>
      <c r="H2685">
        <f>VLOOKUP(D2665,'Detail Balok'!$C$10:$AU$140,35,FALSE)</f>
        <v>100</v>
      </c>
      <c r="J2685">
        <f>(IF(D2685=0,(2*(D2666+G2666))-(F$5*8),IF(D2685=3,(2*(D2666+G2666))-(F$5*8)+(G2666-2*F$5),IF(D2685=4,(2*(D2666+G2666))-(F$5*8)+2*(G2666-2*F$5)))))/1000</f>
        <v>1.28</v>
      </c>
      <c r="K2685" t="str">
        <v>+</v>
      </c>
      <c r="L2685">
        <f>IF(D2685=0,2*MAX(6*F2685,75),(D2685-1)*2*MAX(6*F2685,75))/1000</f>
        <v>0.15</v>
      </c>
      <c r="M2685" t="str">
        <v>=</v>
      </c>
      <c r="N2685">
        <f>J2685+L2685</f>
        <v>1.43</v>
      </c>
      <c r="T2685" t="str">
        <v>x</v>
      </c>
      <c r="U2685">
        <f>0.006165*F2685^2</f>
        <v>0.6165</v>
      </c>
      <c r="V2685" t="str">
        <v>x</v>
      </c>
      <c r="W2685">
        <f>IF(D2668&gt;4*G2666,ROUND(MAX(D2668/4,2*G2666)/H2685,0)+1,ROUND(D2668/H2685,0)+1)</f>
        <v>13</v>
      </c>
      <c r="X2685" t="str">
        <v>x</v>
      </c>
      <c r="Y2685">
        <f>D2671</f>
        <v>1</v>
      </c>
      <c r="Z2685" t="str">
        <v>=</v>
      </c>
      <c r="AA2685">
        <f>N2685*U2685*W2685*Y2685</f>
        <v>11.460735</v>
      </c>
    </row>
    <row r="2686">
      <c r="A2686" t="str">
        <f>A2665</f>
        <v>Lantai 2</v>
      </c>
      <c r="B2686">
        <f>B2665</f>
        <v>2</v>
      </c>
      <c r="C2686" t="str">
        <v>Sengkang Lapangan</v>
      </c>
      <c r="D2686">
        <f>VLOOKUP(D2665,'Detail Balok'!$C$10:$AU$140,36,FALSE)</f>
        <v>0</v>
      </c>
      <c r="E2686" t="str">
        <v>D</v>
      </c>
      <c r="F2686">
        <f>VLOOKUP(D2665,'Detail Balok'!$C$10:$AU$140,38,FALSE)</f>
        <v>10</v>
      </c>
      <c r="G2686" t="str">
        <v>-</v>
      </c>
      <c r="H2686">
        <f>VLOOKUP(D2665,'Detail Balok'!$C$10:$AU$140,40,FALSE)</f>
        <v>150</v>
      </c>
      <c r="J2686">
        <f>(IF(D2686=0,(2*(D2666+G2666))-(F$5*8),IF(D2686=3,(2*(D2666+G2666))-(F$5*8)+(G2666-2*F$5),IF(D2686=4,(2*(D2666+G2666))-(F$5*8)+2*(G2666-2*F$5)))))/1000</f>
        <v>1.28</v>
      </c>
      <c r="K2686" t="str">
        <v>+</v>
      </c>
      <c r="L2686">
        <f>IF(D2686=0,2*MAX(6*F2686,75),(D2686-1)*2*MAX(6*F2686,75))/1000</f>
        <v>0.15</v>
      </c>
      <c r="M2686" t="str">
        <v>=</v>
      </c>
      <c r="N2686">
        <f>J2686+L2686</f>
        <v>1.43</v>
      </c>
      <c r="T2686" t="str">
        <v>x</v>
      </c>
      <c r="U2686">
        <f>0.006165*F2686^2</f>
        <v>0.6165</v>
      </c>
      <c r="V2686" t="str">
        <v>x</v>
      </c>
      <c r="W2686">
        <f>IF(D2668-MAX(D2668/4,2*G2666)*2&gt;0,ROUND((D2668-MAX(D2668/4,2*G2666)*2)/H2686,0),0)</f>
        <v>12</v>
      </c>
      <c r="X2686" t="str">
        <v>x</v>
      </c>
      <c r="Y2686">
        <f>D2671</f>
        <v>1</v>
      </c>
      <c r="Z2686" t="str">
        <v>=</v>
      </c>
      <c r="AA2686">
        <f>N2686*U2686*W2686*Y2686</f>
        <v>10.57914</v>
      </c>
    </row>
    <row r="2687">
      <c r="A2687" t="str">
        <f>A2665</f>
        <v>Lantai 2</v>
      </c>
      <c r="B2687">
        <f>B2665</f>
        <v>2</v>
      </c>
      <c r="C2687" t="str">
        <v>Sengkang Tumpuan</v>
      </c>
      <c r="D2687">
        <f>VLOOKUP(D2665,'Detail Balok'!$C$10:$AU$140,41,FALSE)</f>
        <v>0</v>
      </c>
      <c r="E2687" t="str">
        <v>D</v>
      </c>
      <c r="F2687">
        <f>VLOOKUP(D2665,'Detail Balok'!$C$10:$AU$140,43,FALSE)</f>
        <v>10</v>
      </c>
      <c r="G2687" t="str">
        <v>-</v>
      </c>
      <c r="H2687">
        <f>VLOOKUP(D2665,'Detail Balok'!$C$10:$AU$140,45,FALSE)</f>
        <v>100</v>
      </c>
      <c r="J2687">
        <f>(IF(D2687=0,(2*(D2666+G2666))-(F$5*8),IF(D2687=3,(2*(D2666+G2666))-(F$5*8)+(G2666-2*F$5),IF(D2687=4,(2*(D2666+G2666))-(F$5*8)+2*(G2666-2*F$5)))))/1000</f>
        <v>1.28</v>
      </c>
      <c r="K2687" t="str">
        <v>+</v>
      </c>
      <c r="L2687">
        <f>IF(D2687=0,2*MAX(6*F2687,75),(D2687-1)*2*MAX(6*F2687,75))/1000</f>
        <v>0.15</v>
      </c>
      <c r="M2687" t="str">
        <v>=</v>
      </c>
      <c r="N2687">
        <f>J2687+L2687</f>
        <v>1.43</v>
      </c>
      <c r="T2687" t="str">
        <v>x</v>
      </c>
      <c r="U2687">
        <f>0.006165*F2687^2</f>
        <v>0.6165</v>
      </c>
      <c r="V2687" t="str">
        <v>x</v>
      </c>
      <c r="W2687">
        <f>IF(D2668&gt;4*G2666,ROUND(MAX(D2668/4,2*G2666)/H2687,0)+1,0)</f>
        <v>13</v>
      </c>
      <c r="X2687" t="str">
        <v>x</v>
      </c>
      <c r="Y2687">
        <f>D2671</f>
        <v>1</v>
      </c>
      <c r="Z2687" t="str">
        <v>=</v>
      </c>
      <c r="AA2687">
        <f>N2687*U2687*W2687*Y2687</f>
        <v>11.460735</v>
      </c>
    </row>
    <row r="2689">
      <c r="A2689" t="str">
        <f>A2665</f>
        <v>Lantai 2</v>
      </c>
      <c r="B2689">
        <f>B2665</f>
        <v>2</v>
      </c>
      <c r="C2689" t="str">
        <v>Kait Horizontal Tump.</v>
      </c>
      <c r="D2689">
        <f>VLOOKUP(D2665,'Detail Balok'!$C$10:$BJ$140,46,FALSE)</f>
        <v>0</v>
      </c>
      <c r="E2689" t="str">
        <v>D</v>
      </c>
      <c r="F2689">
        <f>VLOOKUP(D2665,'Detail Balok'!$C$10:$BJ$140,48,FALSE)</f>
        <v>0</v>
      </c>
      <c r="G2689" t="str">
        <v>-</v>
      </c>
      <c r="H2689">
        <f>VLOOKUP(D2665,'Detail Balok'!$C$10:$BJ$140,50,FALSE)</f>
        <v>100</v>
      </c>
      <c r="J2689">
        <f>(D2666-2*F$5)/1000</f>
        <v>0.12</v>
      </c>
      <c r="K2689" t="str">
        <v>+</v>
      </c>
      <c r="L2689">
        <f>IF(D2689=0,2*MAX(6*F2689,75),(D2689-1)*2*MAX(6*F2689,75))/1000</f>
        <v>0.15</v>
      </c>
      <c r="M2689" t="str">
        <v>=</v>
      </c>
      <c r="N2689">
        <f>J2689+L2689</f>
        <v>0.27</v>
      </c>
      <c r="T2689" t="str">
        <v>x</v>
      </c>
      <c r="U2689">
        <f>0.006165*F2689^2</f>
        <v>0</v>
      </c>
      <c r="V2689" t="str">
        <v>x</v>
      </c>
      <c r="W2689">
        <f>W2685</f>
        <v>13</v>
      </c>
      <c r="X2689" t="str">
        <v>x</v>
      </c>
      <c r="Y2689">
        <f>D2675</f>
        <v>0</v>
      </c>
      <c r="Z2689" t="str">
        <v>=</v>
      </c>
      <c r="AA2689">
        <f>N2689*U2689*W2689*Y2689</f>
        <v>0</v>
      </c>
    </row>
    <row r="2690">
      <c r="A2690" t="str">
        <f>A2665</f>
        <v>Lantai 2</v>
      </c>
      <c r="B2690">
        <f>B2665</f>
        <v>2</v>
      </c>
      <c r="C2690" t="str">
        <v>Kait Horizontal Lap.</v>
      </c>
      <c r="D2690">
        <f>VLOOKUP(D2665,'Detail Balok'!$C$10:$BJ$140,51,FALSE)</f>
        <v>0</v>
      </c>
      <c r="E2690" t="str">
        <v>D</v>
      </c>
      <c r="F2690">
        <f>VLOOKUP(D2665,'Detail Balok'!$C$10:$BJ$140,53,FALSE)</f>
        <v>0</v>
      </c>
      <c r="G2690" t="str">
        <v>-</v>
      </c>
      <c r="H2690">
        <f>VLOOKUP(D2665,'Detail Balok'!$C$10:$BJ$140,55,FALSE)</f>
        <v>100</v>
      </c>
      <c r="J2690">
        <f>(D2666-2*F$5)/1000</f>
        <v>0.12</v>
      </c>
      <c r="K2690" t="str">
        <v>+</v>
      </c>
      <c r="L2690">
        <f>IF(D2690=0,2*MAX(6*F2690,75),(D2690-1)*2*MAX(6*F2690,75))/1000</f>
        <v>0.15</v>
      </c>
      <c r="M2690" t="str">
        <v>=</v>
      </c>
      <c r="N2690">
        <f>J2690+L2690</f>
        <v>0.27</v>
      </c>
      <c r="T2690" t="str">
        <v>x</v>
      </c>
      <c r="U2690">
        <f>0.006165*F2690^2</f>
        <v>0</v>
      </c>
      <c r="V2690" t="str">
        <v>x</v>
      </c>
      <c r="W2690">
        <f>W2686</f>
        <v>12</v>
      </c>
      <c r="X2690" t="str">
        <v>x</v>
      </c>
      <c r="Y2690">
        <f>D2675</f>
        <v>0</v>
      </c>
      <c r="Z2690" t="str">
        <v>=</v>
      </c>
      <c r="AA2690">
        <f>N2690*U2690*W2690*Y2690</f>
        <v>0</v>
      </c>
    </row>
    <row r="2691">
      <c r="A2691" t="str">
        <f>A2665</f>
        <v>Lantai 2</v>
      </c>
      <c r="B2691">
        <f>B2665</f>
        <v>2</v>
      </c>
      <c r="C2691" t="str">
        <v>Kait Horizontal Tump.</v>
      </c>
      <c r="D2691">
        <f>VLOOKUP(D2665,'Detail Balok'!$C$10:$BJ$140,56,FALSE)</f>
        <v>0</v>
      </c>
      <c r="E2691" t="str">
        <v>D</v>
      </c>
      <c r="F2691">
        <f>VLOOKUP(D2665,'Detail Balok'!$C$10:$BJ$140,58,FALSE)</f>
        <v>0</v>
      </c>
      <c r="G2691" t="str">
        <v>-</v>
      </c>
      <c r="H2691">
        <f>VLOOKUP(D2665,'Detail Balok'!$C$10:$BJ$140,60,FALSE)</f>
        <v>100</v>
      </c>
      <c r="J2691">
        <f>(D2666-2*F$5)/1000</f>
        <v>0.12</v>
      </c>
      <c r="K2691" t="str">
        <v>+</v>
      </c>
      <c r="L2691">
        <f>IF(D2691=0,2*MAX(6*F2691,75),(D2691-1)*2*MAX(6*F2691,75))/1000</f>
        <v>0.15</v>
      </c>
      <c r="M2691" t="str">
        <v>=</v>
      </c>
      <c r="N2691">
        <f>J2691+L2691</f>
        <v>0.27</v>
      </c>
      <c r="T2691" t="str">
        <v>x</v>
      </c>
      <c r="U2691">
        <f>0.006165*F2691^2</f>
        <v>0</v>
      </c>
      <c r="V2691" t="str">
        <v>x</v>
      </c>
      <c r="W2691">
        <f>W2687</f>
        <v>13</v>
      </c>
      <c r="X2691" t="str">
        <v>x</v>
      </c>
      <c r="Y2691">
        <f>D2675</f>
        <v>0</v>
      </c>
      <c r="Z2691" t="str">
        <v>=</v>
      </c>
      <c r="AA2691">
        <f>N2691*U2691*W2691*Y2691</f>
        <v>0</v>
      </c>
    </row>
    <row r="2695">
      <c r="A2695" t="str">
        <f>A2665</f>
        <v>Lantai 2</v>
      </c>
      <c r="B2695">
        <f>B2665+1</f>
        <v>3</v>
      </c>
      <c r="C2695" t="str">
        <f>CONCATENATE(A2695," no. ",B2695)</f>
        <v>Lantai 2 no. 3</v>
      </c>
      <c r="D2695" t="str">
        <f>VLOOKUP(C2695,'Data Panjang Balok'!$C$9:$N$254,2,FALSE)</f>
        <v>B4-1</v>
      </c>
    </row>
    <row r="2696">
      <c r="C2696" t="str">
        <v>Dimensi</v>
      </c>
      <c r="D2696">
        <f>VLOOKUP(D2695,'Detail Balok'!$C$10:$AU$140,2,FALSE)</f>
        <v>130</v>
      </c>
      <c r="F2696" t="str">
        <v>x</v>
      </c>
      <c r="G2696">
        <f>VLOOKUP(D2695,'Detail Balok'!$C$10:$AU$140,3,FALSE)</f>
        <v>400</v>
      </c>
    </row>
    <row r="2697">
      <c r="C2697" t="str">
        <v>Panjang as ke as</v>
      </c>
      <c r="D2697">
        <f>VLOOKUP(C2695,'Data Panjang Balok'!$C$9:$N$254,4,FALSE)</f>
        <v>11000</v>
      </c>
    </row>
    <row r="2698">
      <c r="C2698" t="str">
        <v>Panjang netto</v>
      </c>
      <c r="D2698">
        <f>VLOOKUP(C2695,'Data Panjang Balok'!$C$9:$N$254,7,FALSE)</f>
        <v>11000</v>
      </c>
    </row>
    <row r="2699">
      <c r="C2699" t="str">
        <v>Kolom / balok kiri</v>
      </c>
      <c r="D2699">
        <f>VLOOKUP(C2695,'Data Panjang Balok'!$C$9:$N$254,9,FALSE)</f>
        <v>0</v>
      </c>
    </row>
    <row r="2700">
      <c r="C2700" t="str">
        <v>Kolom / balok kanan</v>
      </c>
      <c r="D2700">
        <f>VLOOKUP(C2695,'Data Panjang Balok'!$C$9:$N$254,10,FALSE)</f>
        <v>0</v>
      </c>
    </row>
    <row r="2701">
      <c r="C2701" t="str">
        <v>Jumlah</v>
      </c>
      <c r="D2701">
        <f>VLOOKUP(C2695,'Data Panjang Balok'!$C$9:$N$254,3,FALSE)</f>
        <v>1</v>
      </c>
    </row>
    <row r="2702">
      <c r="A2702" t="str">
        <f>A2695</f>
        <v>Lantai 2</v>
      </c>
      <c r="B2702">
        <f>B2695</f>
        <v>3</v>
      </c>
      <c r="C2702" t="str">
        <v>Tul Atas Tumpuan</v>
      </c>
      <c r="D2702">
        <f>VLOOKUP(D2695,'Detail Balok'!$C$10:$AU$140,4,FALSE)</f>
        <v>2</v>
      </c>
      <c r="E2702" t="str">
        <v>D</v>
      </c>
      <c r="F2702">
        <f>VLOOKUP(D2695,'Detail Balok'!$C$10:$AU$140,6,FALSE)</f>
        <v>13</v>
      </c>
      <c r="I2702" t="str">
        <v>(</v>
      </c>
      <c r="J2702">
        <f>+D2697/4/1000</f>
        <v>2.75</v>
      </c>
      <c r="K2702" t="str">
        <v>+</v>
      </c>
      <c r="L2702">
        <f>MAX(VLOOKUP(F2702,N$6:P$15,3,FALSE)/1000,2/3*D2699/1000)+F$16*F2702/1000</f>
        <v>0.156</v>
      </c>
      <c r="M2702" t="str">
        <v>=</v>
      </c>
      <c r="N2702">
        <f>J2702+L2702</f>
        <v>2.906</v>
      </c>
      <c r="O2702" t="str">
        <v>+</v>
      </c>
      <c r="P2702">
        <f>D2702-D2703</f>
        <v>0</v>
      </c>
      <c r="Q2702" t="str">
        <v>x</v>
      </c>
      <c r="R2702">
        <f>IF(P2702&gt;0,$F$18*F2702/1000,0)</f>
        <v>0</v>
      </c>
      <c r="S2702" t="str">
        <v>)</v>
      </c>
      <c r="T2702" t="str">
        <v>x</v>
      </c>
      <c r="U2702">
        <f>0.006165*F2702^2</f>
        <v>1.041885</v>
      </c>
      <c r="X2702" t="str">
        <v>x</v>
      </c>
      <c r="Y2702">
        <f>D2701</f>
        <v>1</v>
      </c>
      <c r="Z2702" t="str">
        <v>=</v>
      </c>
      <c r="AA2702">
        <f>IF(AA2705=0,(D2702*N2702+P2702*R2702)*U2702*Y2702,0)</f>
        <v>0</v>
      </c>
    </row>
    <row r="2703">
      <c r="A2703" t="str">
        <f>A2695</f>
        <v>Lantai 2</v>
      </c>
      <c r="B2703">
        <f>B2695</f>
        <v>3</v>
      </c>
      <c r="C2703" t="str">
        <v>Tul Atas Lapangan</v>
      </c>
      <c r="D2703">
        <f>VLOOKUP(D2695,'Detail Balok'!$C$10:$AU$140,7,FALSE)</f>
        <v>2</v>
      </c>
      <c r="E2703" t="str">
        <v>D</v>
      </c>
      <c r="F2703">
        <f>VLOOKUP(D2695,'Detail Balok'!$C$10:$AU$140,9,FALSE)</f>
        <v>13</v>
      </c>
      <c r="I2703" t="str">
        <v>(</v>
      </c>
      <c r="J2703">
        <f>+D2697/2/1000</f>
        <v>5.5</v>
      </c>
      <c r="K2703" t="str">
        <v>+</v>
      </c>
      <c r="M2703" t="str">
        <v>=</v>
      </c>
      <c r="N2703">
        <f>J2703+L2703</f>
        <v>5.5</v>
      </c>
      <c r="O2703" t="str">
        <v>+</v>
      </c>
      <c r="P2703">
        <f>MAX(D2703-D2702,D2703-D2704)</f>
        <v>0</v>
      </c>
      <c r="Q2703" t="str">
        <v>x</v>
      </c>
      <c r="R2703">
        <f>IF(P2703&gt;0,2*(1-2*$F$19-1/2)*D2698/1000,0)</f>
        <v>0</v>
      </c>
      <c r="S2703" t="str">
        <v>)</v>
      </c>
      <c r="T2703" t="str">
        <v>x</v>
      </c>
      <c r="U2703">
        <f>0.006165*F2703^2</f>
        <v>1.041885</v>
      </c>
      <c r="X2703" t="str">
        <v>x</v>
      </c>
      <c r="Y2703">
        <f>D2701</f>
        <v>1</v>
      </c>
      <c r="Z2703" t="str">
        <v>=</v>
      </c>
      <c r="AA2703">
        <f>IF(AA2705=0,(D2703*N2703+P2703*R2703)*U2703*Y2703,0)</f>
        <v>0</v>
      </c>
    </row>
    <row r="2704">
      <c r="A2704" t="str">
        <f>A2695</f>
        <v>Lantai 2</v>
      </c>
      <c r="B2704">
        <f>B2695</f>
        <v>3</v>
      </c>
      <c r="C2704" t="str">
        <v>Tul Atas Tumpuan</v>
      </c>
      <c r="D2704">
        <f>VLOOKUP(D2695,'Detail Balok'!$C$10:$AU$140,10,FALSE)</f>
        <v>2</v>
      </c>
      <c r="E2704" t="str">
        <v>D</v>
      </c>
      <c r="F2704">
        <f>VLOOKUP(D2695,'Detail Balok'!$C$10:$AU$140,12,FALSE)</f>
        <v>13</v>
      </c>
      <c r="I2704" t="str">
        <v>(</v>
      </c>
      <c r="J2704">
        <f>+D2697/4/1000</f>
        <v>2.75</v>
      </c>
      <c r="K2704" t="str">
        <v>+</v>
      </c>
      <c r="L2704">
        <f>MAX(VLOOKUP(F2704,N$6:P$15,3,FALSE)/1000,2/3*D2699/1000)+F$16*F2704/1000</f>
        <v>0.156</v>
      </c>
      <c r="M2704" t="str">
        <v>=</v>
      </c>
      <c r="N2704">
        <f>J2704+L2704</f>
        <v>2.906</v>
      </c>
      <c r="O2704" t="str">
        <v>+</v>
      </c>
      <c r="P2704">
        <f>D2704-D2703</f>
        <v>0</v>
      </c>
      <c r="Q2704" t="str">
        <v>x</v>
      </c>
      <c r="R2704">
        <f>IF(P2704&gt;0,$F$18*F2704/1000,0)</f>
        <v>0</v>
      </c>
      <c r="S2704" t="str">
        <v>)</v>
      </c>
      <c r="T2704" t="str">
        <v>x</v>
      </c>
      <c r="U2704">
        <f>0.006165*F2704^2</f>
        <v>1.041885</v>
      </c>
      <c r="X2704" t="str">
        <v>x</v>
      </c>
      <c r="Y2704">
        <f>D2701</f>
        <v>1</v>
      </c>
      <c r="Z2704" t="str">
        <v>=</v>
      </c>
      <c r="AA2704">
        <f>IF(AA2705=0,(D2704*N2704+P2704*R2704)*U2704*Y2704,0)</f>
        <v>0</v>
      </c>
    </row>
    <row r="2705">
      <c r="A2705" t="str">
        <f>A2695</f>
        <v>Lantai 2</v>
      </c>
      <c r="B2705">
        <f>B2695</f>
        <v>3</v>
      </c>
      <c r="D2705">
        <f>IF(AND(D2702=D2703,D2703=D2704,D2702=D2704),D2702,0)</f>
        <v>2</v>
      </c>
      <c r="E2705" t="str">
        <v>D</v>
      </c>
      <c r="F2705">
        <f>IF(AND(F2702=F2703,F2702=F2704,F2703=F2704),F2702,0)</f>
        <v>13</v>
      </c>
      <c r="L2705" t="str">
        <v>Total panjang per balok</v>
      </c>
      <c r="M2705" t="str">
        <v>=</v>
      </c>
      <c r="N2705">
        <f>IF(AND(D2702=D2703,D2702=D2704,D2703=D2704,F2702=F2703,F2702=F2704,F2703=F2704),SUM(N2702:N2704),0)</f>
        <v>11.312000000000001</v>
      </c>
      <c r="O2705" t="str">
        <v>+</v>
      </c>
      <c r="P2705">
        <f>IF(N2705&gt;12,ROUNDDOWN(N2705/12,0),0)</f>
        <v>0</v>
      </c>
      <c r="Q2705" t="str">
        <v>x</v>
      </c>
      <c r="R2705">
        <f>IF(P2705&gt;0,MAX(VLOOKUP(F2705,$D$6:$G$15,3,FALSE),600),0)/1000</f>
        <v>0</v>
      </c>
      <c r="T2705" t="str">
        <v>x</v>
      </c>
      <c r="U2705">
        <f>U2704</f>
        <v>1.041885</v>
      </c>
      <c r="V2705" t="str">
        <v>x</v>
      </c>
      <c r="W2705">
        <f>D2705</f>
        <v>2</v>
      </c>
      <c r="X2705" t="str">
        <v>x</v>
      </c>
      <c r="Y2705">
        <f>Y2704</f>
        <v>1</v>
      </c>
      <c r="Z2705" t="str">
        <v>=</v>
      </c>
      <c r="AA2705">
        <f>(N2705+P2705*R2705/1000)*U2705*W2705*Y2705</f>
        <v>23.57160624</v>
      </c>
    </row>
    <row r="2707">
      <c r="A2707" t="str">
        <f>A2695</f>
        <v>Lantai 2</v>
      </c>
      <c r="B2707">
        <f>B2695</f>
        <v>3</v>
      </c>
      <c r="C2707" t="str">
        <v>Tul Peminggang</v>
      </c>
      <c r="D2707">
        <f>VLOOKUP(D2695,'Detail Balok'!$C$10:$AU$140,13,FALSE)</f>
        <v>0</v>
      </c>
      <c r="E2707" t="str">
        <v>D</v>
      </c>
      <c r="F2707">
        <f>VLOOKUP(D2695,'Detail Balok'!$C$10:$AU$140,15,FALSE)</f>
        <v>8</v>
      </c>
      <c r="J2707">
        <f>+D2697/1000</f>
        <v>11</v>
      </c>
      <c r="K2707" t="str">
        <v>+</v>
      </c>
      <c r="L2707">
        <f>2*$F$16*F2707/1000</f>
        <v>0.192</v>
      </c>
      <c r="M2707" t="str">
        <v>=</v>
      </c>
      <c r="N2707">
        <f>J2707+L2707</f>
        <v>11.192</v>
      </c>
      <c r="O2707" t="str">
        <v>+</v>
      </c>
      <c r="P2707">
        <f>IF(N2707&gt;12,ROUNDDOWN(N2707/12,0),0)</f>
        <v>0</v>
      </c>
      <c r="Q2707" t="str">
        <v>x</v>
      </c>
      <c r="R2707">
        <f>IF(P2707&gt;0,MAX(VLOOKUP(F2707,$D$6:$G$15,3,FALSE),600),0)/1000</f>
        <v>0</v>
      </c>
      <c r="T2707" t="str">
        <v>x</v>
      </c>
      <c r="U2707">
        <f>0.006165*F2707^2</f>
        <v>0.39456</v>
      </c>
      <c r="V2707" t="str">
        <v>x</v>
      </c>
      <c r="W2707">
        <f>+D2707</f>
        <v>0</v>
      </c>
      <c r="X2707" t="str">
        <v>x</v>
      </c>
      <c r="Y2707">
        <f>D2701</f>
        <v>1</v>
      </c>
      <c r="Z2707" t="str">
        <v>=</v>
      </c>
      <c r="AA2707">
        <f>(N2707+P2707*R2707/1000)*U2707*W2707*Y2707</f>
        <v>0</v>
      </c>
    </row>
    <row r="2710">
      <c r="A2710" t="str">
        <f>A2695</f>
        <v>Lantai 2</v>
      </c>
      <c r="B2710">
        <f>B2695</f>
        <v>3</v>
      </c>
      <c r="C2710" t="str">
        <v>Tul Bawah Tumpuan</v>
      </c>
      <c r="D2710">
        <f>VLOOKUP(D2695,'Detail Balok'!$C$10:$AU$140,22,FALSE)</f>
        <v>2</v>
      </c>
      <c r="E2710" t="str">
        <v>D</v>
      </c>
      <c r="F2710">
        <f>VLOOKUP(D2695,'Detail Balok'!$C$10:$AU$140,24,FALSE)</f>
        <v>13</v>
      </c>
      <c r="I2710" t="str">
        <v>(</v>
      </c>
      <c r="J2710">
        <f>+J2702</f>
        <v>2.75</v>
      </c>
      <c r="K2710" t="str">
        <v>+</v>
      </c>
      <c r="L2710">
        <f>MAX(VLOOKUP(F2710,N$6:P$15,3,FALSE)/1000,2/3*D2700/1000)+F$16*F2710/1000</f>
        <v>0.156</v>
      </c>
      <c r="M2710" t="str">
        <v>=</v>
      </c>
      <c r="N2710">
        <f>J2710+L2710</f>
        <v>2.906</v>
      </c>
      <c r="O2710" t="str">
        <v>+</v>
      </c>
      <c r="P2710">
        <f>D2710-D2711</f>
        <v>0</v>
      </c>
      <c r="Q2710" t="str">
        <v>x</v>
      </c>
      <c r="R2710">
        <f>IF(P2710&gt;0,$F$18*F2710/1000,0)</f>
        <v>0</v>
      </c>
      <c r="S2710" t="str">
        <v>)</v>
      </c>
      <c r="T2710" t="str">
        <v>x</v>
      </c>
      <c r="U2710">
        <f>0.006165*F2710^2</f>
        <v>1.041885</v>
      </c>
      <c r="X2710" t="str">
        <v>x</v>
      </c>
      <c r="Y2710">
        <f>D2701</f>
        <v>1</v>
      </c>
      <c r="Z2710" t="str">
        <v>=</v>
      </c>
      <c r="AA2710">
        <f>IF(AA2713=0,(D2710*N2710+P2710*R2710)*U2710*Y2710,0)</f>
        <v>0</v>
      </c>
    </row>
    <row r="2711">
      <c r="A2711" t="str">
        <f>A2695</f>
        <v>Lantai 2</v>
      </c>
      <c r="B2711">
        <f>B2695</f>
        <v>3</v>
      </c>
      <c r="C2711" t="str">
        <v>Tul Bawah Lapangan</v>
      </c>
      <c r="D2711">
        <f>VLOOKUP(D2695,'Detail Balok'!$C$10:$AU$140,25,FALSE)</f>
        <v>2</v>
      </c>
      <c r="E2711" t="str">
        <v>D</v>
      </c>
      <c r="F2711">
        <f>VLOOKUP(D2695,'Detail Balok'!$C$10:$AU$140,27,FALSE)</f>
        <v>13</v>
      </c>
      <c r="I2711" t="str">
        <v>(</v>
      </c>
      <c r="J2711">
        <f>+J2703</f>
        <v>5.5</v>
      </c>
      <c r="K2711" t="str">
        <v>+</v>
      </c>
      <c r="M2711" t="str">
        <v>=</v>
      </c>
      <c r="N2711">
        <f>J2711+L2711</f>
        <v>5.5</v>
      </c>
      <c r="O2711" t="str">
        <v>+</v>
      </c>
      <c r="P2711">
        <f>MAX(D2711-D2710,D2711-D2712)</f>
        <v>0</v>
      </c>
      <c r="Q2711" t="str">
        <v>x</v>
      </c>
      <c r="R2711">
        <f>IF(P2711&gt;0,2*(1-2*$F$19-1/2)*D2698/1000,0)</f>
        <v>0</v>
      </c>
      <c r="S2711" t="str">
        <v>)</v>
      </c>
      <c r="T2711" t="str">
        <v>x</v>
      </c>
      <c r="U2711">
        <f>0.006165*F2711^2</f>
        <v>1.041885</v>
      </c>
      <c r="X2711" t="str">
        <v>x</v>
      </c>
      <c r="Y2711">
        <f>D2701</f>
        <v>1</v>
      </c>
      <c r="Z2711" t="str">
        <v>=</v>
      </c>
      <c r="AA2711">
        <f>IF(AA2713=0,(D2711*N2711+P2711*R2711)*U2711*Y2711,0)</f>
        <v>0</v>
      </c>
    </row>
    <row r="2712">
      <c r="A2712" t="str">
        <f>A2695</f>
        <v>Lantai 2</v>
      </c>
      <c r="B2712">
        <f>B2695</f>
        <v>3</v>
      </c>
      <c r="C2712" t="str">
        <v>Tul Bawah Tumpuan</v>
      </c>
      <c r="D2712">
        <f>VLOOKUP(D2695,'Detail Balok'!$C$10:$AU$140,28,FALSE)</f>
        <v>2</v>
      </c>
      <c r="E2712" t="str">
        <v>D</v>
      </c>
      <c r="F2712">
        <f>VLOOKUP(D2695,'Detail Balok'!$C$10:$AU$140,30,FALSE)</f>
        <v>13</v>
      </c>
      <c r="I2712" t="str">
        <v>(</v>
      </c>
      <c r="J2712">
        <f>+J2704</f>
        <v>2.75</v>
      </c>
      <c r="K2712" t="str">
        <v>+</v>
      </c>
      <c r="L2712">
        <f>MAX(VLOOKUP(F2712,N$6:P$15,3,FALSE)/1000,2/3*D2700/1000)+F$16*F2712/1000</f>
        <v>0.156</v>
      </c>
      <c r="M2712" t="str">
        <v>=</v>
      </c>
      <c r="N2712">
        <f>J2712+L2712</f>
        <v>2.906</v>
      </c>
      <c r="O2712" t="str">
        <v>+</v>
      </c>
      <c r="P2712">
        <f>D2712-D2711</f>
        <v>0</v>
      </c>
      <c r="Q2712" t="str">
        <v>x</v>
      </c>
      <c r="R2712">
        <f>IF(P2712&gt;0,$F$18*F2712/1000,0)</f>
        <v>0</v>
      </c>
      <c r="S2712" t="str">
        <v>)</v>
      </c>
      <c r="T2712" t="str">
        <v>x</v>
      </c>
      <c r="U2712">
        <f>0.006165*F2712^2</f>
        <v>1.041885</v>
      </c>
      <c r="X2712" t="str">
        <v>x</v>
      </c>
      <c r="Y2712">
        <f>D2701</f>
        <v>1</v>
      </c>
      <c r="Z2712" t="str">
        <v>=</v>
      </c>
      <c r="AA2712">
        <f>IF(AA2713=0,(D2712*N2712+P2712*R2712)*U2712*Y2712,0)</f>
        <v>0</v>
      </c>
    </row>
    <row r="2713">
      <c r="A2713" t="str">
        <f>A2695</f>
        <v>Lantai 2</v>
      </c>
      <c r="B2713">
        <f>B2695</f>
        <v>3</v>
      </c>
      <c r="D2713">
        <f>IF(AND(D2710=D2711,D2711=D2712,D2710=D2712),D2710,0)</f>
        <v>2</v>
      </c>
      <c r="E2713" t="str">
        <v>D</v>
      </c>
      <c r="F2713">
        <f>IF(AND(F2710=F2711,F2710=F2712,F2711=F2712),F2710,0)</f>
        <v>13</v>
      </c>
      <c r="L2713" t="str">
        <v>Total panjang per balok</v>
      </c>
      <c r="M2713" t="str">
        <v>=</v>
      </c>
      <c r="N2713">
        <f>IF(AND(D2710=D2711,D2710=D2712,D2711=D2712,F2710=F2711,F2710=F2712,F2711=F2712),SUM(N2710:N2712),0)</f>
        <v>11.312000000000001</v>
      </c>
      <c r="O2713" t="str">
        <v>+</v>
      </c>
      <c r="P2713">
        <f>IF(N2713&gt;12,ROUNDDOWN(N2713/12,0),0)</f>
        <v>0</v>
      </c>
      <c r="Q2713" t="str">
        <v>x</v>
      </c>
      <c r="R2713">
        <f>IF(P2713&gt;0,MAX(VLOOKUP(F2713,$D$6:$G$15,3,FALSE),600),0)/1000</f>
        <v>0</v>
      </c>
      <c r="T2713" t="str">
        <v>x</v>
      </c>
      <c r="U2713">
        <f>U2712</f>
        <v>1.041885</v>
      </c>
      <c r="V2713" t="str">
        <v>x</v>
      </c>
      <c r="W2713">
        <f>D2713</f>
        <v>2</v>
      </c>
      <c r="X2713" t="str">
        <v>x</v>
      </c>
      <c r="Y2713">
        <f>Y2712</f>
        <v>1</v>
      </c>
      <c r="Z2713" t="str">
        <v>=</v>
      </c>
      <c r="AA2713">
        <f>(N2713+P2713*R2713/1000)*U2713*W2713*Y2713</f>
        <v>23.57160624</v>
      </c>
    </row>
    <row r="2715">
      <c r="A2715" t="str">
        <f>A2695</f>
        <v>Lantai 2</v>
      </c>
      <c r="B2715">
        <f>B2695</f>
        <v>3</v>
      </c>
      <c r="C2715" t="str">
        <v>Sengkang Tumpuan</v>
      </c>
      <c r="D2715">
        <f>VLOOKUP(D2695,'Detail Balok'!$C$10:$AU$140,31,FALSE)</f>
        <v>0</v>
      </c>
      <c r="E2715" t="str">
        <v>D</v>
      </c>
      <c r="F2715">
        <f>VLOOKUP(D2695,'Detail Balok'!$C$10:$AU$140,33,FALSE)</f>
        <v>8</v>
      </c>
      <c r="G2715" t="str">
        <v>-</v>
      </c>
      <c r="H2715">
        <f>VLOOKUP(D2695,'Detail Balok'!$C$10:$AU$140,35,FALSE)</f>
        <v>150</v>
      </c>
      <c r="J2715">
        <f>(IF(D2715=0,(2*(D2696+G2696))-(F$5*8),IF(D2715=3,(2*(D2696+G2696))-(F$5*8)+(G2696-2*F$5),IF(D2715=4,(2*(D2696+G2696))-(F$5*8)+2*(G2696-2*F$5)))))/1000</f>
        <v>0.74</v>
      </c>
      <c r="K2715" t="str">
        <v>+</v>
      </c>
      <c r="L2715">
        <f>IF(D2715=0,2*MAX(6*F2715,75),(D2715-1)*2*MAX(6*F2715,75))/1000</f>
        <v>0.15</v>
      </c>
      <c r="M2715" t="str">
        <v>=</v>
      </c>
      <c r="N2715">
        <f>J2715+L2715</f>
        <v>0.89</v>
      </c>
      <c r="T2715" t="str">
        <v>x</v>
      </c>
      <c r="U2715">
        <f>0.006165*F2715^2</f>
        <v>0.39456</v>
      </c>
      <c r="V2715" t="str">
        <v>x</v>
      </c>
      <c r="W2715">
        <f>IF(D2698&gt;4*G2696,ROUND(MAX(D2698/4,2*G2696)/H2715,0)+1,ROUND(D2698/H2715,0)+1)</f>
        <v>19</v>
      </c>
      <c r="X2715" t="str">
        <v>x</v>
      </c>
      <c r="Y2715">
        <f>D2701</f>
        <v>1</v>
      </c>
      <c r="Z2715" t="str">
        <v>=</v>
      </c>
      <c r="AA2715">
        <f>N2715*U2715*W2715*Y2715</f>
        <v>6.672009600000001</v>
      </c>
    </row>
    <row r="2716">
      <c r="A2716" t="str">
        <f>A2695</f>
        <v>Lantai 2</v>
      </c>
      <c r="B2716">
        <f>B2695</f>
        <v>3</v>
      </c>
      <c r="C2716" t="str">
        <v>Sengkang Lapangan</v>
      </c>
      <c r="D2716">
        <f>VLOOKUP(D2695,'Detail Balok'!$C$10:$AU$140,36,FALSE)</f>
        <v>0</v>
      </c>
      <c r="E2716" t="str">
        <v>D</v>
      </c>
      <c r="F2716">
        <f>VLOOKUP(D2695,'Detail Balok'!$C$10:$AU$140,38,FALSE)</f>
        <v>8</v>
      </c>
      <c r="G2716" t="str">
        <v>-</v>
      </c>
      <c r="H2716">
        <f>VLOOKUP(D2695,'Detail Balok'!$C$10:$AU$140,40,FALSE)</f>
        <v>200</v>
      </c>
      <c r="J2716">
        <f>(IF(D2716=0,(2*(D2696+G2696))-(F$5*8),IF(D2716=3,(2*(D2696+G2696))-(F$5*8)+(G2696-2*F$5),IF(D2716=4,(2*(D2696+G2696))-(F$5*8)+2*(G2696-2*F$5)))))/1000</f>
        <v>0.74</v>
      </c>
      <c r="K2716" t="str">
        <v>+</v>
      </c>
      <c r="L2716">
        <f>IF(D2716=0,2*MAX(6*F2716,75),(D2716-1)*2*MAX(6*F2716,75))/1000</f>
        <v>0.15</v>
      </c>
      <c r="M2716" t="str">
        <v>=</v>
      </c>
      <c r="N2716">
        <f>J2716+L2716</f>
        <v>0.89</v>
      </c>
      <c r="T2716" t="str">
        <v>x</v>
      </c>
      <c r="U2716">
        <f>0.006165*F2716^2</f>
        <v>0.39456</v>
      </c>
      <c r="V2716" t="str">
        <v>x</v>
      </c>
      <c r="W2716">
        <f>IF(D2698-MAX(D2698/4,2*G2696)*2&gt;0,ROUND((D2698-MAX(D2698/4,2*G2696)*2)/H2716,0),0)</f>
        <v>28</v>
      </c>
      <c r="X2716" t="str">
        <v>x</v>
      </c>
      <c r="Y2716">
        <f>D2701</f>
        <v>1</v>
      </c>
      <c r="Z2716" t="str">
        <v>=</v>
      </c>
      <c r="AA2716">
        <f>N2716*U2716*W2716*Y2716</f>
        <v>9.8324352</v>
      </c>
    </row>
    <row r="2717">
      <c r="A2717" t="str">
        <f>A2695</f>
        <v>Lantai 2</v>
      </c>
      <c r="B2717">
        <f>B2695</f>
        <v>3</v>
      </c>
      <c r="C2717" t="str">
        <v>Sengkang Tumpuan</v>
      </c>
      <c r="D2717">
        <f>VLOOKUP(D2695,'Detail Balok'!$C$10:$AU$140,41,FALSE)</f>
        <v>0</v>
      </c>
      <c r="E2717" t="str">
        <v>D</v>
      </c>
      <c r="F2717">
        <f>VLOOKUP(D2695,'Detail Balok'!$C$10:$AU$140,43,FALSE)</f>
        <v>8</v>
      </c>
      <c r="G2717" t="str">
        <v>-</v>
      </c>
      <c r="H2717">
        <f>VLOOKUP(D2695,'Detail Balok'!$C$10:$AU$140,45,FALSE)</f>
        <v>150</v>
      </c>
      <c r="J2717">
        <f>(IF(D2717=0,(2*(D2696+G2696))-(F$5*8),IF(D2717=3,(2*(D2696+G2696))-(F$5*8)+(G2696-2*F$5),IF(D2717=4,(2*(D2696+G2696))-(F$5*8)+2*(G2696-2*F$5)))))/1000</f>
        <v>0.74</v>
      </c>
      <c r="K2717" t="str">
        <v>+</v>
      </c>
      <c r="L2717">
        <f>IF(D2717=0,2*MAX(6*F2717,75),(D2717-1)*2*MAX(6*F2717,75))/1000</f>
        <v>0.15</v>
      </c>
      <c r="M2717" t="str">
        <v>=</v>
      </c>
      <c r="N2717">
        <f>J2717+L2717</f>
        <v>0.89</v>
      </c>
      <c r="T2717" t="str">
        <v>x</v>
      </c>
      <c r="U2717">
        <f>0.006165*F2717^2</f>
        <v>0.39456</v>
      </c>
      <c r="V2717" t="str">
        <v>x</v>
      </c>
      <c r="W2717">
        <f>IF(D2698&gt;4*G2696,ROUND(MAX(D2698/4,2*G2696)/H2717,0)+1,0)</f>
        <v>19</v>
      </c>
      <c r="X2717" t="str">
        <v>x</v>
      </c>
      <c r="Y2717">
        <f>D2701</f>
        <v>1</v>
      </c>
      <c r="Z2717" t="str">
        <v>=</v>
      </c>
      <c r="AA2717">
        <f>N2717*U2717*W2717*Y2717</f>
        <v>6.672009600000001</v>
      </c>
    </row>
    <row r="2719">
      <c r="A2719" t="str">
        <f>A2695</f>
        <v>Lantai 2</v>
      </c>
      <c r="B2719">
        <f>B2695</f>
        <v>3</v>
      </c>
      <c r="C2719" t="str">
        <v>Kait Horizontal Tump.</v>
      </c>
      <c r="D2719">
        <f>VLOOKUP(D2695,'Detail Balok'!$C$10:$BJ$140,46,FALSE)</f>
        <v>0</v>
      </c>
      <c r="E2719" t="str">
        <v>D</v>
      </c>
      <c r="F2719">
        <f>VLOOKUP(D2695,'Detail Balok'!$C$10:$BJ$140,48,FALSE)</f>
        <v>0</v>
      </c>
      <c r="G2719" t="str">
        <v>-</v>
      </c>
      <c r="H2719">
        <f>VLOOKUP(D2695,'Detail Balok'!$C$10:$BJ$140,50,FALSE)</f>
        <v>100</v>
      </c>
      <c r="J2719">
        <f>(D2696-2*F$5)/1000</f>
        <v>0.05</v>
      </c>
      <c r="K2719" t="str">
        <v>+</v>
      </c>
      <c r="L2719">
        <f>IF(D2719=0,2*MAX(6*F2719,75),(D2719-1)*2*MAX(6*F2719,75))/1000</f>
        <v>0.15</v>
      </c>
      <c r="M2719" t="str">
        <v>=</v>
      </c>
      <c r="N2719">
        <f>J2719+L2719</f>
        <v>0.2</v>
      </c>
      <c r="T2719" t="str">
        <v>x</v>
      </c>
      <c r="U2719">
        <f>0.006165*F2719^2</f>
        <v>0</v>
      </c>
      <c r="V2719" t="str">
        <v>x</v>
      </c>
      <c r="W2719">
        <f>W2715</f>
        <v>19</v>
      </c>
      <c r="X2719" t="str">
        <v>x</v>
      </c>
      <c r="Y2719">
        <f>D2705</f>
        <v>2</v>
      </c>
      <c r="Z2719" t="str">
        <v>=</v>
      </c>
      <c r="AA2719">
        <f>N2719*U2719*W2719*Y2719</f>
        <v>0</v>
      </c>
    </row>
    <row r="2720">
      <c r="A2720" t="str">
        <f>A2695</f>
        <v>Lantai 2</v>
      </c>
      <c r="B2720">
        <f>B2695</f>
        <v>3</v>
      </c>
      <c r="C2720" t="str">
        <v>Kait Horizontal Lap.</v>
      </c>
      <c r="D2720">
        <f>VLOOKUP(D2695,'Detail Balok'!$C$10:$BJ$140,51,FALSE)</f>
        <v>0</v>
      </c>
      <c r="E2720" t="str">
        <v>D</v>
      </c>
      <c r="F2720">
        <f>VLOOKUP(D2695,'Detail Balok'!$C$10:$BJ$140,53,FALSE)</f>
        <v>0</v>
      </c>
      <c r="G2720" t="str">
        <v>-</v>
      </c>
      <c r="H2720">
        <f>VLOOKUP(D2695,'Detail Balok'!$C$10:$BJ$140,55,FALSE)</f>
        <v>100</v>
      </c>
      <c r="J2720">
        <f>(D2696-2*F$5)/1000</f>
        <v>0.05</v>
      </c>
      <c r="K2720" t="str">
        <v>+</v>
      </c>
      <c r="L2720">
        <f>IF(D2720=0,2*MAX(6*F2720,75),(D2720-1)*2*MAX(6*F2720,75))/1000</f>
        <v>0.15</v>
      </c>
      <c r="M2720" t="str">
        <v>=</v>
      </c>
      <c r="N2720">
        <f>J2720+L2720</f>
        <v>0.2</v>
      </c>
      <c r="T2720" t="str">
        <v>x</v>
      </c>
      <c r="U2720">
        <f>0.006165*F2720^2</f>
        <v>0</v>
      </c>
      <c r="V2720" t="str">
        <v>x</v>
      </c>
      <c r="W2720">
        <f>W2716</f>
        <v>28</v>
      </c>
      <c r="X2720" t="str">
        <v>x</v>
      </c>
      <c r="Y2720">
        <f>D2705</f>
        <v>2</v>
      </c>
      <c r="Z2720" t="str">
        <v>=</v>
      </c>
      <c r="AA2720">
        <f>N2720*U2720*W2720*Y2720</f>
        <v>0</v>
      </c>
    </row>
    <row r="2721">
      <c r="A2721" t="str">
        <f>A2695</f>
        <v>Lantai 2</v>
      </c>
      <c r="B2721">
        <f>B2695</f>
        <v>3</v>
      </c>
      <c r="C2721" t="str">
        <v>Kait Horizontal Tump.</v>
      </c>
      <c r="D2721">
        <f>VLOOKUP(D2695,'Detail Balok'!$C$10:$BJ$140,56,FALSE)</f>
        <v>0</v>
      </c>
      <c r="E2721" t="str">
        <v>D</v>
      </c>
      <c r="F2721">
        <f>VLOOKUP(D2695,'Detail Balok'!$C$10:$BJ$140,58,FALSE)</f>
        <v>0</v>
      </c>
      <c r="G2721" t="str">
        <v>-</v>
      </c>
      <c r="H2721">
        <f>VLOOKUP(D2695,'Detail Balok'!$C$10:$BJ$140,60,FALSE)</f>
        <v>100</v>
      </c>
      <c r="J2721">
        <f>(D2696-2*F$5)/1000</f>
        <v>0.05</v>
      </c>
      <c r="K2721" t="str">
        <v>+</v>
      </c>
      <c r="L2721">
        <f>IF(D2721=0,2*MAX(6*F2721,75),(D2721-1)*2*MAX(6*F2721,75))/1000</f>
        <v>0.15</v>
      </c>
      <c r="M2721" t="str">
        <v>=</v>
      </c>
      <c r="N2721">
        <f>J2721+L2721</f>
        <v>0.2</v>
      </c>
      <c r="T2721" t="str">
        <v>x</v>
      </c>
      <c r="U2721">
        <f>0.006165*F2721^2</f>
        <v>0</v>
      </c>
      <c r="V2721" t="str">
        <v>x</v>
      </c>
      <c r="W2721">
        <f>W2717</f>
        <v>19</v>
      </c>
      <c r="X2721" t="str">
        <v>x</v>
      </c>
      <c r="Y2721">
        <f>D2705</f>
        <v>2</v>
      </c>
      <c r="Z2721" t="str">
        <v>=</v>
      </c>
      <c r="AA2721">
        <f>N2721*U2721*W2721*Y2721</f>
        <v>0</v>
      </c>
    </row>
    <row r="2725">
      <c r="A2725" t="str">
        <f>A2695</f>
        <v>Lantai 2</v>
      </c>
      <c r="B2725">
        <f>B2695+1</f>
        <v>4</v>
      </c>
      <c r="C2725" t="str">
        <f>CONCATENATE(A2725," no. ",B2725)</f>
        <v>Lantai 2 no. 4</v>
      </c>
      <c r="D2725" t="str">
        <f>VLOOKUP(C2725,'Data Panjang Balok'!$C$9:$N$254,2,FALSE)</f>
        <v>B25-1</v>
      </c>
    </row>
    <row r="2726">
      <c r="C2726" t="str">
        <v>Dimensi</v>
      </c>
      <c r="D2726">
        <f>VLOOKUP(D2725,'Detail Balok'!$C$10:$AU$140,2,FALSE)</f>
        <v>200</v>
      </c>
      <c r="F2726" t="str">
        <v>x</v>
      </c>
      <c r="G2726">
        <f>VLOOKUP(D2725,'Detail Balok'!$C$10:$AU$140,3,FALSE)</f>
        <v>500</v>
      </c>
    </row>
    <row r="2727">
      <c r="C2727" t="str">
        <v>Panjang as ke as</v>
      </c>
      <c r="D2727">
        <f>VLOOKUP(C2725,'Data Panjang Balok'!$C$9:$N$254,4,FALSE)</f>
        <v>9075</v>
      </c>
    </row>
    <row r="2728">
      <c r="C2728" t="str">
        <v>Panjang netto</v>
      </c>
      <c r="D2728">
        <f>VLOOKUP(C2725,'Data Panjang Balok'!$C$9:$N$254,7,FALSE)</f>
        <v>9075</v>
      </c>
    </row>
    <row r="2729">
      <c r="C2729" t="str">
        <v>Kolom / balok kiri</v>
      </c>
      <c r="D2729">
        <f>VLOOKUP(C2725,'Data Panjang Balok'!$C$9:$N$254,9,FALSE)</f>
        <v>0</v>
      </c>
    </row>
    <row r="2730">
      <c r="C2730" t="str">
        <v>Kolom / balok kanan</v>
      </c>
      <c r="D2730">
        <f>VLOOKUP(C2725,'Data Panjang Balok'!$C$9:$N$254,10,FALSE)</f>
        <v>0</v>
      </c>
    </row>
    <row r="2731">
      <c r="C2731" t="str">
        <v>Jumlah</v>
      </c>
      <c r="D2731">
        <f>VLOOKUP(C2725,'Data Panjang Balok'!$C$9:$N$254,3,FALSE)</f>
        <v>1</v>
      </c>
    </row>
    <row r="2732">
      <c r="A2732" t="str">
        <f>A2725</f>
        <v>Lantai 2</v>
      </c>
      <c r="B2732">
        <f>B2725</f>
        <v>4</v>
      </c>
      <c r="C2732" t="str">
        <v>Tul Atas Tumpuan</v>
      </c>
      <c r="D2732">
        <f>VLOOKUP(D2725,'Detail Balok'!$C$10:$AU$140,4,FALSE)</f>
        <v>4</v>
      </c>
      <c r="E2732" t="str">
        <v>D</v>
      </c>
      <c r="F2732">
        <f>VLOOKUP(D2725,'Detail Balok'!$C$10:$AU$140,6,FALSE)</f>
        <v>16</v>
      </c>
      <c r="I2732" t="str">
        <v>(</v>
      </c>
      <c r="J2732">
        <f>+D2727/4/1000</f>
        <v>2.26875</v>
      </c>
      <c r="K2732" t="str">
        <v>+</v>
      </c>
      <c r="L2732">
        <f>MAX(VLOOKUP(F2732,N$6:P$15,3,FALSE)/1000,2/3*D2729/1000)+F$16*F2732/1000</f>
        <v>0.192</v>
      </c>
      <c r="M2732" t="str">
        <v>=</v>
      </c>
      <c r="N2732">
        <f>J2732+L2732</f>
        <v>2.46075</v>
      </c>
      <c r="O2732" t="str">
        <v>+</v>
      </c>
      <c r="P2732">
        <f>D2732-D2733</f>
        <v>0</v>
      </c>
      <c r="Q2732" t="str">
        <v>x</v>
      </c>
      <c r="R2732">
        <f>IF(P2732&gt;0,$F$18*F2732/1000,0)</f>
        <v>0</v>
      </c>
      <c r="S2732" t="str">
        <v>)</v>
      </c>
      <c r="T2732" t="str">
        <v>x</v>
      </c>
      <c r="U2732">
        <f>0.006165*F2732^2</f>
        <v>1.57824</v>
      </c>
      <c r="X2732" t="str">
        <v>x</v>
      </c>
      <c r="Y2732">
        <f>D2731</f>
        <v>1</v>
      </c>
      <c r="Z2732" t="str">
        <v>=</v>
      </c>
      <c r="AA2732">
        <f>IF(AA2735=0,(D2732*N2732+P2732*R2732)*U2732*Y2732,0)</f>
        <v>0</v>
      </c>
    </row>
    <row r="2733">
      <c r="A2733" t="str">
        <f>A2725</f>
        <v>Lantai 2</v>
      </c>
      <c r="B2733">
        <f>B2725</f>
        <v>4</v>
      </c>
      <c r="C2733" t="str">
        <v>Tul Atas Lapangan</v>
      </c>
      <c r="D2733">
        <f>VLOOKUP(D2725,'Detail Balok'!$C$10:$AU$140,7,FALSE)</f>
        <v>4</v>
      </c>
      <c r="E2733" t="str">
        <v>D</v>
      </c>
      <c r="F2733">
        <f>VLOOKUP(D2725,'Detail Balok'!$C$10:$AU$140,9,FALSE)</f>
        <v>16</v>
      </c>
      <c r="I2733" t="str">
        <v>(</v>
      </c>
      <c r="J2733">
        <f>+D2727/2/1000</f>
        <v>4.5375</v>
      </c>
      <c r="K2733" t="str">
        <v>+</v>
      </c>
      <c r="M2733" t="str">
        <v>=</v>
      </c>
      <c r="N2733">
        <f>J2733+L2733</f>
        <v>4.5375</v>
      </c>
      <c r="O2733" t="str">
        <v>+</v>
      </c>
      <c r="P2733">
        <f>MAX(D2733-D2732,D2733-D2734)</f>
        <v>0</v>
      </c>
      <c r="Q2733" t="str">
        <v>x</v>
      </c>
      <c r="R2733">
        <f>IF(P2733&gt;0,2*(1-2*$F$19-1/2)*D2728/1000,0)</f>
        <v>0</v>
      </c>
      <c r="S2733" t="str">
        <v>)</v>
      </c>
      <c r="T2733" t="str">
        <v>x</v>
      </c>
      <c r="U2733">
        <f>0.006165*F2733^2</f>
        <v>1.57824</v>
      </c>
      <c r="X2733" t="str">
        <v>x</v>
      </c>
      <c r="Y2733">
        <f>D2731</f>
        <v>1</v>
      </c>
      <c r="Z2733" t="str">
        <v>=</v>
      </c>
      <c r="AA2733">
        <f>IF(AA2735=0,(D2733*N2733+P2733*R2733)*U2733*Y2733,0)</f>
        <v>0</v>
      </c>
    </row>
    <row r="2734">
      <c r="A2734" t="str">
        <f>A2725</f>
        <v>Lantai 2</v>
      </c>
      <c r="B2734">
        <f>B2725</f>
        <v>4</v>
      </c>
      <c r="C2734" t="str">
        <v>Tul Atas Tumpuan</v>
      </c>
      <c r="D2734">
        <f>VLOOKUP(D2725,'Detail Balok'!$C$10:$AU$140,10,FALSE)</f>
        <v>4</v>
      </c>
      <c r="E2734" t="str">
        <v>D</v>
      </c>
      <c r="F2734">
        <f>VLOOKUP(D2725,'Detail Balok'!$C$10:$AU$140,12,FALSE)</f>
        <v>16</v>
      </c>
      <c r="I2734" t="str">
        <v>(</v>
      </c>
      <c r="J2734">
        <f>+D2727/4/1000</f>
        <v>2.26875</v>
      </c>
      <c r="K2734" t="str">
        <v>+</v>
      </c>
      <c r="L2734">
        <f>MAX(VLOOKUP(F2734,N$6:P$15,3,FALSE)/1000,2/3*D2729/1000)+F$16*F2734/1000</f>
        <v>0.192</v>
      </c>
      <c r="M2734" t="str">
        <v>=</v>
      </c>
      <c r="N2734">
        <f>J2734+L2734</f>
        <v>2.46075</v>
      </c>
      <c r="O2734" t="str">
        <v>+</v>
      </c>
      <c r="P2734">
        <f>D2734-D2733</f>
        <v>0</v>
      </c>
      <c r="Q2734" t="str">
        <v>x</v>
      </c>
      <c r="R2734">
        <f>IF(P2734&gt;0,$F$18*F2734/1000,0)</f>
        <v>0</v>
      </c>
      <c r="S2734" t="str">
        <v>)</v>
      </c>
      <c r="T2734" t="str">
        <v>x</v>
      </c>
      <c r="U2734">
        <f>0.006165*F2734^2</f>
        <v>1.57824</v>
      </c>
      <c r="X2734" t="str">
        <v>x</v>
      </c>
      <c r="Y2734">
        <f>D2731</f>
        <v>1</v>
      </c>
      <c r="Z2734" t="str">
        <v>=</v>
      </c>
      <c r="AA2734">
        <f>IF(AA2735=0,(D2734*N2734+P2734*R2734)*U2734*Y2734,0)</f>
        <v>0</v>
      </c>
    </row>
    <row r="2735">
      <c r="A2735" t="str">
        <f>A2725</f>
        <v>Lantai 2</v>
      </c>
      <c r="B2735">
        <f>B2725</f>
        <v>4</v>
      </c>
      <c r="D2735">
        <f>IF(AND(D2732=D2733,D2733=D2734,D2732=D2734),D2732,0)</f>
        <v>4</v>
      </c>
      <c r="E2735" t="str">
        <v>D</v>
      </c>
      <c r="F2735">
        <f>IF(AND(F2732=F2733,F2732=F2734,F2733=F2734),F2732,0)</f>
        <v>16</v>
      </c>
      <c r="L2735" t="str">
        <v>Total panjang per balok</v>
      </c>
      <c r="M2735" t="str">
        <v>=</v>
      </c>
      <c r="N2735">
        <f>IF(AND(D2732=D2733,D2732=D2734,D2733=D2734,F2732=F2733,F2732=F2734,F2733=F2734),SUM(N2732:N2734),0)</f>
        <v>9.459</v>
      </c>
      <c r="O2735" t="str">
        <v>+</v>
      </c>
      <c r="P2735">
        <f>IF(N2735&gt;12,ROUNDDOWN(N2735/12,0),0)</f>
        <v>0</v>
      </c>
      <c r="Q2735" t="str">
        <v>x</v>
      </c>
      <c r="R2735">
        <f>IF(P2735&gt;0,MAX(VLOOKUP(F2735,$D$6:$G$15,3,FALSE),600),0)/1000</f>
        <v>0</v>
      </c>
      <c r="T2735" t="str">
        <v>x</v>
      </c>
      <c r="U2735">
        <f>U2734</f>
        <v>1.57824</v>
      </c>
      <c r="V2735" t="str">
        <v>x</v>
      </c>
      <c r="W2735">
        <f>D2735</f>
        <v>4</v>
      </c>
      <c r="X2735" t="str">
        <v>x</v>
      </c>
      <c r="Y2735">
        <f>Y2734</f>
        <v>1</v>
      </c>
      <c r="Z2735" t="str">
        <v>=</v>
      </c>
      <c r="AA2735">
        <f>(N2735+P2735*R2735/1000)*U2735*W2735*Y2735</f>
        <v>59.71428864</v>
      </c>
    </row>
    <row r="2737">
      <c r="A2737" t="str">
        <f>A2725</f>
        <v>Lantai 2</v>
      </c>
      <c r="B2737">
        <f>B2725</f>
        <v>4</v>
      </c>
      <c r="C2737" t="str">
        <v>Tul Peminggang</v>
      </c>
      <c r="D2737">
        <f>VLOOKUP(D2725,'Detail Balok'!$C$10:$AU$140,13,FALSE)</f>
        <v>2</v>
      </c>
      <c r="E2737" t="str">
        <v>D</v>
      </c>
      <c r="F2737">
        <f>VLOOKUP(D2725,'Detail Balok'!$C$10:$AU$140,15,FALSE)</f>
        <v>10</v>
      </c>
      <c r="J2737">
        <f>+D2727/1000</f>
        <v>9.075</v>
      </c>
      <c r="K2737" t="str">
        <v>+</v>
      </c>
      <c r="L2737">
        <f>2*$F$16*F2737/1000</f>
        <v>0.24</v>
      </c>
      <c r="M2737" t="str">
        <v>=</v>
      </c>
      <c r="N2737">
        <f>J2737+L2737</f>
        <v>9.315</v>
      </c>
      <c r="O2737" t="str">
        <v>+</v>
      </c>
      <c r="P2737">
        <f>IF(N2737&gt;12,ROUNDDOWN(N2737/12,0),0)</f>
        <v>0</v>
      </c>
      <c r="Q2737" t="str">
        <v>x</v>
      </c>
      <c r="R2737">
        <f>IF(P2737&gt;0,MAX(VLOOKUP(F2737,$D$6:$G$15,3,FALSE),600),0)/1000</f>
        <v>0</v>
      </c>
      <c r="T2737" t="str">
        <v>x</v>
      </c>
      <c r="U2737">
        <f>0.006165*F2737^2</f>
        <v>0.6165</v>
      </c>
      <c r="V2737" t="str">
        <v>x</v>
      </c>
      <c r="W2737">
        <f>+D2737</f>
        <v>2</v>
      </c>
      <c r="X2737" t="str">
        <v>x</v>
      </c>
      <c r="Y2737">
        <f>D2731</f>
        <v>1</v>
      </c>
      <c r="Z2737" t="str">
        <v>=</v>
      </c>
      <c r="AA2737">
        <f>(N2737+P2737*R2737/1000)*U2737*W2737*Y2737</f>
        <v>11.485395</v>
      </c>
    </row>
    <row r="2740">
      <c r="A2740" t="str">
        <f>A2725</f>
        <v>Lantai 2</v>
      </c>
      <c r="B2740">
        <f>B2725</f>
        <v>4</v>
      </c>
      <c r="C2740" t="str">
        <v>Tul Bawah Tumpuan</v>
      </c>
      <c r="D2740">
        <f>VLOOKUP(D2725,'Detail Balok'!$C$10:$AU$140,22,FALSE)</f>
        <v>4</v>
      </c>
      <c r="E2740" t="str">
        <v>D</v>
      </c>
      <c r="F2740">
        <f>VLOOKUP(D2725,'Detail Balok'!$C$10:$AU$140,24,FALSE)</f>
        <v>16</v>
      </c>
      <c r="I2740" t="str">
        <v>(</v>
      </c>
      <c r="J2740">
        <f>+J2732</f>
        <v>2.26875</v>
      </c>
      <c r="K2740" t="str">
        <v>+</v>
      </c>
      <c r="L2740">
        <f>MAX(VLOOKUP(F2740,N$6:P$15,3,FALSE)/1000,2/3*D2730/1000)+F$16*F2740/1000</f>
        <v>0.192</v>
      </c>
      <c r="M2740" t="str">
        <v>=</v>
      </c>
      <c r="N2740">
        <f>J2740+L2740</f>
        <v>2.46075</v>
      </c>
      <c r="O2740" t="str">
        <v>+</v>
      </c>
      <c r="P2740">
        <f>D2740-D2741</f>
        <v>0</v>
      </c>
      <c r="Q2740" t="str">
        <v>x</v>
      </c>
      <c r="R2740">
        <f>IF(P2740&gt;0,$F$18*F2740/1000,0)</f>
        <v>0</v>
      </c>
      <c r="S2740" t="str">
        <v>)</v>
      </c>
      <c r="T2740" t="str">
        <v>x</v>
      </c>
      <c r="U2740">
        <f>0.006165*F2740^2</f>
        <v>1.57824</v>
      </c>
      <c r="X2740" t="str">
        <v>x</v>
      </c>
      <c r="Y2740">
        <f>D2731</f>
        <v>1</v>
      </c>
      <c r="Z2740" t="str">
        <v>=</v>
      </c>
      <c r="AA2740">
        <f>IF(AA2743=0,(D2740*N2740+P2740*R2740)*U2740*Y2740,0)</f>
        <v>0</v>
      </c>
    </row>
    <row r="2741">
      <c r="A2741" t="str">
        <f>A2725</f>
        <v>Lantai 2</v>
      </c>
      <c r="B2741">
        <f>B2725</f>
        <v>4</v>
      </c>
      <c r="C2741" t="str">
        <v>Tul Bawah Lapangan</v>
      </c>
      <c r="D2741">
        <f>VLOOKUP(D2725,'Detail Balok'!$C$10:$AU$140,25,FALSE)</f>
        <v>4</v>
      </c>
      <c r="E2741" t="str">
        <v>D</v>
      </c>
      <c r="F2741">
        <f>VLOOKUP(D2725,'Detail Balok'!$C$10:$AU$140,27,FALSE)</f>
        <v>16</v>
      </c>
      <c r="I2741" t="str">
        <v>(</v>
      </c>
      <c r="J2741">
        <f>+J2733</f>
        <v>4.5375</v>
      </c>
      <c r="K2741" t="str">
        <v>+</v>
      </c>
      <c r="M2741" t="str">
        <v>=</v>
      </c>
      <c r="N2741">
        <f>J2741+L2741</f>
        <v>4.5375</v>
      </c>
      <c r="O2741" t="str">
        <v>+</v>
      </c>
      <c r="P2741">
        <f>MAX(D2741-D2740,D2741-D2742)</f>
        <v>0</v>
      </c>
      <c r="Q2741" t="str">
        <v>x</v>
      </c>
      <c r="R2741">
        <f>IF(P2741&gt;0,2*(1-2*$F$19-1/2)*D2728/1000,0)</f>
        <v>0</v>
      </c>
      <c r="S2741" t="str">
        <v>)</v>
      </c>
      <c r="T2741" t="str">
        <v>x</v>
      </c>
      <c r="U2741">
        <f>0.006165*F2741^2</f>
        <v>1.57824</v>
      </c>
      <c r="X2741" t="str">
        <v>x</v>
      </c>
      <c r="Y2741">
        <f>D2731</f>
        <v>1</v>
      </c>
      <c r="Z2741" t="str">
        <v>=</v>
      </c>
      <c r="AA2741">
        <f>IF(AA2743=0,(D2741*N2741+P2741*R2741)*U2741*Y2741,0)</f>
        <v>0</v>
      </c>
    </row>
    <row r="2742">
      <c r="A2742" t="str">
        <f>A2725</f>
        <v>Lantai 2</v>
      </c>
      <c r="B2742">
        <f>B2725</f>
        <v>4</v>
      </c>
      <c r="C2742" t="str">
        <v>Tul Bawah Tumpuan</v>
      </c>
      <c r="D2742">
        <f>VLOOKUP(D2725,'Detail Balok'!$C$10:$AU$140,28,FALSE)</f>
        <v>4</v>
      </c>
      <c r="E2742" t="str">
        <v>D</v>
      </c>
      <c r="F2742">
        <f>VLOOKUP(D2725,'Detail Balok'!$C$10:$AU$140,30,FALSE)</f>
        <v>16</v>
      </c>
      <c r="I2742" t="str">
        <v>(</v>
      </c>
      <c r="J2742">
        <f>+J2734</f>
        <v>2.26875</v>
      </c>
      <c r="K2742" t="str">
        <v>+</v>
      </c>
      <c r="L2742">
        <f>MAX(VLOOKUP(F2742,N$6:P$15,3,FALSE)/1000,2/3*D2730/1000)+F$16*F2742/1000</f>
        <v>0.192</v>
      </c>
      <c r="M2742" t="str">
        <v>=</v>
      </c>
      <c r="N2742">
        <f>J2742+L2742</f>
        <v>2.46075</v>
      </c>
      <c r="O2742" t="str">
        <v>+</v>
      </c>
      <c r="P2742">
        <f>D2742-D2741</f>
        <v>0</v>
      </c>
      <c r="Q2742" t="str">
        <v>x</v>
      </c>
      <c r="R2742">
        <f>IF(P2742&gt;0,$F$18*F2742/1000,0)</f>
        <v>0</v>
      </c>
      <c r="S2742" t="str">
        <v>)</v>
      </c>
      <c r="T2742" t="str">
        <v>x</v>
      </c>
      <c r="U2742">
        <f>0.006165*F2742^2</f>
        <v>1.57824</v>
      </c>
      <c r="X2742" t="str">
        <v>x</v>
      </c>
      <c r="Y2742">
        <f>D2731</f>
        <v>1</v>
      </c>
      <c r="Z2742" t="str">
        <v>=</v>
      </c>
      <c r="AA2742">
        <f>IF(AA2743=0,(D2742*N2742+P2742*R2742)*U2742*Y2742,0)</f>
        <v>0</v>
      </c>
    </row>
    <row r="2743">
      <c r="A2743" t="str">
        <f>A2725</f>
        <v>Lantai 2</v>
      </c>
      <c r="B2743">
        <f>B2725</f>
        <v>4</v>
      </c>
      <c r="D2743">
        <f>IF(AND(D2740=D2741,D2741=D2742,D2740=D2742),D2740,0)</f>
        <v>4</v>
      </c>
      <c r="E2743" t="str">
        <v>D</v>
      </c>
      <c r="F2743">
        <f>IF(AND(F2740=F2741,F2740=F2742,F2741=F2742),F2740,0)</f>
        <v>16</v>
      </c>
      <c r="L2743" t="str">
        <v>Total panjang per balok</v>
      </c>
      <c r="M2743" t="str">
        <v>=</v>
      </c>
      <c r="N2743">
        <f>IF(AND(D2740=D2741,D2740=D2742,D2741=D2742,F2740=F2741,F2740=F2742,F2741=F2742),SUM(N2740:N2742),0)</f>
        <v>9.459</v>
      </c>
      <c r="O2743" t="str">
        <v>+</v>
      </c>
      <c r="P2743">
        <f>IF(N2743&gt;12,ROUNDDOWN(N2743/12,0),0)</f>
        <v>0</v>
      </c>
      <c r="Q2743" t="str">
        <v>x</v>
      </c>
      <c r="R2743">
        <f>IF(P2743&gt;0,MAX(VLOOKUP(F2743,$D$6:$G$15,3,FALSE),600),0)/1000</f>
        <v>0</v>
      </c>
      <c r="T2743" t="str">
        <v>x</v>
      </c>
      <c r="U2743">
        <f>U2742</f>
        <v>1.57824</v>
      </c>
      <c r="V2743" t="str">
        <v>x</v>
      </c>
      <c r="W2743">
        <f>D2743</f>
        <v>4</v>
      </c>
      <c r="X2743" t="str">
        <v>x</v>
      </c>
      <c r="Y2743">
        <f>Y2742</f>
        <v>1</v>
      </c>
      <c r="Z2743" t="str">
        <v>=</v>
      </c>
      <c r="AA2743">
        <f>(N2743+P2743*R2743/1000)*U2743*W2743*Y2743</f>
        <v>59.71428864</v>
      </c>
    </row>
    <row r="2745">
      <c r="A2745" t="str">
        <f>A2725</f>
        <v>Lantai 2</v>
      </c>
      <c r="B2745">
        <f>B2725</f>
        <v>4</v>
      </c>
      <c r="C2745" t="str">
        <v>Sengkang Tumpuan</v>
      </c>
      <c r="D2745">
        <f>VLOOKUP(D2725,'Detail Balok'!$C$10:$AU$140,31,FALSE)</f>
        <v>0</v>
      </c>
      <c r="E2745" t="str">
        <v>D</v>
      </c>
      <c r="F2745">
        <f>VLOOKUP(D2725,'Detail Balok'!$C$10:$AU$140,33,FALSE)</f>
        <v>10</v>
      </c>
      <c r="G2745" t="str">
        <v>-</v>
      </c>
      <c r="H2745">
        <f>VLOOKUP(D2725,'Detail Balok'!$C$10:$AU$140,35,FALSE)</f>
        <v>150</v>
      </c>
      <c r="J2745">
        <f>(IF(D2745=0,(2*(D2726+G2726))-(F$5*8),IF(D2745=3,(2*(D2726+G2726))-(F$5*8)+(G2726-2*F$5),IF(D2745=4,(2*(D2726+G2726))-(F$5*8)+2*(G2726-2*F$5)))))/1000</f>
        <v>1.08</v>
      </c>
      <c r="K2745" t="str">
        <v>+</v>
      </c>
      <c r="L2745">
        <f>IF(D2745=0,2*MAX(6*F2745,75),(D2745-1)*2*MAX(6*F2745,75))/1000</f>
        <v>0.15</v>
      </c>
      <c r="M2745" t="str">
        <v>=</v>
      </c>
      <c r="N2745">
        <f>J2745+L2745</f>
        <v>1.23</v>
      </c>
      <c r="T2745" t="str">
        <v>x</v>
      </c>
      <c r="U2745">
        <f>0.006165*F2745^2</f>
        <v>0.6165</v>
      </c>
      <c r="V2745" t="str">
        <v>x</v>
      </c>
      <c r="W2745">
        <f>IF(D2728&gt;4*G2726,ROUND(MAX(D2728/4,2*G2726)/H2745,0)+1,ROUND(D2728/H2745,0)+1)</f>
        <v>16</v>
      </c>
      <c r="X2745" t="str">
        <v>x</v>
      </c>
      <c r="Y2745">
        <f>D2731</f>
        <v>1</v>
      </c>
      <c r="Z2745" t="str">
        <v>=</v>
      </c>
      <c r="AA2745">
        <f>N2745*U2745*W2745*Y2745</f>
        <v>12.13272</v>
      </c>
    </row>
    <row r="2746">
      <c r="A2746" t="str">
        <f>A2725</f>
        <v>Lantai 2</v>
      </c>
      <c r="B2746">
        <f>B2725</f>
        <v>4</v>
      </c>
      <c r="C2746" t="str">
        <v>Sengkang Lapangan</v>
      </c>
      <c r="D2746">
        <f>VLOOKUP(D2725,'Detail Balok'!$C$10:$AU$140,36,FALSE)</f>
        <v>0</v>
      </c>
      <c r="E2746" t="str">
        <v>D</v>
      </c>
      <c r="F2746">
        <f>VLOOKUP(D2725,'Detail Balok'!$C$10:$AU$140,38,FALSE)</f>
        <v>10</v>
      </c>
      <c r="G2746" t="str">
        <v>-</v>
      </c>
      <c r="H2746">
        <f>VLOOKUP(D2725,'Detail Balok'!$C$10:$AU$140,40,FALSE)</f>
        <v>200</v>
      </c>
      <c r="J2746">
        <f>(IF(D2746=0,(2*(D2726+G2726))-(F$5*8),IF(D2746=3,(2*(D2726+G2726))-(F$5*8)+(G2726-2*F$5),IF(D2746=4,(2*(D2726+G2726))-(F$5*8)+2*(G2726-2*F$5)))))/1000</f>
        <v>1.08</v>
      </c>
      <c r="K2746" t="str">
        <v>+</v>
      </c>
      <c r="L2746">
        <f>IF(D2746=0,2*MAX(6*F2746,75),(D2746-1)*2*MAX(6*F2746,75))/1000</f>
        <v>0.15</v>
      </c>
      <c r="M2746" t="str">
        <v>=</v>
      </c>
      <c r="N2746">
        <f>J2746+L2746</f>
        <v>1.23</v>
      </c>
      <c r="T2746" t="str">
        <v>x</v>
      </c>
      <c r="U2746">
        <f>0.006165*F2746^2</f>
        <v>0.6165</v>
      </c>
      <c r="V2746" t="str">
        <v>x</v>
      </c>
      <c r="W2746">
        <f>IF(D2728-MAX(D2728/4,2*G2726)*2&gt;0,ROUND((D2728-MAX(D2728/4,2*G2726)*2)/H2746,0),0)</f>
        <v>23</v>
      </c>
      <c r="X2746" t="str">
        <v>x</v>
      </c>
      <c r="Y2746">
        <f>D2731</f>
        <v>1</v>
      </c>
      <c r="Z2746" t="str">
        <v>=</v>
      </c>
      <c r="AA2746">
        <f>N2746*U2746*W2746*Y2746</f>
        <v>17.440785</v>
      </c>
    </row>
    <row r="2747">
      <c r="A2747" t="str">
        <f>A2725</f>
        <v>Lantai 2</v>
      </c>
      <c r="B2747">
        <f>B2725</f>
        <v>4</v>
      </c>
      <c r="C2747" t="str">
        <v>Sengkang Tumpuan</v>
      </c>
      <c r="D2747">
        <f>VLOOKUP(D2725,'Detail Balok'!$C$10:$AU$140,41,FALSE)</f>
        <v>0</v>
      </c>
      <c r="E2747" t="str">
        <v>D</v>
      </c>
      <c r="F2747">
        <f>VLOOKUP(D2725,'Detail Balok'!$C$10:$AU$140,43,FALSE)</f>
        <v>10</v>
      </c>
      <c r="G2747" t="str">
        <v>-</v>
      </c>
      <c r="H2747">
        <f>VLOOKUP(D2725,'Detail Balok'!$C$10:$AU$140,45,FALSE)</f>
        <v>150</v>
      </c>
      <c r="J2747">
        <f>(IF(D2747=0,(2*(D2726+G2726))-(F$5*8),IF(D2747=3,(2*(D2726+G2726))-(F$5*8)+(G2726-2*F$5),IF(D2747=4,(2*(D2726+G2726))-(F$5*8)+2*(G2726-2*F$5)))))/1000</f>
        <v>1.08</v>
      </c>
      <c r="K2747" t="str">
        <v>+</v>
      </c>
      <c r="L2747">
        <f>IF(D2747=0,2*MAX(6*F2747,75),(D2747-1)*2*MAX(6*F2747,75))/1000</f>
        <v>0.15</v>
      </c>
      <c r="M2747" t="str">
        <v>=</v>
      </c>
      <c r="N2747">
        <f>J2747+L2747</f>
        <v>1.23</v>
      </c>
      <c r="T2747" t="str">
        <v>x</v>
      </c>
      <c r="U2747">
        <f>0.006165*F2747^2</f>
        <v>0.6165</v>
      </c>
      <c r="V2747" t="str">
        <v>x</v>
      </c>
      <c r="W2747">
        <f>IF(D2728&gt;4*G2726,ROUND(MAX(D2728/4,2*G2726)/H2747,0)+1,0)</f>
        <v>16</v>
      </c>
      <c r="X2747" t="str">
        <v>x</v>
      </c>
      <c r="Y2747">
        <f>D2731</f>
        <v>1</v>
      </c>
      <c r="Z2747" t="str">
        <v>=</v>
      </c>
      <c r="AA2747">
        <f>N2747*U2747*W2747*Y2747</f>
        <v>12.13272</v>
      </c>
    </row>
    <row r="2749">
      <c r="A2749" t="str">
        <f>A2725</f>
        <v>Lantai 2</v>
      </c>
      <c r="B2749">
        <f>B2725</f>
        <v>4</v>
      </c>
      <c r="C2749" t="str">
        <v>Kait Horizontal Tump.</v>
      </c>
      <c r="D2749">
        <f>VLOOKUP(D2725,'Detail Balok'!$C$10:$BJ$140,46,FALSE)</f>
        <v>0</v>
      </c>
      <c r="E2749" t="str">
        <v>D</v>
      </c>
      <c r="F2749">
        <f>VLOOKUP(D2725,'Detail Balok'!$C$10:$BJ$140,48,FALSE)</f>
        <v>0</v>
      </c>
      <c r="G2749" t="str">
        <v>-</v>
      </c>
      <c r="H2749">
        <f>VLOOKUP(D2725,'Detail Balok'!$C$10:$BJ$140,50,FALSE)</f>
        <v>100</v>
      </c>
      <c r="J2749">
        <f>(D2726-2*F$5)/1000</f>
        <v>0.12</v>
      </c>
      <c r="K2749" t="str">
        <v>+</v>
      </c>
      <c r="L2749">
        <f>IF(D2749=0,2*MAX(6*F2749,75),(D2749-1)*2*MAX(6*F2749,75))/1000</f>
        <v>0.15</v>
      </c>
      <c r="M2749" t="str">
        <v>=</v>
      </c>
      <c r="N2749">
        <f>J2749+L2749</f>
        <v>0.27</v>
      </c>
      <c r="T2749" t="str">
        <v>x</v>
      </c>
      <c r="U2749">
        <f>0.006165*F2749^2</f>
        <v>0</v>
      </c>
      <c r="V2749" t="str">
        <v>x</v>
      </c>
      <c r="W2749">
        <f>W2745</f>
        <v>16</v>
      </c>
      <c r="X2749" t="str">
        <v>x</v>
      </c>
      <c r="Y2749">
        <f>D2735</f>
        <v>4</v>
      </c>
      <c r="Z2749" t="str">
        <v>=</v>
      </c>
      <c r="AA2749">
        <f>N2749*U2749*W2749*Y2749</f>
        <v>0</v>
      </c>
    </row>
    <row r="2750">
      <c r="A2750" t="str">
        <f>A2725</f>
        <v>Lantai 2</v>
      </c>
      <c r="B2750">
        <f>B2725</f>
        <v>4</v>
      </c>
      <c r="C2750" t="str">
        <v>Kait Horizontal Lap.</v>
      </c>
      <c r="D2750">
        <f>VLOOKUP(D2725,'Detail Balok'!$C$10:$BJ$140,51,FALSE)</f>
        <v>0</v>
      </c>
      <c r="E2750" t="str">
        <v>D</v>
      </c>
      <c r="F2750">
        <f>VLOOKUP(D2725,'Detail Balok'!$C$10:$BJ$140,53,FALSE)</f>
        <v>0</v>
      </c>
      <c r="G2750" t="str">
        <v>-</v>
      </c>
      <c r="H2750">
        <f>VLOOKUP(D2725,'Detail Balok'!$C$10:$BJ$140,55,FALSE)</f>
        <v>100</v>
      </c>
      <c r="J2750">
        <f>(D2726-2*F$5)/1000</f>
        <v>0.12</v>
      </c>
      <c r="K2750" t="str">
        <v>+</v>
      </c>
      <c r="L2750">
        <f>IF(D2750=0,2*MAX(6*F2750,75),(D2750-1)*2*MAX(6*F2750,75))/1000</f>
        <v>0.15</v>
      </c>
      <c r="M2750" t="str">
        <v>=</v>
      </c>
      <c r="N2750">
        <f>J2750+L2750</f>
        <v>0.27</v>
      </c>
      <c r="T2750" t="str">
        <v>x</v>
      </c>
      <c r="U2750">
        <f>0.006165*F2750^2</f>
        <v>0</v>
      </c>
      <c r="V2750" t="str">
        <v>x</v>
      </c>
      <c r="W2750">
        <f>W2746</f>
        <v>23</v>
      </c>
      <c r="X2750" t="str">
        <v>x</v>
      </c>
      <c r="Y2750">
        <f>D2735</f>
        <v>4</v>
      </c>
      <c r="Z2750" t="str">
        <v>=</v>
      </c>
      <c r="AA2750">
        <f>N2750*U2750*W2750*Y2750</f>
        <v>0</v>
      </c>
    </row>
    <row r="2751">
      <c r="A2751" t="str">
        <f>A2725</f>
        <v>Lantai 2</v>
      </c>
      <c r="B2751">
        <f>B2725</f>
        <v>4</v>
      </c>
      <c r="C2751" t="str">
        <v>Kait Horizontal Tump.</v>
      </c>
      <c r="D2751">
        <f>VLOOKUP(D2725,'Detail Balok'!$C$10:$BJ$140,56,FALSE)</f>
        <v>0</v>
      </c>
      <c r="E2751" t="str">
        <v>D</v>
      </c>
      <c r="F2751">
        <f>VLOOKUP(D2725,'Detail Balok'!$C$10:$BJ$140,58,FALSE)</f>
        <v>0</v>
      </c>
      <c r="G2751" t="str">
        <v>-</v>
      </c>
      <c r="H2751">
        <f>VLOOKUP(D2725,'Detail Balok'!$C$10:$BJ$140,60,FALSE)</f>
        <v>100</v>
      </c>
      <c r="J2751">
        <f>(D2726-2*F$5)/1000</f>
        <v>0.12</v>
      </c>
      <c r="K2751" t="str">
        <v>+</v>
      </c>
      <c r="L2751">
        <f>IF(D2751=0,2*MAX(6*F2751,75),(D2751-1)*2*MAX(6*F2751,75))/1000</f>
        <v>0.15</v>
      </c>
      <c r="M2751" t="str">
        <v>=</v>
      </c>
      <c r="N2751">
        <f>J2751+L2751</f>
        <v>0.27</v>
      </c>
      <c r="T2751" t="str">
        <v>x</v>
      </c>
      <c r="U2751">
        <f>0.006165*F2751^2</f>
        <v>0</v>
      </c>
      <c r="V2751" t="str">
        <v>x</v>
      </c>
      <c r="W2751">
        <f>W2747</f>
        <v>16</v>
      </c>
      <c r="X2751" t="str">
        <v>x</v>
      </c>
      <c r="Y2751">
        <f>D2735</f>
        <v>4</v>
      </c>
      <c r="Z2751" t="str">
        <v>=</v>
      </c>
      <c r="AA2751">
        <f>N2751*U2751*W2751*Y2751</f>
        <v>0</v>
      </c>
    </row>
    <row r="2755">
      <c r="A2755" t="str">
        <f>A2725</f>
        <v>Lantai 2</v>
      </c>
      <c r="B2755">
        <f>B2725+1</f>
        <v>5</v>
      </c>
      <c r="C2755" t="str">
        <f>CONCATENATE(A2755," no. ",B2755)</f>
        <v>Lantai 2 no. 5</v>
      </c>
      <c r="D2755" t="str">
        <f>VLOOKUP(C2755,'Data Panjang Balok'!$C$9:$N$254,2,FALSE)</f>
        <v>CL24-1</v>
      </c>
    </row>
    <row r="2756">
      <c r="C2756" t="str">
        <v>Dimensi</v>
      </c>
      <c r="D2756">
        <f>VLOOKUP(D2755,'Detail Balok'!$C$10:$AU$140,2,FALSE)</f>
        <v>200</v>
      </c>
      <c r="F2756" t="str">
        <v>x</v>
      </c>
      <c r="G2756">
        <f>VLOOKUP(D2755,'Detail Balok'!$C$10:$AU$140,3,FALSE)</f>
        <v>400</v>
      </c>
    </row>
    <row r="2757">
      <c r="C2757" t="str">
        <v>Panjang as ke as</v>
      </c>
      <c r="D2757">
        <f>VLOOKUP(C2755,'Data Panjang Balok'!$C$9:$N$254,4,FALSE)</f>
        <v>2475</v>
      </c>
    </row>
    <row r="2758">
      <c r="C2758" t="str">
        <v>Panjang netto</v>
      </c>
      <c r="D2758">
        <f>VLOOKUP(C2755,'Data Panjang Balok'!$C$9:$N$254,7,FALSE)</f>
        <v>2475</v>
      </c>
    </row>
    <row r="2759">
      <c r="C2759" t="str">
        <v>Kolom / balok kiri</v>
      </c>
      <c r="D2759">
        <f>VLOOKUP(C2755,'Data Panjang Balok'!$C$9:$N$254,9,FALSE)</f>
        <v>0</v>
      </c>
    </row>
    <row r="2760">
      <c r="C2760" t="str">
        <v>Kolom / balok kanan</v>
      </c>
      <c r="D2760">
        <f>VLOOKUP(C2755,'Data Panjang Balok'!$C$9:$N$254,10,FALSE)</f>
        <v>0</v>
      </c>
    </row>
    <row r="2761">
      <c r="C2761" t="str">
        <v>Jumlah</v>
      </c>
      <c r="D2761">
        <f>VLOOKUP(C2755,'Data Panjang Balok'!$C$9:$N$254,3,FALSE)</f>
        <v>1</v>
      </c>
    </row>
    <row r="2762">
      <c r="A2762" t="str">
        <f>A2755</f>
        <v>Lantai 2</v>
      </c>
      <c r="B2762">
        <f>B2755</f>
        <v>5</v>
      </c>
      <c r="C2762" t="str">
        <v>Tul Atas Tumpuan</v>
      </c>
      <c r="D2762">
        <f>VLOOKUP(D2755,'Detail Balok'!$C$10:$AU$140,4,FALSE)</f>
        <v>3</v>
      </c>
      <c r="E2762" t="str">
        <v>D</v>
      </c>
      <c r="F2762">
        <f>VLOOKUP(D2755,'Detail Balok'!$C$10:$AU$140,6,FALSE)</f>
        <v>16</v>
      </c>
      <c r="I2762" t="str">
        <v>(</v>
      </c>
      <c r="J2762">
        <f>+D2757/4/1000</f>
        <v>0.61875</v>
      </c>
      <c r="K2762" t="str">
        <v>+</v>
      </c>
      <c r="L2762">
        <f>MAX(VLOOKUP(F2762,N$6:P$15,3,FALSE)/1000,2/3*D2759/1000)+F$16*F2762/1000</f>
        <v>0.192</v>
      </c>
      <c r="M2762" t="str">
        <v>=</v>
      </c>
      <c r="N2762">
        <f>J2762+L2762</f>
        <v>0.8107500000000001</v>
      </c>
      <c r="O2762" t="str">
        <v>+</v>
      </c>
      <c r="P2762">
        <f>D2762-D2763</f>
        <v>0</v>
      </c>
      <c r="Q2762" t="str">
        <v>x</v>
      </c>
      <c r="R2762">
        <f>IF(P2762&gt;0,$F$18*F2762/1000,0)</f>
        <v>0</v>
      </c>
      <c r="S2762" t="str">
        <v>)</v>
      </c>
      <c r="T2762" t="str">
        <v>x</v>
      </c>
      <c r="U2762">
        <f>0.006165*F2762^2</f>
        <v>1.57824</v>
      </c>
      <c r="X2762" t="str">
        <v>x</v>
      </c>
      <c r="Y2762">
        <f>D2761</f>
        <v>1</v>
      </c>
      <c r="Z2762" t="str">
        <v>=</v>
      </c>
      <c r="AA2762">
        <f>IF(AA2765=0,(D2762*N2762+P2762*R2762)*U2762*Y2762,0)</f>
        <v>0</v>
      </c>
    </row>
    <row r="2763">
      <c r="A2763" t="str">
        <f>A2755</f>
        <v>Lantai 2</v>
      </c>
      <c r="B2763">
        <f>B2755</f>
        <v>5</v>
      </c>
      <c r="C2763" t="str">
        <v>Tul Atas Lapangan</v>
      </c>
      <c r="D2763">
        <f>VLOOKUP(D2755,'Detail Balok'!$C$10:$AU$140,7,FALSE)</f>
        <v>3</v>
      </c>
      <c r="E2763" t="str">
        <v>D</v>
      </c>
      <c r="F2763">
        <f>VLOOKUP(D2755,'Detail Balok'!$C$10:$AU$140,9,FALSE)</f>
        <v>16</v>
      </c>
      <c r="I2763" t="str">
        <v>(</v>
      </c>
      <c r="J2763">
        <f>+D2757/2/1000</f>
        <v>1.2375</v>
      </c>
      <c r="K2763" t="str">
        <v>+</v>
      </c>
      <c r="M2763" t="str">
        <v>=</v>
      </c>
      <c r="N2763">
        <f>J2763+L2763</f>
        <v>1.2375</v>
      </c>
      <c r="O2763" t="str">
        <v>+</v>
      </c>
      <c r="P2763">
        <f>MAX(D2763-D2762,D2763-D2764)</f>
        <v>0</v>
      </c>
      <c r="Q2763" t="str">
        <v>x</v>
      </c>
      <c r="R2763">
        <f>IF(P2763&gt;0,2*(1-2*$F$19-1/2)*D2758/1000,0)</f>
        <v>0</v>
      </c>
      <c r="S2763" t="str">
        <v>)</v>
      </c>
      <c r="T2763" t="str">
        <v>x</v>
      </c>
      <c r="U2763">
        <f>0.006165*F2763^2</f>
        <v>1.57824</v>
      </c>
      <c r="X2763" t="str">
        <v>x</v>
      </c>
      <c r="Y2763">
        <f>D2761</f>
        <v>1</v>
      </c>
      <c r="Z2763" t="str">
        <v>=</v>
      </c>
      <c r="AA2763">
        <f>IF(AA2765=0,(D2763*N2763+P2763*R2763)*U2763*Y2763,0)</f>
        <v>0</v>
      </c>
    </row>
    <row r="2764">
      <c r="A2764" t="str">
        <f>A2755</f>
        <v>Lantai 2</v>
      </c>
      <c r="B2764">
        <f>B2755</f>
        <v>5</v>
      </c>
      <c r="C2764" t="str">
        <v>Tul Atas Tumpuan</v>
      </c>
      <c r="D2764">
        <f>VLOOKUP(D2755,'Detail Balok'!$C$10:$AU$140,10,FALSE)</f>
        <v>3</v>
      </c>
      <c r="E2764" t="str">
        <v>D</v>
      </c>
      <c r="F2764">
        <f>VLOOKUP(D2755,'Detail Balok'!$C$10:$AU$140,12,FALSE)</f>
        <v>16</v>
      </c>
      <c r="I2764" t="str">
        <v>(</v>
      </c>
      <c r="J2764">
        <f>+D2757/4/1000</f>
        <v>0.61875</v>
      </c>
      <c r="K2764" t="str">
        <v>+</v>
      </c>
      <c r="L2764">
        <f>MAX(VLOOKUP(F2764,N$6:P$15,3,FALSE)/1000,2/3*D2759/1000)+F$16*F2764/1000</f>
        <v>0.192</v>
      </c>
      <c r="M2764" t="str">
        <v>=</v>
      </c>
      <c r="N2764">
        <f>J2764+L2764</f>
        <v>0.8107500000000001</v>
      </c>
      <c r="O2764" t="str">
        <v>+</v>
      </c>
      <c r="P2764">
        <f>D2764-D2763</f>
        <v>0</v>
      </c>
      <c r="Q2764" t="str">
        <v>x</v>
      </c>
      <c r="R2764">
        <f>IF(P2764&gt;0,$F$18*F2764/1000,0)</f>
        <v>0</v>
      </c>
      <c r="S2764" t="str">
        <v>)</v>
      </c>
      <c r="T2764" t="str">
        <v>x</v>
      </c>
      <c r="U2764">
        <f>0.006165*F2764^2</f>
        <v>1.57824</v>
      </c>
      <c r="X2764" t="str">
        <v>x</v>
      </c>
      <c r="Y2764">
        <f>D2761</f>
        <v>1</v>
      </c>
      <c r="Z2764" t="str">
        <v>=</v>
      </c>
      <c r="AA2764">
        <f>IF(AA2765=0,(D2764*N2764+P2764*R2764)*U2764*Y2764,0)</f>
        <v>0</v>
      </c>
    </row>
    <row r="2765">
      <c r="A2765" t="str">
        <f>A2755</f>
        <v>Lantai 2</v>
      </c>
      <c r="B2765">
        <f>B2755</f>
        <v>5</v>
      </c>
      <c r="D2765">
        <f>IF(AND(D2762=D2763,D2763=D2764,D2762=D2764),D2762,0)</f>
        <v>3</v>
      </c>
      <c r="E2765" t="str">
        <v>D</v>
      </c>
      <c r="F2765">
        <f>IF(AND(F2762=F2763,F2762=F2764,F2763=F2764),F2762,0)</f>
        <v>16</v>
      </c>
      <c r="L2765" t="str">
        <v>Total panjang per balok</v>
      </c>
      <c r="M2765" t="str">
        <v>=</v>
      </c>
      <c r="N2765">
        <f>IF(AND(D2762=D2763,D2762=D2764,D2763=D2764,F2762=F2763,F2762=F2764,F2763=F2764),SUM(N2762:N2764),0)</f>
        <v>2.8590000000000004</v>
      </c>
      <c r="O2765" t="str">
        <v>+</v>
      </c>
      <c r="P2765">
        <f>IF(N2765&gt;12,ROUNDDOWN(N2765/12,0),0)</f>
        <v>0</v>
      </c>
      <c r="Q2765" t="str">
        <v>x</v>
      </c>
      <c r="R2765">
        <f>IF(P2765&gt;0,MAX(VLOOKUP(F2765,$D$6:$G$15,3,FALSE),600),0)/1000</f>
        <v>0</v>
      </c>
      <c r="T2765" t="str">
        <v>x</v>
      </c>
      <c r="U2765">
        <f>U2764</f>
        <v>1.57824</v>
      </c>
      <c r="V2765" t="str">
        <v>x</v>
      </c>
      <c r="W2765">
        <f>D2765</f>
        <v>3</v>
      </c>
      <c r="X2765" t="str">
        <v>x</v>
      </c>
      <c r="Y2765">
        <f>Y2764</f>
        <v>1</v>
      </c>
      <c r="Z2765" t="str">
        <v>=</v>
      </c>
      <c r="AA2765">
        <f>(N2765+P2765*R2765/1000)*U2765*W2765*Y2765</f>
        <v>13.536564480000003</v>
      </c>
    </row>
    <row r="2767">
      <c r="A2767" t="str">
        <f>A2755</f>
        <v>Lantai 2</v>
      </c>
      <c r="B2767">
        <f>B2755</f>
        <v>5</v>
      </c>
      <c r="C2767" t="str">
        <v>Tul Peminggang</v>
      </c>
      <c r="D2767">
        <f>VLOOKUP(D2755,'Detail Balok'!$C$10:$AU$140,13,FALSE)</f>
        <v>0</v>
      </c>
      <c r="E2767" t="str">
        <v>D</v>
      </c>
      <c r="F2767">
        <f>VLOOKUP(D2755,'Detail Balok'!$C$10:$AU$140,15,FALSE)</f>
        <v>8</v>
      </c>
      <c r="J2767">
        <f>+D2757/1000</f>
        <v>2.475</v>
      </c>
      <c r="K2767" t="str">
        <v>+</v>
      </c>
      <c r="L2767">
        <f>2*$F$16*F2767/1000</f>
        <v>0.192</v>
      </c>
      <c r="M2767" t="str">
        <v>=</v>
      </c>
      <c r="N2767">
        <f>J2767+L2767</f>
        <v>2.6670000000000003</v>
      </c>
      <c r="O2767" t="str">
        <v>+</v>
      </c>
      <c r="P2767">
        <f>IF(N2767&gt;12,ROUNDDOWN(N2767/12,0),0)</f>
        <v>0</v>
      </c>
      <c r="Q2767" t="str">
        <v>x</v>
      </c>
      <c r="R2767">
        <f>IF(P2767&gt;0,MAX(VLOOKUP(F2767,$D$6:$G$15,3,FALSE),600),0)/1000</f>
        <v>0</v>
      </c>
      <c r="T2767" t="str">
        <v>x</v>
      </c>
      <c r="U2767">
        <f>0.006165*F2767^2</f>
        <v>0.39456</v>
      </c>
      <c r="V2767" t="str">
        <v>x</v>
      </c>
      <c r="W2767">
        <f>+D2767</f>
        <v>0</v>
      </c>
      <c r="X2767" t="str">
        <v>x</v>
      </c>
      <c r="Y2767">
        <f>D2761</f>
        <v>1</v>
      </c>
      <c r="Z2767" t="str">
        <v>=</v>
      </c>
      <c r="AA2767">
        <f>(N2767+P2767*R2767/1000)*U2767*W2767*Y2767</f>
        <v>0</v>
      </c>
    </row>
    <row r="2770">
      <c r="A2770" t="str">
        <f>A2755</f>
        <v>Lantai 2</v>
      </c>
      <c r="B2770">
        <f>B2755</f>
        <v>5</v>
      </c>
      <c r="C2770" t="str">
        <v>Tul Bawah Tumpuan</v>
      </c>
      <c r="D2770">
        <f>VLOOKUP(D2755,'Detail Balok'!$C$10:$AU$140,22,FALSE)</f>
        <v>3</v>
      </c>
      <c r="E2770" t="str">
        <v>D</v>
      </c>
      <c r="F2770">
        <f>VLOOKUP(D2755,'Detail Balok'!$C$10:$AU$140,24,FALSE)</f>
        <v>16</v>
      </c>
      <c r="I2770" t="str">
        <v>(</v>
      </c>
      <c r="J2770">
        <f>+J2762</f>
        <v>0.61875</v>
      </c>
      <c r="K2770" t="str">
        <v>+</v>
      </c>
      <c r="L2770">
        <f>MAX(VLOOKUP(F2770,N$6:P$15,3,FALSE)/1000,2/3*D2760/1000)+F$16*F2770/1000</f>
        <v>0.192</v>
      </c>
      <c r="M2770" t="str">
        <v>=</v>
      </c>
      <c r="N2770">
        <f>J2770+L2770</f>
        <v>0.8107500000000001</v>
      </c>
      <c r="O2770" t="str">
        <v>+</v>
      </c>
      <c r="P2770">
        <f>D2770-D2771</f>
        <v>0</v>
      </c>
      <c r="Q2770" t="str">
        <v>x</v>
      </c>
      <c r="R2770">
        <f>IF(P2770&gt;0,$F$18*F2770/1000,0)</f>
        <v>0</v>
      </c>
      <c r="S2770" t="str">
        <v>)</v>
      </c>
      <c r="T2770" t="str">
        <v>x</v>
      </c>
      <c r="U2770">
        <f>0.006165*F2770^2</f>
        <v>1.57824</v>
      </c>
      <c r="X2770" t="str">
        <v>x</v>
      </c>
      <c r="Y2770">
        <f>D2761</f>
        <v>1</v>
      </c>
      <c r="Z2770" t="str">
        <v>=</v>
      </c>
      <c r="AA2770">
        <f>IF(AA2773=0,(D2770*N2770+P2770*R2770)*U2770*Y2770,0)</f>
        <v>0</v>
      </c>
    </row>
    <row r="2771">
      <c r="A2771" t="str">
        <f>A2755</f>
        <v>Lantai 2</v>
      </c>
      <c r="B2771">
        <f>B2755</f>
        <v>5</v>
      </c>
      <c r="C2771" t="str">
        <v>Tul Bawah Lapangan</v>
      </c>
      <c r="D2771">
        <f>VLOOKUP(D2755,'Detail Balok'!$C$10:$AU$140,25,FALSE)</f>
        <v>3</v>
      </c>
      <c r="E2771" t="str">
        <v>D</v>
      </c>
      <c r="F2771">
        <f>VLOOKUP(D2755,'Detail Balok'!$C$10:$AU$140,27,FALSE)</f>
        <v>16</v>
      </c>
      <c r="I2771" t="str">
        <v>(</v>
      </c>
      <c r="J2771">
        <f>+J2763</f>
        <v>1.2375</v>
      </c>
      <c r="K2771" t="str">
        <v>+</v>
      </c>
      <c r="M2771" t="str">
        <v>=</v>
      </c>
      <c r="N2771">
        <f>J2771+L2771</f>
        <v>1.2375</v>
      </c>
      <c r="O2771" t="str">
        <v>+</v>
      </c>
      <c r="P2771">
        <f>MAX(D2771-D2770,D2771-D2772)</f>
        <v>0</v>
      </c>
      <c r="Q2771" t="str">
        <v>x</v>
      </c>
      <c r="R2771">
        <f>IF(P2771&gt;0,2*(1-2*$F$19-1/2)*D2758/1000,0)</f>
        <v>0</v>
      </c>
      <c r="S2771" t="str">
        <v>)</v>
      </c>
      <c r="T2771" t="str">
        <v>x</v>
      </c>
      <c r="U2771">
        <f>0.006165*F2771^2</f>
        <v>1.57824</v>
      </c>
      <c r="X2771" t="str">
        <v>x</v>
      </c>
      <c r="Y2771">
        <f>D2761</f>
        <v>1</v>
      </c>
      <c r="Z2771" t="str">
        <v>=</v>
      </c>
      <c r="AA2771">
        <f>IF(AA2773=0,(D2771*N2771+P2771*R2771)*U2771*Y2771,0)</f>
        <v>0</v>
      </c>
    </row>
    <row r="2772">
      <c r="A2772" t="str">
        <f>A2755</f>
        <v>Lantai 2</v>
      </c>
      <c r="B2772">
        <f>B2755</f>
        <v>5</v>
      </c>
      <c r="C2772" t="str">
        <v>Tul Bawah Tumpuan</v>
      </c>
      <c r="D2772">
        <f>VLOOKUP(D2755,'Detail Balok'!$C$10:$AU$140,28,FALSE)</f>
        <v>3</v>
      </c>
      <c r="E2772" t="str">
        <v>D</v>
      </c>
      <c r="F2772">
        <f>VLOOKUP(D2755,'Detail Balok'!$C$10:$AU$140,30,FALSE)</f>
        <v>16</v>
      </c>
      <c r="I2772" t="str">
        <v>(</v>
      </c>
      <c r="J2772">
        <f>+J2764</f>
        <v>0.61875</v>
      </c>
      <c r="K2772" t="str">
        <v>+</v>
      </c>
      <c r="L2772">
        <f>MAX(VLOOKUP(F2772,N$6:P$15,3,FALSE)/1000,2/3*D2760/1000)+F$16*F2772/1000</f>
        <v>0.192</v>
      </c>
      <c r="M2772" t="str">
        <v>=</v>
      </c>
      <c r="N2772">
        <f>J2772+L2772</f>
        <v>0.8107500000000001</v>
      </c>
      <c r="O2772" t="str">
        <v>+</v>
      </c>
      <c r="P2772">
        <f>D2772-D2771</f>
        <v>0</v>
      </c>
      <c r="Q2772" t="str">
        <v>x</v>
      </c>
      <c r="R2772">
        <f>IF(P2772&gt;0,$F$18*F2772/1000,0)</f>
        <v>0</v>
      </c>
      <c r="S2772" t="str">
        <v>)</v>
      </c>
      <c r="T2772" t="str">
        <v>x</v>
      </c>
      <c r="U2772">
        <f>0.006165*F2772^2</f>
        <v>1.57824</v>
      </c>
      <c r="X2772" t="str">
        <v>x</v>
      </c>
      <c r="Y2772">
        <f>D2761</f>
        <v>1</v>
      </c>
      <c r="Z2772" t="str">
        <v>=</v>
      </c>
      <c r="AA2772">
        <f>IF(AA2773=0,(D2772*N2772+P2772*R2772)*U2772*Y2772,0)</f>
        <v>0</v>
      </c>
    </row>
    <row r="2773">
      <c r="A2773" t="str">
        <f>A2755</f>
        <v>Lantai 2</v>
      </c>
      <c r="B2773">
        <f>B2755</f>
        <v>5</v>
      </c>
      <c r="D2773">
        <f>IF(AND(D2770=D2771,D2771=D2772,D2770=D2772),D2770,0)</f>
        <v>3</v>
      </c>
      <c r="E2773" t="str">
        <v>D</v>
      </c>
      <c r="F2773">
        <f>IF(AND(F2770=F2771,F2770=F2772,F2771=F2772),F2770,0)</f>
        <v>16</v>
      </c>
      <c r="L2773" t="str">
        <v>Total panjang per balok</v>
      </c>
      <c r="M2773" t="str">
        <v>=</v>
      </c>
      <c r="N2773">
        <f>IF(AND(D2770=D2771,D2770=D2772,D2771=D2772,F2770=F2771,F2770=F2772,F2771=F2772),SUM(N2770:N2772),0)</f>
        <v>2.8590000000000004</v>
      </c>
      <c r="O2773" t="str">
        <v>+</v>
      </c>
      <c r="P2773">
        <f>IF(N2773&gt;12,ROUNDDOWN(N2773/12,0),0)</f>
        <v>0</v>
      </c>
      <c r="Q2773" t="str">
        <v>x</v>
      </c>
      <c r="R2773">
        <f>IF(P2773&gt;0,MAX(VLOOKUP(F2773,$D$6:$G$15,3,FALSE),600),0)/1000</f>
        <v>0</v>
      </c>
      <c r="T2773" t="str">
        <v>x</v>
      </c>
      <c r="U2773">
        <f>U2772</f>
        <v>1.57824</v>
      </c>
      <c r="V2773" t="str">
        <v>x</v>
      </c>
      <c r="W2773">
        <f>D2773</f>
        <v>3</v>
      </c>
      <c r="X2773" t="str">
        <v>x</v>
      </c>
      <c r="Y2773">
        <f>Y2772</f>
        <v>1</v>
      </c>
      <c r="Z2773" t="str">
        <v>=</v>
      </c>
      <c r="AA2773">
        <f>(N2773+P2773*R2773/1000)*U2773*W2773*Y2773</f>
        <v>13.536564480000003</v>
      </c>
    </row>
    <row r="2775">
      <c r="A2775" t="str">
        <f>A2755</f>
        <v>Lantai 2</v>
      </c>
      <c r="B2775">
        <f>B2755</f>
        <v>5</v>
      </c>
      <c r="C2775" t="str">
        <v>Sengkang Tumpuan</v>
      </c>
      <c r="D2775">
        <f>VLOOKUP(D2755,'Detail Balok'!$C$10:$AU$140,31,FALSE)</f>
        <v>0</v>
      </c>
      <c r="E2775" t="str">
        <v>D</v>
      </c>
      <c r="F2775">
        <f>VLOOKUP(D2755,'Detail Balok'!$C$10:$AU$140,33,FALSE)</f>
        <v>10</v>
      </c>
      <c r="G2775" t="str">
        <v>-</v>
      </c>
      <c r="H2775">
        <f>VLOOKUP(D2755,'Detail Balok'!$C$10:$AU$140,35,FALSE)</f>
        <v>100</v>
      </c>
      <c r="J2775">
        <f>(IF(D2775=0,(2*(D2756+G2756))-(F$5*8),IF(D2775=3,(2*(D2756+G2756))-(F$5*8)+(G2756-2*F$5),IF(D2775=4,(2*(D2756+G2756))-(F$5*8)+2*(G2756-2*F$5)))))/1000</f>
        <v>0.88</v>
      </c>
      <c r="K2775" t="str">
        <v>+</v>
      </c>
      <c r="L2775">
        <f>IF(D2775=0,2*MAX(6*F2775,75),(D2775-1)*2*MAX(6*F2775,75))/1000</f>
        <v>0.15</v>
      </c>
      <c r="M2775" t="str">
        <v>=</v>
      </c>
      <c r="N2775">
        <f>J2775+L2775</f>
        <v>1.03</v>
      </c>
      <c r="T2775" t="str">
        <v>x</v>
      </c>
      <c r="U2775">
        <f>0.006165*F2775^2</f>
        <v>0.6165</v>
      </c>
      <c r="V2775" t="str">
        <v>x</v>
      </c>
      <c r="W2775">
        <f>IF(D2758&gt;4*G2756,ROUND(MAX(D2758/4,2*G2756)/H2775,0)+1,ROUND(D2758/H2775,0)+1)</f>
        <v>9</v>
      </c>
      <c r="X2775" t="str">
        <v>x</v>
      </c>
      <c r="Y2775">
        <f>D2761</f>
        <v>1</v>
      </c>
      <c r="Z2775" t="str">
        <v>=</v>
      </c>
      <c r="AA2775">
        <f>N2775*U2775*W2775*Y2775</f>
        <v>5.714955000000001</v>
      </c>
    </row>
    <row r="2776">
      <c r="A2776" t="str">
        <f>A2755</f>
        <v>Lantai 2</v>
      </c>
      <c r="B2776">
        <f>B2755</f>
        <v>5</v>
      </c>
      <c r="C2776" t="str">
        <v>Sengkang Lapangan</v>
      </c>
      <c r="D2776">
        <f>VLOOKUP(D2755,'Detail Balok'!$C$10:$AU$140,36,FALSE)</f>
        <v>0</v>
      </c>
      <c r="E2776" t="str">
        <v>D</v>
      </c>
      <c r="F2776">
        <f>VLOOKUP(D2755,'Detail Balok'!$C$10:$AU$140,38,FALSE)</f>
        <v>10</v>
      </c>
      <c r="G2776" t="str">
        <v>-</v>
      </c>
      <c r="H2776">
        <f>VLOOKUP(D2755,'Detail Balok'!$C$10:$AU$140,40,FALSE)</f>
        <v>100</v>
      </c>
      <c r="J2776">
        <f>(IF(D2776=0,(2*(D2756+G2756))-(F$5*8),IF(D2776=3,(2*(D2756+G2756))-(F$5*8)+(G2756-2*F$5),IF(D2776=4,(2*(D2756+G2756))-(F$5*8)+2*(G2756-2*F$5)))))/1000</f>
        <v>0.88</v>
      </c>
      <c r="K2776" t="str">
        <v>+</v>
      </c>
      <c r="L2776">
        <f>IF(D2776=0,2*MAX(6*F2776,75),(D2776-1)*2*MAX(6*F2776,75))/1000</f>
        <v>0.15</v>
      </c>
      <c r="M2776" t="str">
        <v>=</v>
      </c>
      <c r="N2776">
        <f>J2776+L2776</f>
        <v>1.03</v>
      </c>
      <c r="T2776" t="str">
        <v>x</v>
      </c>
      <c r="U2776">
        <f>0.006165*F2776^2</f>
        <v>0.6165</v>
      </c>
      <c r="V2776" t="str">
        <v>x</v>
      </c>
      <c r="W2776">
        <f>IF(D2758-MAX(D2758/4,2*G2756)*2&gt;0,ROUND((D2758-MAX(D2758/4,2*G2756)*2)/H2776,0),0)</f>
        <v>9</v>
      </c>
      <c r="X2776" t="str">
        <v>x</v>
      </c>
      <c r="Y2776">
        <f>D2761</f>
        <v>1</v>
      </c>
      <c r="Z2776" t="str">
        <v>=</v>
      </c>
      <c r="AA2776">
        <f>N2776*U2776*W2776*Y2776</f>
        <v>5.714955000000001</v>
      </c>
    </row>
    <row r="2777">
      <c r="A2777" t="str">
        <f>A2755</f>
        <v>Lantai 2</v>
      </c>
      <c r="B2777">
        <f>B2755</f>
        <v>5</v>
      </c>
      <c r="C2777" t="str">
        <v>Sengkang Tumpuan</v>
      </c>
      <c r="D2777">
        <f>VLOOKUP(D2755,'Detail Balok'!$C$10:$AU$140,41,FALSE)</f>
        <v>0</v>
      </c>
      <c r="E2777" t="str">
        <v>D</v>
      </c>
      <c r="F2777">
        <f>VLOOKUP(D2755,'Detail Balok'!$C$10:$AU$140,43,FALSE)</f>
        <v>10</v>
      </c>
      <c r="G2777" t="str">
        <v>-</v>
      </c>
      <c r="H2777">
        <f>VLOOKUP(D2755,'Detail Balok'!$C$10:$AU$140,45,FALSE)</f>
        <v>100</v>
      </c>
      <c r="J2777">
        <f>(IF(D2777=0,(2*(D2756+G2756))-(F$5*8),IF(D2777=3,(2*(D2756+G2756))-(F$5*8)+(G2756-2*F$5),IF(D2777=4,(2*(D2756+G2756))-(F$5*8)+2*(G2756-2*F$5)))))/1000</f>
        <v>0.88</v>
      </c>
      <c r="K2777" t="str">
        <v>+</v>
      </c>
      <c r="L2777">
        <f>IF(D2777=0,2*MAX(6*F2777,75),(D2777-1)*2*MAX(6*F2777,75))/1000</f>
        <v>0.15</v>
      </c>
      <c r="M2777" t="str">
        <v>=</v>
      </c>
      <c r="N2777">
        <f>J2777+L2777</f>
        <v>1.03</v>
      </c>
      <c r="T2777" t="str">
        <v>x</v>
      </c>
      <c r="U2777">
        <f>0.006165*F2777^2</f>
        <v>0.6165</v>
      </c>
      <c r="V2777" t="str">
        <v>x</v>
      </c>
      <c r="W2777">
        <f>IF(D2758&gt;4*G2756,ROUND(MAX(D2758/4,2*G2756)/H2777,0)+1,0)</f>
        <v>9</v>
      </c>
      <c r="X2777" t="str">
        <v>x</v>
      </c>
      <c r="Y2777">
        <f>D2761</f>
        <v>1</v>
      </c>
      <c r="Z2777" t="str">
        <v>=</v>
      </c>
      <c r="AA2777">
        <f>N2777*U2777*W2777*Y2777</f>
        <v>5.714955000000001</v>
      </c>
    </row>
    <row r="2779">
      <c r="A2779" t="str">
        <f>A2755</f>
        <v>Lantai 2</v>
      </c>
      <c r="B2779">
        <f>B2755</f>
        <v>5</v>
      </c>
      <c r="C2779" t="str">
        <v>Kait Horizontal Tump.</v>
      </c>
      <c r="D2779">
        <f>VLOOKUP(D2755,'Detail Balok'!$C$10:$BJ$140,46,FALSE)</f>
        <v>0</v>
      </c>
      <c r="E2779" t="str">
        <v>D</v>
      </c>
      <c r="F2779">
        <f>VLOOKUP(D2755,'Detail Balok'!$C$10:$BJ$140,48,FALSE)</f>
        <v>0</v>
      </c>
      <c r="G2779" t="str">
        <v>-</v>
      </c>
      <c r="H2779">
        <f>VLOOKUP(D2755,'Detail Balok'!$C$10:$BJ$140,50,FALSE)</f>
        <v>100</v>
      </c>
      <c r="J2779">
        <f>(D2756-2*F$5)/1000</f>
        <v>0.12</v>
      </c>
      <c r="K2779" t="str">
        <v>+</v>
      </c>
      <c r="L2779">
        <f>IF(D2779=0,2*MAX(6*F2779,75),(D2779-1)*2*MAX(6*F2779,75))/1000</f>
        <v>0.15</v>
      </c>
      <c r="M2779" t="str">
        <v>=</v>
      </c>
      <c r="N2779">
        <f>J2779+L2779</f>
        <v>0.27</v>
      </c>
      <c r="T2779" t="str">
        <v>x</v>
      </c>
      <c r="U2779">
        <f>0.006165*F2779^2</f>
        <v>0</v>
      </c>
      <c r="V2779" t="str">
        <v>x</v>
      </c>
      <c r="W2779">
        <f>W2775</f>
        <v>9</v>
      </c>
      <c r="X2779" t="str">
        <v>x</v>
      </c>
      <c r="Y2779">
        <f>D2765</f>
        <v>3</v>
      </c>
      <c r="Z2779" t="str">
        <v>=</v>
      </c>
      <c r="AA2779">
        <f>N2779*U2779*W2779*Y2779</f>
        <v>0</v>
      </c>
    </row>
    <row r="2780">
      <c r="A2780" t="str">
        <f>A2755</f>
        <v>Lantai 2</v>
      </c>
      <c r="B2780">
        <f>B2755</f>
        <v>5</v>
      </c>
      <c r="C2780" t="str">
        <v>Kait Horizontal Lap.</v>
      </c>
      <c r="D2780">
        <f>VLOOKUP(D2755,'Detail Balok'!$C$10:$BJ$140,51,FALSE)</f>
        <v>0</v>
      </c>
      <c r="E2780" t="str">
        <v>D</v>
      </c>
      <c r="F2780">
        <f>VLOOKUP(D2755,'Detail Balok'!$C$10:$BJ$140,53,FALSE)</f>
        <v>0</v>
      </c>
      <c r="G2780" t="str">
        <v>-</v>
      </c>
      <c r="H2780">
        <f>VLOOKUP(D2755,'Detail Balok'!$C$10:$BJ$140,55,FALSE)</f>
        <v>100</v>
      </c>
      <c r="J2780">
        <f>(D2756-2*F$5)/1000</f>
        <v>0.12</v>
      </c>
      <c r="K2780" t="str">
        <v>+</v>
      </c>
      <c r="L2780">
        <f>IF(D2780=0,2*MAX(6*F2780,75),(D2780-1)*2*MAX(6*F2780,75))/1000</f>
        <v>0.15</v>
      </c>
      <c r="M2780" t="str">
        <v>=</v>
      </c>
      <c r="N2780">
        <f>J2780+L2780</f>
        <v>0.27</v>
      </c>
      <c r="T2780" t="str">
        <v>x</v>
      </c>
      <c r="U2780">
        <f>0.006165*F2780^2</f>
        <v>0</v>
      </c>
      <c r="V2780" t="str">
        <v>x</v>
      </c>
      <c r="W2780">
        <f>W2776</f>
        <v>9</v>
      </c>
      <c r="X2780" t="str">
        <v>x</v>
      </c>
      <c r="Y2780">
        <f>D2765</f>
        <v>3</v>
      </c>
      <c r="Z2780" t="str">
        <v>=</v>
      </c>
      <c r="AA2780">
        <f>N2780*U2780*W2780*Y2780</f>
        <v>0</v>
      </c>
    </row>
    <row r="2781">
      <c r="A2781" t="str">
        <f>A2755</f>
        <v>Lantai 2</v>
      </c>
      <c r="B2781">
        <f>B2755</f>
        <v>5</v>
      </c>
      <c r="C2781" t="str">
        <v>Kait Horizontal Tump.</v>
      </c>
      <c r="D2781">
        <f>VLOOKUP(D2755,'Detail Balok'!$C$10:$BJ$140,56,FALSE)</f>
        <v>0</v>
      </c>
      <c r="E2781" t="str">
        <v>D</v>
      </c>
      <c r="F2781">
        <f>VLOOKUP(D2755,'Detail Balok'!$C$10:$BJ$140,58,FALSE)</f>
        <v>0</v>
      </c>
      <c r="G2781" t="str">
        <v>-</v>
      </c>
      <c r="H2781">
        <f>VLOOKUP(D2755,'Detail Balok'!$C$10:$BJ$140,60,FALSE)</f>
        <v>100</v>
      </c>
      <c r="J2781">
        <f>(D2756-2*F$5)/1000</f>
        <v>0.12</v>
      </c>
      <c r="K2781" t="str">
        <v>+</v>
      </c>
      <c r="L2781">
        <f>IF(D2781=0,2*MAX(6*F2781,75),(D2781-1)*2*MAX(6*F2781,75))/1000</f>
        <v>0.15</v>
      </c>
      <c r="M2781" t="str">
        <v>=</v>
      </c>
      <c r="N2781">
        <f>J2781+L2781</f>
        <v>0.27</v>
      </c>
      <c r="T2781" t="str">
        <v>x</v>
      </c>
      <c r="U2781">
        <f>0.006165*F2781^2</f>
        <v>0</v>
      </c>
      <c r="V2781" t="str">
        <v>x</v>
      </c>
      <c r="W2781">
        <f>W2777</f>
        <v>9</v>
      </c>
      <c r="X2781" t="str">
        <v>x</v>
      </c>
      <c r="Y2781">
        <f>D2765</f>
        <v>3</v>
      </c>
      <c r="Z2781" t="str">
        <v>=</v>
      </c>
      <c r="AA2781">
        <f>N2781*U2781*W2781*Y2781</f>
        <v>0</v>
      </c>
    </row>
    <row r="2785">
      <c r="A2785" t="str">
        <f>A2755</f>
        <v>Lantai 2</v>
      </c>
      <c r="B2785">
        <f>B2755+1</f>
        <v>6</v>
      </c>
      <c r="C2785" t="str">
        <f>CONCATENATE(A2785," no. ",B2785)</f>
        <v>Lantai 2 no. 6</v>
      </c>
      <c r="D2785" t="str">
        <f>VLOOKUP(C2785,'Data Panjang Balok'!$C$9:$N$254,2,FALSE)</f>
        <v>B36-1</v>
      </c>
    </row>
    <row r="2786">
      <c r="C2786" t="str">
        <v>Dimensi</v>
      </c>
      <c r="D2786">
        <f>VLOOKUP(D2785,'Detail Balok'!$C$10:$AU$140,2,FALSE)</f>
        <v>300</v>
      </c>
      <c r="F2786" t="str">
        <v>x</v>
      </c>
      <c r="G2786">
        <f>VLOOKUP(D2785,'Detail Balok'!$C$10:$AU$140,3,FALSE)</f>
        <v>600</v>
      </c>
    </row>
    <row r="2787">
      <c r="C2787" t="str">
        <v>Panjang as ke as</v>
      </c>
      <c r="D2787">
        <f>VLOOKUP(C2785,'Data Panjang Balok'!$C$9:$N$254,4,FALSE)</f>
        <v>9000</v>
      </c>
    </row>
    <row r="2788">
      <c r="C2788" t="str">
        <v>Panjang netto</v>
      </c>
      <c r="D2788">
        <f>VLOOKUP(C2785,'Data Panjang Balok'!$C$9:$N$254,7,FALSE)</f>
        <v>9000</v>
      </c>
    </row>
    <row r="2789">
      <c r="C2789" t="str">
        <v>Kolom / balok kiri</v>
      </c>
      <c r="D2789">
        <f>VLOOKUP(C2785,'Data Panjang Balok'!$C$9:$N$254,9,FALSE)</f>
        <v>0</v>
      </c>
    </row>
    <row r="2790">
      <c r="C2790" t="str">
        <v>Kolom / balok kanan</v>
      </c>
      <c r="D2790">
        <f>VLOOKUP(C2785,'Data Panjang Balok'!$C$9:$N$254,10,FALSE)</f>
        <v>0</v>
      </c>
    </row>
    <row r="2791">
      <c r="C2791" t="str">
        <v>Jumlah</v>
      </c>
      <c r="D2791">
        <f>VLOOKUP(C2785,'Data Panjang Balok'!$C$9:$N$254,3,FALSE)</f>
        <v>1</v>
      </c>
    </row>
    <row r="2792">
      <c r="A2792" t="str">
        <f>A2785</f>
        <v>Lantai 2</v>
      </c>
      <c r="B2792">
        <f>B2785</f>
        <v>6</v>
      </c>
      <c r="C2792" t="str">
        <v>Tul Atas Tumpuan</v>
      </c>
      <c r="D2792">
        <f>VLOOKUP(D2785,'Detail Balok'!$C$10:$AU$140,4,FALSE)</f>
        <v>5</v>
      </c>
      <c r="E2792" t="str">
        <v>D</v>
      </c>
      <c r="F2792">
        <f>VLOOKUP(D2785,'Detail Balok'!$C$10:$AU$140,6,FALSE)</f>
        <v>16</v>
      </c>
      <c r="I2792" t="str">
        <v>(</v>
      </c>
      <c r="J2792">
        <f>+D2787/4/1000</f>
        <v>2.25</v>
      </c>
      <c r="K2792" t="str">
        <v>+</v>
      </c>
      <c r="L2792">
        <f>MAX(VLOOKUP(F2792,N$6:P$15,3,FALSE)/1000,2/3*D2789/1000)+F$16*F2792/1000</f>
        <v>0.192</v>
      </c>
      <c r="M2792" t="str">
        <v>=</v>
      </c>
      <c r="N2792">
        <f>J2792+L2792</f>
        <v>2.442</v>
      </c>
      <c r="O2792" t="str">
        <v>+</v>
      </c>
      <c r="P2792">
        <f>D2792-D2793</f>
        <v>0</v>
      </c>
      <c r="Q2792" t="str">
        <v>x</v>
      </c>
      <c r="R2792">
        <f>IF(P2792&gt;0,$F$18*F2792/1000,0)</f>
        <v>0</v>
      </c>
      <c r="S2792" t="str">
        <v>)</v>
      </c>
      <c r="T2792" t="str">
        <v>x</v>
      </c>
      <c r="U2792">
        <f>0.006165*F2792^2</f>
        <v>1.57824</v>
      </c>
      <c r="X2792" t="str">
        <v>x</v>
      </c>
      <c r="Y2792">
        <f>D2791</f>
        <v>1</v>
      </c>
      <c r="Z2792" t="str">
        <v>=</v>
      </c>
      <c r="AA2792">
        <f>IF(AA2795=0,(D2792*N2792+P2792*R2792)*U2792*Y2792,0)</f>
        <v>0</v>
      </c>
    </row>
    <row r="2793">
      <c r="A2793" t="str">
        <f>A2785</f>
        <v>Lantai 2</v>
      </c>
      <c r="B2793">
        <f>B2785</f>
        <v>6</v>
      </c>
      <c r="C2793" t="str">
        <v>Tul Atas Lapangan</v>
      </c>
      <c r="D2793">
        <f>VLOOKUP(D2785,'Detail Balok'!$C$10:$AU$140,7,FALSE)</f>
        <v>5</v>
      </c>
      <c r="E2793" t="str">
        <v>D</v>
      </c>
      <c r="F2793">
        <f>VLOOKUP(D2785,'Detail Balok'!$C$10:$AU$140,9,FALSE)</f>
        <v>16</v>
      </c>
      <c r="I2793" t="str">
        <v>(</v>
      </c>
      <c r="J2793">
        <f>+D2787/2/1000</f>
        <v>4.5</v>
      </c>
      <c r="K2793" t="str">
        <v>+</v>
      </c>
      <c r="M2793" t="str">
        <v>=</v>
      </c>
      <c r="N2793">
        <f>J2793+L2793</f>
        <v>4.5</v>
      </c>
      <c r="O2793" t="str">
        <v>+</v>
      </c>
      <c r="P2793">
        <f>MAX(D2793-D2792,D2793-D2794)</f>
        <v>0</v>
      </c>
      <c r="Q2793" t="str">
        <v>x</v>
      </c>
      <c r="R2793">
        <f>IF(P2793&gt;0,2*(1-2*$F$19-1/2)*D2788/1000,0)</f>
        <v>0</v>
      </c>
      <c r="S2793" t="str">
        <v>)</v>
      </c>
      <c r="T2793" t="str">
        <v>x</v>
      </c>
      <c r="U2793">
        <f>0.006165*F2793^2</f>
        <v>1.57824</v>
      </c>
      <c r="X2793" t="str">
        <v>x</v>
      </c>
      <c r="Y2793">
        <f>D2791</f>
        <v>1</v>
      </c>
      <c r="Z2793" t="str">
        <v>=</v>
      </c>
      <c r="AA2793">
        <f>IF(AA2795=0,(D2793*N2793+P2793*R2793)*U2793*Y2793,0)</f>
        <v>0</v>
      </c>
    </row>
    <row r="2794">
      <c r="A2794" t="str">
        <f>A2785</f>
        <v>Lantai 2</v>
      </c>
      <c r="B2794">
        <f>B2785</f>
        <v>6</v>
      </c>
      <c r="C2794" t="str">
        <v>Tul Atas Tumpuan</v>
      </c>
      <c r="D2794">
        <f>VLOOKUP(D2785,'Detail Balok'!$C$10:$AU$140,10,FALSE)</f>
        <v>5</v>
      </c>
      <c r="E2794" t="str">
        <v>D</v>
      </c>
      <c r="F2794">
        <f>VLOOKUP(D2785,'Detail Balok'!$C$10:$AU$140,12,FALSE)</f>
        <v>16</v>
      </c>
      <c r="I2794" t="str">
        <v>(</v>
      </c>
      <c r="J2794">
        <f>+D2787/4/1000</f>
        <v>2.25</v>
      </c>
      <c r="K2794" t="str">
        <v>+</v>
      </c>
      <c r="L2794">
        <f>MAX(VLOOKUP(F2794,N$6:P$15,3,FALSE)/1000,2/3*D2789/1000)+F$16*F2794/1000</f>
        <v>0.192</v>
      </c>
      <c r="M2794" t="str">
        <v>=</v>
      </c>
      <c r="N2794">
        <f>J2794+L2794</f>
        <v>2.442</v>
      </c>
      <c r="O2794" t="str">
        <v>+</v>
      </c>
      <c r="P2794">
        <f>D2794-D2793</f>
        <v>0</v>
      </c>
      <c r="Q2794" t="str">
        <v>x</v>
      </c>
      <c r="R2794">
        <f>IF(P2794&gt;0,$F$18*F2794/1000,0)</f>
        <v>0</v>
      </c>
      <c r="S2794" t="str">
        <v>)</v>
      </c>
      <c r="T2794" t="str">
        <v>x</v>
      </c>
      <c r="U2794">
        <f>0.006165*F2794^2</f>
        <v>1.57824</v>
      </c>
      <c r="X2794" t="str">
        <v>x</v>
      </c>
      <c r="Y2794">
        <f>D2791</f>
        <v>1</v>
      </c>
      <c r="Z2794" t="str">
        <v>=</v>
      </c>
      <c r="AA2794">
        <f>IF(AA2795=0,(D2794*N2794+P2794*R2794)*U2794*Y2794,0)</f>
        <v>0</v>
      </c>
    </row>
    <row r="2795">
      <c r="A2795" t="str">
        <f>A2785</f>
        <v>Lantai 2</v>
      </c>
      <c r="B2795">
        <f>B2785</f>
        <v>6</v>
      </c>
      <c r="D2795">
        <f>IF(AND(D2792=D2793,D2793=D2794,D2792=D2794),D2792,0)</f>
        <v>5</v>
      </c>
      <c r="E2795" t="str">
        <v>D</v>
      </c>
      <c r="F2795">
        <f>IF(AND(F2792=F2793,F2792=F2794,F2793=F2794),F2792,0)</f>
        <v>16</v>
      </c>
      <c r="L2795" t="str">
        <v>Total panjang per balok</v>
      </c>
      <c r="M2795" t="str">
        <v>=</v>
      </c>
      <c r="N2795">
        <f>IF(AND(D2792=D2793,D2792=D2794,D2793=D2794,F2792=F2793,F2792=F2794,F2793=F2794),SUM(N2792:N2794),0)</f>
        <v>9.384</v>
      </c>
      <c r="O2795" t="str">
        <v>+</v>
      </c>
      <c r="P2795">
        <f>IF(N2795&gt;12,ROUNDDOWN(N2795/12,0),0)</f>
        <v>0</v>
      </c>
      <c r="Q2795" t="str">
        <v>x</v>
      </c>
      <c r="R2795">
        <f>IF(P2795&gt;0,MAX(VLOOKUP(F2795,$D$6:$G$15,3,FALSE),600),0)/1000</f>
        <v>0</v>
      </c>
      <c r="T2795" t="str">
        <v>x</v>
      </c>
      <c r="U2795">
        <f>U2794</f>
        <v>1.57824</v>
      </c>
      <c r="V2795" t="str">
        <v>x</v>
      </c>
      <c r="W2795">
        <f>D2795</f>
        <v>5</v>
      </c>
      <c r="X2795" t="str">
        <v>x</v>
      </c>
      <c r="Y2795">
        <f>Y2794</f>
        <v>1</v>
      </c>
      <c r="Z2795" t="str">
        <v>=</v>
      </c>
      <c r="AA2795">
        <f>(N2795+P2795*R2795/1000)*U2795*W2795*Y2795</f>
        <v>74.0510208</v>
      </c>
    </row>
    <row r="2797">
      <c r="A2797" t="str">
        <f>A2785</f>
        <v>Lantai 2</v>
      </c>
      <c r="B2797">
        <f>B2785</f>
        <v>6</v>
      </c>
      <c r="C2797" t="str">
        <v>Tul Peminggang</v>
      </c>
      <c r="D2797">
        <f>VLOOKUP(D2785,'Detail Balok'!$C$10:$AU$140,13,FALSE)</f>
        <v>2</v>
      </c>
      <c r="E2797" t="str">
        <v>D</v>
      </c>
      <c r="F2797">
        <f>VLOOKUP(D2785,'Detail Balok'!$C$10:$AU$140,15,FALSE)</f>
        <v>10</v>
      </c>
      <c r="J2797">
        <f>+D2787/1000</f>
        <v>9</v>
      </c>
      <c r="K2797" t="str">
        <v>+</v>
      </c>
      <c r="L2797">
        <f>2*$F$16*F2797/1000</f>
        <v>0.24</v>
      </c>
      <c r="M2797" t="str">
        <v>=</v>
      </c>
      <c r="N2797">
        <f>J2797+L2797</f>
        <v>9.24</v>
      </c>
      <c r="O2797" t="str">
        <v>+</v>
      </c>
      <c r="P2797">
        <f>IF(N2797&gt;12,ROUNDDOWN(N2797/12,0),0)</f>
        <v>0</v>
      </c>
      <c r="Q2797" t="str">
        <v>x</v>
      </c>
      <c r="R2797">
        <f>IF(P2797&gt;0,MAX(VLOOKUP(F2797,$D$6:$G$15,3,FALSE),600),0)/1000</f>
        <v>0</v>
      </c>
      <c r="T2797" t="str">
        <v>x</v>
      </c>
      <c r="U2797">
        <f>0.006165*F2797^2</f>
        <v>0.6165</v>
      </c>
      <c r="V2797" t="str">
        <v>x</v>
      </c>
      <c r="W2797">
        <f>+D2797</f>
        <v>2</v>
      </c>
      <c r="X2797" t="str">
        <v>x</v>
      </c>
      <c r="Y2797">
        <f>D2791</f>
        <v>1</v>
      </c>
      <c r="Z2797" t="str">
        <v>=</v>
      </c>
      <c r="AA2797">
        <f>(N2797+P2797*R2797/1000)*U2797*W2797*Y2797</f>
        <v>11.392920000000002</v>
      </c>
    </row>
    <row r="2800">
      <c r="A2800" t="str">
        <f>A2785</f>
        <v>Lantai 2</v>
      </c>
      <c r="B2800">
        <f>B2785</f>
        <v>6</v>
      </c>
      <c r="C2800" t="str">
        <v>Tul Bawah Tumpuan</v>
      </c>
      <c r="D2800">
        <f>VLOOKUP(D2785,'Detail Balok'!$C$10:$AU$140,22,FALSE)</f>
        <v>5</v>
      </c>
      <c r="E2800" t="str">
        <v>D</v>
      </c>
      <c r="F2800">
        <f>VLOOKUP(D2785,'Detail Balok'!$C$10:$AU$140,24,FALSE)</f>
        <v>16</v>
      </c>
      <c r="I2800" t="str">
        <v>(</v>
      </c>
      <c r="J2800">
        <f>+J2792</f>
        <v>2.25</v>
      </c>
      <c r="K2800" t="str">
        <v>+</v>
      </c>
      <c r="L2800">
        <f>MAX(VLOOKUP(F2800,N$6:P$15,3,FALSE)/1000,2/3*D2790/1000)+F$16*F2800/1000</f>
        <v>0.192</v>
      </c>
      <c r="M2800" t="str">
        <v>=</v>
      </c>
      <c r="N2800">
        <f>J2800+L2800</f>
        <v>2.442</v>
      </c>
      <c r="O2800" t="str">
        <v>+</v>
      </c>
      <c r="P2800">
        <f>D2800-D2801</f>
        <v>0</v>
      </c>
      <c r="Q2800" t="str">
        <v>x</v>
      </c>
      <c r="R2800">
        <f>IF(P2800&gt;0,$F$18*F2800/1000,0)</f>
        <v>0</v>
      </c>
      <c r="S2800" t="str">
        <v>)</v>
      </c>
      <c r="T2800" t="str">
        <v>x</v>
      </c>
      <c r="U2800">
        <f>0.006165*F2800^2</f>
        <v>1.57824</v>
      </c>
      <c r="X2800" t="str">
        <v>x</v>
      </c>
      <c r="Y2800">
        <f>D2791</f>
        <v>1</v>
      </c>
      <c r="Z2800" t="str">
        <v>=</v>
      </c>
      <c r="AA2800">
        <f>IF(AA2803=0,(D2800*N2800+P2800*R2800)*U2800*Y2800,0)</f>
        <v>0</v>
      </c>
    </row>
    <row r="2801">
      <c r="A2801" t="str">
        <f>A2785</f>
        <v>Lantai 2</v>
      </c>
      <c r="B2801">
        <f>B2785</f>
        <v>6</v>
      </c>
      <c r="C2801" t="str">
        <v>Tul Bawah Lapangan</v>
      </c>
      <c r="D2801">
        <f>VLOOKUP(D2785,'Detail Balok'!$C$10:$AU$140,25,FALSE)</f>
        <v>5</v>
      </c>
      <c r="E2801" t="str">
        <v>D</v>
      </c>
      <c r="F2801">
        <f>VLOOKUP(D2785,'Detail Balok'!$C$10:$AU$140,27,FALSE)</f>
        <v>16</v>
      </c>
      <c r="I2801" t="str">
        <v>(</v>
      </c>
      <c r="J2801">
        <f>+J2793</f>
        <v>4.5</v>
      </c>
      <c r="K2801" t="str">
        <v>+</v>
      </c>
      <c r="M2801" t="str">
        <v>=</v>
      </c>
      <c r="N2801">
        <f>J2801+L2801</f>
        <v>4.5</v>
      </c>
      <c r="O2801" t="str">
        <v>+</v>
      </c>
      <c r="P2801">
        <f>MAX(D2801-D2800,D2801-D2802)</f>
        <v>0</v>
      </c>
      <c r="Q2801" t="str">
        <v>x</v>
      </c>
      <c r="R2801">
        <f>IF(P2801&gt;0,2*(1-2*$F$19-1/2)*D2788/1000,0)</f>
        <v>0</v>
      </c>
      <c r="S2801" t="str">
        <v>)</v>
      </c>
      <c r="T2801" t="str">
        <v>x</v>
      </c>
      <c r="U2801">
        <f>0.006165*F2801^2</f>
        <v>1.57824</v>
      </c>
      <c r="X2801" t="str">
        <v>x</v>
      </c>
      <c r="Y2801">
        <f>D2791</f>
        <v>1</v>
      </c>
      <c r="Z2801" t="str">
        <v>=</v>
      </c>
      <c r="AA2801">
        <f>IF(AA2803=0,(D2801*N2801+P2801*R2801)*U2801*Y2801,0)</f>
        <v>0</v>
      </c>
    </row>
    <row r="2802">
      <c r="A2802" t="str">
        <f>A2785</f>
        <v>Lantai 2</v>
      </c>
      <c r="B2802">
        <f>B2785</f>
        <v>6</v>
      </c>
      <c r="C2802" t="str">
        <v>Tul Bawah Tumpuan</v>
      </c>
      <c r="D2802">
        <f>VLOOKUP(D2785,'Detail Balok'!$C$10:$AU$140,28,FALSE)</f>
        <v>5</v>
      </c>
      <c r="E2802" t="str">
        <v>D</v>
      </c>
      <c r="F2802">
        <f>VLOOKUP(D2785,'Detail Balok'!$C$10:$AU$140,30,FALSE)</f>
        <v>16</v>
      </c>
      <c r="I2802" t="str">
        <v>(</v>
      </c>
      <c r="J2802">
        <f>+J2794</f>
        <v>2.25</v>
      </c>
      <c r="K2802" t="str">
        <v>+</v>
      </c>
      <c r="L2802">
        <f>MAX(VLOOKUP(F2802,N$6:P$15,3,FALSE)/1000,2/3*D2790/1000)+F$16*F2802/1000</f>
        <v>0.192</v>
      </c>
      <c r="M2802" t="str">
        <v>=</v>
      </c>
      <c r="N2802">
        <f>J2802+L2802</f>
        <v>2.442</v>
      </c>
      <c r="O2802" t="str">
        <v>+</v>
      </c>
      <c r="P2802">
        <f>D2802-D2801</f>
        <v>0</v>
      </c>
      <c r="Q2802" t="str">
        <v>x</v>
      </c>
      <c r="R2802">
        <f>IF(P2802&gt;0,$F$18*F2802/1000,0)</f>
        <v>0</v>
      </c>
      <c r="S2802" t="str">
        <v>)</v>
      </c>
      <c r="T2802" t="str">
        <v>x</v>
      </c>
      <c r="U2802">
        <f>0.006165*F2802^2</f>
        <v>1.57824</v>
      </c>
      <c r="X2802" t="str">
        <v>x</v>
      </c>
      <c r="Y2802">
        <f>D2791</f>
        <v>1</v>
      </c>
      <c r="Z2802" t="str">
        <v>=</v>
      </c>
      <c r="AA2802">
        <f>IF(AA2803=0,(D2802*N2802+P2802*R2802)*U2802*Y2802,0)</f>
        <v>0</v>
      </c>
    </row>
    <row r="2803">
      <c r="A2803" t="str">
        <f>A2785</f>
        <v>Lantai 2</v>
      </c>
      <c r="B2803">
        <f>B2785</f>
        <v>6</v>
      </c>
      <c r="D2803">
        <f>IF(AND(D2800=D2801,D2801=D2802,D2800=D2802),D2800,0)</f>
        <v>5</v>
      </c>
      <c r="E2803" t="str">
        <v>D</v>
      </c>
      <c r="F2803">
        <f>IF(AND(F2800=F2801,F2800=F2802,F2801=F2802),F2800,0)</f>
        <v>16</v>
      </c>
      <c r="L2803" t="str">
        <v>Total panjang per balok</v>
      </c>
      <c r="M2803" t="str">
        <v>=</v>
      </c>
      <c r="N2803">
        <f>IF(AND(D2800=D2801,D2800=D2802,D2801=D2802,F2800=F2801,F2800=F2802,F2801=F2802),SUM(N2800:N2802),0)</f>
        <v>9.384</v>
      </c>
      <c r="O2803" t="str">
        <v>+</v>
      </c>
      <c r="P2803">
        <f>IF(N2803&gt;12,ROUNDDOWN(N2803/12,0),0)</f>
        <v>0</v>
      </c>
      <c r="Q2803" t="str">
        <v>x</v>
      </c>
      <c r="R2803">
        <f>IF(P2803&gt;0,MAX(VLOOKUP(F2803,$D$6:$G$15,3,FALSE),600),0)/1000</f>
        <v>0</v>
      </c>
      <c r="T2803" t="str">
        <v>x</v>
      </c>
      <c r="U2803">
        <f>U2802</f>
        <v>1.57824</v>
      </c>
      <c r="V2803" t="str">
        <v>x</v>
      </c>
      <c r="W2803">
        <f>D2803</f>
        <v>5</v>
      </c>
      <c r="X2803" t="str">
        <v>x</v>
      </c>
      <c r="Y2803">
        <f>Y2802</f>
        <v>1</v>
      </c>
      <c r="Z2803" t="str">
        <v>=</v>
      </c>
      <c r="AA2803">
        <f>(N2803+P2803*R2803/1000)*U2803*W2803*Y2803</f>
        <v>74.0510208</v>
      </c>
    </row>
    <row r="2805">
      <c r="A2805" t="str">
        <f>A2785</f>
        <v>Lantai 2</v>
      </c>
      <c r="B2805">
        <f>B2785</f>
        <v>6</v>
      </c>
      <c r="C2805" t="str">
        <v>Sengkang Tumpuan</v>
      </c>
      <c r="D2805">
        <f>VLOOKUP(D2785,'Detail Balok'!$C$10:$AU$140,31,FALSE)</f>
        <v>0</v>
      </c>
      <c r="E2805" t="str">
        <v>D</v>
      </c>
      <c r="F2805">
        <f>VLOOKUP(D2785,'Detail Balok'!$C$10:$AU$140,33,FALSE)</f>
        <v>10</v>
      </c>
      <c r="G2805" t="str">
        <v>-</v>
      </c>
      <c r="H2805">
        <f>VLOOKUP(D2785,'Detail Balok'!$C$10:$AU$140,35,FALSE)</f>
        <v>100</v>
      </c>
      <c r="J2805">
        <f>(IF(D2805=0,(2*(D2786+G2786))-(F$5*8),IF(D2805=3,(2*(D2786+G2786))-(F$5*8)+(G2786-2*F$5),IF(D2805=4,(2*(D2786+G2786))-(F$5*8)+2*(G2786-2*F$5)))))/1000</f>
        <v>1.48</v>
      </c>
      <c r="K2805" t="str">
        <v>+</v>
      </c>
      <c r="L2805">
        <f>IF(D2805=0,2*MAX(6*F2805,75),(D2805-1)*2*MAX(6*F2805,75))/1000</f>
        <v>0.15</v>
      </c>
      <c r="M2805" t="str">
        <v>=</v>
      </c>
      <c r="N2805">
        <f>J2805+L2805</f>
        <v>1.63</v>
      </c>
      <c r="T2805" t="str">
        <v>x</v>
      </c>
      <c r="U2805">
        <f>0.006165*F2805^2</f>
        <v>0.6165</v>
      </c>
      <c r="V2805" t="str">
        <v>x</v>
      </c>
      <c r="W2805">
        <f>IF(D2788&gt;4*G2786,ROUND(MAX(D2788/4,2*G2786)/H2805,0)+1,ROUND(D2788/H2805,0)+1)</f>
        <v>24</v>
      </c>
      <c r="X2805" t="str">
        <v>x</v>
      </c>
      <c r="Y2805">
        <f>D2791</f>
        <v>1</v>
      </c>
      <c r="Z2805" t="str">
        <v>=</v>
      </c>
      <c r="AA2805">
        <f>N2805*U2805*W2805*Y2805</f>
        <v>24.11748</v>
      </c>
    </row>
    <row r="2806">
      <c r="A2806" t="str">
        <f>A2785</f>
        <v>Lantai 2</v>
      </c>
      <c r="B2806">
        <f>B2785</f>
        <v>6</v>
      </c>
      <c r="C2806" t="str">
        <v>Sengkang Lapangan</v>
      </c>
      <c r="D2806">
        <f>VLOOKUP(D2785,'Detail Balok'!$C$10:$AU$140,36,FALSE)</f>
        <v>0</v>
      </c>
      <c r="E2806" t="str">
        <v>D</v>
      </c>
      <c r="F2806">
        <f>VLOOKUP(D2785,'Detail Balok'!$C$10:$AU$140,38,FALSE)</f>
        <v>10</v>
      </c>
      <c r="G2806" t="str">
        <v>-</v>
      </c>
      <c r="H2806">
        <f>VLOOKUP(D2785,'Detail Balok'!$C$10:$AU$140,40,FALSE)</f>
        <v>150</v>
      </c>
      <c r="J2806">
        <f>(IF(D2806=0,(2*(D2786+G2786))-(F$5*8),IF(D2806=3,(2*(D2786+G2786))-(F$5*8)+(G2786-2*F$5),IF(D2806=4,(2*(D2786+G2786))-(F$5*8)+2*(G2786-2*F$5)))))/1000</f>
        <v>1.48</v>
      </c>
      <c r="K2806" t="str">
        <v>+</v>
      </c>
      <c r="L2806">
        <f>IF(D2806=0,2*MAX(6*F2806,75),(D2806-1)*2*MAX(6*F2806,75))/1000</f>
        <v>0.15</v>
      </c>
      <c r="M2806" t="str">
        <v>=</v>
      </c>
      <c r="N2806">
        <f>J2806+L2806</f>
        <v>1.63</v>
      </c>
      <c r="T2806" t="str">
        <v>x</v>
      </c>
      <c r="U2806">
        <f>0.006165*F2806^2</f>
        <v>0.6165</v>
      </c>
      <c r="V2806" t="str">
        <v>x</v>
      </c>
      <c r="W2806">
        <f>IF(D2788-MAX(D2788/4,2*G2786)*2&gt;0,ROUND((D2788-MAX(D2788/4,2*G2786)*2)/H2806,0),0)</f>
        <v>30</v>
      </c>
      <c r="X2806" t="str">
        <v>x</v>
      </c>
      <c r="Y2806">
        <f>D2791</f>
        <v>1</v>
      </c>
      <c r="Z2806" t="str">
        <v>=</v>
      </c>
      <c r="AA2806">
        <f>N2806*U2806*W2806*Y2806</f>
        <v>30.146850000000004</v>
      </c>
    </row>
    <row r="2807">
      <c r="A2807" t="str">
        <f>A2785</f>
        <v>Lantai 2</v>
      </c>
      <c r="B2807">
        <f>B2785</f>
        <v>6</v>
      </c>
      <c r="C2807" t="str">
        <v>Sengkang Tumpuan</v>
      </c>
      <c r="D2807">
        <f>VLOOKUP(D2785,'Detail Balok'!$C$10:$AU$140,41,FALSE)</f>
        <v>0</v>
      </c>
      <c r="E2807" t="str">
        <v>D</v>
      </c>
      <c r="F2807">
        <f>VLOOKUP(D2785,'Detail Balok'!$C$10:$AU$140,43,FALSE)</f>
        <v>10</v>
      </c>
      <c r="G2807" t="str">
        <v>-</v>
      </c>
      <c r="H2807">
        <f>VLOOKUP(D2785,'Detail Balok'!$C$10:$AU$140,45,FALSE)</f>
        <v>100</v>
      </c>
      <c r="J2807">
        <f>(IF(D2807=0,(2*(D2786+G2786))-(F$5*8),IF(D2807=3,(2*(D2786+G2786))-(F$5*8)+(G2786-2*F$5),IF(D2807=4,(2*(D2786+G2786))-(F$5*8)+2*(G2786-2*F$5)))))/1000</f>
        <v>1.48</v>
      </c>
      <c r="K2807" t="str">
        <v>+</v>
      </c>
      <c r="L2807">
        <f>IF(D2807=0,2*MAX(6*F2807,75),(D2807-1)*2*MAX(6*F2807,75))/1000</f>
        <v>0.15</v>
      </c>
      <c r="M2807" t="str">
        <v>=</v>
      </c>
      <c r="N2807">
        <f>J2807+L2807</f>
        <v>1.63</v>
      </c>
      <c r="T2807" t="str">
        <v>x</v>
      </c>
      <c r="U2807">
        <f>0.006165*F2807^2</f>
        <v>0.6165</v>
      </c>
      <c r="V2807" t="str">
        <v>x</v>
      </c>
      <c r="W2807">
        <f>IF(D2788&gt;4*G2786,ROUND(MAX(D2788/4,2*G2786)/H2807,0)+1,0)</f>
        <v>24</v>
      </c>
      <c r="X2807" t="str">
        <v>x</v>
      </c>
      <c r="Y2807">
        <f>D2791</f>
        <v>1</v>
      </c>
      <c r="Z2807" t="str">
        <v>=</v>
      </c>
      <c r="AA2807">
        <f>N2807*U2807*W2807*Y2807</f>
        <v>24.11748</v>
      </c>
    </row>
    <row r="2809">
      <c r="A2809" t="str">
        <f>A2785</f>
        <v>Lantai 2</v>
      </c>
      <c r="B2809">
        <f>B2785</f>
        <v>6</v>
      </c>
      <c r="C2809" t="str">
        <v>Kait Horizontal Tump.</v>
      </c>
      <c r="D2809">
        <f>VLOOKUP(D2785,'Detail Balok'!$C$10:$BJ$140,46,FALSE)</f>
        <v>0</v>
      </c>
      <c r="E2809" t="str">
        <v>D</v>
      </c>
      <c r="F2809">
        <f>VLOOKUP(D2785,'Detail Balok'!$C$10:$BJ$140,48,FALSE)</f>
        <v>0</v>
      </c>
      <c r="G2809" t="str">
        <v>-</v>
      </c>
      <c r="H2809">
        <f>VLOOKUP(D2785,'Detail Balok'!$C$10:$BJ$140,50,FALSE)</f>
        <v>100</v>
      </c>
      <c r="J2809">
        <f>(D2786-2*F$5)/1000</f>
        <v>0.22</v>
      </c>
      <c r="K2809" t="str">
        <v>+</v>
      </c>
      <c r="L2809">
        <f>IF(D2809=0,2*MAX(6*F2809,75),(D2809-1)*2*MAX(6*F2809,75))/1000</f>
        <v>0.15</v>
      </c>
      <c r="M2809" t="str">
        <v>=</v>
      </c>
      <c r="N2809">
        <f>J2809+L2809</f>
        <v>0.37</v>
      </c>
      <c r="T2809" t="str">
        <v>x</v>
      </c>
      <c r="U2809">
        <f>0.006165*F2809^2</f>
        <v>0</v>
      </c>
      <c r="V2809" t="str">
        <v>x</v>
      </c>
      <c r="W2809">
        <f>W2805</f>
        <v>24</v>
      </c>
      <c r="X2809" t="str">
        <v>x</v>
      </c>
      <c r="Y2809">
        <f>D2795</f>
        <v>5</v>
      </c>
      <c r="Z2809" t="str">
        <v>=</v>
      </c>
      <c r="AA2809">
        <f>N2809*U2809*W2809*Y2809</f>
        <v>0</v>
      </c>
    </row>
    <row r="2810">
      <c r="A2810" t="str">
        <f>A2785</f>
        <v>Lantai 2</v>
      </c>
      <c r="B2810">
        <f>B2785</f>
        <v>6</v>
      </c>
      <c r="C2810" t="str">
        <v>Kait Horizontal Lap.</v>
      </c>
      <c r="D2810">
        <f>VLOOKUP(D2785,'Detail Balok'!$C$10:$BJ$140,51,FALSE)</f>
        <v>0</v>
      </c>
      <c r="E2810" t="str">
        <v>D</v>
      </c>
      <c r="F2810">
        <f>VLOOKUP(D2785,'Detail Balok'!$C$10:$BJ$140,53,FALSE)</f>
        <v>0</v>
      </c>
      <c r="G2810" t="str">
        <v>-</v>
      </c>
      <c r="H2810">
        <f>VLOOKUP(D2785,'Detail Balok'!$C$10:$BJ$140,55,FALSE)</f>
        <v>100</v>
      </c>
      <c r="J2810">
        <f>(D2786-2*F$5)/1000</f>
        <v>0.22</v>
      </c>
      <c r="K2810" t="str">
        <v>+</v>
      </c>
      <c r="L2810">
        <f>IF(D2810=0,2*MAX(6*F2810,75),(D2810-1)*2*MAX(6*F2810,75))/1000</f>
        <v>0.15</v>
      </c>
      <c r="M2810" t="str">
        <v>=</v>
      </c>
      <c r="N2810">
        <f>J2810+L2810</f>
        <v>0.37</v>
      </c>
      <c r="T2810" t="str">
        <v>x</v>
      </c>
      <c r="U2810">
        <f>0.006165*F2810^2</f>
        <v>0</v>
      </c>
      <c r="V2810" t="str">
        <v>x</v>
      </c>
      <c r="W2810">
        <f>W2806</f>
        <v>30</v>
      </c>
      <c r="X2810" t="str">
        <v>x</v>
      </c>
      <c r="Y2810">
        <f>D2795</f>
        <v>5</v>
      </c>
      <c r="Z2810" t="str">
        <v>=</v>
      </c>
      <c r="AA2810">
        <f>N2810*U2810*W2810*Y2810</f>
        <v>0</v>
      </c>
    </row>
    <row r="2811">
      <c r="A2811" t="str">
        <f>A2785</f>
        <v>Lantai 2</v>
      </c>
      <c r="B2811">
        <f>B2785</f>
        <v>6</v>
      </c>
      <c r="C2811" t="str">
        <v>Kait Horizontal Tump.</v>
      </c>
      <c r="D2811">
        <f>VLOOKUP(D2785,'Detail Balok'!$C$10:$BJ$140,56,FALSE)</f>
        <v>0</v>
      </c>
      <c r="E2811" t="str">
        <v>D</v>
      </c>
      <c r="F2811">
        <f>VLOOKUP(D2785,'Detail Balok'!$C$10:$BJ$140,58,FALSE)</f>
        <v>0</v>
      </c>
      <c r="G2811" t="str">
        <v>-</v>
      </c>
      <c r="H2811">
        <f>VLOOKUP(D2785,'Detail Balok'!$C$10:$BJ$140,60,FALSE)</f>
        <v>100</v>
      </c>
      <c r="J2811">
        <f>(D2786-2*F$5)/1000</f>
        <v>0.22</v>
      </c>
      <c r="K2811" t="str">
        <v>+</v>
      </c>
      <c r="L2811">
        <f>IF(D2811=0,2*MAX(6*F2811,75),(D2811-1)*2*MAX(6*F2811,75))/1000</f>
        <v>0.15</v>
      </c>
      <c r="M2811" t="str">
        <v>=</v>
      </c>
      <c r="N2811">
        <f>J2811+L2811</f>
        <v>0.37</v>
      </c>
      <c r="T2811" t="str">
        <v>x</v>
      </c>
      <c r="U2811">
        <f>0.006165*F2811^2</f>
        <v>0</v>
      </c>
      <c r="V2811" t="str">
        <v>x</v>
      </c>
      <c r="W2811">
        <f>W2807</f>
        <v>24</v>
      </c>
      <c r="X2811" t="str">
        <v>x</v>
      </c>
      <c r="Y2811">
        <f>D2795</f>
        <v>5</v>
      </c>
      <c r="Z2811" t="str">
        <v>=</v>
      </c>
      <c r="AA2811">
        <f>N2811*U2811*W2811*Y2811</f>
        <v>0</v>
      </c>
    </row>
    <row r="2815">
      <c r="A2815" t="str">
        <f>A2785</f>
        <v>Lantai 2</v>
      </c>
      <c r="B2815">
        <f>B2785+1</f>
        <v>7</v>
      </c>
      <c r="C2815" t="str">
        <f>CONCATENATE(A2815," no. ",B2815)</f>
        <v>Lantai 2 no. 7</v>
      </c>
      <c r="D2815" t="str">
        <f>VLOOKUP(C2815,'Data Panjang Balok'!$C$9:$N$254,2,FALSE)</f>
        <v>B24-2</v>
      </c>
    </row>
    <row r="2816">
      <c r="C2816" t="str">
        <v>Dimensi</v>
      </c>
      <c r="D2816">
        <f>VLOOKUP(D2815,'Detail Balok'!$C$10:$AU$140,2,FALSE)</f>
        <v>200</v>
      </c>
      <c r="F2816" t="str">
        <v>x</v>
      </c>
      <c r="G2816">
        <f>VLOOKUP(D2815,'Detail Balok'!$C$10:$AU$140,3,FALSE)</f>
        <v>400</v>
      </c>
    </row>
    <row r="2817">
      <c r="C2817" t="str">
        <v>Panjang as ke as</v>
      </c>
      <c r="D2817">
        <f>VLOOKUP(C2815,'Data Panjang Balok'!$C$9:$N$254,4,FALSE)</f>
        <v>2475</v>
      </c>
    </row>
    <row r="2818">
      <c r="C2818" t="str">
        <v>Panjang netto</v>
      </c>
      <c r="D2818">
        <f>VLOOKUP(C2815,'Data Panjang Balok'!$C$9:$N$254,7,FALSE)</f>
        <v>2475</v>
      </c>
    </row>
    <row r="2819">
      <c r="C2819" t="str">
        <v>Kolom / balok kiri</v>
      </c>
      <c r="D2819">
        <f>VLOOKUP(C2815,'Data Panjang Balok'!$C$9:$N$254,9,FALSE)</f>
        <v>0</v>
      </c>
    </row>
    <row r="2820">
      <c r="C2820" t="str">
        <v>Kolom / balok kanan</v>
      </c>
      <c r="D2820">
        <f>VLOOKUP(C2815,'Data Panjang Balok'!$C$9:$N$254,10,FALSE)</f>
        <v>0</v>
      </c>
    </row>
    <row r="2821">
      <c r="C2821" t="str">
        <v>Jumlah</v>
      </c>
      <c r="D2821">
        <f>VLOOKUP(C2815,'Data Panjang Balok'!$C$9:$N$254,3,FALSE)</f>
        <v>1</v>
      </c>
    </row>
    <row r="2822">
      <c r="A2822" t="str">
        <f>A2815</f>
        <v>Lantai 2</v>
      </c>
      <c r="B2822">
        <f>B2815</f>
        <v>7</v>
      </c>
      <c r="C2822" t="str">
        <v>Tul Atas Tumpuan</v>
      </c>
      <c r="D2822">
        <f>VLOOKUP(D2815,'Detail Balok'!$C$10:$AU$140,4,FALSE)</f>
        <v>3</v>
      </c>
      <c r="E2822" t="str">
        <v>D</v>
      </c>
      <c r="F2822">
        <f>VLOOKUP(D2815,'Detail Balok'!$C$10:$AU$140,6,FALSE)</f>
        <v>16</v>
      </c>
      <c r="I2822" t="str">
        <v>(</v>
      </c>
      <c r="J2822">
        <f>+D2817/4/1000</f>
        <v>0.61875</v>
      </c>
      <c r="K2822" t="str">
        <v>+</v>
      </c>
      <c r="L2822">
        <f>MAX(VLOOKUP(F2822,N$6:P$15,3,FALSE)/1000,2/3*D2819/1000)+F$16*F2822/1000</f>
        <v>0.192</v>
      </c>
      <c r="M2822" t="str">
        <v>=</v>
      </c>
      <c r="N2822">
        <f>J2822+L2822</f>
        <v>0.8107500000000001</v>
      </c>
      <c r="O2822" t="str">
        <v>+</v>
      </c>
      <c r="P2822">
        <f>D2822-D2823</f>
        <v>0</v>
      </c>
      <c r="Q2822" t="str">
        <v>x</v>
      </c>
      <c r="R2822">
        <f>IF(P2822&gt;0,$F$18*F2822/1000,0)</f>
        <v>0</v>
      </c>
      <c r="S2822" t="str">
        <v>)</v>
      </c>
      <c r="T2822" t="str">
        <v>x</v>
      </c>
      <c r="U2822">
        <f>0.006165*F2822^2</f>
        <v>1.57824</v>
      </c>
      <c r="X2822" t="str">
        <v>x</v>
      </c>
      <c r="Y2822">
        <f>D2821</f>
        <v>1</v>
      </c>
      <c r="Z2822" t="str">
        <v>=</v>
      </c>
      <c r="AA2822">
        <f>IF(AA2825=0,(D2822*N2822+P2822*R2822)*U2822*Y2822,0)</f>
        <v>0</v>
      </c>
    </row>
    <row r="2823">
      <c r="A2823" t="str">
        <f>A2815</f>
        <v>Lantai 2</v>
      </c>
      <c r="B2823">
        <f>B2815</f>
        <v>7</v>
      </c>
      <c r="C2823" t="str">
        <v>Tul Atas Lapangan</v>
      </c>
      <c r="D2823">
        <f>VLOOKUP(D2815,'Detail Balok'!$C$10:$AU$140,7,FALSE)</f>
        <v>3</v>
      </c>
      <c r="E2823" t="str">
        <v>D</v>
      </c>
      <c r="F2823">
        <f>VLOOKUP(D2815,'Detail Balok'!$C$10:$AU$140,9,FALSE)</f>
        <v>16</v>
      </c>
      <c r="I2823" t="str">
        <v>(</v>
      </c>
      <c r="J2823">
        <f>+D2817/2/1000</f>
        <v>1.2375</v>
      </c>
      <c r="K2823" t="str">
        <v>+</v>
      </c>
      <c r="M2823" t="str">
        <v>=</v>
      </c>
      <c r="N2823">
        <f>J2823+L2823</f>
        <v>1.2375</v>
      </c>
      <c r="O2823" t="str">
        <v>+</v>
      </c>
      <c r="P2823">
        <f>MAX(D2823-D2822,D2823-D2824)</f>
        <v>0</v>
      </c>
      <c r="Q2823" t="str">
        <v>x</v>
      </c>
      <c r="R2823">
        <f>IF(P2823&gt;0,2*(1-2*$F$19-1/2)*D2818/1000,0)</f>
        <v>0</v>
      </c>
      <c r="S2823" t="str">
        <v>)</v>
      </c>
      <c r="T2823" t="str">
        <v>x</v>
      </c>
      <c r="U2823">
        <f>0.006165*F2823^2</f>
        <v>1.57824</v>
      </c>
      <c r="X2823" t="str">
        <v>x</v>
      </c>
      <c r="Y2823">
        <f>D2821</f>
        <v>1</v>
      </c>
      <c r="Z2823" t="str">
        <v>=</v>
      </c>
      <c r="AA2823">
        <f>IF(AA2825=0,(D2823*N2823+P2823*R2823)*U2823*Y2823,0)</f>
        <v>0</v>
      </c>
    </row>
    <row r="2824">
      <c r="A2824" t="str">
        <f>A2815</f>
        <v>Lantai 2</v>
      </c>
      <c r="B2824">
        <f>B2815</f>
        <v>7</v>
      </c>
      <c r="C2824" t="str">
        <v>Tul Atas Tumpuan</v>
      </c>
      <c r="D2824">
        <f>VLOOKUP(D2815,'Detail Balok'!$C$10:$AU$140,10,FALSE)</f>
        <v>3</v>
      </c>
      <c r="E2824" t="str">
        <v>D</v>
      </c>
      <c r="F2824">
        <f>VLOOKUP(D2815,'Detail Balok'!$C$10:$AU$140,12,FALSE)</f>
        <v>16</v>
      </c>
      <c r="I2824" t="str">
        <v>(</v>
      </c>
      <c r="J2824">
        <f>+D2817/4/1000</f>
        <v>0.61875</v>
      </c>
      <c r="K2824" t="str">
        <v>+</v>
      </c>
      <c r="L2824">
        <f>MAX(VLOOKUP(F2824,N$6:P$15,3,FALSE)/1000,2/3*D2819/1000)+F$16*F2824/1000</f>
        <v>0.192</v>
      </c>
      <c r="M2824" t="str">
        <v>=</v>
      </c>
      <c r="N2824">
        <f>J2824+L2824</f>
        <v>0.8107500000000001</v>
      </c>
      <c r="O2824" t="str">
        <v>+</v>
      </c>
      <c r="P2824">
        <f>D2824-D2823</f>
        <v>0</v>
      </c>
      <c r="Q2824" t="str">
        <v>x</v>
      </c>
      <c r="R2824">
        <f>IF(P2824&gt;0,$F$18*F2824/1000,0)</f>
        <v>0</v>
      </c>
      <c r="S2824" t="str">
        <v>)</v>
      </c>
      <c r="T2824" t="str">
        <v>x</v>
      </c>
      <c r="U2824">
        <f>0.006165*F2824^2</f>
        <v>1.57824</v>
      </c>
      <c r="X2824" t="str">
        <v>x</v>
      </c>
      <c r="Y2824">
        <f>D2821</f>
        <v>1</v>
      </c>
      <c r="Z2824" t="str">
        <v>=</v>
      </c>
      <c r="AA2824">
        <f>IF(AA2825=0,(D2824*N2824+P2824*R2824)*U2824*Y2824,0)</f>
        <v>0</v>
      </c>
    </row>
    <row r="2825">
      <c r="A2825" t="str">
        <f>A2815</f>
        <v>Lantai 2</v>
      </c>
      <c r="B2825">
        <f>B2815</f>
        <v>7</v>
      </c>
      <c r="D2825">
        <f>IF(AND(D2822=D2823,D2823=D2824,D2822=D2824),D2822,0)</f>
        <v>3</v>
      </c>
      <c r="E2825" t="str">
        <v>D</v>
      </c>
      <c r="F2825">
        <f>IF(AND(F2822=F2823,F2822=F2824,F2823=F2824),F2822,0)</f>
        <v>16</v>
      </c>
      <c r="L2825" t="str">
        <v>Total panjang per balok</v>
      </c>
      <c r="M2825" t="str">
        <v>=</v>
      </c>
      <c r="N2825">
        <f>IF(AND(D2822=D2823,D2822=D2824,D2823=D2824,F2822=F2823,F2822=F2824,F2823=F2824),SUM(N2822:N2824),0)</f>
        <v>2.8590000000000004</v>
      </c>
      <c r="O2825" t="str">
        <v>+</v>
      </c>
      <c r="P2825">
        <f>IF(N2825&gt;12,ROUNDDOWN(N2825/12,0),0)</f>
        <v>0</v>
      </c>
      <c r="Q2825" t="str">
        <v>x</v>
      </c>
      <c r="R2825">
        <f>IF(P2825&gt;0,MAX(VLOOKUP(F2825,$D$6:$G$15,3,FALSE),600),0)/1000</f>
        <v>0</v>
      </c>
      <c r="T2825" t="str">
        <v>x</v>
      </c>
      <c r="U2825">
        <f>U2824</f>
        <v>1.57824</v>
      </c>
      <c r="V2825" t="str">
        <v>x</v>
      </c>
      <c r="W2825">
        <f>D2825</f>
        <v>3</v>
      </c>
      <c r="X2825" t="str">
        <v>x</v>
      </c>
      <c r="Y2825">
        <f>Y2824</f>
        <v>1</v>
      </c>
      <c r="Z2825" t="str">
        <v>=</v>
      </c>
      <c r="AA2825">
        <f>(N2825+P2825*R2825/1000)*U2825*W2825*Y2825</f>
        <v>13.536564480000003</v>
      </c>
    </row>
    <row r="2827">
      <c r="A2827" t="str">
        <f>A2815</f>
        <v>Lantai 2</v>
      </c>
      <c r="B2827">
        <f>B2815</f>
        <v>7</v>
      </c>
      <c r="C2827" t="str">
        <v>Tul Peminggang</v>
      </c>
      <c r="D2827">
        <f>VLOOKUP(D2815,'Detail Balok'!$C$10:$AU$140,13,FALSE)</f>
        <v>0</v>
      </c>
      <c r="E2827" t="str">
        <v>D</v>
      </c>
      <c r="F2827">
        <f>VLOOKUP(D2815,'Detail Balok'!$C$10:$AU$140,15,FALSE)</f>
        <v>8</v>
      </c>
      <c r="J2827">
        <f>+D2817/1000</f>
        <v>2.475</v>
      </c>
      <c r="K2827" t="str">
        <v>+</v>
      </c>
      <c r="L2827">
        <f>2*$F$16*F2827/1000</f>
        <v>0.192</v>
      </c>
      <c r="M2827" t="str">
        <v>=</v>
      </c>
      <c r="N2827">
        <f>J2827+L2827</f>
        <v>2.6670000000000003</v>
      </c>
      <c r="O2827" t="str">
        <v>+</v>
      </c>
      <c r="P2827">
        <f>IF(N2827&gt;12,ROUNDDOWN(N2827/12,0),0)</f>
        <v>0</v>
      </c>
      <c r="Q2827" t="str">
        <v>x</v>
      </c>
      <c r="R2827">
        <f>IF(P2827&gt;0,MAX(VLOOKUP(F2827,$D$6:$G$15,3,FALSE),600),0)/1000</f>
        <v>0</v>
      </c>
      <c r="T2827" t="str">
        <v>x</v>
      </c>
      <c r="U2827">
        <f>0.006165*F2827^2</f>
        <v>0.39456</v>
      </c>
      <c r="V2827" t="str">
        <v>x</v>
      </c>
      <c r="W2827">
        <f>+D2827</f>
        <v>0</v>
      </c>
      <c r="X2827" t="str">
        <v>x</v>
      </c>
      <c r="Y2827">
        <f>D2821</f>
        <v>1</v>
      </c>
      <c r="Z2827" t="str">
        <v>=</v>
      </c>
      <c r="AA2827">
        <f>(N2827+P2827*R2827/1000)*U2827*W2827*Y2827</f>
        <v>0</v>
      </c>
    </row>
    <row r="2830">
      <c r="A2830" t="str">
        <f>A2815</f>
        <v>Lantai 2</v>
      </c>
      <c r="B2830">
        <f>B2815</f>
        <v>7</v>
      </c>
      <c r="C2830" t="str">
        <v>Tul Bawah Tumpuan</v>
      </c>
      <c r="D2830">
        <f>VLOOKUP(D2815,'Detail Balok'!$C$10:$AU$140,22,FALSE)</f>
        <v>3</v>
      </c>
      <c r="E2830" t="str">
        <v>D</v>
      </c>
      <c r="F2830">
        <f>VLOOKUP(D2815,'Detail Balok'!$C$10:$AU$140,24,FALSE)</f>
        <v>16</v>
      </c>
      <c r="I2830" t="str">
        <v>(</v>
      </c>
      <c r="J2830">
        <f>+J2822</f>
        <v>0.61875</v>
      </c>
      <c r="K2830" t="str">
        <v>+</v>
      </c>
      <c r="L2830">
        <f>MAX(VLOOKUP(F2830,N$6:P$15,3,FALSE)/1000,2/3*D2820/1000)+F$16*F2830/1000</f>
        <v>0.192</v>
      </c>
      <c r="M2830" t="str">
        <v>=</v>
      </c>
      <c r="N2830">
        <f>J2830+L2830</f>
        <v>0.8107500000000001</v>
      </c>
      <c r="O2830" t="str">
        <v>+</v>
      </c>
      <c r="P2830">
        <f>D2830-D2831</f>
        <v>0</v>
      </c>
      <c r="Q2830" t="str">
        <v>x</v>
      </c>
      <c r="R2830">
        <f>IF(P2830&gt;0,$F$18*F2830/1000,0)</f>
        <v>0</v>
      </c>
      <c r="S2830" t="str">
        <v>)</v>
      </c>
      <c r="T2830" t="str">
        <v>x</v>
      </c>
      <c r="U2830">
        <f>0.006165*F2830^2</f>
        <v>1.57824</v>
      </c>
      <c r="X2830" t="str">
        <v>x</v>
      </c>
      <c r="Y2830">
        <f>D2821</f>
        <v>1</v>
      </c>
      <c r="Z2830" t="str">
        <v>=</v>
      </c>
      <c r="AA2830">
        <f>IF(AA2833=0,(D2830*N2830+P2830*R2830)*U2830*Y2830,0)</f>
        <v>0</v>
      </c>
    </row>
    <row r="2831">
      <c r="A2831" t="str">
        <f>A2815</f>
        <v>Lantai 2</v>
      </c>
      <c r="B2831">
        <f>B2815</f>
        <v>7</v>
      </c>
      <c r="C2831" t="str">
        <v>Tul Bawah Lapangan</v>
      </c>
      <c r="D2831">
        <f>VLOOKUP(D2815,'Detail Balok'!$C$10:$AU$140,25,FALSE)</f>
        <v>3</v>
      </c>
      <c r="E2831" t="str">
        <v>D</v>
      </c>
      <c r="F2831">
        <f>VLOOKUP(D2815,'Detail Balok'!$C$10:$AU$140,27,FALSE)</f>
        <v>16</v>
      </c>
      <c r="I2831" t="str">
        <v>(</v>
      </c>
      <c r="J2831">
        <f>+J2823</f>
        <v>1.2375</v>
      </c>
      <c r="K2831" t="str">
        <v>+</v>
      </c>
      <c r="M2831" t="str">
        <v>=</v>
      </c>
      <c r="N2831">
        <f>J2831+L2831</f>
        <v>1.2375</v>
      </c>
      <c r="O2831" t="str">
        <v>+</v>
      </c>
      <c r="P2831">
        <f>MAX(D2831-D2830,D2831-D2832)</f>
        <v>0</v>
      </c>
      <c r="Q2831" t="str">
        <v>x</v>
      </c>
      <c r="R2831">
        <f>IF(P2831&gt;0,2*(1-2*$F$19-1/2)*D2818/1000,0)</f>
        <v>0</v>
      </c>
      <c r="S2831" t="str">
        <v>)</v>
      </c>
      <c r="T2831" t="str">
        <v>x</v>
      </c>
      <c r="U2831">
        <f>0.006165*F2831^2</f>
        <v>1.57824</v>
      </c>
      <c r="X2831" t="str">
        <v>x</v>
      </c>
      <c r="Y2831">
        <f>D2821</f>
        <v>1</v>
      </c>
      <c r="Z2831" t="str">
        <v>=</v>
      </c>
      <c r="AA2831">
        <f>IF(AA2833=0,(D2831*N2831+P2831*R2831)*U2831*Y2831,0)</f>
        <v>0</v>
      </c>
    </row>
    <row r="2832">
      <c r="A2832" t="str">
        <f>A2815</f>
        <v>Lantai 2</v>
      </c>
      <c r="B2832">
        <f>B2815</f>
        <v>7</v>
      </c>
      <c r="C2832" t="str">
        <v>Tul Bawah Tumpuan</v>
      </c>
      <c r="D2832">
        <f>VLOOKUP(D2815,'Detail Balok'!$C$10:$AU$140,28,FALSE)</f>
        <v>3</v>
      </c>
      <c r="E2832" t="str">
        <v>D</v>
      </c>
      <c r="F2832">
        <f>VLOOKUP(D2815,'Detail Balok'!$C$10:$AU$140,30,FALSE)</f>
        <v>16</v>
      </c>
      <c r="I2832" t="str">
        <v>(</v>
      </c>
      <c r="J2832">
        <f>+J2824</f>
        <v>0.61875</v>
      </c>
      <c r="K2832" t="str">
        <v>+</v>
      </c>
      <c r="L2832">
        <f>MAX(VLOOKUP(F2832,N$6:P$15,3,FALSE)/1000,2/3*D2820/1000)+F$16*F2832/1000</f>
        <v>0.192</v>
      </c>
      <c r="M2832" t="str">
        <v>=</v>
      </c>
      <c r="N2832">
        <f>J2832+L2832</f>
        <v>0.8107500000000001</v>
      </c>
      <c r="O2832" t="str">
        <v>+</v>
      </c>
      <c r="P2832">
        <f>D2832-D2831</f>
        <v>0</v>
      </c>
      <c r="Q2832" t="str">
        <v>x</v>
      </c>
      <c r="R2832">
        <f>IF(P2832&gt;0,$F$18*F2832/1000,0)</f>
        <v>0</v>
      </c>
      <c r="S2832" t="str">
        <v>)</v>
      </c>
      <c r="T2832" t="str">
        <v>x</v>
      </c>
      <c r="U2832">
        <f>0.006165*F2832^2</f>
        <v>1.57824</v>
      </c>
      <c r="X2832" t="str">
        <v>x</v>
      </c>
      <c r="Y2832">
        <f>D2821</f>
        <v>1</v>
      </c>
      <c r="Z2832" t="str">
        <v>=</v>
      </c>
      <c r="AA2832">
        <f>IF(AA2833=0,(D2832*N2832+P2832*R2832)*U2832*Y2832,0)</f>
        <v>0</v>
      </c>
    </row>
    <row r="2833">
      <c r="A2833" t="str">
        <f>A2815</f>
        <v>Lantai 2</v>
      </c>
      <c r="B2833">
        <f>B2815</f>
        <v>7</v>
      </c>
      <c r="D2833">
        <f>IF(AND(D2830=D2831,D2831=D2832,D2830=D2832),D2830,0)</f>
        <v>3</v>
      </c>
      <c r="E2833" t="str">
        <v>D</v>
      </c>
      <c r="F2833">
        <f>IF(AND(F2830=F2831,F2830=F2832,F2831=F2832),F2830,0)</f>
        <v>16</v>
      </c>
      <c r="L2833" t="str">
        <v>Total panjang per balok</v>
      </c>
      <c r="M2833" t="str">
        <v>=</v>
      </c>
      <c r="N2833">
        <f>IF(AND(D2830=D2831,D2830=D2832,D2831=D2832,F2830=F2831,F2830=F2832,F2831=F2832),SUM(N2830:N2832),0)</f>
        <v>2.8590000000000004</v>
      </c>
      <c r="O2833" t="str">
        <v>+</v>
      </c>
      <c r="P2833">
        <f>IF(N2833&gt;12,ROUNDDOWN(N2833/12,0),0)</f>
        <v>0</v>
      </c>
      <c r="Q2833" t="str">
        <v>x</v>
      </c>
      <c r="R2833">
        <f>IF(P2833&gt;0,MAX(VLOOKUP(F2833,$D$6:$G$15,3,FALSE),600),0)/1000</f>
        <v>0</v>
      </c>
      <c r="T2833" t="str">
        <v>x</v>
      </c>
      <c r="U2833">
        <f>U2832</f>
        <v>1.57824</v>
      </c>
      <c r="V2833" t="str">
        <v>x</v>
      </c>
      <c r="W2833">
        <f>D2833</f>
        <v>3</v>
      </c>
      <c r="X2833" t="str">
        <v>x</v>
      </c>
      <c r="Y2833">
        <f>Y2832</f>
        <v>1</v>
      </c>
      <c r="Z2833" t="str">
        <v>=</v>
      </c>
      <c r="AA2833">
        <f>(N2833+P2833*R2833/1000)*U2833*W2833*Y2833</f>
        <v>13.536564480000003</v>
      </c>
    </row>
    <row r="2835">
      <c r="A2835" t="str">
        <f>A2815</f>
        <v>Lantai 2</v>
      </c>
      <c r="B2835">
        <f>B2815</f>
        <v>7</v>
      </c>
      <c r="C2835" t="str">
        <v>Sengkang Tumpuan</v>
      </c>
      <c r="D2835">
        <f>VLOOKUP(D2815,'Detail Balok'!$C$10:$AU$140,31,FALSE)</f>
        <v>0</v>
      </c>
      <c r="E2835" t="str">
        <v>D</v>
      </c>
      <c r="F2835">
        <f>VLOOKUP(D2815,'Detail Balok'!$C$10:$AU$140,33,FALSE)</f>
        <v>10</v>
      </c>
      <c r="G2835" t="str">
        <v>-</v>
      </c>
      <c r="H2835">
        <f>VLOOKUP(D2815,'Detail Balok'!$C$10:$AU$140,35,FALSE)</f>
        <v>100</v>
      </c>
      <c r="J2835">
        <f>(IF(D2835=0,(2*(D2816+G2816))-(F$5*8),IF(D2835=3,(2*(D2816+G2816))-(F$5*8)+(G2816-2*F$5),IF(D2835=4,(2*(D2816+G2816))-(F$5*8)+2*(G2816-2*F$5)))))/1000</f>
        <v>0.88</v>
      </c>
      <c r="K2835" t="str">
        <v>+</v>
      </c>
      <c r="L2835">
        <f>IF(D2835=0,2*MAX(6*F2835,75),(D2835-1)*2*MAX(6*F2835,75))/1000</f>
        <v>0.15</v>
      </c>
      <c r="M2835" t="str">
        <v>=</v>
      </c>
      <c r="N2835">
        <f>J2835+L2835</f>
        <v>1.03</v>
      </c>
      <c r="T2835" t="str">
        <v>x</v>
      </c>
      <c r="U2835">
        <f>0.006165*F2835^2</f>
        <v>0.6165</v>
      </c>
      <c r="V2835" t="str">
        <v>x</v>
      </c>
      <c r="W2835">
        <f>IF(D2818&gt;4*G2816,ROUND(MAX(D2818/4,2*G2816)/H2835,0)+1,ROUND(D2818/H2835,0)+1)</f>
        <v>9</v>
      </c>
      <c r="X2835" t="str">
        <v>x</v>
      </c>
      <c r="Y2835">
        <f>D2821</f>
        <v>1</v>
      </c>
      <c r="Z2835" t="str">
        <v>=</v>
      </c>
      <c r="AA2835">
        <f>N2835*U2835*W2835*Y2835</f>
        <v>5.714955000000001</v>
      </c>
    </row>
    <row r="2836">
      <c r="A2836" t="str">
        <f>A2815</f>
        <v>Lantai 2</v>
      </c>
      <c r="B2836">
        <f>B2815</f>
        <v>7</v>
      </c>
      <c r="C2836" t="str">
        <v>Sengkang Lapangan</v>
      </c>
      <c r="D2836">
        <f>VLOOKUP(D2815,'Detail Balok'!$C$10:$AU$140,36,FALSE)</f>
        <v>0</v>
      </c>
      <c r="E2836" t="str">
        <v>D</v>
      </c>
      <c r="F2836">
        <f>VLOOKUP(D2815,'Detail Balok'!$C$10:$AU$140,38,FALSE)</f>
        <v>10</v>
      </c>
      <c r="G2836" t="str">
        <v>-</v>
      </c>
      <c r="H2836">
        <f>VLOOKUP(D2815,'Detail Balok'!$C$10:$AU$140,40,FALSE)</f>
        <v>200</v>
      </c>
      <c r="J2836">
        <f>(IF(D2836=0,(2*(D2816+G2816))-(F$5*8),IF(D2836=3,(2*(D2816+G2816))-(F$5*8)+(G2816-2*F$5),IF(D2836=4,(2*(D2816+G2816))-(F$5*8)+2*(G2816-2*F$5)))))/1000</f>
        <v>0.88</v>
      </c>
      <c r="K2836" t="str">
        <v>+</v>
      </c>
      <c r="L2836">
        <f>IF(D2836=0,2*MAX(6*F2836,75),(D2836-1)*2*MAX(6*F2836,75))/1000</f>
        <v>0.15</v>
      </c>
      <c r="M2836" t="str">
        <v>=</v>
      </c>
      <c r="N2836">
        <f>J2836+L2836</f>
        <v>1.03</v>
      </c>
      <c r="T2836" t="str">
        <v>x</v>
      </c>
      <c r="U2836">
        <f>0.006165*F2836^2</f>
        <v>0.6165</v>
      </c>
      <c r="V2836" t="str">
        <v>x</v>
      </c>
      <c r="W2836">
        <f>IF(D2818-MAX(D2818/4,2*G2816)*2&gt;0,ROUND((D2818-MAX(D2818/4,2*G2816)*2)/H2836,0),0)</f>
        <v>4</v>
      </c>
      <c r="X2836" t="str">
        <v>x</v>
      </c>
      <c r="Y2836">
        <f>D2821</f>
        <v>1</v>
      </c>
      <c r="Z2836" t="str">
        <v>=</v>
      </c>
      <c r="AA2836">
        <f>N2836*U2836*W2836*Y2836</f>
        <v>2.5399800000000003</v>
      </c>
    </row>
    <row r="2837">
      <c r="A2837" t="str">
        <f>A2815</f>
        <v>Lantai 2</v>
      </c>
      <c r="B2837">
        <f>B2815</f>
        <v>7</v>
      </c>
      <c r="C2837" t="str">
        <v>Sengkang Tumpuan</v>
      </c>
      <c r="D2837">
        <f>VLOOKUP(D2815,'Detail Balok'!$C$10:$AU$140,41,FALSE)</f>
        <v>0</v>
      </c>
      <c r="E2837" t="str">
        <v>D</v>
      </c>
      <c r="F2837">
        <f>VLOOKUP(D2815,'Detail Balok'!$C$10:$AU$140,43,FALSE)</f>
        <v>10</v>
      </c>
      <c r="G2837" t="str">
        <v>-</v>
      </c>
      <c r="H2837">
        <f>VLOOKUP(D2815,'Detail Balok'!$C$10:$AU$140,45,FALSE)</f>
        <v>100</v>
      </c>
      <c r="J2837">
        <f>(IF(D2837=0,(2*(D2816+G2816))-(F$5*8),IF(D2837=3,(2*(D2816+G2816))-(F$5*8)+(G2816-2*F$5),IF(D2837=4,(2*(D2816+G2816))-(F$5*8)+2*(G2816-2*F$5)))))/1000</f>
        <v>0.88</v>
      </c>
      <c r="K2837" t="str">
        <v>+</v>
      </c>
      <c r="L2837">
        <f>IF(D2837=0,2*MAX(6*F2837,75),(D2837-1)*2*MAX(6*F2837,75))/1000</f>
        <v>0.15</v>
      </c>
      <c r="M2837" t="str">
        <v>=</v>
      </c>
      <c r="N2837">
        <f>J2837+L2837</f>
        <v>1.03</v>
      </c>
      <c r="T2837" t="str">
        <v>x</v>
      </c>
      <c r="U2837">
        <f>0.006165*F2837^2</f>
        <v>0.6165</v>
      </c>
      <c r="V2837" t="str">
        <v>x</v>
      </c>
      <c r="W2837">
        <f>IF(D2818&gt;4*G2816,ROUND(MAX(D2818/4,2*G2816)/H2837,0)+1,0)</f>
        <v>9</v>
      </c>
      <c r="X2837" t="str">
        <v>x</v>
      </c>
      <c r="Y2837">
        <f>D2821</f>
        <v>1</v>
      </c>
      <c r="Z2837" t="str">
        <v>=</v>
      </c>
      <c r="AA2837">
        <f>N2837*U2837*W2837*Y2837</f>
        <v>5.714955000000001</v>
      </c>
    </row>
    <row r="2839">
      <c r="A2839" t="str">
        <f>A2815</f>
        <v>Lantai 2</v>
      </c>
      <c r="B2839">
        <f>B2815</f>
        <v>7</v>
      </c>
      <c r="C2839" t="str">
        <v>Kait Horizontal Tump.</v>
      </c>
      <c r="D2839">
        <f>VLOOKUP(D2815,'Detail Balok'!$C$10:$BJ$140,46,FALSE)</f>
        <v>0</v>
      </c>
      <c r="E2839" t="str">
        <v>D</v>
      </c>
      <c r="F2839">
        <f>VLOOKUP(D2815,'Detail Balok'!$C$10:$BJ$140,48,FALSE)</f>
        <v>0</v>
      </c>
      <c r="G2839" t="str">
        <v>-</v>
      </c>
      <c r="H2839">
        <f>VLOOKUP(D2815,'Detail Balok'!$C$10:$BJ$140,50,FALSE)</f>
        <v>100</v>
      </c>
      <c r="J2839">
        <f>(D2816-2*F$5)/1000</f>
        <v>0.12</v>
      </c>
      <c r="K2839" t="str">
        <v>+</v>
      </c>
      <c r="L2839">
        <f>IF(D2839=0,2*MAX(6*F2839,75),(D2839-1)*2*MAX(6*F2839,75))/1000</f>
        <v>0.15</v>
      </c>
      <c r="M2839" t="str">
        <v>=</v>
      </c>
      <c r="N2839">
        <f>J2839+L2839</f>
        <v>0.27</v>
      </c>
      <c r="T2839" t="str">
        <v>x</v>
      </c>
      <c r="U2839">
        <f>0.006165*F2839^2</f>
        <v>0</v>
      </c>
      <c r="V2839" t="str">
        <v>x</v>
      </c>
      <c r="W2839">
        <f>W2835</f>
        <v>9</v>
      </c>
      <c r="X2839" t="str">
        <v>x</v>
      </c>
      <c r="Y2839">
        <f>D2825</f>
        <v>3</v>
      </c>
      <c r="Z2839" t="str">
        <v>=</v>
      </c>
      <c r="AA2839">
        <f>N2839*U2839*W2839*Y2839</f>
        <v>0</v>
      </c>
    </row>
    <row r="2840">
      <c r="A2840" t="str">
        <f>A2815</f>
        <v>Lantai 2</v>
      </c>
      <c r="B2840">
        <f>B2815</f>
        <v>7</v>
      </c>
      <c r="C2840" t="str">
        <v>Kait Horizontal Lap.</v>
      </c>
      <c r="D2840">
        <f>VLOOKUP(D2815,'Detail Balok'!$C$10:$BJ$140,51,FALSE)</f>
        <v>0</v>
      </c>
      <c r="E2840" t="str">
        <v>D</v>
      </c>
      <c r="F2840">
        <f>VLOOKUP(D2815,'Detail Balok'!$C$10:$BJ$140,53,FALSE)</f>
        <v>0</v>
      </c>
      <c r="G2840" t="str">
        <v>-</v>
      </c>
      <c r="H2840">
        <f>VLOOKUP(D2815,'Detail Balok'!$C$10:$BJ$140,55,FALSE)</f>
        <v>100</v>
      </c>
      <c r="J2840">
        <f>(D2816-2*F$5)/1000</f>
        <v>0.12</v>
      </c>
      <c r="K2840" t="str">
        <v>+</v>
      </c>
      <c r="L2840">
        <f>IF(D2840=0,2*MAX(6*F2840,75),(D2840-1)*2*MAX(6*F2840,75))/1000</f>
        <v>0.15</v>
      </c>
      <c r="M2840" t="str">
        <v>=</v>
      </c>
      <c r="N2840">
        <f>J2840+L2840</f>
        <v>0.27</v>
      </c>
      <c r="T2840" t="str">
        <v>x</v>
      </c>
      <c r="U2840">
        <f>0.006165*F2840^2</f>
        <v>0</v>
      </c>
      <c r="V2840" t="str">
        <v>x</v>
      </c>
      <c r="W2840">
        <f>W2836</f>
        <v>4</v>
      </c>
      <c r="X2840" t="str">
        <v>x</v>
      </c>
      <c r="Y2840">
        <f>D2825</f>
        <v>3</v>
      </c>
      <c r="Z2840" t="str">
        <v>=</v>
      </c>
      <c r="AA2840">
        <f>N2840*U2840*W2840*Y2840</f>
        <v>0</v>
      </c>
    </row>
    <row r="2841">
      <c r="A2841" t="str">
        <f>A2815</f>
        <v>Lantai 2</v>
      </c>
      <c r="B2841">
        <f>B2815</f>
        <v>7</v>
      </c>
      <c r="C2841" t="str">
        <v>Kait Horizontal Tump.</v>
      </c>
      <c r="D2841">
        <f>VLOOKUP(D2815,'Detail Balok'!$C$10:$BJ$140,56,FALSE)</f>
        <v>0</v>
      </c>
      <c r="E2841" t="str">
        <v>D</v>
      </c>
      <c r="F2841">
        <f>VLOOKUP(D2815,'Detail Balok'!$C$10:$BJ$140,58,FALSE)</f>
        <v>0</v>
      </c>
      <c r="G2841" t="str">
        <v>-</v>
      </c>
      <c r="H2841">
        <f>VLOOKUP(D2815,'Detail Balok'!$C$10:$BJ$140,60,FALSE)</f>
        <v>100</v>
      </c>
      <c r="J2841">
        <f>(D2816-2*F$5)/1000</f>
        <v>0.12</v>
      </c>
      <c r="K2841" t="str">
        <v>+</v>
      </c>
      <c r="L2841">
        <f>IF(D2841=0,2*MAX(6*F2841,75),(D2841-1)*2*MAX(6*F2841,75))/1000</f>
        <v>0.15</v>
      </c>
      <c r="M2841" t="str">
        <v>=</v>
      </c>
      <c r="N2841">
        <f>J2841+L2841</f>
        <v>0.27</v>
      </c>
      <c r="T2841" t="str">
        <v>x</v>
      </c>
      <c r="U2841">
        <f>0.006165*F2841^2</f>
        <v>0</v>
      </c>
      <c r="V2841" t="str">
        <v>x</v>
      </c>
      <c r="W2841">
        <f>W2837</f>
        <v>9</v>
      </c>
      <c r="X2841" t="str">
        <v>x</v>
      </c>
      <c r="Y2841">
        <f>D2825</f>
        <v>3</v>
      </c>
      <c r="Z2841" t="str">
        <v>=</v>
      </c>
      <c r="AA2841">
        <f>N2841*U2841*W2841*Y2841</f>
        <v>0</v>
      </c>
    </row>
    <row r="2845">
      <c r="A2845" t="str">
        <f>A2815</f>
        <v>Lantai 2</v>
      </c>
      <c r="B2845">
        <f>B2815+1</f>
        <v>8</v>
      </c>
      <c r="C2845" t="str">
        <f>CONCATENATE(A2845," no. ",B2845)</f>
        <v>Lantai 2 no. 8</v>
      </c>
      <c r="D2845" t="str">
        <f>VLOOKUP(C2845,'Data Panjang Balok'!$C$9:$N$254,2,FALSE)</f>
        <v>B25-1</v>
      </c>
    </row>
    <row r="2846">
      <c r="C2846" t="str">
        <v>Dimensi</v>
      </c>
      <c r="D2846">
        <f>VLOOKUP(D2845,'Detail Balok'!$C$10:$AU$140,2,FALSE)</f>
        <v>200</v>
      </c>
      <c r="F2846" t="str">
        <v>x</v>
      </c>
      <c r="G2846">
        <f>VLOOKUP(D2845,'Detail Balok'!$C$10:$AU$140,3,FALSE)</f>
        <v>500</v>
      </c>
    </row>
    <row r="2847">
      <c r="C2847" t="str">
        <v>Panjang as ke as</v>
      </c>
      <c r="D2847">
        <f>VLOOKUP(C2845,'Data Panjang Balok'!$C$9:$N$254,4,FALSE)</f>
        <v>6075</v>
      </c>
    </row>
    <row r="2848">
      <c r="C2848" t="str">
        <v>Panjang netto</v>
      </c>
      <c r="D2848">
        <f>VLOOKUP(C2845,'Data Panjang Balok'!$C$9:$N$254,7,FALSE)</f>
        <v>6075</v>
      </c>
    </row>
    <row r="2849">
      <c r="C2849" t="str">
        <v>Kolom / balok kiri</v>
      </c>
      <c r="D2849">
        <f>VLOOKUP(C2845,'Data Panjang Balok'!$C$9:$N$254,9,FALSE)</f>
        <v>0</v>
      </c>
    </row>
    <row r="2850">
      <c r="C2850" t="str">
        <v>Kolom / balok kanan</v>
      </c>
      <c r="D2850">
        <f>VLOOKUP(C2845,'Data Panjang Balok'!$C$9:$N$254,10,FALSE)</f>
        <v>0</v>
      </c>
    </row>
    <row r="2851">
      <c r="C2851" t="str">
        <v>Jumlah</v>
      </c>
      <c r="D2851">
        <f>VLOOKUP(C2845,'Data Panjang Balok'!$C$9:$N$254,3,FALSE)</f>
        <v>1</v>
      </c>
    </row>
    <row r="2852">
      <c r="A2852" t="str">
        <f>A2845</f>
        <v>Lantai 2</v>
      </c>
      <c r="B2852">
        <f>B2845</f>
        <v>8</v>
      </c>
      <c r="C2852" t="str">
        <v>Tul Atas Tumpuan</v>
      </c>
      <c r="D2852">
        <f>VLOOKUP(D2845,'Detail Balok'!$C$10:$AU$140,4,FALSE)</f>
        <v>4</v>
      </c>
      <c r="E2852" t="str">
        <v>D</v>
      </c>
      <c r="F2852">
        <f>VLOOKUP(D2845,'Detail Balok'!$C$10:$AU$140,6,FALSE)</f>
        <v>16</v>
      </c>
      <c r="I2852" t="str">
        <v>(</v>
      </c>
      <c r="J2852">
        <f>+D2847/4/1000</f>
        <v>1.51875</v>
      </c>
      <c r="K2852" t="str">
        <v>+</v>
      </c>
      <c r="L2852">
        <f>MAX(VLOOKUP(F2852,N$6:P$15,3,FALSE)/1000,2/3*D2849/1000)+F$16*F2852/1000</f>
        <v>0.192</v>
      </c>
      <c r="M2852" t="str">
        <v>=</v>
      </c>
      <c r="N2852">
        <f>J2852+L2852</f>
        <v>1.71075</v>
      </c>
      <c r="O2852" t="str">
        <v>+</v>
      </c>
      <c r="P2852">
        <f>D2852-D2853</f>
        <v>0</v>
      </c>
      <c r="Q2852" t="str">
        <v>x</v>
      </c>
      <c r="R2852">
        <f>IF(P2852&gt;0,$F$18*F2852/1000,0)</f>
        <v>0</v>
      </c>
      <c r="S2852" t="str">
        <v>)</v>
      </c>
      <c r="T2852" t="str">
        <v>x</v>
      </c>
      <c r="U2852">
        <f>0.006165*F2852^2</f>
        <v>1.57824</v>
      </c>
      <c r="X2852" t="str">
        <v>x</v>
      </c>
      <c r="Y2852">
        <f>D2851</f>
        <v>1</v>
      </c>
      <c r="Z2852" t="str">
        <v>=</v>
      </c>
      <c r="AA2852">
        <f>IF(AA2855=0,(D2852*N2852+P2852*R2852)*U2852*Y2852,0)</f>
        <v>0</v>
      </c>
    </row>
    <row r="2853">
      <c r="A2853" t="str">
        <f>A2845</f>
        <v>Lantai 2</v>
      </c>
      <c r="B2853">
        <f>B2845</f>
        <v>8</v>
      </c>
      <c r="C2853" t="str">
        <v>Tul Atas Lapangan</v>
      </c>
      <c r="D2853">
        <f>VLOOKUP(D2845,'Detail Balok'!$C$10:$AU$140,7,FALSE)</f>
        <v>4</v>
      </c>
      <c r="E2853" t="str">
        <v>D</v>
      </c>
      <c r="F2853">
        <f>VLOOKUP(D2845,'Detail Balok'!$C$10:$AU$140,9,FALSE)</f>
        <v>16</v>
      </c>
      <c r="I2853" t="str">
        <v>(</v>
      </c>
      <c r="J2853">
        <f>+D2847/2/1000</f>
        <v>3.0375</v>
      </c>
      <c r="K2853" t="str">
        <v>+</v>
      </c>
      <c r="M2853" t="str">
        <v>=</v>
      </c>
      <c r="N2853">
        <f>J2853+L2853</f>
        <v>3.0375</v>
      </c>
      <c r="O2853" t="str">
        <v>+</v>
      </c>
      <c r="P2853">
        <f>MAX(D2853-D2852,D2853-D2854)</f>
        <v>0</v>
      </c>
      <c r="Q2853" t="str">
        <v>x</v>
      </c>
      <c r="R2853">
        <f>IF(P2853&gt;0,2*(1-2*$F$19-1/2)*D2848/1000,0)</f>
        <v>0</v>
      </c>
      <c r="S2853" t="str">
        <v>)</v>
      </c>
      <c r="T2853" t="str">
        <v>x</v>
      </c>
      <c r="U2853">
        <f>0.006165*F2853^2</f>
        <v>1.57824</v>
      </c>
      <c r="X2853" t="str">
        <v>x</v>
      </c>
      <c r="Y2853">
        <f>D2851</f>
        <v>1</v>
      </c>
      <c r="Z2853" t="str">
        <v>=</v>
      </c>
      <c r="AA2853">
        <f>IF(AA2855=0,(D2853*N2853+P2853*R2853)*U2853*Y2853,0)</f>
        <v>0</v>
      </c>
    </row>
    <row r="2854">
      <c r="A2854" t="str">
        <f>A2845</f>
        <v>Lantai 2</v>
      </c>
      <c r="B2854">
        <f>B2845</f>
        <v>8</v>
      </c>
      <c r="C2854" t="str">
        <v>Tul Atas Tumpuan</v>
      </c>
      <c r="D2854">
        <f>VLOOKUP(D2845,'Detail Balok'!$C$10:$AU$140,10,FALSE)</f>
        <v>4</v>
      </c>
      <c r="E2854" t="str">
        <v>D</v>
      </c>
      <c r="F2854">
        <f>VLOOKUP(D2845,'Detail Balok'!$C$10:$AU$140,12,FALSE)</f>
        <v>16</v>
      </c>
      <c r="I2854" t="str">
        <v>(</v>
      </c>
      <c r="J2854">
        <f>+D2847/4/1000</f>
        <v>1.51875</v>
      </c>
      <c r="K2854" t="str">
        <v>+</v>
      </c>
      <c r="L2854">
        <f>MAX(VLOOKUP(F2854,N$6:P$15,3,FALSE)/1000,2/3*D2849/1000)+F$16*F2854/1000</f>
        <v>0.192</v>
      </c>
      <c r="M2854" t="str">
        <v>=</v>
      </c>
      <c r="N2854">
        <f>J2854+L2854</f>
        <v>1.71075</v>
      </c>
      <c r="O2854" t="str">
        <v>+</v>
      </c>
      <c r="P2854">
        <f>D2854-D2853</f>
        <v>0</v>
      </c>
      <c r="Q2854" t="str">
        <v>x</v>
      </c>
      <c r="R2854">
        <f>IF(P2854&gt;0,$F$18*F2854/1000,0)</f>
        <v>0</v>
      </c>
      <c r="S2854" t="str">
        <v>)</v>
      </c>
      <c r="T2854" t="str">
        <v>x</v>
      </c>
      <c r="U2854">
        <f>0.006165*F2854^2</f>
        <v>1.57824</v>
      </c>
      <c r="X2854" t="str">
        <v>x</v>
      </c>
      <c r="Y2854">
        <f>D2851</f>
        <v>1</v>
      </c>
      <c r="Z2854" t="str">
        <v>=</v>
      </c>
      <c r="AA2854">
        <f>IF(AA2855=0,(D2854*N2854+P2854*R2854)*U2854*Y2854,0)</f>
        <v>0</v>
      </c>
    </row>
    <row r="2855">
      <c r="A2855" t="str">
        <f>A2845</f>
        <v>Lantai 2</v>
      </c>
      <c r="B2855">
        <f>B2845</f>
        <v>8</v>
      </c>
      <c r="D2855">
        <f>IF(AND(D2852=D2853,D2853=D2854,D2852=D2854),D2852,0)</f>
        <v>4</v>
      </c>
      <c r="E2855" t="str">
        <v>D</v>
      </c>
      <c r="F2855">
        <f>IF(AND(F2852=F2853,F2852=F2854,F2853=F2854),F2852,0)</f>
        <v>16</v>
      </c>
      <c r="L2855" t="str">
        <v>Total panjang per balok</v>
      </c>
      <c r="M2855" t="str">
        <v>=</v>
      </c>
      <c r="N2855">
        <f>IF(AND(D2852=D2853,D2852=D2854,D2853=D2854,F2852=F2853,F2852=F2854,F2853=F2854),SUM(N2852:N2854),0)</f>
        <v>6.4590000000000005</v>
      </c>
      <c r="O2855" t="str">
        <v>+</v>
      </c>
      <c r="P2855">
        <f>IF(N2855&gt;12,ROUNDDOWN(N2855/12,0),0)</f>
        <v>0</v>
      </c>
      <c r="Q2855" t="str">
        <v>x</v>
      </c>
      <c r="R2855">
        <f>IF(P2855&gt;0,MAX(VLOOKUP(F2855,$D$6:$G$15,3,FALSE),600),0)/1000</f>
        <v>0</v>
      </c>
      <c r="T2855" t="str">
        <v>x</v>
      </c>
      <c r="U2855">
        <f>U2854</f>
        <v>1.57824</v>
      </c>
      <c r="V2855" t="str">
        <v>x</v>
      </c>
      <c r="W2855">
        <f>D2855</f>
        <v>4</v>
      </c>
      <c r="X2855" t="str">
        <v>x</v>
      </c>
      <c r="Y2855">
        <f>Y2854</f>
        <v>1</v>
      </c>
      <c r="Z2855" t="str">
        <v>=</v>
      </c>
      <c r="AA2855">
        <f>(N2855+P2855*R2855/1000)*U2855*W2855*Y2855</f>
        <v>40.77540864</v>
      </c>
    </row>
    <row r="2857">
      <c r="A2857" t="str">
        <f>A2845</f>
        <v>Lantai 2</v>
      </c>
      <c r="B2857">
        <f>B2845</f>
        <v>8</v>
      </c>
      <c r="C2857" t="str">
        <v>Tul Peminggang</v>
      </c>
      <c r="D2857">
        <f>VLOOKUP(D2845,'Detail Balok'!$C$10:$AU$140,13,FALSE)</f>
        <v>2</v>
      </c>
      <c r="E2857" t="str">
        <v>D</v>
      </c>
      <c r="F2857">
        <f>VLOOKUP(D2845,'Detail Balok'!$C$10:$AU$140,15,FALSE)</f>
        <v>10</v>
      </c>
      <c r="J2857">
        <f>+D2847/1000</f>
        <v>6.075</v>
      </c>
      <c r="K2857" t="str">
        <v>+</v>
      </c>
      <c r="L2857">
        <f>2*$F$16*F2857/1000</f>
        <v>0.24</v>
      </c>
      <c r="M2857" t="str">
        <v>=</v>
      </c>
      <c r="N2857">
        <f>J2857+L2857</f>
        <v>6.315</v>
      </c>
      <c r="O2857" t="str">
        <v>+</v>
      </c>
      <c r="P2857">
        <f>IF(N2857&gt;12,ROUNDDOWN(N2857/12,0),0)</f>
        <v>0</v>
      </c>
      <c r="Q2857" t="str">
        <v>x</v>
      </c>
      <c r="R2857">
        <f>IF(P2857&gt;0,MAX(VLOOKUP(F2857,$D$6:$G$15,3,FALSE),600),0)/1000</f>
        <v>0</v>
      </c>
      <c r="T2857" t="str">
        <v>x</v>
      </c>
      <c r="U2857">
        <f>0.006165*F2857^2</f>
        <v>0.6165</v>
      </c>
      <c r="V2857" t="str">
        <v>x</v>
      </c>
      <c r="W2857">
        <f>+D2857</f>
        <v>2</v>
      </c>
      <c r="X2857" t="str">
        <v>x</v>
      </c>
      <c r="Y2857">
        <f>D2851</f>
        <v>1</v>
      </c>
      <c r="Z2857" t="str">
        <v>=</v>
      </c>
      <c r="AA2857">
        <f>(N2857+P2857*R2857/1000)*U2857*W2857*Y2857</f>
        <v>7.7863950000000015</v>
      </c>
    </row>
    <row r="2860">
      <c r="A2860" t="str">
        <f>A2845</f>
        <v>Lantai 2</v>
      </c>
      <c r="B2860">
        <f>B2845</f>
        <v>8</v>
      </c>
      <c r="C2860" t="str">
        <v>Tul Bawah Tumpuan</v>
      </c>
      <c r="D2860">
        <f>VLOOKUP(D2845,'Detail Balok'!$C$10:$AU$140,22,FALSE)</f>
        <v>4</v>
      </c>
      <c r="E2860" t="str">
        <v>D</v>
      </c>
      <c r="F2860">
        <f>VLOOKUP(D2845,'Detail Balok'!$C$10:$AU$140,24,FALSE)</f>
        <v>16</v>
      </c>
      <c r="I2860" t="str">
        <v>(</v>
      </c>
      <c r="J2860">
        <f>+J2852</f>
        <v>1.51875</v>
      </c>
      <c r="K2860" t="str">
        <v>+</v>
      </c>
      <c r="L2860">
        <f>MAX(VLOOKUP(F2860,N$6:P$15,3,FALSE)/1000,2/3*D2850/1000)+F$16*F2860/1000</f>
        <v>0.192</v>
      </c>
      <c r="M2860" t="str">
        <v>=</v>
      </c>
      <c r="N2860">
        <f>J2860+L2860</f>
        <v>1.71075</v>
      </c>
      <c r="O2860" t="str">
        <v>+</v>
      </c>
      <c r="P2860">
        <f>D2860-D2861</f>
        <v>0</v>
      </c>
      <c r="Q2860" t="str">
        <v>x</v>
      </c>
      <c r="R2860">
        <f>IF(P2860&gt;0,$F$18*F2860/1000,0)</f>
        <v>0</v>
      </c>
      <c r="S2860" t="str">
        <v>)</v>
      </c>
      <c r="T2860" t="str">
        <v>x</v>
      </c>
      <c r="U2860">
        <f>0.006165*F2860^2</f>
        <v>1.57824</v>
      </c>
      <c r="X2860" t="str">
        <v>x</v>
      </c>
      <c r="Y2860">
        <f>D2851</f>
        <v>1</v>
      </c>
      <c r="Z2860" t="str">
        <v>=</v>
      </c>
      <c r="AA2860">
        <f>IF(AA2863=0,(D2860*N2860+P2860*R2860)*U2860*Y2860,0)</f>
        <v>0</v>
      </c>
    </row>
    <row r="2861">
      <c r="A2861" t="str">
        <f>A2845</f>
        <v>Lantai 2</v>
      </c>
      <c r="B2861">
        <f>B2845</f>
        <v>8</v>
      </c>
      <c r="C2861" t="str">
        <v>Tul Bawah Lapangan</v>
      </c>
      <c r="D2861">
        <f>VLOOKUP(D2845,'Detail Balok'!$C$10:$AU$140,25,FALSE)</f>
        <v>4</v>
      </c>
      <c r="E2861" t="str">
        <v>D</v>
      </c>
      <c r="F2861">
        <f>VLOOKUP(D2845,'Detail Balok'!$C$10:$AU$140,27,FALSE)</f>
        <v>16</v>
      </c>
      <c r="I2861" t="str">
        <v>(</v>
      </c>
      <c r="J2861">
        <f>+J2853</f>
        <v>3.0375</v>
      </c>
      <c r="K2861" t="str">
        <v>+</v>
      </c>
      <c r="M2861" t="str">
        <v>=</v>
      </c>
      <c r="N2861">
        <f>J2861+L2861</f>
        <v>3.0375</v>
      </c>
      <c r="O2861" t="str">
        <v>+</v>
      </c>
      <c r="P2861">
        <f>MAX(D2861-D2860,D2861-D2862)</f>
        <v>0</v>
      </c>
      <c r="Q2861" t="str">
        <v>x</v>
      </c>
      <c r="R2861">
        <f>IF(P2861&gt;0,2*(1-2*$F$19-1/2)*D2848/1000,0)</f>
        <v>0</v>
      </c>
      <c r="S2861" t="str">
        <v>)</v>
      </c>
      <c r="T2861" t="str">
        <v>x</v>
      </c>
      <c r="U2861">
        <f>0.006165*F2861^2</f>
        <v>1.57824</v>
      </c>
      <c r="X2861" t="str">
        <v>x</v>
      </c>
      <c r="Y2861">
        <f>D2851</f>
        <v>1</v>
      </c>
      <c r="Z2861" t="str">
        <v>=</v>
      </c>
      <c r="AA2861">
        <f>IF(AA2863=0,(D2861*N2861+P2861*R2861)*U2861*Y2861,0)</f>
        <v>0</v>
      </c>
    </row>
    <row r="2862">
      <c r="A2862" t="str">
        <f>A2845</f>
        <v>Lantai 2</v>
      </c>
      <c r="B2862">
        <f>B2845</f>
        <v>8</v>
      </c>
      <c r="C2862" t="str">
        <v>Tul Bawah Tumpuan</v>
      </c>
      <c r="D2862">
        <f>VLOOKUP(D2845,'Detail Balok'!$C$10:$AU$140,28,FALSE)</f>
        <v>4</v>
      </c>
      <c r="E2862" t="str">
        <v>D</v>
      </c>
      <c r="F2862">
        <f>VLOOKUP(D2845,'Detail Balok'!$C$10:$AU$140,30,FALSE)</f>
        <v>16</v>
      </c>
      <c r="I2862" t="str">
        <v>(</v>
      </c>
      <c r="J2862">
        <f>+J2854</f>
        <v>1.51875</v>
      </c>
      <c r="K2862" t="str">
        <v>+</v>
      </c>
      <c r="L2862">
        <f>MAX(VLOOKUP(F2862,N$6:P$15,3,FALSE)/1000,2/3*D2850/1000)+F$16*F2862/1000</f>
        <v>0.192</v>
      </c>
      <c r="M2862" t="str">
        <v>=</v>
      </c>
      <c r="N2862">
        <f>J2862+L2862</f>
        <v>1.71075</v>
      </c>
      <c r="O2862" t="str">
        <v>+</v>
      </c>
      <c r="P2862">
        <f>D2862-D2861</f>
        <v>0</v>
      </c>
      <c r="Q2862" t="str">
        <v>x</v>
      </c>
      <c r="R2862">
        <f>IF(P2862&gt;0,$F$18*F2862/1000,0)</f>
        <v>0</v>
      </c>
      <c r="S2862" t="str">
        <v>)</v>
      </c>
      <c r="T2862" t="str">
        <v>x</v>
      </c>
      <c r="U2862">
        <f>0.006165*F2862^2</f>
        <v>1.57824</v>
      </c>
      <c r="X2862" t="str">
        <v>x</v>
      </c>
      <c r="Y2862">
        <f>D2851</f>
        <v>1</v>
      </c>
      <c r="Z2862" t="str">
        <v>=</v>
      </c>
      <c r="AA2862">
        <f>IF(AA2863=0,(D2862*N2862+P2862*R2862)*U2862*Y2862,0)</f>
        <v>0</v>
      </c>
    </row>
    <row r="2863">
      <c r="A2863" t="str">
        <f>A2845</f>
        <v>Lantai 2</v>
      </c>
      <c r="B2863">
        <f>B2845</f>
        <v>8</v>
      </c>
      <c r="D2863">
        <f>IF(AND(D2860=D2861,D2861=D2862,D2860=D2862),D2860,0)</f>
        <v>4</v>
      </c>
      <c r="E2863" t="str">
        <v>D</v>
      </c>
      <c r="F2863">
        <f>IF(AND(F2860=F2861,F2860=F2862,F2861=F2862),F2860,0)</f>
        <v>16</v>
      </c>
      <c r="L2863" t="str">
        <v>Total panjang per balok</v>
      </c>
      <c r="M2863" t="str">
        <v>=</v>
      </c>
      <c r="N2863">
        <f>IF(AND(D2860=D2861,D2860=D2862,D2861=D2862,F2860=F2861,F2860=F2862,F2861=F2862),SUM(N2860:N2862),0)</f>
        <v>6.4590000000000005</v>
      </c>
      <c r="O2863" t="str">
        <v>+</v>
      </c>
      <c r="P2863">
        <f>IF(N2863&gt;12,ROUNDDOWN(N2863/12,0),0)</f>
        <v>0</v>
      </c>
      <c r="Q2863" t="str">
        <v>x</v>
      </c>
      <c r="R2863">
        <f>IF(P2863&gt;0,MAX(VLOOKUP(F2863,$D$6:$G$15,3,FALSE),600),0)/1000</f>
        <v>0</v>
      </c>
      <c r="T2863" t="str">
        <v>x</v>
      </c>
      <c r="U2863">
        <f>U2862</f>
        <v>1.57824</v>
      </c>
      <c r="V2863" t="str">
        <v>x</v>
      </c>
      <c r="W2863">
        <f>D2863</f>
        <v>4</v>
      </c>
      <c r="X2863" t="str">
        <v>x</v>
      </c>
      <c r="Y2863">
        <f>Y2862</f>
        <v>1</v>
      </c>
      <c r="Z2863" t="str">
        <v>=</v>
      </c>
      <c r="AA2863">
        <f>(N2863+P2863*R2863/1000)*U2863*W2863*Y2863</f>
        <v>40.77540864</v>
      </c>
    </row>
    <row r="2865">
      <c r="A2865" t="str">
        <f>A2845</f>
        <v>Lantai 2</v>
      </c>
      <c r="B2865">
        <f>B2845</f>
        <v>8</v>
      </c>
      <c r="C2865" t="str">
        <v>Sengkang Tumpuan</v>
      </c>
      <c r="D2865">
        <f>VLOOKUP(D2845,'Detail Balok'!$C$10:$AU$140,31,FALSE)</f>
        <v>0</v>
      </c>
      <c r="E2865" t="str">
        <v>D</v>
      </c>
      <c r="F2865">
        <f>VLOOKUP(D2845,'Detail Balok'!$C$10:$AU$140,33,FALSE)</f>
        <v>10</v>
      </c>
      <c r="G2865" t="str">
        <v>-</v>
      </c>
      <c r="H2865">
        <f>VLOOKUP(D2845,'Detail Balok'!$C$10:$AU$140,35,FALSE)</f>
        <v>150</v>
      </c>
      <c r="J2865">
        <f>(IF(D2865=0,(2*(D2846+G2846))-(F$5*8),IF(D2865=3,(2*(D2846+G2846))-(F$5*8)+(G2846-2*F$5),IF(D2865=4,(2*(D2846+G2846))-(F$5*8)+2*(G2846-2*F$5)))))/1000</f>
        <v>1.08</v>
      </c>
      <c r="K2865" t="str">
        <v>+</v>
      </c>
      <c r="L2865">
        <f>IF(D2865=0,2*MAX(6*F2865,75),(D2865-1)*2*MAX(6*F2865,75))/1000</f>
        <v>0.15</v>
      </c>
      <c r="M2865" t="str">
        <v>=</v>
      </c>
      <c r="N2865">
        <f>J2865+L2865</f>
        <v>1.23</v>
      </c>
      <c r="T2865" t="str">
        <v>x</v>
      </c>
      <c r="U2865">
        <f>0.006165*F2865^2</f>
        <v>0.6165</v>
      </c>
      <c r="V2865" t="str">
        <v>x</v>
      </c>
      <c r="W2865">
        <f>IF(D2848&gt;4*G2846,ROUND(MAX(D2848/4,2*G2846)/H2865,0)+1,ROUND(D2848/H2865,0)+1)</f>
        <v>11</v>
      </c>
      <c r="X2865" t="str">
        <v>x</v>
      </c>
      <c r="Y2865">
        <f>D2851</f>
        <v>1</v>
      </c>
      <c r="Z2865" t="str">
        <v>=</v>
      </c>
      <c r="AA2865">
        <f>N2865*U2865*W2865*Y2865</f>
        <v>8.341245</v>
      </c>
    </row>
    <row r="2866">
      <c r="A2866" t="str">
        <f>A2845</f>
        <v>Lantai 2</v>
      </c>
      <c r="B2866">
        <f>B2845</f>
        <v>8</v>
      </c>
      <c r="C2866" t="str">
        <v>Sengkang Lapangan</v>
      </c>
      <c r="D2866">
        <f>VLOOKUP(D2845,'Detail Balok'!$C$10:$AU$140,36,FALSE)</f>
        <v>0</v>
      </c>
      <c r="E2866" t="str">
        <v>D</v>
      </c>
      <c r="F2866">
        <f>VLOOKUP(D2845,'Detail Balok'!$C$10:$AU$140,38,FALSE)</f>
        <v>10</v>
      </c>
      <c r="G2866" t="str">
        <v>-</v>
      </c>
      <c r="H2866">
        <f>VLOOKUP(D2845,'Detail Balok'!$C$10:$AU$140,40,FALSE)</f>
        <v>200</v>
      </c>
      <c r="J2866">
        <f>(IF(D2866=0,(2*(D2846+G2846))-(F$5*8),IF(D2866=3,(2*(D2846+G2846))-(F$5*8)+(G2846-2*F$5),IF(D2866=4,(2*(D2846+G2846))-(F$5*8)+2*(G2846-2*F$5)))))/1000</f>
        <v>1.08</v>
      </c>
      <c r="K2866" t="str">
        <v>+</v>
      </c>
      <c r="L2866">
        <f>IF(D2866=0,2*MAX(6*F2866,75),(D2866-1)*2*MAX(6*F2866,75))/1000</f>
        <v>0.15</v>
      </c>
      <c r="M2866" t="str">
        <v>=</v>
      </c>
      <c r="N2866">
        <f>J2866+L2866</f>
        <v>1.23</v>
      </c>
      <c r="T2866" t="str">
        <v>x</v>
      </c>
      <c r="U2866">
        <f>0.006165*F2866^2</f>
        <v>0.6165</v>
      </c>
      <c r="V2866" t="str">
        <v>x</v>
      </c>
      <c r="W2866">
        <f>IF(D2848-MAX(D2848/4,2*G2846)*2&gt;0,ROUND((D2848-MAX(D2848/4,2*G2846)*2)/H2866,0),0)</f>
        <v>15</v>
      </c>
      <c r="X2866" t="str">
        <v>x</v>
      </c>
      <c r="Y2866">
        <f>D2851</f>
        <v>1</v>
      </c>
      <c r="Z2866" t="str">
        <v>=</v>
      </c>
      <c r="AA2866">
        <f>N2866*U2866*W2866*Y2866</f>
        <v>11.374425</v>
      </c>
    </row>
    <row r="2867">
      <c r="A2867" t="str">
        <f>A2845</f>
        <v>Lantai 2</v>
      </c>
      <c r="B2867">
        <f>B2845</f>
        <v>8</v>
      </c>
      <c r="C2867" t="str">
        <v>Sengkang Tumpuan</v>
      </c>
      <c r="D2867">
        <f>VLOOKUP(D2845,'Detail Balok'!$C$10:$AU$140,41,FALSE)</f>
        <v>0</v>
      </c>
      <c r="E2867" t="str">
        <v>D</v>
      </c>
      <c r="F2867">
        <f>VLOOKUP(D2845,'Detail Balok'!$C$10:$AU$140,43,FALSE)</f>
        <v>10</v>
      </c>
      <c r="G2867" t="str">
        <v>-</v>
      </c>
      <c r="H2867">
        <f>VLOOKUP(D2845,'Detail Balok'!$C$10:$AU$140,45,FALSE)</f>
        <v>150</v>
      </c>
      <c r="J2867">
        <f>(IF(D2867=0,(2*(D2846+G2846))-(F$5*8),IF(D2867=3,(2*(D2846+G2846))-(F$5*8)+(G2846-2*F$5),IF(D2867=4,(2*(D2846+G2846))-(F$5*8)+2*(G2846-2*F$5)))))/1000</f>
        <v>1.08</v>
      </c>
      <c r="K2867" t="str">
        <v>+</v>
      </c>
      <c r="L2867">
        <f>IF(D2867=0,2*MAX(6*F2867,75),(D2867-1)*2*MAX(6*F2867,75))/1000</f>
        <v>0.15</v>
      </c>
      <c r="M2867" t="str">
        <v>=</v>
      </c>
      <c r="N2867">
        <f>J2867+L2867</f>
        <v>1.23</v>
      </c>
      <c r="T2867" t="str">
        <v>x</v>
      </c>
      <c r="U2867">
        <f>0.006165*F2867^2</f>
        <v>0.6165</v>
      </c>
      <c r="V2867" t="str">
        <v>x</v>
      </c>
      <c r="W2867">
        <f>IF(D2848&gt;4*G2846,ROUND(MAX(D2848/4,2*G2846)/H2867,0)+1,0)</f>
        <v>11</v>
      </c>
      <c r="X2867" t="str">
        <v>x</v>
      </c>
      <c r="Y2867">
        <f>D2851</f>
        <v>1</v>
      </c>
      <c r="Z2867" t="str">
        <v>=</v>
      </c>
      <c r="AA2867">
        <f>N2867*U2867*W2867*Y2867</f>
        <v>8.341245</v>
      </c>
    </row>
    <row r="2869">
      <c r="A2869" t="str">
        <f>A2845</f>
        <v>Lantai 2</v>
      </c>
      <c r="B2869">
        <f>B2845</f>
        <v>8</v>
      </c>
      <c r="C2869" t="str">
        <v>Kait Horizontal Tump.</v>
      </c>
      <c r="D2869">
        <f>VLOOKUP(D2845,'Detail Balok'!$C$10:$BJ$140,46,FALSE)</f>
        <v>0</v>
      </c>
      <c r="E2869" t="str">
        <v>D</v>
      </c>
      <c r="F2869">
        <f>VLOOKUP(D2845,'Detail Balok'!$C$10:$BJ$140,48,FALSE)</f>
        <v>0</v>
      </c>
      <c r="G2869" t="str">
        <v>-</v>
      </c>
      <c r="H2869">
        <f>VLOOKUP(D2845,'Detail Balok'!$C$10:$BJ$140,50,FALSE)</f>
        <v>100</v>
      </c>
      <c r="J2869">
        <f>(D2846-2*F$5)/1000</f>
        <v>0.12</v>
      </c>
      <c r="K2869" t="str">
        <v>+</v>
      </c>
      <c r="L2869">
        <f>IF(D2869=0,2*MAX(6*F2869,75),(D2869-1)*2*MAX(6*F2869,75))/1000</f>
        <v>0.15</v>
      </c>
      <c r="M2869" t="str">
        <v>=</v>
      </c>
      <c r="N2869">
        <f>J2869+L2869</f>
        <v>0.27</v>
      </c>
      <c r="T2869" t="str">
        <v>x</v>
      </c>
      <c r="U2869">
        <f>0.006165*F2869^2</f>
        <v>0</v>
      </c>
      <c r="V2869" t="str">
        <v>x</v>
      </c>
      <c r="W2869">
        <f>W2865</f>
        <v>11</v>
      </c>
      <c r="X2869" t="str">
        <v>x</v>
      </c>
      <c r="Y2869">
        <f>D2855</f>
        <v>4</v>
      </c>
      <c r="Z2869" t="str">
        <v>=</v>
      </c>
      <c r="AA2869">
        <f>N2869*U2869*W2869*Y2869</f>
        <v>0</v>
      </c>
    </row>
    <row r="2870">
      <c r="A2870" t="str">
        <f>A2845</f>
        <v>Lantai 2</v>
      </c>
      <c r="B2870">
        <f>B2845</f>
        <v>8</v>
      </c>
      <c r="C2870" t="str">
        <v>Kait Horizontal Lap.</v>
      </c>
      <c r="D2870">
        <f>VLOOKUP(D2845,'Detail Balok'!$C$10:$BJ$140,51,FALSE)</f>
        <v>0</v>
      </c>
      <c r="E2870" t="str">
        <v>D</v>
      </c>
      <c r="F2870">
        <f>VLOOKUP(D2845,'Detail Balok'!$C$10:$BJ$140,53,FALSE)</f>
        <v>0</v>
      </c>
      <c r="G2870" t="str">
        <v>-</v>
      </c>
      <c r="H2870">
        <f>VLOOKUP(D2845,'Detail Balok'!$C$10:$BJ$140,55,FALSE)</f>
        <v>100</v>
      </c>
      <c r="J2870">
        <f>(D2846-2*F$5)/1000</f>
        <v>0.12</v>
      </c>
      <c r="K2870" t="str">
        <v>+</v>
      </c>
      <c r="L2870">
        <f>IF(D2870=0,2*MAX(6*F2870,75),(D2870-1)*2*MAX(6*F2870,75))/1000</f>
        <v>0.15</v>
      </c>
      <c r="M2870" t="str">
        <v>=</v>
      </c>
      <c r="N2870">
        <f>J2870+L2870</f>
        <v>0.27</v>
      </c>
      <c r="T2870" t="str">
        <v>x</v>
      </c>
      <c r="U2870">
        <f>0.006165*F2870^2</f>
        <v>0</v>
      </c>
      <c r="V2870" t="str">
        <v>x</v>
      </c>
      <c r="W2870">
        <f>W2866</f>
        <v>15</v>
      </c>
      <c r="X2870" t="str">
        <v>x</v>
      </c>
      <c r="Y2870">
        <f>D2855</f>
        <v>4</v>
      </c>
      <c r="Z2870" t="str">
        <v>=</v>
      </c>
      <c r="AA2870">
        <f>N2870*U2870*W2870*Y2870</f>
        <v>0</v>
      </c>
    </row>
    <row r="2871">
      <c r="A2871" t="str">
        <f>A2845</f>
        <v>Lantai 2</v>
      </c>
      <c r="B2871">
        <f>B2845</f>
        <v>8</v>
      </c>
      <c r="C2871" t="str">
        <v>Kait Horizontal Tump.</v>
      </c>
      <c r="D2871">
        <f>VLOOKUP(D2845,'Detail Balok'!$C$10:$BJ$140,56,FALSE)</f>
        <v>0</v>
      </c>
      <c r="E2871" t="str">
        <v>D</v>
      </c>
      <c r="F2871">
        <f>VLOOKUP(D2845,'Detail Balok'!$C$10:$BJ$140,58,FALSE)</f>
        <v>0</v>
      </c>
      <c r="G2871" t="str">
        <v>-</v>
      </c>
      <c r="H2871">
        <f>VLOOKUP(D2845,'Detail Balok'!$C$10:$BJ$140,60,FALSE)</f>
        <v>100</v>
      </c>
      <c r="J2871">
        <f>(D2846-2*F$5)/1000</f>
        <v>0.12</v>
      </c>
      <c r="K2871" t="str">
        <v>+</v>
      </c>
      <c r="L2871">
        <f>IF(D2871=0,2*MAX(6*F2871,75),(D2871-1)*2*MAX(6*F2871,75))/1000</f>
        <v>0.15</v>
      </c>
      <c r="M2871" t="str">
        <v>=</v>
      </c>
      <c r="N2871">
        <f>J2871+L2871</f>
        <v>0.27</v>
      </c>
      <c r="T2871" t="str">
        <v>x</v>
      </c>
      <c r="U2871">
        <f>0.006165*F2871^2</f>
        <v>0</v>
      </c>
      <c r="V2871" t="str">
        <v>x</v>
      </c>
      <c r="W2871">
        <f>W2867</f>
        <v>11</v>
      </c>
      <c r="X2871" t="str">
        <v>x</v>
      </c>
      <c r="Y2871">
        <f>D2855</f>
        <v>4</v>
      </c>
      <c r="Z2871" t="str">
        <v>=</v>
      </c>
      <c r="AA2871">
        <f>N2871*U2871*W2871*Y2871</f>
        <v>0</v>
      </c>
    </row>
    <row r="2875">
      <c r="A2875" t="str">
        <f>A2845</f>
        <v>Lantai 2</v>
      </c>
      <c r="B2875">
        <f>B2845+1</f>
        <v>9</v>
      </c>
      <c r="C2875" t="str">
        <f>CONCATENATE(A2875," no. ",B2875)</f>
        <v>Lantai 2 no. 9</v>
      </c>
      <c r="D2875" t="str">
        <f>VLOOKUP(C2875,'Data Panjang Balok'!$C$9:$N$254,2,FALSE)</f>
        <v>B24-1</v>
      </c>
    </row>
    <row r="2876">
      <c r="C2876" t="str">
        <v>Dimensi</v>
      </c>
      <c r="D2876">
        <f>VLOOKUP(D2875,'Detail Balok'!$C$10:$AU$140,2,FALSE)</f>
        <v>200</v>
      </c>
      <c r="F2876" t="str">
        <v>x</v>
      </c>
      <c r="G2876">
        <f>VLOOKUP(D2875,'Detail Balok'!$C$10:$AU$140,3,FALSE)</f>
        <v>400</v>
      </c>
    </row>
    <row r="2877">
      <c r="C2877" t="str">
        <v>Panjang as ke as</v>
      </c>
      <c r="D2877">
        <f>VLOOKUP(C2875,'Data Panjang Balok'!$C$9:$N$254,4,FALSE)</f>
        <v>4075</v>
      </c>
    </row>
    <row r="2878">
      <c r="C2878" t="str">
        <v>Panjang netto</v>
      </c>
      <c r="D2878">
        <f>VLOOKUP(C2875,'Data Panjang Balok'!$C$9:$N$254,7,FALSE)</f>
        <v>4075</v>
      </c>
    </row>
    <row r="2879">
      <c r="C2879" t="str">
        <v>Kolom / balok kiri</v>
      </c>
      <c r="D2879">
        <f>VLOOKUP(C2875,'Data Panjang Balok'!$C$9:$N$254,9,FALSE)</f>
        <v>0</v>
      </c>
    </row>
    <row r="2880">
      <c r="C2880" t="str">
        <v>Kolom / balok kanan</v>
      </c>
      <c r="D2880">
        <f>VLOOKUP(C2875,'Data Panjang Balok'!$C$9:$N$254,10,FALSE)</f>
        <v>0</v>
      </c>
    </row>
    <row r="2881">
      <c r="C2881" t="str">
        <v>Jumlah</v>
      </c>
      <c r="D2881">
        <f>VLOOKUP(C2875,'Data Panjang Balok'!$C$9:$N$254,3,FALSE)</f>
        <v>1</v>
      </c>
    </row>
    <row r="2882">
      <c r="A2882" t="str">
        <f>A2875</f>
        <v>Lantai 2</v>
      </c>
      <c r="B2882">
        <f>B2875</f>
        <v>9</v>
      </c>
      <c r="C2882" t="str">
        <v>Tul Atas Tumpuan</v>
      </c>
      <c r="D2882">
        <f>VLOOKUP(D2875,'Detail Balok'!$C$10:$AU$140,4,FALSE)</f>
        <v>3</v>
      </c>
      <c r="E2882" t="str">
        <v>D</v>
      </c>
      <c r="F2882">
        <f>VLOOKUP(D2875,'Detail Balok'!$C$10:$AU$140,6,FALSE)</f>
        <v>13</v>
      </c>
      <c r="I2882" t="str">
        <v>(</v>
      </c>
      <c r="J2882">
        <f>+D2877/4/1000</f>
        <v>1.01875</v>
      </c>
      <c r="K2882" t="str">
        <v>+</v>
      </c>
      <c r="L2882">
        <f>MAX(VLOOKUP(F2882,N$6:P$15,3,FALSE)/1000,2/3*D2879/1000)+F$16*F2882/1000</f>
        <v>0.156</v>
      </c>
      <c r="M2882" t="str">
        <v>=</v>
      </c>
      <c r="N2882">
        <f>J2882+L2882</f>
        <v>1.17475</v>
      </c>
      <c r="O2882" t="str">
        <v>+</v>
      </c>
      <c r="P2882">
        <f>D2882-D2883</f>
        <v>0</v>
      </c>
      <c r="Q2882" t="str">
        <v>x</v>
      </c>
      <c r="R2882">
        <f>IF(P2882&gt;0,$F$18*F2882/1000,0)</f>
        <v>0</v>
      </c>
      <c r="S2882" t="str">
        <v>)</v>
      </c>
      <c r="T2882" t="str">
        <v>x</v>
      </c>
      <c r="U2882">
        <f>0.006165*F2882^2</f>
        <v>1.041885</v>
      </c>
      <c r="X2882" t="str">
        <v>x</v>
      </c>
      <c r="Y2882">
        <f>D2881</f>
        <v>1</v>
      </c>
      <c r="Z2882" t="str">
        <v>=</v>
      </c>
      <c r="AA2882">
        <f>IF(AA2885=0,(D2882*N2882+P2882*R2882)*U2882*Y2882,0)</f>
        <v>0</v>
      </c>
    </row>
    <row r="2883">
      <c r="A2883" t="str">
        <f>A2875</f>
        <v>Lantai 2</v>
      </c>
      <c r="B2883">
        <f>B2875</f>
        <v>9</v>
      </c>
      <c r="C2883" t="str">
        <v>Tul Atas Lapangan</v>
      </c>
      <c r="D2883">
        <f>VLOOKUP(D2875,'Detail Balok'!$C$10:$AU$140,7,FALSE)</f>
        <v>3</v>
      </c>
      <c r="E2883" t="str">
        <v>D</v>
      </c>
      <c r="F2883">
        <f>VLOOKUP(D2875,'Detail Balok'!$C$10:$AU$140,9,FALSE)</f>
        <v>13</v>
      </c>
      <c r="I2883" t="str">
        <v>(</v>
      </c>
      <c r="J2883">
        <f>+D2877/2/1000</f>
        <v>2.0375</v>
      </c>
      <c r="K2883" t="str">
        <v>+</v>
      </c>
      <c r="M2883" t="str">
        <v>=</v>
      </c>
      <c r="N2883">
        <f>J2883+L2883</f>
        <v>2.0375</v>
      </c>
      <c r="O2883" t="str">
        <v>+</v>
      </c>
      <c r="P2883">
        <f>MAX(D2883-D2882,D2883-D2884)</f>
        <v>0</v>
      </c>
      <c r="Q2883" t="str">
        <v>x</v>
      </c>
      <c r="R2883">
        <f>IF(P2883&gt;0,2*(1-2*$F$19-1/2)*D2878/1000,0)</f>
        <v>0</v>
      </c>
      <c r="S2883" t="str">
        <v>)</v>
      </c>
      <c r="T2883" t="str">
        <v>x</v>
      </c>
      <c r="U2883">
        <f>0.006165*F2883^2</f>
        <v>1.041885</v>
      </c>
      <c r="X2883" t="str">
        <v>x</v>
      </c>
      <c r="Y2883">
        <f>D2881</f>
        <v>1</v>
      </c>
      <c r="Z2883" t="str">
        <v>=</v>
      </c>
      <c r="AA2883">
        <f>IF(AA2885=0,(D2883*N2883+P2883*R2883)*U2883*Y2883,0)</f>
        <v>0</v>
      </c>
    </row>
    <row r="2884">
      <c r="A2884" t="str">
        <f>A2875</f>
        <v>Lantai 2</v>
      </c>
      <c r="B2884">
        <f>B2875</f>
        <v>9</v>
      </c>
      <c r="C2884" t="str">
        <v>Tul Atas Tumpuan</v>
      </c>
      <c r="D2884">
        <f>VLOOKUP(D2875,'Detail Balok'!$C$10:$AU$140,10,FALSE)</f>
        <v>3</v>
      </c>
      <c r="E2884" t="str">
        <v>D</v>
      </c>
      <c r="F2884">
        <f>VLOOKUP(D2875,'Detail Balok'!$C$10:$AU$140,12,FALSE)</f>
        <v>13</v>
      </c>
      <c r="I2884" t="str">
        <v>(</v>
      </c>
      <c r="J2884">
        <f>+D2877/4/1000</f>
        <v>1.01875</v>
      </c>
      <c r="K2884" t="str">
        <v>+</v>
      </c>
      <c r="L2884">
        <f>MAX(VLOOKUP(F2884,N$6:P$15,3,FALSE)/1000,2/3*D2879/1000)+F$16*F2884/1000</f>
        <v>0.156</v>
      </c>
      <c r="M2884" t="str">
        <v>=</v>
      </c>
      <c r="N2884">
        <f>J2884+L2884</f>
        <v>1.17475</v>
      </c>
      <c r="O2884" t="str">
        <v>+</v>
      </c>
      <c r="P2884">
        <f>D2884-D2883</f>
        <v>0</v>
      </c>
      <c r="Q2884" t="str">
        <v>x</v>
      </c>
      <c r="R2884">
        <f>IF(P2884&gt;0,$F$18*F2884/1000,0)</f>
        <v>0</v>
      </c>
      <c r="S2884" t="str">
        <v>)</v>
      </c>
      <c r="T2884" t="str">
        <v>x</v>
      </c>
      <c r="U2884">
        <f>0.006165*F2884^2</f>
        <v>1.041885</v>
      </c>
      <c r="X2884" t="str">
        <v>x</v>
      </c>
      <c r="Y2884">
        <f>D2881</f>
        <v>1</v>
      </c>
      <c r="Z2884" t="str">
        <v>=</v>
      </c>
      <c r="AA2884">
        <f>IF(AA2885=0,(D2884*N2884+P2884*R2884)*U2884*Y2884,0)</f>
        <v>0</v>
      </c>
    </row>
    <row r="2885">
      <c r="A2885" t="str">
        <f>A2875</f>
        <v>Lantai 2</v>
      </c>
      <c r="B2885">
        <f>B2875</f>
        <v>9</v>
      </c>
      <c r="D2885">
        <f>IF(AND(D2882=D2883,D2883=D2884,D2882=D2884),D2882,0)</f>
        <v>3</v>
      </c>
      <c r="E2885" t="str">
        <v>D</v>
      </c>
      <c r="F2885">
        <f>IF(AND(F2882=F2883,F2882=F2884,F2883=F2884),F2882,0)</f>
        <v>13</v>
      </c>
      <c r="L2885" t="str">
        <v>Total panjang per balok</v>
      </c>
      <c r="M2885" t="str">
        <v>=</v>
      </c>
      <c r="N2885">
        <f>IF(AND(D2882=D2883,D2882=D2884,D2883=D2884,F2882=F2883,F2882=F2884,F2883=F2884),SUM(N2882:N2884),0)</f>
        <v>4.3870000000000005</v>
      </c>
      <c r="O2885" t="str">
        <v>+</v>
      </c>
      <c r="P2885">
        <f>IF(N2885&gt;12,ROUNDDOWN(N2885/12,0),0)</f>
        <v>0</v>
      </c>
      <c r="Q2885" t="str">
        <v>x</v>
      </c>
      <c r="R2885">
        <f>IF(P2885&gt;0,MAX(VLOOKUP(F2885,$D$6:$G$15,3,FALSE),600),0)/1000</f>
        <v>0</v>
      </c>
      <c r="T2885" t="str">
        <v>x</v>
      </c>
      <c r="U2885">
        <f>U2884</f>
        <v>1.041885</v>
      </c>
      <c r="V2885" t="str">
        <v>x</v>
      </c>
      <c r="W2885">
        <f>D2885</f>
        <v>3</v>
      </c>
      <c r="X2885" t="str">
        <v>x</v>
      </c>
      <c r="Y2885">
        <f>Y2884</f>
        <v>1</v>
      </c>
      <c r="Z2885" t="str">
        <v>=</v>
      </c>
      <c r="AA2885">
        <f>(N2885+P2885*R2885/1000)*U2885*W2885*Y2885</f>
        <v>13.712248485</v>
      </c>
    </row>
    <row r="2887">
      <c r="A2887" t="str">
        <f>A2875</f>
        <v>Lantai 2</v>
      </c>
      <c r="B2887">
        <f>B2875</f>
        <v>9</v>
      </c>
      <c r="C2887" t="str">
        <v>Tul Peminggang</v>
      </c>
      <c r="D2887">
        <f>VLOOKUP(D2875,'Detail Balok'!$C$10:$AU$140,13,FALSE)</f>
        <v>0</v>
      </c>
      <c r="E2887" t="str">
        <v>D</v>
      </c>
      <c r="F2887">
        <f>VLOOKUP(D2875,'Detail Balok'!$C$10:$AU$140,15,FALSE)</f>
        <v>8</v>
      </c>
      <c r="J2887">
        <f>+D2877/1000</f>
        <v>4.075</v>
      </c>
      <c r="K2887" t="str">
        <v>+</v>
      </c>
      <c r="L2887">
        <f>2*$F$16*F2887/1000</f>
        <v>0.192</v>
      </c>
      <c r="M2887" t="str">
        <v>=</v>
      </c>
      <c r="N2887">
        <f>J2887+L2887</f>
        <v>4.267</v>
      </c>
      <c r="O2887" t="str">
        <v>+</v>
      </c>
      <c r="P2887">
        <f>IF(N2887&gt;12,ROUNDDOWN(N2887/12,0),0)</f>
        <v>0</v>
      </c>
      <c r="Q2887" t="str">
        <v>x</v>
      </c>
      <c r="R2887">
        <f>IF(P2887&gt;0,MAX(VLOOKUP(F2887,$D$6:$G$15,3,FALSE),600),0)/1000</f>
        <v>0</v>
      </c>
      <c r="T2887" t="str">
        <v>x</v>
      </c>
      <c r="U2887">
        <f>0.006165*F2887^2</f>
        <v>0.39456</v>
      </c>
      <c r="V2887" t="str">
        <v>x</v>
      </c>
      <c r="W2887">
        <f>+D2887</f>
        <v>0</v>
      </c>
      <c r="X2887" t="str">
        <v>x</v>
      </c>
      <c r="Y2887">
        <f>D2881</f>
        <v>1</v>
      </c>
      <c r="Z2887" t="str">
        <v>=</v>
      </c>
      <c r="AA2887">
        <f>(N2887+P2887*R2887/1000)*U2887*W2887*Y2887</f>
        <v>0</v>
      </c>
    </row>
    <row r="2890">
      <c r="A2890" t="str">
        <f>A2875</f>
        <v>Lantai 2</v>
      </c>
      <c r="B2890">
        <f>B2875</f>
        <v>9</v>
      </c>
      <c r="C2890" t="str">
        <v>Tul Bawah Tumpuan</v>
      </c>
      <c r="D2890">
        <f>VLOOKUP(D2875,'Detail Balok'!$C$10:$AU$140,22,FALSE)</f>
        <v>3</v>
      </c>
      <c r="E2890" t="str">
        <v>D</v>
      </c>
      <c r="F2890">
        <f>VLOOKUP(D2875,'Detail Balok'!$C$10:$AU$140,24,FALSE)</f>
        <v>13</v>
      </c>
      <c r="I2890" t="str">
        <v>(</v>
      </c>
      <c r="J2890">
        <f>+J2882</f>
        <v>1.01875</v>
      </c>
      <c r="K2890" t="str">
        <v>+</v>
      </c>
      <c r="L2890">
        <f>MAX(VLOOKUP(F2890,N$6:P$15,3,FALSE)/1000,2/3*D2880/1000)+F$16*F2890/1000</f>
        <v>0.156</v>
      </c>
      <c r="M2890" t="str">
        <v>=</v>
      </c>
      <c r="N2890">
        <f>J2890+L2890</f>
        <v>1.17475</v>
      </c>
      <c r="O2890" t="str">
        <v>+</v>
      </c>
      <c r="P2890">
        <f>D2890-D2891</f>
        <v>0</v>
      </c>
      <c r="Q2890" t="str">
        <v>x</v>
      </c>
      <c r="R2890">
        <f>IF(P2890&gt;0,$F$18*F2890/1000,0)</f>
        <v>0</v>
      </c>
      <c r="S2890" t="str">
        <v>)</v>
      </c>
      <c r="T2890" t="str">
        <v>x</v>
      </c>
      <c r="U2890">
        <f>0.006165*F2890^2</f>
        <v>1.041885</v>
      </c>
      <c r="X2890" t="str">
        <v>x</v>
      </c>
      <c r="Y2890">
        <f>D2881</f>
        <v>1</v>
      </c>
      <c r="Z2890" t="str">
        <v>=</v>
      </c>
      <c r="AA2890">
        <f>IF(AA2893=0,(D2890*N2890+P2890*R2890)*U2890*Y2890,0)</f>
        <v>0</v>
      </c>
    </row>
    <row r="2891">
      <c r="A2891" t="str">
        <f>A2875</f>
        <v>Lantai 2</v>
      </c>
      <c r="B2891">
        <f>B2875</f>
        <v>9</v>
      </c>
      <c r="C2891" t="str">
        <v>Tul Bawah Lapangan</v>
      </c>
      <c r="D2891">
        <f>VLOOKUP(D2875,'Detail Balok'!$C$10:$AU$140,25,FALSE)</f>
        <v>3</v>
      </c>
      <c r="E2891" t="str">
        <v>D</v>
      </c>
      <c r="F2891">
        <f>VLOOKUP(D2875,'Detail Balok'!$C$10:$AU$140,27,FALSE)</f>
        <v>13</v>
      </c>
      <c r="I2891" t="str">
        <v>(</v>
      </c>
      <c r="J2891">
        <f>+J2883</f>
        <v>2.0375</v>
      </c>
      <c r="K2891" t="str">
        <v>+</v>
      </c>
      <c r="M2891" t="str">
        <v>=</v>
      </c>
      <c r="N2891">
        <f>J2891+L2891</f>
        <v>2.0375</v>
      </c>
      <c r="O2891" t="str">
        <v>+</v>
      </c>
      <c r="P2891">
        <f>MAX(D2891-D2890,D2891-D2892)</f>
        <v>0</v>
      </c>
      <c r="Q2891" t="str">
        <v>x</v>
      </c>
      <c r="R2891">
        <f>IF(P2891&gt;0,2*(1-2*$F$19-1/2)*D2878/1000,0)</f>
        <v>0</v>
      </c>
      <c r="S2891" t="str">
        <v>)</v>
      </c>
      <c r="T2891" t="str">
        <v>x</v>
      </c>
      <c r="U2891">
        <f>0.006165*F2891^2</f>
        <v>1.041885</v>
      </c>
      <c r="X2891" t="str">
        <v>x</v>
      </c>
      <c r="Y2891">
        <f>D2881</f>
        <v>1</v>
      </c>
      <c r="Z2891" t="str">
        <v>=</v>
      </c>
      <c r="AA2891">
        <f>IF(AA2893=0,(D2891*N2891+P2891*R2891)*U2891*Y2891,0)</f>
        <v>0</v>
      </c>
    </row>
    <row r="2892">
      <c r="A2892" t="str">
        <f>A2875</f>
        <v>Lantai 2</v>
      </c>
      <c r="B2892">
        <f>B2875</f>
        <v>9</v>
      </c>
      <c r="C2892" t="str">
        <v>Tul Bawah Tumpuan</v>
      </c>
      <c r="D2892">
        <f>VLOOKUP(D2875,'Detail Balok'!$C$10:$AU$140,28,FALSE)</f>
        <v>3</v>
      </c>
      <c r="E2892" t="str">
        <v>D</v>
      </c>
      <c r="F2892">
        <f>VLOOKUP(D2875,'Detail Balok'!$C$10:$AU$140,30,FALSE)</f>
        <v>13</v>
      </c>
      <c r="I2892" t="str">
        <v>(</v>
      </c>
      <c r="J2892">
        <f>+J2884</f>
        <v>1.01875</v>
      </c>
      <c r="K2892" t="str">
        <v>+</v>
      </c>
      <c r="L2892">
        <f>MAX(VLOOKUP(F2892,N$6:P$15,3,FALSE)/1000,2/3*D2880/1000)+F$16*F2892/1000</f>
        <v>0.156</v>
      </c>
      <c r="M2892" t="str">
        <v>=</v>
      </c>
      <c r="N2892">
        <f>J2892+L2892</f>
        <v>1.17475</v>
      </c>
      <c r="O2892" t="str">
        <v>+</v>
      </c>
      <c r="P2892">
        <f>D2892-D2891</f>
        <v>0</v>
      </c>
      <c r="Q2892" t="str">
        <v>x</v>
      </c>
      <c r="R2892">
        <f>IF(P2892&gt;0,$F$18*F2892/1000,0)</f>
        <v>0</v>
      </c>
      <c r="S2892" t="str">
        <v>)</v>
      </c>
      <c r="T2892" t="str">
        <v>x</v>
      </c>
      <c r="U2892">
        <f>0.006165*F2892^2</f>
        <v>1.041885</v>
      </c>
      <c r="X2892" t="str">
        <v>x</v>
      </c>
      <c r="Y2892">
        <f>D2881</f>
        <v>1</v>
      </c>
      <c r="Z2892" t="str">
        <v>=</v>
      </c>
      <c r="AA2892">
        <f>IF(AA2893=0,(D2892*N2892+P2892*R2892)*U2892*Y2892,0)</f>
        <v>0</v>
      </c>
    </row>
    <row r="2893">
      <c r="A2893" t="str">
        <f>A2875</f>
        <v>Lantai 2</v>
      </c>
      <c r="B2893">
        <f>B2875</f>
        <v>9</v>
      </c>
      <c r="D2893">
        <f>IF(AND(D2890=D2891,D2891=D2892,D2890=D2892),D2890,0)</f>
        <v>3</v>
      </c>
      <c r="E2893" t="str">
        <v>D</v>
      </c>
      <c r="F2893">
        <f>IF(AND(F2890=F2891,F2890=F2892,F2891=F2892),F2890,0)</f>
        <v>13</v>
      </c>
      <c r="L2893" t="str">
        <v>Total panjang per balok</v>
      </c>
      <c r="M2893" t="str">
        <v>=</v>
      </c>
      <c r="N2893">
        <f>IF(AND(D2890=D2891,D2890=D2892,D2891=D2892,F2890=F2891,F2890=F2892,F2891=F2892),SUM(N2890:N2892),0)</f>
        <v>4.3870000000000005</v>
      </c>
      <c r="O2893" t="str">
        <v>+</v>
      </c>
      <c r="P2893">
        <f>IF(N2893&gt;12,ROUNDDOWN(N2893/12,0),0)</f>
        <v>0</v>
      </c>
      <c r="Q2893" t="str">
        <v>x</v>
      </c>
      <c r="R2893">
        <f>IF(P2893&gt;0,MAX(VLOOKUP(F2893,$D$6:$G$15,3,FALSE),600),0)/1000</f>
        <v>0</v>
      </c>
      <c r="T2893" t="str">
        <v>x</v>
      </c>
      <c r="U2893">
        <f>U2892</f>
        <v>1.041885</v>
      </c>
      <c r="V2893" t="str">
        <v>x</v>
      </c>
      <c r="W2893">
        <f>D2893</f>
        <v>3</v>
      </c>
      <c r="X2893" t="str">
        <v>x</v>
      </c>
      <c r="Y2893">
        <f>Y2892</f>
        <v>1</v>
      </c>
      <c r="Z2893" t="str">
        <v>=</v>
      </c>
      <c r="AA2893">
        <f>(N2893+P2893*R2893/1000)*U2893*W2893*Y2893</f>
        <v>13.712248485</v>
      </c>
    </row>
    <row r="2895">
      <c r="A2895" t="str">
        <f>A2875</f>
        <v>Lantai 2</v>
      </c>
      <c r="B2895">
        <f>B2875</f>
        <v>9</v>
      </c>
      <c r="C2895" t="str">
        <v>Sengkang Tumpuan</v>
      </c>
      <c r="D2895">
        <f>VLOOKUP(D2875,'Detail Balok'!$C$10:$AU$140,31,FALSE)</f>
        <v>0</v>
      </c>
      <c r="E2895" t="str">
        <v>D</v>
      </c>
      <c r="F2895">
        <f>VLOOKUP(D2875,'Detail Balok'!$C$10:$AU$140,33,FALSE)</f>
        <v>10</v>
      </c>
      <c r="G2895" t="str">
        <v>-</v>
      </c>
      <c r="H2895">
        <f>VLOOKUP(D2875,'Detail Balok'!$C$10:$AU$140,35,FALSE)</f>
        <v>100</v>
      </c>
      <c r="J2895">
        <f>(IF(D2895=0,(2*(D2876+G2876))-(F$5*8),IF(D2895=3,(2*(D2876+G2876))-(F$5*8)+(G2876-2*F$5),IF(D2895=4,(2*(D2876+G2876))-(F$5*8)+2*(G2876-2*F$5)))))/1000</f>
        <v>0.88</v>
      </c>
      <c r="K2895" t="str">
        <v>+</v>
      </c>
      <c r="L2895">
        <f>IF(D2895=0,2*MAX(6*F2895,75),(D2895-1)*2*MAX(6*F2895,75))/1000</f>
        <v>0.15</v>
      </c>
      <c r="M2895" t="str">
        <v>=</v>
      </c>
      <c r="N2895">
        <f>J2895+L2895</f>
        <v>1.03</v>
      </c>
      <c r="T2895" t="str">
        <v>x</v>
      </c>
      <c r="U2895">
        <f>0.006165*F2895^2</f>
        <v>0.6165</v>
      </c>
      <c r="V2895" t="str">
        <v>x</v>
      </c>
      <c r="W2895">
        <f>IF(D2878&gt;4*G2876,ROUND(MAX(D2878/4,2*G2876)/H2895,0)+1,ROUND(D2878/H2895,0)+1)</f>
        <v>11</v>
      </c>
      <c r="X2895" t="str">
        <v>x</v>
      </c>
      <c r="Y2895">
        <f>D2881</f>
        <v>1</v>
      </c>
      <c r="Z2895" t="str">
        <v>=</v>
      </c>
      <c r="AA2895">
        <f>N2895*U2895*W2895*Y2895</f>
        <v>6.984945000000001</v>
      </c>
    </row>
    <row r="2896">
      <c r="A2896" t="str">
        <f>A2875</f>
        <v>Lantai 2</v>
      </c>
      <c r="B2896">
        <f>B2875</f>
        <v>9</v>
      </c>
      <c r="C2896" t="str">
        <v>Sengkang Lapangan</v>
      </c>
      <c r="D2896">
        <f>VLOOKUP(D2875,'Detail Balok'!$C$10:$AU$140,36,FALSE)</f>
        <v>0</v>
      </c>
      <c r="E2896" t="str">
        <v>D</v>
      </c>
      <c r="F2896">
        <f>VLOOKUP(D2875,'Detail Balok'!$C$10:$AU$140,38,FALSE)</f>
        <v>10</v>
      </c>
      <c r="G2896" t="str">
        <v>-</v>
      </c>
      <c r="H2896">
        <f>VLOOKUP(D2875,'Detail Balok'!$C$10:$AU$140,40,FALSE)</f>
        <v>200</v>
      </c>
      <c r="J2896">
        <f>(IF(D2896=0,(2*(D2876+G2876))-(F$5*8),IF(D2896=3,(2*(D2876+G2876))-(F$5*8)+(G2876-2*F$5),IF(D2896=4,(2*(D2876+G2876))-(F$5*8)+2*(G2876-2*F$5)))))/1000</f>
        <v>0.88</v>
      </c>
      <c r="K2896" t="str">
        <v>+</v>
      </c>
      <c r="L2896">
        <f>IF(D2896=0,2*MAX(6*F2896,75),(D2896-1)*2*MAX(6*F2896,75))/1000</f>
        <v>0.15</v>
      </c>
      <c r="M2896" t="str">
        <v>=</v>
      </c>
      <c r="N2896">
        <f>J2896+L2896</f>
        <v>1.03</v>
      </c>
      <c r="T2896" t="str">
        <v>x</v>
      </c>
      <c r="U2896">
        <f>0.006165*F2896^2</f>
        <v>0.6165</v>
      </c>
      <c r="V2896" t="str">
        <v>x</v>
      </c>
      <c r="W2896">
        <f>IF(D2878-MAX(D2878/4,2*G2876)*2&gt;0,ROUND((D2878-MAX(D2878/4,2*G2876)*2)/H2896,0),0)</f>
        <v>10</v>
      </c>
      <c r="X2896" t="str">
        <v>x</v>
      </c>
      <c r="Y2896">
        <f>D2881</f>
        <v>1</v>
      </c>
      <c r="Z2896" t="str">
        <v>=</v>
      </c>
      <c r="AA2896">
        <f>N2896*U2896*W2896*Y2896</f>
        <v>6.349950000000001</v>
      </c>
    </row>
    <row r="2897">
      <c r="A2897" t="str">
        <f>A2875</f>
        <v>Lantai 2</v>
      </c>
      <c r="B2897">
        <f>B2875</f>
        <v>9</v>
      </c>
      <c r="C2897" t="str">
        <v>Sengkang Tumpuan</v>
      </c>
      <c r="D2897">
        <f>VLOOKUP(D2875,'Detail Balok'!$C$10:$AU$140,41,FALSE)</f>
        <v>0</v>
      </c>
      <c r="E2897" t="str">
        <v>D</v>
      </c>
      <c r="F2897">
        <f>VLOOKUP(D2875,'Detail Balok'!$C$10:$AU$140,43,FALSE)</f>
        <v>10</v>
      </c>
      <c r="G2897" t="str">
        <v>-</v>
      </c>
      <c r="H2897">
        <f>VLOOKUP(D2875,'Detail Balok'!$C$10:$AU$140,45,FALSE)</f>
        <v>100</v>
      </c>
      <c r="J2897">
        <f>(IF(D2897=0,(2*(D2876+G2876))-(F$5*8),IF(D2897=3,(2*(D2876+G2876))-(F$5*8)+(G2876-2*F$5),IF(D2897=4,(2*(D2876+G2876))-(F$5*8)+2*(G2876-2*F$5)))))/1000</f>
        <v>0.88</v>
      </c>
      <c r="K2897" t="str">
        <v>+</v>
      </c>
      <c r="L2897">
        <f>IF(D2897=0,2*MAX(6*F2897,75),(D2897-1)*2*MAX(6*F2897,75))/1000</f>
        <v>0.15</v>
      </c>
      <c r="M2897" t="str">
        <v>=</v>
      </c>
      <c r="N2897">
        <f>J2897+L2897</f>
        <v>1.03</v>
      </c>
      <c r="T2897" t="str">
        <v>x</v>
      </c>
      <c r="U2897">
        <f>0.006165*F2897^2</f>
        <v>0.6165</v>
      </c>
      <c r="V2897" t="str">
        <v>x</v>
      </c>
      <c r="W2897">
        <f>IF(D2878&gt;4*G2876,ROUND(MAX(D2878/4,2*G2876)/H2897,0)+1,0)</f>
        <v>11</v>
      </c>
      <c r="X2897" t="str">
        <v>x</v>
      </c>
      <c r="Y2897">
        <f>D2881</f>
        <v>1</v>
      </c>
      <c r="Z2897" t="str">
        <v>=</v>
      </c>
      <c r="AA2897">
        <f>N2897*U2897*W2897*Y2897</f>
        <v>6.984945000000001</v>
      </c>
    </row>
    <row r="2899">
      <c r="A2899" t="str">
        <f>A2875</f>
        <v>Lantai 2</v>
      </c>
      <c r="B2899">
        <f>B2875</f>
        <v>9</v>
      </c>
      <c r="C2899" t="str">
        <v>Kait Horizontal Tump.</v>
      </c>
      <c r="D2899">
        <f>VLOOKUP(D2875,'Detail Balok'!$C$10:$BJ$140,46,FALSE)</f>
        <v>0</v>
      </c>
      <c r="E2899" t="str">
        <v>D</v>
      </c>
      <c r="F2899">
        <f>VLOOKUP(D2875,'Detail Balok'!$C$10:$BJ$140,48,FALSE)</f>
        <v>0</v>
      </c>
      <c r="G2899" t="str">
        <v>-</v>
      </c>
      <c r="H2899">
        <f>VLOOKUP(D2875,'Detail Balok'!$C$10:$BJ$140,50,FALSE)</f>
        <v>100</v>
      </c>
      <c r="J2899">
        <f>(D2876-2*F$5)/1000</f>
        <v>0.12</v>
      </c>
      <c r="K2899" t="str">
        <v>+</v>
      </c>
      <c r="L2899">
        <f>IF(D2899=0,2*MAX(6*F2899,75),(D2899-1)*2*MAX(6*F2899,75))/1000</f>
        <v>0.15</v>
      </c>
      <c r="M2899" t="str">
        <v>=</v>
      </c>
      <c r="N2899">
        <f>J2899+L2899</f>
        <v>0.27</v>
      </c>
      <c r="T2899" t="str">
        <v>x</v>
      </c>
      <c r="U2899">
        <f>0.006165*F2899^2</f>
        <v>0</v>
      </c>
      <c r="V2899" t="str">
        <v>x</v>
      </c>
      <c r="W2899">
        <f>W2895</f>
        <v>11</v>
      </c>
      <c r="X2899" t="str">
        <v>x</v>
      </c>
      <c r="Y2899">
        <f>D2885</f>
        <v>3</v>
      </c>
      <c r="Z2899" t="str">
        <v>=</v>
      </c>
      <c r="AA2899">
        <f>N2899*U2899*W2899*Y2899</f>
        <v>0</v>
      </c>
    </row>
    <row r="2900">
      <c r="A2900" t="str">
        <f>A2875</f>
        <v>Lantai 2</v>
      </c>
      <c r="B2900">
        <f>B2875</f>
        <v>9</v>
      </c>
      <c r="C2900" t="str">
        <v>Kait Horizontal Lap.</v>
      </c>
      <c r="D2900">
        <f>VLOOKUP(D2875,'Detail Balok'!$C$10:$BJ$140,51,FALSE)</f>
        <v>0</v>
      </c>
      <c r="E2900" t="str">
        <v>D</v>
      </c>
      <c r="F2900">
        <f>VLOOKUP(D2875,'Detail Balok'!$C$10:$BJ$140,53,FALSE)</f>
        <v>0</v>
      </c>
      <c r="G2900" t="str">
        <v>-</v>
      </c>
      <c r="H2900">
        <f>VLOOKUP(D2875,'Detail Balok'!$C$10:$BJ$140,55,FALSE)</f>
        <v>100</v>
      </c>
      <c r="J2900">
        <f>(D2876-2*F$5)/1000</f>
        <v>0.12</v>
      </c>
      <c r="K2900" t="str">
        <v>+</v>
      </c>
      <c r="L2900">
        <f>IF(D2900=0,2*MAX(6*F2900,75),(D2900-1)*2*MAX(6*F2900,75))/1000</f>
        <v>0.15</v>
      </c>
      <c r="M2900" t="str">
        <v>=</v>
      </c>
      <c r="N2900">
        <f>J2900+L2900</f>
        <v>0.27</v>
      </c>
      <c r="T2900" t="str">
        <v>x</v>
      </c>
      <c r="U2900">
        <f>0.006165*F2900^2</f>
        <v>0</v>
      </c>
      <c r="V2900" t="str">
        <v>x</v>
      </c>
      <c r="W2900">
        <f>W2896</f>
        <v>10</v>
      </c>
      <c r="X2900" t="str">
        <v>x</v>
      </c>
      <c r="Y2900">
        <f>D2885</f>
        <v>3</v>
      </c>
      <c r="Z2900" t="str">
        <v>=</v>
      </c>
      <c r="AA2900">
        <f>N2900*U2900*W2900*Y2900</f>
        <v>0</v>
      </c>
    </row>
    <row r="2901">
      <c r="A2901" t="str">
        <f>A2875</f>
        <v>Lantai 2</v>
      </c>
      <c r="B2901">
        <f>B2875</f>
        <v>9</v>
      </c>
      <c r="C2901" t="str">
        <v>Kait Horizontal Tump.</v>
      </c>
      <c r="D2901">
        <f>VLOOKUP(D2875,'Detail Balok'!$C$10:$BJ$140,56,FALSE)</f>
        <v>0</v>
      </c>
      <c r="E2901" t="str">
        <v>D</v>
      </c>
      <c r="F2901">
        <f>VLOOKUP(D2875,'Detail Balok'!$C$10:$BJ$140,58,FALSE)</f>
        <v>0</v>
      </c>
      <c r="G2901" t="str">
        <v>-</v>
      </c>
      <c r="H2901">
        <f>VLOOKUP(D2875,'Detail Balok'!$C$10:$BJ$140,60,FALSE)</f>
        <v>100</v>
      </c>
      <c r="J2901">
        <f>(D2876-2*F$5)/1000</f>
        <v>0.12</v>
      </c>
      <c r="K2901" t="str">
        <v>+</v>
      </c>
      <c r="L2901">
        <f>IF(D2901=0,2*MAX(6*F2901,75),(D2901-1)*2*MAX(6*F2901,75))/1000</f>
        <v>0.15</v>
      </c>
      <c r="M2901" t="str">
        <v>=</v>
      </c>
      <c r="N2901">
        <f>J2901+L2901</f>
        <v>0.27</v>
      </c>
      <c r="T2901" t="str">
        <v>x</v>
      </c>
      <c r="U2901">
        <f>0.006165*F2901^2</f>
        <v>0</v>
      </c>
      <c r="V2901" t="str">
        <v>x</v>
      </c>
      <c r="W2901">
        <f>W2897</f>
        <v>11</v>
      </c>
      <c r="X2901" t="str">
        <v>x</v>
      </c>
      <c r="Y2901">
        <f>D2885</f>
        <v>3</v>
      </c>
      <c r="Z2901" t="str">
        <v>=</v>
      </c>
      <c r="AA2901">
        <f>N2901*U2901*W2901*Y2901</f>
        <v>0</v>
      </c>
    </row>
    <row r="2905">
      <c r="A2905" t="str">
        <f>A2875</f>
        <v>Lantai 2</v>
      </c>
      <c r="B2905">
        <f>B2875+1</f>
        <v>10</v>
      </c>
      <c r="C2905" t="str">
        <f>CONCATENATE(A2905," no. ",B2905)</f>
        <v>Lantai 2 no. 10</v>
      </c>
      <c r="D2905" t="str">
        <f>VLOOKUP(C2905,'Data Panjang Balok'!$C$9:$N$254,2,FALSE)</f>
        <v>B26-1</v>
      </c>
    </row>
    <row r="2906">
      <c r="C2906" t="str">
        <v>Dimensi</v>
      </c>
      <c r="D2906">
        <f>VLOOKUP(D2905,'Detail Balok'!$C$10:$AU$140,2,FALSE)</f>
        <v>200</v>
      </c>
      <c r="F2906" t="str">
        <v>x</v>
      </c>
      <c r="G2906">
        <f>VLOOKUP(D2905,'Detail Balok'!$C$10:$AU$140,3,FALSE)</f>
        <v>600</v>
      </c>
    </row>
    <row r="2907">
      <c r="C2907" t="str">
        <v>Panjang as ke as</v>
      </c>
      <c r="D2907">
        <f>VLOOKUP(C2905,'Data Panjang Balok'!$C$9:$N$254,4,FALSE)</f>
        <v>4000</v>
      </c>
    </row>
    <row r="2908">
      <c r="C2908" t="str">
        <v>Panjang netto</v>
      </c>
      <c r="D2908">
        <f>VLOOKUP(C2905,'Data Panjang Balok'!$C$9:$N$254,7,FALSE)</f>
        <v>4000</v>
      </c>
    </row>
    <row r="2909">
      <c r="C2909" t="str">
        <v>Kolom / balok kiri</v>
      </c>
      <c r="D2909">
        <f>VLOOKUP(C2905,'Data Panjang Balok'!$C$9:$N$254,9,FALSE)</f>
        <v>0</v>
      </c>
    </row>
    <row r="2910">
      <c r="C2910" t="str">
        <v>Kolom / balok kanan</v>
      </c>
      <c r="D2910">
        <f>VLOOKUP(C2905,'Data Panjang Balok'!$C$9:$N$254,10,FALSE)</f>
        <v>0</v>
      </c>
    </row>
    <row r="2911">
      <c r="C2911" t="str">
        <v>Jumlah</v>
      </c>
      <c r="D2911">
        <f>VLOOKUP(C2905,'Data Panjang Balok'!$C$9:$N$254,3,FALSE)</f>
        <v>1</v>
      </c>
    </row>
    <row r="2912">
      <c r="A2912" t="str">
        <f>A2905</f>
        <v>Lantai 2</v>
      </c>
      <c r="B2912">
        <f>B2905</f>
        <v>10</v>
      </c>
      <c r="C2912" t="str">
        <v>Tul Atas Tumpuan</v>
      </c>
      <c r="D2912">
        <f>VLOOKUP(D2905,'Detail Balok'!$C$10:$AU$140,4,FALSE)</f>
        <v>4</v>
      </c>
      <c r="E2912" t="str">
        <v>D</v>
      </c>
      <c r="F2912">
        <f>VLOOKUP(D2905,'Detail Balok'!$C$10:$AU$140,6,FALSE)</f>
        <v>16</v>
      </c>
      <c r="I2912" t="str">
        <v>(</v>
      </c>
      <c r="J2912">
        <f>+D2907/4/1000</f>
        <v>1</v>
      </c>
      <c r="K2912" t="str">
        <v>+</v>
      </c>
      <c r="L2912">
        <f>MAX(VLOOKUP(F2912,N$6:P$15,3,FALSE)/1000,2/3*D2909/1000)+F$16*F2912/1000</f>
        <v>0.192</v>
      </c>
      <c r="M2912" t="str">
        <v>=</v>
      </c>
      <c r="N2912">
        <f>J2912+L2912</f>
        <v>1.192</v>
      </c>
      <c r="O2912" t="str">
        <v>+</v>
      </c>
      <c r="P2912">
        <f>D2912-D2913</f>
        <v>1</v>
      </c>
      <c r="Q2912" t="str">
        <v>x</v>
      </c>
      <c r="R2912">
        <f>IF(P2912&gt;0,$F$18*F2912/1000,0)</f>
        <v>0.24</v>
      </c>
      <c r="S2912" t="str">
        <v>)</v>
      </c>
      <c r="T2912" t="str">
        <v>x</v>
      </c>
      <c r="U2912">
        <f>0.006165*F2912^2</f>
        <v>1.57824</v>
      </c>
      <c r="X2912" t="str">
        <v>x</v>
      </c>
      <c r="Y2912">
        <f>D2911</f>
        <v>1</v>
      </c>
      <c r="Z2912" t="str">
        <v>=</v>
      </c>
      <c r="AA2912">
        <f>IF(AA2915=0,(D2912*N2912+P2912*R2912)*U2912*Y2912,0)</f>
        <v>7.90382592</v>
      </c>
    </row>
    <row r="2913">
      <c r="A2913" t="str">
        <f>A2905</f>
        <v>Lantai 2</v>
      </c>
      <c r="B2913">
        <f>B2905</f>
        <v>10</v>
      </c>
      <c r="C2913" t="str">
        <v>Tul Atas Lapangan</v>
      </c>
      <c r="D2913">
        <f>VLOOKUP(D2905,'Detail Balok'!$C$10:$AU$140,7,FALSE)</f>
        <v>3</v>
      </c>
      <c r="E2913" t="str">
        <v>D</v>
      </c>
      <c r="F2913">
        <f>VLOOKUP(D2905,'Detail Balok'!$C$10:$AU$140,9,FALSE)</f>
        <v>16</v>
      </c>
      <c r="I2913" t="str">
        <v>(</v>
      </c>
      <c r="J2913">
        <f>+D2907/2/1000</f>
        <v>2</v>
      </c>
      <c r="K2913" t="str">
        <v>+</v>
      </c>
      <c r="M2913" t="str">
        <v>=</v>
      </c>
      <c r="N2913">
        <f>J2913+L2913</f>
        <v>2</v>
      </c>
      <c r="O2913" t="str">
        <v>+</v>
      </c>
      <c r="P2913">
        <f>MAX(D2913-D2912,D2913-D2914)</f>
        <v>-1</v>
      </c>
      <c r="Q2913" t="str">
        <v>x</v>
      </c>
      <c r="R2913">
        <f>IF(P2913&gt;0,2*(1-2*$F$19-1/2)*D2908/1000,0)</f>
        <v>0</v>
      </c>
      <c r="S2913" t="str">
        <v>)</v>
      </c>
      <c r="T2913" t="str">
        <v>x</v>
      </c>
      <c r="U2913">
        <f>0.006165*F2913^2</f>
        <v>1.57824</v>
      </c>
      <c r="X2913" t="str">
        <v>x</v>
      </c>
      <c r="Y2913">
        <f>D2911</f>
        <v>1</v>
      </c>
      <c r="Z2913" t="str">
        <v>=</v>
      </c>
      <c r="AA2913">
        <f>IF(AA2915=0,(D2913*N2913+P2913*R2913)*U2913*Y2913,0)</f>
        <v>9.46944</v>
      </c>
    </row>
    <row r="2914">
      <c r="A2914" t="str">
        <f>A2905</f>
        <v>Lantai 2</v>
      </c>
      <c r="B2914">
        <f>B2905</f>
        <v>10</v>
      </c>
      <c r="C2914" t="str">
        <v>Tul Atas Tumpuan</v>
      </c>
      <c r="D2914">
        <f>VLOOKUP(D2905,'Detail Balok'!$C$10:$AU$140,10,FALSE)</f>
        <v>4</v>
      </c>
      <c r="E2914" t="str">
        <v>D</v>
      </c>
      <c r="F2914">
        <f>VLOOKUP(D2905,'Detail Balok'!$C$10:$AU$140,12,FALSE)</f>
        <v>16</v>
      </c>
      <c r="I2914" t="str">
        <v>(</v>
      </c>
      <c r="J2914">
        <f>+D2907/4/1000</f>
        <v>1</v>
      </c>
      <c r="K2914" t="str">
        <v>+</v>
      </c>
      <c r="L2914">
        <f>MAX(VLOOKUP(F2914,N$6:P$15,3,FALSE)/1000,2/3*D2909/1000)+F$16*F2914/1000</f>
        <v>0.192</v>
      </c>
      <c r="M2914" t="str">
        <v>=</v>
      </c>
      <c r="N2914">
        <f>J2914+L2914</f>
        <v>1.192</v>
      </c>
      <c r="O2914" t="str">
        <v>+</v>
      </c>
      <c r="P2914">
        <f>D2914-D2913</f>
        <v>1</v>
      </c>
      <c r="Q2914" t="str">
        <v>x</v>
      </c>
      <c r="R2914">
        <f>IF(P2914&gt;0,$F$18*F2914/1000,0)</f>
        <v>0.24</v>
      </c>
      <c r="S2914" t="str">
        <v>)</v>
      </c>
      <c r="T2914" t="str">
        <v>x</v>
      </c>
      <c r="U2914">
        <f>0.006165*F2914^2</f>
        <v>1.57824</v>
      </c>
      <c r="X2914" t="str">
        <v>x</v>
      </c>
      <c r="Y2914">
        <f>D2911</f>
        <v>1</v>
      </c>
      <c r="Z2914" t="str">
        <v>=</v>
      </c>
      <c r="AA2914">
        <f>IF(AA2915=0,(D2914*N2914+P2914*R2914)*U2914*Y2914,0)</f>
        <v>7.90382592</v>
      </c>
    </row>
    <row r="2915">
      <c r="A2915" t="str">
        <f>A2905</f>
        <v>Lantai 2</v>
      </c>
      <c r="B2915">
        <f>B2905</f>
        <v>10</v>
      </c>
      <c r="D2915">
        <f>IF(AND(D2912=D2913,D2913=D2914,D2912=D2914),D2912,0)</f>
        <v>0</v>
      </c>
      <c r="E2915" t="str">
        <v>D</v>
      </c>
      <c r="F2915">
        <f>IF(AND(F2912=F2913,F2912=F2914,F2913=F2914),F2912,0)</f>
        <v>16</v>
      </c>
      <c r="L2915" t="str">
        <v>Total panjang per balok</v>
      </c>
      <c r="M2915" t="str">
        <v>=</v>
      </c>
      <c r="N2915">
        <f>IF(AND(D2912=D2913,D2912=D2914,D2913=D2914,F2912=F2913,F2912=F2914,F2913=F2914),SUM(N2912:N2914),0)</f>
        <v>0</v>
      </c>
      <c r="O2915" t="str">
        <v>+</v>
      </c>
      <c r="P2915">
        <f>IF(N2915&gt;12,ROUNDDOWN(N2915/12,0),0)</f>
        <v>0</v>
      </c>
      <c r="Q2915" t="str">
        <v>x</v>
      </c>
      <c r="R2915">
        <f>IF(P2915&gt;0,MAX(VLOOKUP(F2915,$D$6:$G$15,3,FALSE),600),0)/1000</f>
        <v>0</v>
      </c>
      <c r="T2915" t="str">
        <v>x</v>
      </c>
      <c r="U2915">
        <f>U2914</f>
        <v>1.57824</v>
      </c>
      <c r="V2915" t="str">
        <v>x</v>
      </c>
      <c r="W2915">
        <f>D2915</f>
        <v>0</v>
      </c>
      <c r="X2915" t="str">
        <v>x</v>
      </c>
      <c r="Y2915">
        <f>Y2914</f>
        <v>1</v>
      </c>
      <c r="Z2915" t="str">
        <v>=</v>
      </c>
      <c r="AA2915">
        <f>(N2915+P2915*R2915/1000)*U2915*W2915*Y2915</f>
        <v>0</v>
      </c>
    </row>
    <row r="2917">
      <c r="A2917" t="str">
        <f>A2905</f>
        <v>Lantai 2</v>
      </c>
      <c r="B2917">
        <f>B2905</f>
        <v>10</v>
      </c>
      <c r="C2917" t="str">
        <v>Tul Peminggang</v>
      </c>
      <c r="D2917">
        <f>VLOOKUP(D2905,'Detail Balok'!$C$10:$AU$140,13,FALSE)</f>
        <v>2</v>
      </c>
      <c r="E2917" t="str">
        <v>D</v>
      </c>
      <c r="F2917">
        <f>VLOOKUP(D2905,'Detail Balok'!$C$10:$AU$140,15,FALSE)</f>
        <v>10</v>
      </c>
      <c r="J2917">
        <f>+D2907/1000</f>
        <v>4</v>
      </c>
      <c r="K2917" t="str">
        <v>+</v>
      </c>
      <c r="L2917">
        <f>2*$F$16*F2917/1000</f>
        <v>0.24</v>
      </c>
      <c r="M2917" t="str">
        <v>=</v>
      </c>
      <c r="N2917">
        <f>J2917+L2917</f>
        <v>4.24</v>
      </c>
      <c r="O2917" t="str">
        <v>+</v>
      </c>
      <c r="P2917">
        <f>IF(N2917&gt;12,ROUNDDOWN(N2917/12,0),0)</f>
        <v>0</v>
      </c>
      <c r="Q2917" t="str">
        <v>x</v>
      </c>
      <c r="R2917">
        <f>IF(P2917&gt;0,MAX(VLOOKUP(F2917,$D$6:$G$15,3,FALSE),600),0)/1000</f>
        <v>0</v>
      </c>
      <c r="T2917" t="str">
        <v>x</v>
      </c>
      <c r="U2917">
        <f>0.006165*F2917^2</f>
        <v>0.6165</v>
      </c>
      <c r="V2917" t="str">
        <v>x</v>
      </c>
      <c r="W2917">
        <f>+D2917</f>
        <v>2</v>
      </c>
      <c r="X2917" t="str">
        <v>x</v>
      </c>
      <c r="Y2917">
        <f>D2911</f>
        <v>1</v>
      </c>
      <c r="Z2917" t="str">
        <v>=</v>
      </c>
      <c r="AA2917">
        <f>(N2917+P2917*R2917/1000)*U2917*W2917*Y2917</f>
        <v>5.227920000000001</v>
      </c>
    </row>
    <row r="2920">
      <c r="A2920" t="str">
        <f>A2905</f>
        <v>Lantai 2</v>
      </c>
      <c r="B2920">
        <f>B2905</f>
        <v>10</v>
      </c>
      <c r="C2920" t="str">
        <v>Tul Bawah Tumpuan</v>
      </c>
      <c r="D2920">
        <f>VLOOKUP(D2905,'Detail Balok'!$C$10:$AU$140,22,FALSE)</f>
        <v>3</v>
      </c>
      <c r="E2920" t="str">
        <v>D</v>
      </c>
      <c r="F2920">
        <f>VLOOKUP(D2905,'Detail Balok'!$C$10:$AU$140,24,FALSE)</f>
        <v>16</v>
      </c>
      <c r="I2920" t="str">
        <v>(</v>
      </c>
      <c r="J2920">
        <f>+J2912</f>
        <v>1</v>
      </c>
      <c r="K2920" t="str">
        <v>+</v>
      </c>
      <c r="L2920">
        <f>MAX(VLOOKUP(F2920,N$6:P$15,3,FALSE)/1000,2/3*D2910/1000)+F$16*F2920/1000</f>
        <v>0.192</v>
      </c>
      <c r="M2920" t="str">
        <v>=</v>
      </c>
      <c r="N2920">
        <f>J2920+L2920</f>
        <v>1.192</v>
      </c>
      <c r="O2920" t="str">
        <v>+</v>
      </c>
      <c r="P2920">
        <f>D2920-D2921</f>
        <v>-1</v>
      </c>
      <c r="Q2920" t="str">
        <v>x</v>
      </c>
      <c r="R2920">
        <f>IF(P2920&gt;0,$F$18*F2920/1000,0)</f>
        <v>0</v>
      </c>
      <c r="S2920" t="str">
        <v>)</v>
      </c>
      <c r="T2920" t="str">
        <v>x</v>
      </c>
      <c r="U2920">
        <f>0.006165*F2920^2</f>
        <v>1.57824</v>
      </c>
      <c r="X2920" t="str">
        <v>x</v>
      </c>
      <c r="Y2920">
        <f>D2911</f>
        <v>1</v>
      </c>
      <c r="Z2920" t="str">
        <v>=</v>
      </c>
      <c r="AA2920">
        <f>IF(AA2923=0,(D2920*N2920+P2920*R2920)*U2920*Y2920,0)</f>
        <v>5.64378624</v>
      </c>
    </row>
    <row r="2921">
      <c r="A2921" t="str">
        <f>A2905</f>
        <v>Lantai 2</v>
      </c>
      <c r="B2921">
        <f>B2905</f>
        <v>10</v>
      </c>
      <c r="C2921" t="str">
        <v>Tul Bawah Lapangan</v>
      </c>
      <c r="D2921">
        <f>VLOOKUP(D2905,'Detail Balok'!$C$10:$AU$140,25,FALSE)</f>
        <v>4</v>
      </c>
      <c r="E2921" t="str">
        <v>D</v>
      </c>
      <c r="F2921">
        <f>VLOOKUP(D2905,'Detail Balok'!$C$10:$AU$140,27,FALSE)</f>
        <v>16</v>
      </c>
      <c r="I2921" t="str">
        <v>(</v>
      </c>
      <c r="J2921">
        <f>+J2913</f>
        <v>2</v>
      </c>
      <c r="K2921" t="str">
        <v>+</v>
      </c>
      <c r="M2921" t="str">
        <v>=</v>
      </c>
      <c r="N2921">
        <f>J2921+L2921</f>
        <v>2</v>
      </c>
      <c r="O2921" t="str">
        <v>+</v>
      </c>
      <c r="P2921">
        <f>MAX(D2921-D2920,D2921-D2922)</f>
        <v>1</v>
      </c>
      <c r="Q2921" t="str">
        <v>x</v>
      </c>
      <c r="R2921">
        <f>IF(P2921&gt;0,2*(1-2*$F$19-1/2)*D2908/1000,0)</f>
        <v>0.7999999999999998</v>
      </c>
      <c r="S2921" t="str">
        <v>)</v>
      </c>
      <c r="T2921" t="str">
        <v>x</v>
      </c>
      <c r="U2921">
        <f>0.006165*F2921^2</f>
        <v>1.57824</v>
      </c>
      <c r="X2921" t="str">
        <v>x</v>
      </c>
      <c r="Y2921">
        <f>D2911</f>
        <v>1</v>
      </c>
      <c r="Z2921" t="str">
        <v>=</v>
      </c>
      <c r="AA2921">
        <f>IF(AA2923=0,(D2921*N2921+P2921*R2921)*U2921*Y2921,0)</f>
        <v>13.888512000000002</v>
      </c>
    </row>
    <row r="2922">
      <c r="A2922" t="str">
        <f>A2905</f>
        <v>Lantai 2</v>
      </c>
      <c r="B2922">
        <f>B2905</f>
        <v>10</v>
      </c>
      <c r="C2922" t="str">
        <v>Tul Bawah Tumpuan</v>
      </c>
      <c r="D2922">
        <f>VLOOKUP(D2905,'Detail Balok'!$C$10:$AU$140,28,FALSE)</f>
        <v>3</v>
      </c>
      <c r="E2922" t="str">
        <v>D</v>
      </c>
      <c r="F2922">
        <f>VLOOKUP(D2905,'Detail Balok'!$C$10:$AU$140,30,FALSE)</f>
        <v>16</v>
      </c>
      <c r="I2922" t="str">
        <v>(</v>
      </c>
      <c r="J2922">
        <f>+J2914</f>
        <v>1</v>
      </c>
      <c r="K2922" t="str">
        <v>+</v>
      </c>
      <c r="L2922">
        <f>MAX(VLOOKUP(F2922,N$6:P$15,3,FALSE)/1000,2/3*D2910/1000)+F$16*F2922/1000</f>
        <v>0.192</v>
      </c>
      <c r="M2922" t="str">
        <v>=</v>
      </c>
      <c r="N2922">
        <f>J2922+L2922</f>
        <v>1.192</v>
      </c>
      <c r="O2922" t="str">
        <v>+</v>
      </c>
      <c r="P2922">
        <f>D2922-D2921</f>
        <v>-1</v>
      </c>
      <c r="Q2922" t="str">
        <v>x</v>
      </c>
      <c r="R2922">
        <f>IF(P2922&gt;0,$F$18*F2922/1000,0)</f>
        <v>0</v>
      </c>
      <c r="S2922" t="str">
        <v>)</v>
      </c>
      <c r="T2922" t="str">
        <v>x</v>
      </c>
      <c r="U2922">
        <f>0.006165*F2922^2</f>
        <v>1.57824</v>
      </c>
      <c r="X2922" t="str">
        <v>x</v>
      </c>
      <c r="Y2922">
        <f>D2911</f>
        <v>1</v>
      </c>
      <c r="Z2922" t="str">
        <v>=</v>
      </c>
      <c r="AA2922">
        <f>IF(AA2923=0,(D2922*N2922+P2922*R2922)*U2922*Y2922,0)</f>
        <v>5.64378624</v>
      </c>
    </row>
    <row r="2923">
      <c r="A2923" t="str">
        <f>A2905</f>
        <v>Lantai 2</v>
      </c>
      <c r="B2923">
        <f>B2905</f>
        <v>10</v>
      </c>
      <c r="D2923">
        <f>IF(AND(D2920=D2921,D2921=D2922,D2920=D2922),D2920,0)</f>
        <v>0</v>
      </c>
      <c r="E2923" t="str">
        <v>D</v>
      </c>
      <c r="F2923">
        <f>IF(AND(F2920=F2921,F2920=F2922,F2921=F2922),F2920,0)</f>
        <v>16</v>
      </c>
      <c r="L2923" t="str">
        <v>Total panjang per balok</v>
      </c>
      <c r="M2923" t="str">
        <v>=</v>
      </c>
      <c r="N2923">
        <f>IF(AND(D2920=D2921,D2920=D2922,D2921=D2922,F2920=F2921,F2920=F2922,F2921=F2922),SUM(N2920:N2922),0)</f>
        <v>0</v>
      </c>
      <c r="O2923" t="str">
        <v>+</v>
      </c>
      <c r="P2923">
        <f>IF(N2923&gt;12,ROUNDDOWN(N2923/12,0),0)</f>
        <v>0</v>
      </c>
      <c r="Q2923" t="str">
        <v>x</v>
      </c>
      <c r="R2923">
        <f>IF(P2923&gt;0,MAX(VLOOKUP(F2923,$D$6:$G$15,3,FALSE),600),0)/1000</f>
        <v>0</v>
      </c>
      <c r="T2923" t="str">
        <v>x</v>
      </c>
      <c r="U2923">
        <f>U2922</f>
        <v>1.57824</v>
      </c>
      <c r="V2923" t="str">
        <v>x</v>
      </c>
      <c r="W2923">
        <f>D2923</f>
        <v>0</v>
      </c>
      <c r="X2923" t="str">
        <v>x</v>
      </c>
      <c r="Y2923">
        <f>Y2922</f>
        <v>1</v>
      </c>
      <c r="Z2923" t="str">
        <v>=</v>
      </c>
      <c r="AA2923">
        <f>(N2923+P2923*R2923/1000)*U2923*W2923*Y2923</f>
        <v>0</v>
      </c>
    </row>
    <row r="2925">
      <c r="A2925" t="str">
        <f>A2905</f>
        <v>Lantai 2</v>
      </c>
      <c r="B2925">
        <f>B2905</f>
        <v>10</v>
      </c>
      <c r="C2925" t="str">
        <v>Sengkang Tumpuan</v>
      </c>
      <c r="D2925">
        <f>VLOOKUP(D2905,'Detail Balok'!$C$10:$AU$140,31,FALSE)</f>
        <v>0</v>
      </c>
      <c r="E2925" t="str">
        <v>D</v>
      </c>
      <c r="F2925">
        <f>VLOOKUP(D2905,'Detail Balok'!$C$10:$AU$140,33,FALSE)</f>
        <v>10</v>
      </c>
      <c r="G2925" t="str">
        <v>-</v>
      </c>
      <c r="H2925">
        <f>VLOOKUP(D2905,'Detail Balok'!$C$10:$AU$140,35,FALSE)</f>
        <v>100</v>
      </c>
      <c r="J2925">
        <f>(IF(D2925=0,(2*(D2906+G2906))-(F$5*8),IF(D2925=3,(2*(D2906+G2906))-(F$5*8)+(G2906-2*F$5),IF(D2925=4,(2*(D2906+G2906))-(F$5*8)+2*(G2906-2*F$5)))))/1000</f>
        <v>1.28</v>
      </c>
      <c r="K2925" t="str">
        <v>+</v>
      </c>
      <c r="L2925">
        <f>IF(D2925=0,2*MAX(6*F2925,75),(D2925-1)*2*MAX(6*F2925,75))/1000</f>
        <v>0.15</v>
      </c>
      <c r="M2925" t="str">
        <v>=</v>
      </c>
      <c r="N2925">
        <f>J2925+L2925</f>
        <v>1.43</v>
      </c>
      <c r="T2925" t="str">
        <v>x</v>
      </c>
      <c r="U2925">
        <f>0.006165*F2925^2</f>
        <v>0.6165</v>
      </c>
      <c r="V2925" t="str">
        <v>x</v>
      </c>
      <c r="W2925">
        <f>IF(D2908&gt;4*G2906,ROUND(MAX(D2908/4,2*G2906)/H2925,0)+1,ROUND(D2908/H2925,0)+1)</f>
        <v>13</v>
      </c>
      <c r="X2925" t="str">
        <v>x</v>
      </c>
      <c r="Y2925">
        <f>D2911</f>
        <v>1</v>
      </c>
      <c r="Z2925" t="str">
        <v>=</v>
      </c>
      <c r="AA2925">
        <f>N2925*U2925*W2925*Y2925</f>
        <v>11.460735</v>
      </c>
    </row>
    <row r="2926">
      <c r="A2926" t="str">
        <f>A2905</f>
        <v>Lantai 2</v>
      </c>
      <c r="B2926">
        <f>B2905</f>
        <v>10</v>
      </c>
      <c r="C2926" t="str">
        <v>Sengkang Lapangan</v>
      </c>
      <c r="D2926">
        <f>VLOOKUP(D2905,'Detail Balok'!$C$10:$AU$140,36,FALSE)</f>
        <v>0</v>
      </c>
      <c r="E2926" t="str">
        <v>D</v>
      </c>
      <c r="F2926">
        <f>VLOOKUP(D2905,'Detail Balok'!$C$10:$AU$140,38,FALSE)</f>
        <v>10</v>
      </c>
      <c r="G2926" t="str">
        <v>-</v>
      </c>
      <c r="H2926">
        <f>VLOOKUP(D2905,'Detail Balok'!$C$10:$AU$140,40,FALSE)</f>
        <v>150</v>
      </c>
      <c r="J2926">
        <f>(IF(D2926=0,(2*(D2906+G2906))-(F$5*8),IF(D2926=3,(2*(D2906+G2906))-(F$5*8)+(G2906-2*F$5),IF(D2926=4,(2*(D2906+G2906))-(F$5*8)+2*(G2906-2*F$5)))))/1000</f>
        <v>1.28</v>
      </c>
      <c r="K2926" t="str">
        <v>+</v>
      </c>
      <c r="L2926">
        <f>IF(D2926=0,2*MAX(6*F2926,75),(D2926-1)*2*MAX(6*F2926,75))/1000</f>
        <v>0.15</v>
      </c>
      <c r="M2926" t="str">
        <v>=</v>
      </c>
      <c r="N2926">
        <f>J2926+L2926</f>
        <v>1.43</v>
      </c>
      <c r="T2926" t="str">
        <v>x</v>
      </c>
      <c r="U2926">
        <f>0.006165*F2926^2</f>
        <v>0.6165</v>
      </c>
      <c r="V2926" t="str">
        <v>x</v>
      </c>
      <c r="W2926">
        <f>IF(D2908-MAX(D2908/4,2*G2906)*2&gt;0,ROUND((D2908-MAX(D2908/4,2*G2906)*2)/H2926,0),0)</f>
        <v>11</v>
      </c>
      <c r="X2926" t="str">
        <v>x</v>
      </c>
      <c r="Y2926">
        <f>D2911</f>
        <v>1</v>
      </c>
      <c r="Z2926" t="str">
        <v>=</v>
      </c>
      <c r="AA2926">
        <f>N2926*U2926*W2926*Y2926</f>
        <v>9.697545</v>
      </c>
    </row>
    <row r="2927">
      <c r="A2927" t="str">
        <f>A2905</f>
        <v>Lantai 2</v>
      </c>
      <c r="B2927">
        <f>B2905</f>
        <v>10</v>
      </c>
      <c r="C2927" t="str">
        <v>Sengkang Tumpuan</v>
      </c>
      <c r="D2927">
        <f>VLOOKUP(D2905,'Detail Balok'!$C$10:$AU$140,41,FALSE)</f>
        <v>0</v>
      </c>
      <c r="E2927" t="str">
        <v>D</v>
      </c>
      <c r="F2927">
        <f>VLOOKUP(D2905,'Detail Balok'!$C$10:$AU$140,43,FALSE)</f>
        <v>10</v>
      </c>
      <c r="G2927" t="str">
        <v>-</v>
      </c>
      <c r="H2927">
        <f>VLOOKUP(D2905,'Detail Balok'!$C$10:$AU$140,45,FALSE)</f>
        <v>100</v>
      </c>
      <c r="J2927">
        <f>(IF(D2927=0,(2*(D2906+G2906))-(F$5*8),IF(D2927=3,(2*(D2906+G2906))-(F$5*8)+(G2906-2*F$5),IF(D2927=4,(2*(D2906+G2906))-(F$5*8)+2*(G2906-2*F$5)))))/1000</f>
        <v>1.28</v>
      </c>
      <c r="K2927" t="str">
        <v>+</v>
      </c>
      <c r="L2927">
        <f>IF(D2927=0,2*MAX(6*F2927,75),(D2927-1)*2*MAX(6*F2927,75))/1000</f>
        <v>0.15</v>
      </c>
      <c r="M2927" t="str">
        <v>=</v>
      </c>
      <c r="N2927">
        <f>J2927+L2927</f>
        <v>1.43</v>
      </c>
      <c r="T2927" t="str">
        <v>x</v>
      </c>
      <c r="U2927">
        <f>0.006165*F2927^2</f>
        <v>0.6165</v>
      </c>
      <c r="V2927" t="str">
        <v>x</v>
      </c>
      <c r="W2927">
        <f>IF(D2908&gt;4*G2906,ROUND(MAX(D2908/4,2*G2906)/H2927,0)+1,0)</f>
        <v>13</v>
      </c>
      <c r="X2927" t="str">
        <v>x</v>
      </c>
      <c r="Y2927">
        <f>D2911</f>
        <v>1</v>
      </c>
      <c r="Z2927" t="str">
        <v>=</v>
      </c>
      <c r="AA2927">
        <f>N2927*U2927*W2927*Y2927</f>
        <v>11.460735</v>
      </c>
    </row>
    <row r="2929">
      <c r="A2929" t="str">
        <f>A2905</f>
        <v>Lantai 2</v>
      </c>
      <c r="B2929">
        <f>B2905</f>
        <v>10</v>
      </c>
      <c r="C2929" t="str">
        <v>Kait Horizontal Tump.</v>
      </c>
      <c r="D2929">
        <f>VLOOKUP(D2905,'Detail Balok'!$C$10:$BJ$140,46,FALSE)</f>
        <v>0</v>
      </c>
      <c r="E2929" t="str">
        <v>D</v>
      </c>
      <c r="F2929">
        <f>VLOOKUP(D2905,'Detail Balok'!$C$10:$BJ$140,48,FALSE)</f>
        <v>0</v>
      </c>
      <c r="G2929" t="str">
        <v>-</v>
      </c>
      <c r="H2929">
        <f>VLOOKUP(D2905,'Detail Balok'!$C$10:$BJ$140,50,FALSE)</f>
        <v>100</v>
      </c>
      <c r="J2929">
        <f>(D2906-2*F$5)/1000</f>
        <v>0.12</v>
      </c>
      <c r="K2929" t="str">
        <v>+</v>
      </c>
      <c r="L2929">
        <f>IF(D2929=0,2*MAX(6*F2929,75),(D2929-1)*2*MAX(6*F2929,75))/1000</f>
        <v>0.15</v>
      </c>
      <c r="M2929" t="str">
        <v>=</v>
      </c>
      <c r="N2929">
        <f>J2929+L2929</f>
        <v>0.27</v>
      </c>
      <c r="T2929" t="str">
        <v>x</v>
      </c>
      <c r="U2929">
        <f>0.006165*F2929^2</f>
        <v>0</v>
      </c>
      <c r="V2929" t="str">
        <v>x</v>
      </c>
      <c r="W2929">
        <f>W2925</f>
        <v>13</v>
      </c>
      <c r="X2929" t="str">
        <v>x</v>
      </c>
      <c r="Y2929">
        <f>D2915</f>
        <v>0</v>
      </c>
      <c r="Z2929" t="str">
        <v>=</v>
      </c>
      <c r="AA2929">
        <f>N2929*U2929*W2929*Y2929</f>
        <v>0</v>
      </c>
    </row>
    <row r="2930">
      <c r="A2930" t="str">
        <f>A2905</f>
        <v>Lantai 2</v>
      </c>
      <c r="B2930">
        <f>B2905</f>
        <v>10</v>
      </c>
      <c r="C2930" t="str">
        <v>Kait Horizontal Lap.</v>
      </c>
      <c r="D2930">
        <f>VLOOKUP(D2905,'Detail Balok'!$C$10:$BJ$140,51,FALSE)</f>
        <v>0</v>
      </c>
      <c r="E2930" t="str">
        <v>D</v>
      </c>
      <c r="F2930">
        <f>VLOOKUP(D2905,'Detail Balok'!$C$10:$BJ$140,53,FALSE)</f>
        <v>0</v>
      </c>
      <c r="G2930" t="str">
        <v>-</v>
      </c>
      <c r="H2930">
        <f>VLOOKUP(D2905,'Detail Balok'!$C$10:$BJ$140,55,FALSE)</f>
        <v>100</v>
      </c>
      <c r="J2930">
        <f>(D2906-2*F$5)/1000</f>
        <v>0.12</v>
      </c>
      <c r="K2930" t="str">
        <v>+</v>
      </c>
      <c r="L2930">
        <f>IF(D2930=0,2*MAX(6*F2930,75),(D2930-1)*2*MAX(6*F2930,75))/1000</f>
        <v>0.15</v>
      </c>
      <c r="M2930" t="str">
        <v>=</v>
      </c>
      <c r="N2930">
        <f>J2930+L2930</f>
        <v>0.27</v>
      </c>
      <c r="T2930" t="str">
        <v>x</v>
      </c>
      <c r="U2930">
        <f>0.006165*F2930^2</f>
        <v>0</v>
      </c>
      <c r="V2930" t="str">
        <v>x</v>
      </c>
      <c r="W2930">
        <f>W2926</f>
        <v>11</v>
      </c>
      <c r="X2930" t="str">
        <v>x</v>
      </c>
      <c r="Y2930">
        <f>D2915</f>
        <v>0</v>
      </c>
      <c r="Z2930" t="str">
        <v>=</v>
      </c>
      <c r="AA2930">
        <f>N2930*U2930*W2930*Y2930</f>
        <v>0</v>
      </c>
    </row>
    <row r="2931">
      <c r="A2931" t="str">
        <f>A2905</f>
        <v>Lantai 2</v>
      </c>
      <c r="B2931">
        <f>B2905</f>
        <v>10</v>
      </c>
      <c r="C2931" t="str">
        <v>Kait Horizontal Tump.</v>
      </c>
      <c r="D2931">
        <f>VLOOKUP(D2905,'Detail Balok'!$C$10:$BJ$140,56,FALSE)</f>
        <v>0</v>
      </c>
      <c r="E2931" t="str">
        <v>D</v>
      </c>
      <c r="F2931">
        <f>VLOOKUP(D2905,'Detail Balok'!$C$10:$BJ$140,58,FALSE)</f>
        <v>0</v>
      </c>
      <c r="G2931" t="str">
        <v>-</v>
      </c>
      <c r="H2931">
        <f>VLOOKUP(D2905,'Detail Balok'!$C$10:$BJ$140,60,FALSE)</f>
        <v>100</v>
      </c>
      <c r="J2931">
        <f>(D2906-2*F$5)/1000</f>
        <v>0.12</v>
      </c>
      <c r="K2931" t="str">
        <v>+</v>
      </c>
      <c r="L2931">
        <f>IF(D2931=0,2*MAX(6*F2931,75),(D2931-1)*2*MAX(6*F2931,75))/1000</f>
        <v>0.15</v>
      </c>
      <c r="M2931" t="str">
        <v>=</v>
      </c>
      <c r="N2931">
        <f>J2931+L2931</f>
        <v>0.27</v>
      </c>
      <c r="T2931" t="str">
        <v>x</v>
      </c>
      <c r="U2931">
        <f>0.006165*F2931^2</f>
        <v>0</v>
      </c>
      <c r="V2931" t="str">
        <v>x</v>
      </c>
      <c r="W2931">
        <f>W2927</f>
        <v>13</v>
      </c>
      <c r="X2931" t="str">
        <v>x</v>
      </c>
      <c r="Y2931">
        <f>D2915</f>
        <v>0</v>
      </c>
      <c r="Z2931" t="str">
        <v>=</v>
      </c>
      <c r="AA2931">
        <f>N2931*U2931*W2931*Y2931</f>
        <v>0</v>
      </c>
    </row>
    <row r="2935">
      <c r="A2935" t="str">
        <f>A2905</f>
        <v>Lantai 2</v>
      </c>
      <c r="B2935">
        <f>B2905+1</f>
        <v>11</v>
      </c>
      <c r="C2935" t="str">
        <f>CONCATENATE(A2935," no. ",B2935)</f>
        <v>Lantai 2 no. 11</v>
      </c>
      <c r="D2935" t="str">
        <f>VLOOKUP(C2935,'Data Panjang Balok'!$C$9:$N$254,2,FALSE)</f>
        <v>B26-1</v>
      </c>
    </row>
    <row r="2936">
      <c r="C2936" t="str">
        <v>Dimensi</v>
      </c>
      <c r="D2936">
        <f>VLOOKUP(D2935,'Detail Balok'!$C$10:$AU$140,2,FALSE)</f>
        <v>200</v>
      </c>
      <c r="F2936" t="str">
        <v>x</v>
      </c>
      <c r="G2936">
        <f>VLOOKUP(D2935,'Detail Balok'!$C$10:$AU$140,3,FALSE)</f>
        <v>600</v>
      </c>
    </row>
    <row r="2937">
      <c r="C2937" t="str">
        <v>Panjang as ke as</v>
      </c>
      <c r="D2937">
        <f>VLOOKUP(C2935,'Data Panjang Balok'!$C$9:$N$254,4,FALSE)</f>
        <v>5175</v>
      </c>
    </row>
    <row r="2938">
      <c r="C2938" t="str">
        <v>Panjang netto</v>
      </c>
      <c r="D2938">
        <f>VLOOKUP(C2935,'Data Panjang Balok'!$C$9:$N$254,7,FALSE)</f>
        <v>5175</v>
      </c>
    </row>
    <row r="2939">
      <c r="C2939" t="str">
        <v>Kolom / balok kiri</v>
      </c>
      <c r="D2939">
        <f>VLOOKUP(C2935,'Data Panjang Balok'!$C$9:$N$254,9,FALSE)</f>
        <v>0</v>
      </c>
    </row>
    <row r="2940">
      <c r="C2940" t="str">
        <v>Kolom / balok kanan</v>
      </c>
      <c r="D2940">
        <f>VLOOKUP(C2935,'Data Panjang Balok'!$C$9:$N$254,10,FALSE)</f>
        <v>0</v>
      </c>
    </row>
    <row r="2941">
      <c r="C2941" t="str">
        <v>Jumlah</v>
      </c>
      <c r="D2941">
        <f>VLOOKUP(C2935,'Data Panjang Balok'!$C$9:$N$254,3,FALSE)</f>
        <v>1</v>
      </c>
    </row>
    <row r="2942">
      <c r="A2942" t="str">
        <f>A2935</f>
        <v>Lantai 2</v>
      </c>
      <c r="B2942">
        <f>B2935</f>
        <v>11</v>
      </c>
      <c r="C2942" t="str">
        <v>Tul Atas Tumpuan</v>
      </c>
      <c r="D2942">
        <f>VLOOKUP(D2935,'Detail Balok'!$C$10:$AU$140,4,FALSE)</f>
        <v>4</v>
      </c>
      <c r="E2942" t="str">
        <v>D</v>
      </c>
      <c r="F2942">
        <f>VLOOKUP(D2935,'Detail Balok'!$C$10:$AU$140,6,FALSE)</f>
        <v>16</v>
      </c>
      <c r="I2942" t="str">
        <v>(</v>
      </c>
      <c r="J2942">
        <f>+D2937/4/1000</f>
        <v>1.29375</v>
      </c>
      <c r="K2942" t="str">
        <v>+</v>
      </c>
      <c r="L2942">
        <f>MAX(VLOOKUP(F2942,N$6:P$15,3,FALSE)/1000,2/3*D2939/1000)+F$16*F2942/1000</f>
        <v>0.192</v>
      </c>
      <c r="M2942" t="str">
        <v>=</v>
      </c>
      <c r="N2942">
        <f>J2942+L2942</f>
        <v>1.48575</v>
      </c>
      <c r="O2942" t="str">
        <v>+</v>
      </c>
      <c r="P2942">
        <f>D2942-D2943</f>
        <v>1</v>
      </c>
      <c r="Q2942" t="str">
        <v>x</v>
      </c>
      <c r="R2942">
        <f>IF(P2942&gt;0,$F$18*F2942/1000,0)</f>
        <v>0.24</v>
      </c>
      <c r="S2942" t="str">
        <v>)</v>
      </c>
      <c r="T2942" t="str">
        <v>x</v>
      </c>
      <c r="U2942">
        <f>0.006165*F2942^2</f>
        <v>1.57824</v>
      </c>
      <c r="X2942" t="str">
        <v>x</v>
      </c>
      <c r="Y2942">
        <f>D2941</f>
        <v>1</v>
      </c>
      <c r="Z2942" t="str">
        <v>=</v>
      </c>
      <c r="AA2942">
        <f>IF(AA2945=0,(D2942*N2942+P2942*R2942)*U2942*Y2942,0)</f>
        <v>9.75825792</v>
      </c>
    </row>
    <row r="2943">
      <c r="A2943" t="str">
        <f>A2935</f>
        <v>Lantai 2</v>
      </c>
      <c r="B2943">
        <f>B2935</f>
        <v>11</v>
      </c>
      <c r="C2943" t="str">
        <v>Tul Atas Lapangan</v>
      </c>
      <c r="D2943">
        <f>VLOOKUP(D2935,'Detail Balok'!$C$10:$AU$140,7,FALSE)</f>
        <v>3</v>
      </c>
      <c r="E2943" t="str">
        <v>D</v>
      </c>
      <c r="F2943">
        <f>VLOOKUP(D2935,'Detail Balok'!$C$10:$AU$140,9,FALSE)</f>
        <v>16</v>
      </c>
      <c r="I2943" t="str">
        <v>(</v>
      </c>
      <c r="J2943">
        <f>+D2937/2/1000</f>
        <v>2.5875</v>
      </c>
      <c r="K2943" t="str">
        <v>+</v>
      </c>
      <c r="M2943" t="str">
        <v>=</v>
      </c>
      <c r="N2943">
        <f>J2943+L2943</f>
        <v>2.5875</v>
      </c>
      <c r="O2943" t="str">
        <v>+</v>
      </c>
      <c r="P2943">
        <f>MAX(D2943-D2942,D2943-D2944)</f>
        <v>-1</v>
      </c>
      <c r="Q2943" t="str">
        <v>x</v>
      </c>
      <c r="R2943">
        <f>IF(P2943&gt;0,2*(1-2*$F$19-1/2)*D2938/1000,0)</f>
        <v>0</v>
      </c>
      <c r="S2943" t="str">
        <v>)</v>
      </c>
      <c r="T2943" t="str">
        <v>x</v>
      </c>
      <c r="U2943">
        <f>0.006165*F2943^2</f>
        <v>1.57824</v>
      </c>
      <c r="X2943" t="str">
        <v>x</v>
      </c>
      <c r="Y2943">
        <f>D2941</f>
        <v>1</v>
      </c>
      <c r="Z2943" t="str">
        <v>=</v>
      </c>
      <c r="AA2943">
        <f>IF(AA2945=0,(D2943*N2943+P2943*R2943)*U2943*Y2943,0)</f>
        <v>12.251088</v>
      </c>
    </row>
    <row r="2944">
      <c r="A2944" t="str">
        <f>A2935</f>
        <v>Lantai 2</v>
      </c>
      <c r="B2944">
        <f>B2935</f>
        <v>11</v>
      </c>
      <c r="C2944" t="str">
        <v>Tul Atas Tumpuan</v>
      </c>
      <c r="D2944">
        <f>VLOOKUP(D2935,'Detail Balok'!$C$10:$AU$140,10,FALSE)</f>
        <v>4</v>
      </c>
      <c r="E2944" t="str">
        <v>D</v>
      </c>
      <c r="F2944">
        <f>VLOOKUP(D2935,'Detail Balok'!$C$10:$AU$140,12,FALSE)</f>
        <v>16</v>
      </c>
      <c r="I2944" t="str">
        <v>(</v>
      </c>
      <c r="J2944">
        <f>+D2937/4/1000</f>
        <v>1.29375</v>
      </c>
      <c r="K2944" t="str">
        <v>+</v>
      </c>
      <c r="L2944">
        <f>MAX(VLOOKUP(F2944,N$6:P$15,3,FALSE)/1000,2/3*D2939/1000)+F$16*F2944/1000</f>
        <v>0.192</v>
      </c>
      <c r="M2944" t="str">
        <v>=</v>
      </c>
      <c r="N2944">
        <f>J2944+L2944</f>
        <v>1.48575</v>
      </c>
      <c r="O2944" t="str">
        <v>+</v>
      </c>
      <c r="P2944">
        <f>D2944-D2943</f>
        <v>1</v>
      </c>
      <c r="Q2944" t="str">
        <v>x</v>
      </c>
      <c r="R2944">
        <f>IF(P2944&gt;0,$F$18*F2944/1000,0)</f>
        <v>0.24</v>
      </c>
      <c r="S2944" t="str">
        <v>)</v>
      </c>
      <c r="T2944" t="str">
        <v>x</v>
      </c>
      <c r="U2944">
        <f>0.006165*F2944^2</f>
        <v>1.57824</v>
      </c>
      <c r="X2944" t="str">
        <v>x</v>
      </c>
      <c r="Y2944">
        <f>D2941</f>
        <v>1</v>
      </c>
      <c r="Z2944" t="str">
        <v>=</v>
      </c>
      <c r="AA2944">
        <f>IF(AA2945=0,(D2944*N2944+P2944*R2944)*U2944*Y2944,0)</f>
        <v>9.75825792</v>
      </c>
    </row>
    <row r="2945">
      <c r="A2945" t="str">
        <f>A2935</f>
        <v>Lantai 2</v>
      </c>
      <c r="B2945">
        <f>B2935</f>
        <v>11</v>
      </c>
      <c r="D2945">
        <f>IF(AND(D2942=D2943,D2943=D2944,D2942=D2944),D2942,0)</f>
        <v>0</v>
      </c>
      <c r="E2945" t="str">
        <v>D</v>
      </c>
      <c r="F2945">
        <f>IF(AND(F2942=F2943,F2942=F2944,F2943=F2944),F2942,0)</f>
        <v>16</v>
      </c>
      <c r="L2945" t="str">
        <v>Total panjang per balok</v>
      </c>
      <c r="M2945" t="str">
        <v>=</v>
      </c>
      <c r="N2945">
        <f>IF(AND(D2942=D2943,D2942=D2944,D2943=D2944,F2942=F2943,F2942=F2944,F2943=F2944),SUM(N2942:N2944),0)</f>
        <v>0</v>
      </c>
      <c r="O2945" t="str">
        <v>+</v>
      </c>
      <c r="P2945">
        <f>IF(N2945&gt;12,ROUNDDOWN(N2945/12,0),0)</f>
        <v>0</v>
      </c>
      <c r="Q2945" t="str">
        <v>x</v>
      </c>
      <c r="R2945">
        <f>IF(P2945&gt;0,MAX(VLOOKUP(F2945,$D$6:$G$15,3,FALSE),600),0)/1000</f>
        <v>0</v>
      </c>
      <c r="T2945" t="str">
        <v>x</v>
      </c>
      <c r="U2945">
        <f>U2944</f>
        <v>1.57824</v>
      </c>
      <c r="V2945" t="str">
        <v>x</v>
      </c>
      <c r="W2945">
        <f>D2945</f>
        <v>0</v>
      </c>
      <c r="X2945" t="str">
        <v>x</v>
      </c>
      <c r="Y2945">
        <f>Y2944</f>
        <v>1</v>
      </c>
      <c r="Z2945" t="str">
        <v>=</v>
      </c>
      <c r="AA2945">
        <f>(N2945+P2945*R2945/1000)*U2945*W2945*Y2945</f>
        <v>0</v>
      </c>
    </row>
    <row r="2947">
      <c r="A2947" t="str">
        <f>A2935</f>
        <v>Lantai 2</v>
      </c>
      <c r="B2947">
        <f>B2935</f>
        <v>11</v>
      </c>
      <c r="C2947" t="str">
        <v>Tul Peminggang</v>
      </c>
      <c r="D2947">
        <f>VLOOKUP(D2935,'Detail Balok'!$C$10:$AU$140,13,FALSE)</f>
        <v>2</v>
      </c>
      <c r="E2947" t="str">
        <v>D</v>
      </c>
      <c r="F2947">
        <f>VLOOKUP(D2935,'Detail Balok'!$C$10:$AU$140,15,FALSE)</f>
        <v>10</v>
      </c>
      <c r="J2947">
        <f>+D2937/1000</f>
        <v>5.175</v>
      </c>
      <c r="K2947" t="str">
        <v>+</v>
      </c>
      <c r="L2947">
        <f>2*$F$16*F2947/1000</f>
        <v>0.24</v>
      </c>
      <c r="M2947" t="str">
        <v>=</v>
      </c>
      <c r="N2947">
        <f>J2947+L2947</f>
        <v>5.415</v>
      </c>
      <c r="O2947" t="str">
        <v>+</v>
      </c>
      <c r="P2947">
        <f>IF(N2947&gt;12,ROUNDDOWN(N2947/12,0),0)</f>
        <v>0</v>
      </c>
      <c r="Q2947" t="str">
        <v>x</v>
      </c>
      <c r="R2947">
        <f>IF(P2947&gt;0,MAX(VLOOKUP(F2947,$D$6:$G$15,3,FALSE),600),0)/1000</f>
        <v>0</v>
      </c>
      <c r="T2947" t="str">
        <v>x</v>
      </c>
      <c r="U2947">
        <f>0.006165*F2947^2</f>
        <v>0.6165</v>
      </c>
      <c r="V2947" t="str">
        <v>x</v>
      </c>
      <c r="W2947">
        <f>+D2947</f>
        <v>2</v>
      </c>
      <c r="X2947" t="str">
        <v>x</v>
      </c>
      <c r="Y2947">
        <f>D2941</f>
        <v>1</v>
      </c>
      <c r="Z2947" t="str">
        <v>=</v>
      </c>
      <c r="AA2947">
        <f>(N2947+P2947*R2947/1000)*U2947*W2947*Y2947</f>
        <v>6.6766950000000005</v>
      </c>
    </row>
    <row r="2950">
      <c r="A2950" t="str">
        <f>A2935</f>
        <v>Lantai 2</v>
      </c>
      <c r="B2950">
        <f>B2935</f>
        <v>11</v>
      </c>
      <c r="C2950" t="str">
        <v>Tul Bawah Tumpuan</v>
      </c>
      <c r="D2950">
        <f>VLOOKUP(D2935,'Detail Balok'!$C$10:$AU$140,22,FALSE)</f>
        <v>3</v>
      </c>
      <c r="E2950" t="str">
        <v>D</v>
      </c>
      <c r="F2950">
        <f>VLOOKUP(D2935,'Detail Balok'!$C$10:$AU$140,24,FALSE)</f>
        <v>16</v>
      </c>
      <c r="I2950" t="str">
        <v>(</v>
      </c>
      <c r="J2950">
        <f>+J2942</f>
        <v>1.29375</v>
      </c>
      <c r="K2950" t="str">
        <v>+</v>
      </c>
      <c r="L2950">
        <f>MAX(VLOOKUP(F2950,N$6:P$15,3,FALSE)/1000,2/3*D2940/1000)+F$16*F2950/1000</f>
        <v>0.192</v>
      </c>
      <c r="M2950" t="str">
        <v>=</v>
      </c>
      <c r="N2950">
        <f>J2950+L2950</f>
        <v>1.48575</v>
      </c>
      <c r="O2950" t="str">
        <v>+</v>
      </c>
      <c r="P2950">
        <f>D2950-D2951</f>
        <v>-1</v>
      </c>
      <c r="Q2950" t="str">
        <v>x</v>
      </c>
      <c r="R2950">
        <f>IF(P2950&gt;0,$F$18*F2950/1000,0)</f>
        <v>0</v>
      </c>
      <c r="S2950" t="str">
        <v>)</v>
      </c>
      <c r="T2950" t="str">
        <v>x</v>
      </c>
      <c r="U2950">
        <f>0.006165*F2950^2</f>
        <v>1.57824</v>
      </c>
      <c r="X2950" t="str">
        <v>x</v>
      </c>
      <c r="Y2950">
        <f>D2941</f>
        <v>1</v>
      </c>
      <c r="Z2950" t="str">
        <v>=</v>
      </c>
      <c r="AA2950">
        <f>IF(AA2953=0,(D2950*N2950+P2950*R2950)*U2950*Y2950,0)</f>
        <v>7.034610240000001</v>
      </c>
    </row>
    <row r="2951">
      <c r="A2951" t="str">
        <f>A2935</f>
        <v>Lantai 2</v>
      </c>
      <c r="B2951">
        <f>B2935</f>
        <v>11</v>
      </c>
      <c r="C2951" t="str">
        <v>Tul Bawah Lapangan</v>
      </c>
      <c r="D2951">
        <f>VLOOKUP(D2935,'Detail Balok'!$C$10:$AU$140,25,FALSE)</f>
        <v>4</v>
      </c>
      <c r="E2951" t="str">
        <v>D</v>
      </c>
      <c r="F2951">
        <f>VLOOKUP(D2935,'Detail Balok'!$C$10:$AU$140,27,FALSE)</f>
        <v>16</v>
      </c>
      <c r="I2951" t="str">
        <v>(</v>
      </c>
      <c r="J2951">
        <f>+J2943</f>
        <v>2.5875</v>
      </c>
      <c r="K2951" t="str">
        <v>+</v>
      </c>
      <c r="M2951" t="str">
        <v>=</v>
      </c>
      <c r="N2951">
        <f>J2951+L2951</f>
        <v>2.5875</v>
      </c>
      <c r="O2951" t="str">
        <v>+</v>
      </c>
      <c r="P2951">
        <f>MAX(D2951-D2950,D2951-D2952)</f>
        <v>1</v>
      </c>
      <c r="Q2951" t="str">
        <v>x</v>
      </c>
      <c r="R2951">
        <f>IF(P2951&gt;0,2*(1-2*$F$19-1/2)*D2938/1000,0)</f>
        <v>1.0349999999999997</v>
      </c>
      <c r="S2951" t="str">
        <v>)</v>
      </c>
      <c r="T2951" t="str">
        <v>x</v>
      </c>
      <c r="U2951">
        <f>0.006165*F2951^2</f>
        <v>1.57824</v>
      </c>
      <c r="X2951" t="str">
        <v>x</v>
      </c>
      <c r="Y2951">
        <f>D2941</f>
        <v>1</v>
      </c>
      <c r="Z2951" t="str">
        <v>=</v>
      </c>
      <c r="AA2951">
        <f>IF(AA2953=0,(D2951*N2951+P2951*R2951)*U2951*Y2951,0)</f>
        <v>17.9682624</v>
      </c>
    </row>
    <row r="2952">
      <c r="A2952" t="str">
        <f>A2935</f>
        <v>Lantai 2</v>
      </c>
      <c r="B2952">
        <f>B2935</f>
        <v>11</v>
      </c>
      <c r="C2952" t="str">
        <v>Tul Bawah Tumpuan</v>
      </c>
      <c r="D2952">
        <f>VLOOKUP(D2935,'Detail Balok'!$C$10:$AU$140,28,FALSE)</f>
        <v>3</v>
      </c>
      <c r="E2952" t="str">
        <v>D</v>
      </c>
      <c r="F2952">
        <f>VLOOKUP(D2935,'Detail Balok'!$C$10:$AU$140,30,FALSE)</f>
        <v>16</v>
      </c>
      <c r="I2952" t="str">
        <v>(</v>
      </c>
      <c r="J2952">
        <f>+J2944</f>
        <v>1.29375</v>
      </c>
      <c r="K2952" t="str">
        <v>+</v>
      </c>
      <c r="L2952">
        <f>MAX(VLOOKUP(F2952,N$6:P$15,3,FALSE)/1000,2/3*D2940/1000)+F$16*F2952/1000</f>
        <v>0.192</v>
      </c>
      <c r="M2952" t="str">
        <v>=</v>
      </c>
      <c r="N2952">
        <f>J2952+L2952</f>
        <v>1.48575</v>
      </c>
      <c r="O2952" t="str">
        <v>+</v>
      </c>
      <c r="P2952">
        <f>D2952-D2951</f>
        <v>-1</v>
      </c>
      <c r="Q2952" t="str">
        <v>x</v>
      </c>
      <c r="R2952">
        <f>IF(P2952&gt;0,$F$18*F2952/1000,0)</f>
        <v>0</v>
      </c>
      <c r="S2952" t="str">
        <v>)</v>
      </c>
      <c r="T2952" t="str">
        <v>x</v>
      </c>
      <c r="U2952">
        <f>0.006165*F2952^2</f>
        <v>1.57824</v>
      </c>
      <c r="X2952" t="str">
        <v>x</v>
      </c>
      <c r="Y2952">
        <f>D2941</f>
        <v>1</v>
      </c>
      <c r="Z2952" t="str">
        <v>=</v>
      </c>
      <c r="AA2952">
        <f>IF(AA2953=0,(D2952*N2952+P2952*R2952)*U2952*Y2952,0)</f>
        <v>7.034610240000001</v>
      </c>
    </row>
    <row r="2953">
      <c r="A2953" t="str">
        <f>A2935</f>
        <v>Lantai 2</v>
      </c>
      <c r="B2953">
        <f>B2935</f>
        <v>11</v>
      </c>
      <c r="D2953">
        <f>IF(AND(D2950=D2951,D2951=D2952,D2950=D2952),D2950,0)</f>
        <v>0</v>
      </c>
      <c r="E2953" t="str">
        <v>D</v>
      </c>
      <c r="F2953">
        <f>IF(AND(F2950=F2951,F2950=F2952,F2951=F2952),F2950,0)</f>
        <v>16</v>
      </c>
      <c r="L2953" t="str">
        <v>Total panjang per balok</v>
      </c>
      <c r="M2953" t="str">
        <v>=</v>
      </c>
      <c r="N2953">
        <f>IF(AND(D2950=D2951,D2950=D2952,D2951=D2952,F2950=F2951,F2950=F2952,F2951=F2952),SUM(N2950:N2952),0)</f>
        <v>0</v>
      </c>
      <c r="O2953" t="str">
        <v>+</v>
      </c>
      <c r="P2953">
        <f>IF(N2953&gt;12,ROUNDDOWN(N2953/12,0),0)</f>
        <v>0</v>
      </c>
      <c r="Q2953" t="str">
        <v>x</v>
      </c>
      <c r="R2953">
        <f>IF(P2953&gt;0,MAX(VLOOKUP(F2953,$D$6:$G$15,3,FALSE),600),0)/1000</f>
        <v>0</v>
      </c>
      <c r="T2953" t="str">
        <v>x</v>
      </c>
      <c r="U2953">
        <f>U2952</f>
        <v>1.57824</v>
      </c>
      <c r="V2953" t="str">
        <v>x</v>
      </c>
      <c r="W2953">
        <f>D2953</f>
        <v>0</v>
      </c>
      <c r="X2953" t="str">
        <v>x</v>
      </c>
      <c r="Y2953">
        <f>Y2952</f>
        <v>1</v>
      </c>
      <c r="Z2953" t="str">
        <v>=</v>
      </c>
      <c r="AA2953">
        <f>(N2953+P2953*R2953/1000)*U2953*W2953*Y2953</f>
        <v>0</v>
      </c>
    </row>
    <row r="2955">
      <c r="A2955" t="str">
        <f>A2935</f>
        <v>Lantai 2</v>
      </c>
      <c r="B2955">
        <f>B2935</f>
        <v>11</v>
      </c>
      <c r="C2955" t="str">
        <v>Sengkang Tumpuan</v>
      </c>
      <c r="D2955">
        <f>VLOOKUP(D2935,'Detail Balok'!$C$10:$AU$140,31,FALSE)</f>
        <v>0</v>
      </c>
      <c r="E2955" t="str">
        <v>D</v>
      </c>
      <c r="F2955">
        <f>VLOOKUP(D2935,'Detail Balok'!$C$10:$AU$140,33,FALSE)</f>
        <v>10</v>
      </c>
      <c r="G2955" t="str">
        <v>-</v>
      </c>
      <c r="H2955">
        <f>VLOOKUP(D2935,'Detail Balok'!$C$10:$AU$140,35,FALSE)</f>
        <v>100</v>
      </c>
      <c r="J2955">
        <f>(IF(D2955=0,(2*(D2936+G2936))-(F$5*8),IF(D2955=3,(2*(D2936+G2936))-(F$5*8)+(G2936-2*F$5),IF(D2955=4,(2*(D2936+G2936))-(F$5*8)+2*(G2936-2*F$5)))))/1000</f>
        <v>1.28</v>
      </c>
      <c r="K2955" t="str">
        <v>+</v>
      </c>
      <c r="L2955">
        <f>IF(D2955=0,2*MAX(6*F2955,75),(D2955-1)*2*MAX(6*F2955,75))/1000</f>
        <v>0.15</v>
      </c>
      <c r="M2955" t="str">
        <v>=</v>
      </c>
      <c r="N2955">
        <f>J2955+L2955</f>
        <v>1.43</v>
      </c>
      <c r="T2955" t="str">
        <v>x</v>
      </c>
      <c r="U2955">
        <f>0.006165*F2955^2</f>
        <v>0.6165</v>
      </c>
      <c r="V2955" t="str">
        <v>x</v>
      </c>
      <c r="W2955">
        <f>IF(D2938&gt;4*G2936,ROUND(MAX(D2938/4,2*G2936)/H2955,0)+1,ROUND(D2938/H2955,0)+1)</f>
        <v>14</v>
      </c>
      <c r="X2955" t="str">
        <v>x</v>
      </c>
      <c r="Y2955">
        <f>D2941</f>
        <v>1</v>
      </c>
      <c r="Z2955" t="str">
        <v>=</v>
      </c>
      <c r="AA2955">
        <f>N2955*U2955*W2955*Y2955</f>
        <v>12.34233</v>
      </c>
    </row>
    <row r="2956">
      <c r="A2956" t="str">
        <f>A2935</f>
        <v>Lantai 2</v>
      </c>
      <c r="B2956">
        <f>B2935</f>
        <v>11</v>
      </c>
      <c r="C2956" t="str">
        <v>Sengkang Lapangan</v>
      </c>
      <c r="D2956">
        <f>VLOOKUP(D2935,'Detail Balok'!$C$10:$AU$140,36,FALSE)</f>
        <v>0</v>
      </c>
      <c r="E2956" t="str">
        <v>D</v>
      </c>
      <c r="F2956">
        <f>VLOOKUP(D2935,'Detail Balok'!$C$10:$AU$140,38,FALSE)</f>
        <v>10</v>
      </c>
      <c r="G2956" t="str">
        <v>-</v>
      </c>
      <c r="H2956">
        <f>VLOOKUP(D2935,'Detail Balok'!$C$10:$AU$140,40,FALSE)</f>
        <v>150</v>
      </c>
      <c r="J2956">
        <f>(IF(D2956=0,(2*(D2936+G2936))-(F$5*8),IF(D2956=3,(2*(D2936+G2936))-(F$5*8)+(G2936-2*F$5),IF(D2956=4,(2*(D2936+G2936))-(F$5*8)+2*(G2936-2*F$5)))))/1000</f>
        <v>1.28</v>
      </c>
      <c r="K2956" t="str">
        <v>+</v>
      </c>
      <c r="L2956">
        <f>IF(D2956=0,2*MAX(6*F2956,75),(D2956-1)*2*MAX(6*F2956,75))/1000</f>
        <v>0.15</v>
      </c>
      <c r="M2956" t="str">
        <v>=</v>
      </c>
      <c r="N2956">
        <f>J2956+L2956</f>
        <v>1.43</v>
      </c>
      <c r="T2956" t="str">
        <v>x</v>
      </c>
      <c r="U2956">
        <f>0.006165*F2956^2</f>
        <v>0.6165</v>
      </c>
      <c r="V2956" t="str">
        <v>x</v>
      </c>
      <c r="W2956">
        <f>IF(D2938-MAX(D2938/4,2*G2936)*2&gt;0,ROUND((D2938-MAX(D2938/4,2*G2936)*2)/H2956,0),0)</f>
        <v>17</v>
      </c>
      <c r="X2956" t="str">
        <v>x</v>
      </c>
      <c r="Y2956">
        <f>D2941</f>
        <v>1</v>
      </c>
      <c r="Z2956" t="str">
        <v>=</v>
      </c>
      <c r="AA2956">
        <f>N2956*U2956*W2956*Y2956</f>
        <v>14.987115000000001</v>
      </c>
    </row>
    <row r="2957">
      <c r="A2957" t="str">
        <f>A2935</f>
        <v>Lantai 2</v>
      </c>
      <c r="B2957">
        <f>B2935</f>
        <v>11</v>
      </c>
      <c r="C2957" t="str">
        <v>Sengkang Tumpuan</v>
      </c>
      <c r="D2957">
        <f>VLOOKUP(D2935,'Detail Balok'!$C$10:$AU$140,41,FALSE)</f>
        <v>0</v>
      </c>
      <c r="E2957" t="str">
        <v>D</v>
      </c>
      <c r="F2957">
        <f>VLOOKUP(D2935,'Detail Balok'!$C$10:$AU$140,43,FALSE)</f>
        <v>10</v>
      </c>
      <c r="G2957" t="str">
        <v>-</v>
      </c>
      <c r="H2957">
        <f>VLOOKUP(D2935,'Detail Balok'!$C$10:$AU$140,45,FALSE)</f>
        <v>100</v>
      </c>
      <c r="J2957">
        <f>(IF(D2957=0,(2*(D2936+G2936))-(F$5*8),IF(D2957=3,(2*(D2936+G2936))-(F$5*8)+(G2936-2*F$5),IF(D2957=4,(2*(D2936+G2936))-(F$5*8)+2*(G2936-2*F$5)))))/1000</f>
        <v>1.28</v>
      </c>
      <c r="K2957" t="str">
        <v>+</v>
      </c>
      <c r="L2957">
        <f>IF(D2957=0,2*MAX(6*F2957,75),(D2957-1)*2*MAX(6*F2957,75))/1000</f>
        <v>0.15</v>
      </c>
      <c r="M2957" t="str">
        <v>=</v>
      </c>
      <c r="N2957">
        <f>J2957+L2957</f>
        <v>1.43</v>
      </c>
      <c r="T2957" t="str">
        <v>x</v>
      </c>
      <c r="U2957">
        <f>0.006165*F2957^2</f>
        <v>0.6165</v>
      </c>
      <c r="V2957" t="str">
        <v>x</v>
      </c>
      <c r="W2957">
        <f>IF(D2938&gt;4*G2936,ROUND(MAX(D2938/4,2*G2936)/H2957,0)+1,0)</f>
        <v>14</v>
      </c>
      <c r="X2957" t="str">
        <v>x</v>
      </c>
      <c r="Y2957">
        <f>D2941</f>
        <v>1</v>
      </c>
      <c r="Z2957" t="str">
        <v>=</v>
      </c>
      <c r="AA2957">
        <f>N2957*U2957*W2957*Y2957</f>
        <v>12.34233</v>
      </c>
    </row>
    <row r="2959">
      <c r="A2959" t="str">
        <f>A2935</f>
        <v>Lantai 2</v>
      </c>
      <c r="B2959">
        <f>B2935</f>
        <v>11</v>
      </c>
      <c r="C2959" t="str">
        <v>Kait Horizontal Tump.</v>
      </c>
      <c r="D2959">
        <f>VLOOKUP(D2935,'Detail Balok'!$C$10:$BJ$140,46,FALSE)</f>
        <v>0</v>
      </c>
      <c r="E2959" t="str">
        <v>D</v>
      </c>
      <c r="F2959">
        <f>VLOOKUP(D2935,'Detail Balok'!$C$10:$BJ$140,48,FALSE)</f>
        <v>0</v>
      </c>
      <c r="G2959" t="str">
        <v>-</v>
      </c>
      <c r="H2959">
        <f>VLOOKUP(D2935,'Detail Balok'!$C$10:$BJ$140,50,FALSE)</f>
        <v>100</v>
      </c>
      <c r="J2959">
        <f>(D2936-2*F$5)/1000</f>
        <v>0.12</v>
      </c>
      <c r="K2959" t="str">
        <v>+</v>
      </c>
      <c r="L2959">
        <f>IF(D2959=0,2*MAX(6*F2959,75),(D2959-1)*2*MAX(6*F2959,75))/1000</f>
        <v>0.15</v>
      </c>
      <c r="M2959" t="str">
        <v>=</v>
      </c>
      <c r="N2959">
        <f>J2959+L2959</f>
        <v>0.27</v>
      </c>
      <c r="T2959" t="str">
        <v>x</v>
      </c>
      <c r="U2959">
        <f>0.006165*F2959^2</f>
        <v>0</v>
      </c>
      <c r="V2959" t="str">
        <v>x</v>
      </c>
      <c r="W2959">
        <f>W2955</f>
        <v>14</v>
      </c>
      <c r="X2959" t="str">
        <v>x</v>
      </c>
      <c r="Y2959">
        <f>D2945</f>
        <v>0</v>
      </c>
      <c r="Z2959" t="str">
        <v>=</v>
      </c>
      <c r="AA2959">
        <f>N2959*U2959*W2959*Y2959</f>
        <v>0</v>
      </c>
    </row>
    <row r="2960">
      <c r="A2960" t="str">
        <f>A2935</f>
        <v>Lantai 2</v>
      </c>
      <c r="B2960">
        <f>B2935</f>
        <v>11</v>
      </c>
      <c r="C2960" t="str">
        <v>Kait Horizontal Lap.</v>
      </c>
      <c r="D2960">
        <f>VLOOKUP(D2935,'Detail Balok'!$C$10:$BJ$140,51,FALSE)</f>
        <v>0</v>
      </c>
      <c r="E2960" t="str">
        <v>D</v>
      </c>
      <c r="F2960">
        <f>VLOOKUP(D2935,'Detail Balok'!$C$10:$BJ$140,53,FALSE)</f>
        <v>0</v>
      </c>
      <c r="G2960" t="str">
        <v>-</v>
      </c>
      <c r="H2960">
        <f>VLOOKUP(D2935,'Detail Balok'!$C$10:$BJ$140,55,FALSE)</f>
        <v>100</v>
      </c>
      <c r="J2960">
        <f>(D2936-2*F$5)/1000</f>
        <v>0.12</v>
      </c>
      <c r="K2960" t="str">
        <v>+</v>
      </c>
      <c r="L2960">
        <f>IF(D2960=0,2*MAX(6*F2960,75),(D2960-1)*2*MAX(6*F2960,75))/1000</f>
        <v>0.15</v>
      </c>
      <c r="M2960" t="str">
        <v>=</v>
      </c>
      <c r="N2960">
        <f>J2960+L2960</f>
        <v>0.27</v>
      </c>
      <c r="T2960" t="str">
        <v>x</v>
      </c>
      <c r="U2960">
        <f>0.006165*F2960^2</f>
        <v>0</v>
      </c>
      <c r="V2960" t="str">
        <v>x</v>
      </c>
      <c r="W2960">
        <f>W2956</f>
        <v>17</v>
      </c>
      <c r="X2960" t="str">
        <v>x</v>
      </c>
      <c r="Y2960">
        <f>D2945</f>
        <v>0</v>
      </c>
      <c r="Z2960" t="str">
        <v>=</v>
      </c>
      <c r="AA2960">
        <f>N2960*U2960*W2960*Y2960</f>
        <v>0</v>
      </c>
    </row>
    <row r="2961">
      <c r="A2961" t="str">
        <f>A2935</f>
        <v>Lantai 2</v>
      </c>
      <c r="B2961">
        <f>B2935</f>
        <v>11</v>
      </c>
      <c r="C2961" t="str">
        <v>Kait Horizontal Tump.</v>
      </c>
      <c r="D2961">
        <f>VLOOKUP(D2935,'Detail Balok'!$C$10:$BJ$140,56,FALSE)</f>
        <v>0</v>
      </c>
      <c r="E2961" t="str">
        <v>D</v>
      </c>
      <c r="F2961">
        <f>VLOOKUP(D2935,'Detail Balok'!$C$10:$BJ$140,58,FALSE)</f>
        <v>0</v>
      </c>
      <c r="G2961" t="str">
        <v>-</v>
      </c>
      <c r="H2961">
        <f>VLOOKUP(D2935,'Detail Balok'!$C$10:$BJ$140,60,FALSE)</f>
        <v>100</v>
      </c>
      <c r="J2961">
        <f>(D2936-2*F$5)/1000</f>
        <v>0.12</v>
      </c>
      <c r="K2961" t="str">
        <v>+</v>
      </c>
      <c r="L2961">
        <f>IF(D2961=0,2*MAX(6*F2961,75),(D2961-1)*2*MAX(6*F2961,75))/1000</f>
        <v>0.15</v>
      </c>
      <c r="M2961" t="str">
        <v>=</v>
      </c>
      <c r="N2961">
        <f>J2961+L2961</f>
        <v>0.27</v>
      </c>
      <c r="T2961" t="str">
        <v>x</v>
      </c>
      <c r="U2961">
        <f>0.006165*F2961^2</f>
        <v>0</v>
      </c>
      <c r="V2961" t="str">
        <v>x</v>
      </c>
      <c r="W2961">
        <f>W2957</f>
        <v>14</v>
      </c>
      <c r="X2961" t="str">
        <v>x</v>
      </c>
      <c r="Y2961">
        <f>D2945</f>
        <v>0</v>
      </c>
      <c r="Z2961" t="str">
        <v>=</v>
      </c>
      <c r="AA2961">
        <f>N2961*U2961*W2961*Y2961</f>
        <v>0</v>
      </c>
    </row>
    <row r="2965">
      <c r="A2965" t="str">
        <f>A2935</f>
        <v>Lantai 2</v>
      </c>
      <c r="B2965">
        <f>B2935+1</f>
        <v>12</v>
      </c>
      <c r="C2965" t="str">
        <f>CONCATENATE(A2965," no. ",B2965)</f>
        <v>Lantai 2 no. 12</v>
      </c>
      <c r="D2965" t="str">
        <f>VLOOKUP(C2965,'Data Panjang Balok'!$C$9:$N$254,2,FALSE)</f>
        <v>B26-1</v>
      </c>
    </row>
    <row r="2966">
      <c r="C2966" t="str">
        <v>Dimensi</v>
      </c>
      <c r="D2966">
        <f>VLOOKUP(D2965,'Detail Balok'!$C$10:$AU$140,2,FALSE)</f>
        <v>200</v>
      </c>
      <c r="F2966" t="str">
        <v>x</v>
      </c>
      <c r="G2966">
        <f>VLOOKUP(D2965,'Detail Balok'!$C$10:$AU$140,3,FALSE)</f>
        <v>600</v>
      </c>
    </row>
    <row r="2967">
      <c r="C2967" t="str">
        <v>Panjang as ke as</v>
      </c>
      <c r="D2967">
        <f>VLOOKUP(C2965,'Data Panjang Balok'!$C$9:$N$254,4,FALSE)</f>
        <v>5900</v>
      </c>
    </row>
    <row r="2968">
      <c r="C2968" t="str">
        <v>Panjang netto</v>
      </c>
      <c r="D2968">
        <f>VLOOKUP(C2965,'Data Panjang Balok'!$C$9:$N$254,7,FALSE)</f>
        <v>5900</v>
      </c>
    </row>
    <row r="2969">
      <c r="C2969" t="str">
        <v>Kolom / balok kiri</v>
      </c>
      <c r="D2969">
        <f>VLOOKUP(C2965,'Data Panjang Balok'!$C$9:$N$254,9,FALSE)</f>
        <v>0</v>
      </c>
    </row>
    <row r="2970">
      <c r="C2970" t="str">
        <v>Kolom / balok kanan</v>
      </c>
      <c r="D2970">
        <f>VLOOKUP(C2965,'Data Panjang Balok'!$C$9:$N$254,10,FALSE)</f>
        <v>0</v>
      </c>
    </row>
    <row r="2971">
      <c r="C2971" t="str">
        <v>Jumlah</v>
      </c>
      <c r="D2971">
        <f>VLOOKUP(C2965,'Data Panjang Balok'!$C$9:$N$254,3,FALSE)</f>
        <v>1</v>
      </c>
    </row>
    <row r="2972">
      <c r="A2972" t="str">
        <f>A2965</f>
        <v>Lantai 2</v>
      </c>
      <c r="B2972">
        <f>B2965</f>
        <v>12</v>
      </c>
      <c r="C2972" t="str">
        <v>Tul Atas Tumpuan</v>
      </c>
      <c r="D2972">
        <f>VLOOKUP(D2965,'Detail Balok'!$C$10:$AU$140,4,FALSE)</f>
        <v>4</v>
      </c>
      <c r="E2972" t="str">
        <v>D</v>
      </c>
      <c r="F2972">
        <f>VLOOKUP(D2965,'Detail Balok'!$C$10:$AU$140,6,FALSE)</f>
        <v>16</v>
      </c>
      <c r="I2972" t="str">
        <v>(</v>
      </c>
      <c r="J2972">
        <f>+D2967/4/1000</f>
        <v>1.475</v>
      </c>
      <c r="K2972" t="str">
        <v>+</v>
      </c>
      <c r="L2972">
        <f>MAX(VLOOKUP(F2972,N$6:P$15,3,FALSE)/1000,2/3*D2969/1000)+F$16*F2972/1000</f>
        <v>0.192</v>
      </c>
      <c r="M2972" t="str">
        <v>=</v>
      </c>
      <c r="N2972">
        <f>J2972+L2972</f>
        <v>1.667</v>
      </c>
      <c r="O2972" t="str">
        <v>+</v>
      </c>
      <c r="P2972">
        <f>D2972-D2973</f>
        <v>1</v>
      </c>
      <c r="Q2972" t="str">
        <v>x</v>
      </c>
      <c r="R2972">
        <f>IF(P2972&gt;0,$F$18*F2972/1000,0)</f>
        <v>0.24</v>
      </c>
      <c r="S2972" t="str">
        <v>)</v>
      </c>
      <c r="T2972" t="str">
        <v>x</v>
      </c>
      <c r="U2972">
        <f>0.006165*F2972^2</f>
        <v>1.57824</v>
      </c>
      <c r="X2972" t="str">
        <v>x</v>
      </c>
      <c r="Y2972">
        <f>D2971</f>
        <v>1</v>
      </c>
      <c r="Z2972" t="str">
        <v>=</v>
      </c>
      <c r="AA2972">
        <f>IF(AA2975=0,(D2972*N2972+P2972*R2972)*U2972*Y2972,0)</f>
        <v>10.902481920000001</v>
      </c>
    </row>
    <row r="2973">
      <c r="A2973" t="str">
        <f>A2965</f>
        <v>Lantai 2</v>
      </c>
      <c r="B2973">
        <f>B2965</f>
        <v>12</v>
      </c>
      <c r="C2973" t="str">
        <v>Tul Atas Lapangan</v>
      </c>
      <c r="D2973">
        <f>VLOOKUP(D2965,'Detail Balok'!$C$10:$AU$140,7,FALSE)</f>
        <v>3</v>
      </c>
      <c r="E2973" t="str">
        <v>D</v>
      </c>
      <c r="F2973">
        <f>VLOOKUP(D2965,'Detail Balok'!$C$10:$AU$140,9,FALSE)</f>
        <v>16</v>
      </c>
      <c r="I2973" t="str">
        <v>(</v>
      </c>
      <c r="J2973">
        <f>+D2967/2/1000</f>
        <v>2.95</v>
      </c>
      <c r="K2973" t="str">
        <v>+</v>
      </c>
      <c r="M2973" t="str">
        <v>=</v>
      </c>
      <c r="N2973">
        <f>J2973+L2973</f>
        <v>2.95</v>
      </c>
      <c r="O2973" t="str">
        <v>+</v>
      </c>
      <c r="P2973">
        <f>MAX(D2973-D2972,D2973-D2974)</f>
        <v>-1</v>
      </c>
      <c r="Q2973" t="str">
        <v>x</v>
      </c>
      <c r="R2973">
        <f>IF(P2973&gt;0,2*(1-2*$F$19-1/2)*D2968/1000,0)</f>
        <v>0</v>
      </c>
      <c r="S2973" t="str">
        <v>)</v>
      </c>
      <c r="T2973" t="str">
        <v>x</v>
      </c>
      <c r="U2973">
        <f>0.006165*F2973^2</f>
        <v>1.57824</v>
      </c>
      <c r="X2973" t="str">
        <v>x</v>
      </c>
      <c r="Y2973">
        <f>D2971</f>
        <v>1</v>
      </c>
      <c r="Z2973" t="str">
        <v>=</v>
      </c>
      <c r="AA2973">
        <f>IF(AA2975=0,(D2973*N2973+P2973*R2973)*U2973*Y2973,0)</f>
        <v>13.967424000000003</v>
      </c>
    </row>
    <row r="2974">
      <c r="A2974" t="str">
        <f>A2965</f>
        <v>Lantai 2</v>
      </c>
      <c r="B2974">
        <f>B2965</f>
        <v>12</v>
      </c>
      <c r="C2974" t="str">
        <v>Tul Atas Tumpuan</v>
      </c>
      <c r="D2974">
        <f>VLOOKUP(D2965,'Detail Balok'!$C$10:$AU$140,10,FALSE)</f>
        <v>4</v>
      </c>
      <c r="E2974" t="str">
        <v>D</v>
      </c>
      <c r="F2974">
        <f>VLOOKUP(D2965,'Detail Balok'!$C$10:$AU$140,12,FALSE)</f>
        <v>16</v>
      </c>
      <c r="I2974" t="str">
        <v>(</v>
      </c>
      <c r="J2974">
        <f>+D2967/4/1000</f>
        <v>1.475</v>
      </c>
      <c r="K2974" t="str">
        <v>+</v>
      </c>
      <c r="L2974">
        <f>MAX(VLOOKUP(F2974,N$6:P$15,3,FALSE)/1000,2/3*D2969/1000)+F$16*F2974/1000</f>
        <v>0.192</v>
      </c>
      <c r="M2974" t="str">
        <v>=</v>
      </c>
      <c r="N2974">
        <f>J2974+L2974</f>
        <v>1.667</v>
      </c>
      <c r="O2974" t="str">
        <v>+</v>
      </c>
      <c r="P2974">
        <f>D2974-D2973</f>
        <v>1</v>
      </c>
      <c r="Q2974" t="str">
        <v>x</v>
      </c>
      <c r="R2974">
        <f>IF(P2974&gt;0,$F$18*F2974/1000,0)</f>
        <v>0.24</v>
      </c>
      <c r="S2974" t="str">
        <v>)</v>
      </c>
      <c r="T2974" t="str">
        <v>x</v>
      </c>
      <c r="U2974">
        <f>0.006165*F2974^2</f>
        <v>1.57824</v>
      </c>
      <c r="X2974" t="str">
        <v>x</v>
      </c>
      <c r="Y2974">
        <f>D2971</f>
        <v>1</v>
      </c>
      <c r="Z2974" t="str">
        <v>=</v>
      </c>
      <c r="AA2974">
        <f>IF(AA2975=0,(D2974*N2974+P2974*R2974)*U2974*Y2974,0)</f>
        <v>10.902481920000001</v>
      </c>
    </row>
    <row r="2975">
      <c r="A2975" t="str">
        <f>A2965</f>
        <v>Lantai 2</v>
      </c>
      <c r="B2975">
        <f>B2965</f>
        <v>12</v>
      </c>
      <c r="D2975">
        <f>IF(AND(D2972=D2973,D2973=D2974,D2972=D2974),D2972,0)</f>
        <v>0</v>
      </c>
      <c r="E2975" t="str">
        <v>D</v>
      </c>
      <c r="F2975">
        <f>IF(AND(F2972=F2973,F2972=F2974,F2973=F2974),F2972,0)</f>
        <v>16</v>
      </c>
      <c r="L2975" t="str">
        <v>Total panjang per balok</v>
      </c>
      <c r="M2975" t="str">
        <v>=</v>
      </c>
      <c r="N2975">
        <f>IF(AND(D2972=D2973,D2972=D2974,D2973=D2974,F2972=F2973,F2972=F2974,F2973=F2974),SUM(N2972:N2974),0)</f>
        <v>0</v>
      </c>
      <c r="O2975" t="str">
        <v>+</v>
      </c>
      <c r="P2975">
        <f>IF(N2975&gt;12,ROUNDDOWN(N2975/12,0),0)</f>
        <v>0</v>
      </c>
      <c r="Q2975" t="str">
        <v>x</v>
      </c>
      <c r="R2975">
        <f>IF(P2975&gt;0,MAX(VLOOKUP(F2975,$D$6:$G$15,3,FALSE),600),0)/1000</f>
        <v>0</v>
      </c>
      <c r="T2975" t="str">
        <v>x</v>
      </c>
      <c r="U2975">
        <f>U2974</f>
        <v>1.57824</v>
      </c>
      <c r="V2975" t="str">
        <v>x</v>
      </c>
      <c r="W2975">
        <f>D2975</f>
        <v>0</v>
      </c>
      <c r="X2975" t="str">
        <v>x</v>
      </c>
      <c r="Y2975">
        <f>Y2974</f>
        <v>1</v>
      </c>
      <c r="Z2975" t="str">
        <v>=</v>
      </c>
      <c r="AA2975">
        <f>(N2975+P2975*R2975/1000)*U2975*W2975*Y2975</f>
        <v>0</v>
      </c>
    </row>
    <row r="2977">
      <c r="A2977" t="str">
        <f>A2965</f>
        <v>Lantai 2</v>
      </c>
      <c r="B2977">
        <f>B2965</f>
        <v>12</v>
      </c>
      <c r="C2977" t="str">
        <v>Tul Peminggang</v>
      </c>
      <c r="D2977">
        <f>VLOOKUP(D2965,'Detail Balok'!$C$10:$AU$140,13,FALSE)</f>
        <v>2</v>
      </c>
      <c r="E2977" t="str">
        <v>D</v>
      </c>
      <c r="F2977">
        <f>VLOOKUP(D2965,'Detail Balok'!$C$10:$AU$140,15,FALSE)</f>
        <v>10</v>
      </c>
      <c r="J2977">
        <f>+D2967/1000</f>
        <v>5.9</v>
      </c>
      <c r="K2977" t="str">
        <v>+</v>
      </c>
      <c r="L2977">
        <f>2*$F$16*F2977/1000</f>
        <v>0.24</v>
      </c>
      <c r="M2977" t="str">
        <v>=</v>
      </c>
      <c r="N2977">
        <f>J2977+L2977</f>
        <v>6.140000000000001</v>
      </c>
      <c r="O2977" t="str">
        <v>+</v>
      </c>
      <c r="P2977">
        <f>IF(N2977&gt;12,ROUNDDOWN(N2977/12,0),0)</f>
        <v>0</v>
      </c>
      <c r="Q2977" t="str">
        <v>x</v>
      </c>
      <c r="R2977">
        <f>IF(P2977&gt;0,MAX(VLOOKUP(F2977,$D$6:$G$15,3,FALSE),600),0)/1000</f>
        <v>0</v>
      </c>
      <c r="T2977" t="str">
        <v>x</v>
      </c>
      <c r="U2977">
        <f>0.006165*F2977^2</f>
        <v>0.6165</v>
      </c>
      <c r="V2977" t="str">
        <v>x</v>
      </c>
      <c r="W2977">
        <f>+D2977</f>
        <v>2</v>
      </c>
      <c r="X2977" t="str">
        <v>x</v>
      </c>
      <c r="Y2977">
        <f>D2971</f>
        <v>1</v>
      </c>
      <c r="Z2977" t="str">
        <v>=</v>
      </c>
      <c r="AA2977">
        <f>(N2977+P2977*R2977/1000)*U2977*W2977*Y2977</f>
        <v>7.570620000000002</v>
      </c>
    </row>
    <row r="2980">
      <c r="A2980" t="str">
        <f>A2965</f>
        <v>Lantai 2</v>
      </c>
      <c r="B2980">
        <f>B2965</f>
        <v>12</v>
      </c>
      <c r="C2980" t="str">
        <v>Tul Bawah Tumpuan</v>
      </c>
      <c r="D2980">
        <f>VLOOKUP(D2965,'Detail Balok'!$C$10:$AU$140,22,FALSE)</f>
        <v>3</v>
      </c>
      <c r="E2980" t="str">
        <v>D</v>
      </c>
      <c r="F2980">
        <f>VLOOKUP(D2965,'Detail Balok'!$C$10:$AU$140,24,FALSE)</f>
        <v>16</v>
      </c>
      <c r="I2980" t="str">
        <v>(</v>
      </c>
      <c r="J2980">
        <f>+J2972</f>
        <v>1.475</v>
      </c>
      <c r="K2980" t="str">
        <v>+</v>
      </c>
      <c r="L2980">
        <f>MAX(VLOOKUP(F2980,N$6:P$15,3,FALSE)/1000,2/3*D2970/1000)+F$16*F2980/1000</f>
        <v>0.192</v>
      </c>
      <c r="M2980" t="str">
        <v>=</v>
      </c>
      <c r="N2980">
        <f>J2980+L2980</f>
        <v>1.667</v>
      </c>
      <c r="O2980" t="str">
        <v>+</v>
      </c>
      <c r="P2980">
        <f>D2980-D2981</f>
        <v>-1</v>
      </c>
      <c r="Q2980" t="str">
        <v>x</v>
      </c>
      <c r="R2980">
        <f>IF(P2980&gt;0,$F$18*F2980/1000,0)</f>
        <v>0</v>
      </c>
      <c r="S2980" t="str">
        <v>)</v>
      </c>
      <c r="T2980" t="str">
        <v>x</v>
      </c>
      <c r="U2980">
        <f>0.006165*F2980^2</f>
        <v>1.57824</v>
      </c>
      <c r="X2980" t="str">
        <v>x</v>
      </c>
      <c r="Y2980">
        <f>D2971</f>
        <v>1</v>
      </c>
      <c r="Z2980" t="str">
        <v>=</v>
      </c>
      <c r="AA2980">
        <f>IF(AA2983=0,(D2980*N2980+P2980*R2980)*U2980*Y2980,0)</f>
        <v>7.892778240000001</v>
      </c>
    </row>
    <row r="2981">
      <c r="A2981" t="str">
        <f>A2965</f>
        <v>Lantai 2</v>
      </c>
      <c r="B2981">
        <f>B2965</f>
        <v>12</v>
      </c>
      <c r="C2981" t="str">
        <v>Tul Bawah Lapangan</v>
      </c>
      <c r="D2981">
        <f>VLOOKUP(D2965,'Detail Balok'!$C$10:$AU$140,25,FALSE)</f>
        <v>4</v>
      </c>
      <c r="E2981" t="str">
        <v>D</v>
      </c>
      <c r="F2981">
        <f>VLOOKUP(D2965,'Detail Balok'!$C$10:$AU$140,27,FALSE)</f>
        <v>16</v>
      </c>
      <c r="I2981" t="str">
        <v>(</v>
      </c>
      <c r="J2981">
        <f>+J2973</f>
        <v>2.95</v>
      </c>
      <c r="K2981" t="str">
        <v>+</v>
      </c>
      <c r="M2981" t="str">
        <v>=</v>
      </c>
      <c r="N2981">
        <f>J2981+L2981</f>
        <v>2.95</v>
      </c>
      <c r="O2981" t="str">
        <v>+</v>
      </c>
      <c r="P2981">
        <f>MAX(D2981-D2980,D2981-D2982)</f>
        <v>1</v>
      </c>
      <c r="Q2981" t="str">
        <v>x</v>
      </c>
      <c r="R2981">
        <f>IF(P2981&gt;0,2*(1-2*$F$19-1/2)*D2968/1000,0)</f>
        <v>1.1799999999999997</v>
      </c>
      <c r="S2981" t="str">
        <v>)</v>
      </c>
      <c r="T2981" t="str">
        <v>x</v>
      </c>
      <c r="U2981">
        <f>0.006165*F2981^2</f>
        <v>1.57824</v>
      </c>
      <c r="X2981" t="str">
        <v>x</v>
      </c>
      <c r="Y2981">
        <f>D2971</f>
        <v>1</v>
      </c>
      <c r="Z2981" t="str">
        <v>=</v>
      </c>
      <c r="AA2981">
        <f>IF(AA2983=0,(D2981*N2981+P2981*R2981)*U2981*Y2981,0)</f>
        <v>20.4855552</v>
      </c>
    </row>
    <row r="2982">
      <c r="A2982" t="str">
        <f>A2965</f>
        <v>Lantai 2</v>
      </c>
      <c r="B2982">
        <f>B2965</f>
        <v>12</v>
      </c>
      <c r="C2982" t="str">
        <v>Tul Bawah Tumpuan</v>
      </c>
      <c r="D2982">
        <f>VLOOKUP(D2965,'Detail Balok'!$C$10:$AU$140,28,FALSE)</f>
        <v>3</v>
      </c>
      <c r="E2982" t="str">
        <v>D</v>
      </c>
      <c r="F2982">
        <f>VLOOKUP(D2965,'Detail Balok'!$C$10:$AU$140,30,FALSE)</f>
        <v>16</v>
      </c>
      <c r="I2982" t="str">
        <v>(</v>
      </c>
      <c r="J2982">
        <f>+J2974</f>
        <v>1.475</v>
      </c>
      <c r="K2982" t="str">
        <v>+</v>
      </c>
      <c r="L2982">
        <f>MAX(VLOOKUP(F2982,N$6:P$15,3,FALSE)/1000,2/3*D2970/1000)+F$16*F2982/1000</f>
        <v>0.192</v>
      </c>
      <c r="M2982" t="str">
        <v>=</v>
      </c>
      <c r="N2982">
        <f>J2982+L2982</f>
        <v>1.667</v>
      </c>
      <c r="O2982" t="str">
        <v>+</v>
      </c>
      <c r="P2982">
        <f>D2982-D2981</f>
        <v>-1</v>
      </c>
      <c r="Q2982" t="str">
        <v>x</v>
      </c>
      <c r="R2982">
        <f>IF(P2982&gt;0,$F$18*F2982/1000,0)</f>
        <v>0</v>
      </c>
      <c r="S2982" t="str">
        <v>)</v>
      </c>
      <c r="T2982" t="str">
        <v>x</v>
      </c>
      <c r="U2982">
        <f>0.006165*F2982^2</f>
        <v>1.57824</v>
      </c>
      <c r="X2982" t="str">
        <v>x</v>
      </c>
      <c r="Y2982">
        <f>D2971</f>
        <v>1</v>
      </c>
      <c r="Z2982" t="str">
        <v>=</v>
      </c>
      <c r="AA2982">
        <f>IF(AA2983=0,(D2982*N2982+P2982*R2982)*U2982*Y2982,0)</f>
        <v>7.892778240000001</v>
      </c>
    </row>
    <row r="2983">
      <c r="A2983" t="str">
        <f>A2965</f>
        <v>Lantai 2</v>
      </c>
      <c r="B2983">
        <f>B2965</f>
        <v>12</v>
      </c>
      <c r="D2983">
        <f>IF(AND(D2980=D2981,D2981=D2982,D2980=D2982),D2980,0)</f>
        <v>0</v>
      </c>
      <c r="E2983" t="str">
        <v>D</v>
      </c>
      <c r="F2983">
        <f>IF(AND(F2980=F2981,F2980=F2982,F2981=F2982),F2980,0)</f>
        <v>16</v>
      </c>
      <c r="L2983" t="str">
        <v>Total panjang per balok</v>
      </c>
      <c r="M2983" t="str">
        <v>=</v>
      </c>
      <c r="N2983">
        <f>IF(AND(D2980=D2981,D2980=D2982,D2981=D2982,F2980=F2981,F2980=F2982,F2981=F2982),SUM(N2980:N2982),0)</f>
        <v>0</v>
      </c>
      <c r="O2983" t="str">
        <v>+</v>
      </c>
      <c r="P2983">
        <f>IF(N2983&gt;12,ROUNDDOWN(N2983/12,0),0)</f>
        <v>0</v>
      </c>
      <c r="Q2983" t="str">
        <v>x</v>
      </c>
      <c r="R2983">
        <f>IF(P2983&gt;0,MAX(VLOOKUP(F2983,$D$6:$G$15,3,FALSE),600),0)/1000</f>
        <v>0</v>
      </c>
      <c r="T2983" t="str">
        <v>x</v>
      </c>
      <c r="U2983">
        <f>U2982</f>
        <v>1.57824</v>
      </c>
      <c r="V2983" t="str">
        <v>x</v>
      </c>
      <c r="W2983">
        <f>D2983</f>
        <v>0</v>
      </c>
      <c r="X2983" t="str">
        <v>x</v>
      </c>
      <c r="Y2983">
        <f>Y2982</f>
        <v>1</v>
      </c>
      <c r="Z2983" t="str">
        <v>=</v>
      </c>
      <c r="AA2983">
        <f>(N2983+P2983*R2983/1000)*U2983*W2983*Y2983</f>
        <v>0</v>
      </c>
    </row>
    <row r="2985">
      <c r="A2985" t="str">
        <f>A2965</f>
        <v>Lantai 2</v>
      </c>
      <c r="B2985">
        <f>B2965</f>
        <v>12</v>
      </c>
      <c r="C2985" t="str">
        <v>Sengkang Tumpuan</v>
      </c>
      <c r="D2985">
        <f>VLOOKUP(D2965,'Detail Balok'!$C$10:$AU$140,31,FALSE)</f>
        <v>0</v>
      </c>
      <c r="E2985" t="str">
        <v>D</v>
      </c>
      <c r="F2985">
        <f>VLOOKUP(D2965,'Detail Balok'!$C$10:$AU$140,33,FALSE)</f>
        <v>10</v>
      </c>
      <c r="G2985" t="str">
        <v>-</v>
      </c>
      <c r="H2985">
        <f>VLOOKUP(D2965,'Detail Balok'!$C$10:$AU$140,35,FALSE)</f>
        <v>100</v>
      </c>
      <c r="J2985">
        <f>(IF(D2985=0,(2*(D2966+G2966))-(F$5*8),IF(D2985=3,(2*(D2966+G2966))-(F$5*8)+(G2966-2*F$5),IF(D2985=4,(2*(D2966+G2966))-(F$5*8)+2*(G2966-2*F$5)))))/1000</f>
        <v>1.28</v>
      </c>
      <c r="K2985" t="str">
        <v>+</v>
      </c>
      <c r="L2985">
        <f>IF(D2985=0,2*MAX(6*F2985,75),(D2985-1)*2*MAX(6*F2985,75))/1000</f>
        <v>0.15</v>
      </c>
      <c r="M2985" t="str">
        <v>=</v>
      </c>
      <c r="N2985">
        <f>J2985+L2985</f>
        <v>1.43</v>
      </c>
      <c r="T2985" t="str">
        <v>x</v>
      </c>
      <c r="U2985">
        <f>0.006165*F2985^2</f>
        <v>0.6165</v>
      </c>
      <c r="V2985" t="str">
        <v>x</v>
      </c>
      <c r="W2985">
        <f>IF(D2968&gt;4*G2966,ROUND(MAX(D2968/4,2*G2966)/H2985,0)+1,ROUND(D2968/H2985,0)+1)</f>
        <v>16</v>
      </c>
      <c r="X2985" t="str">
        <v>x</v>
      </c>
      <c r="Y2985">
        <f>D2971</f>
        <v>1</v>
      </c>
      <c r="Z2985" t="str">
        <v>=</v>
      </c>
      <c r="AA2985">
        <f>N2985*U2985*W2985*Y2985</f>
        <v>14.10552</v>
      </c>
    </row>
    <row r="2986">
      <c r="A2986" t="str">
        <f>A2965</f>
        <v>Lantai 2</v>
      </c>
      <c r="B2986">
        <f>B2965</f>
        <v>12</v>
      </c>
      <c r="C2986" t="str">
        <v>Sengkang Lapangan</v>
      </c>
      <c r="D2986">
        <f>VLOOKUP(D2965,'Detail Balok'!$C$10:$AU$140,36,FALSE)</f>
        <v>0</v>
      </c>
      <c r="E2986" t="str">
        <v>D</v>
      </c>
      <c r="F2986">
        <f>VLOOKUP(D2965,'Detail Balok'!$C$10:$AU$140,38,FALSE)</f>
        <v>10</v>
      </c>
      <c r="G2986" t="str">
        <v>-</v>
      </c>
      <c r="H2986">
        <f>VLOOKUP(D2965,'Detail Balok'!$C$10:$AU$140,40,FALSE)</f>
        <v>150</v>
      </c>
      <c r="J2986">
        <f>(IF(D2986=0,(2*(D2966+G2966))-(F$5*8),IF(D2986=3,(2*(D2966+G2966))-(F$5*8)+(G2966-2*F$5),IF(D2986=4,(2*(D2966+G2966))-(F$5*8)+2*(G2966-2*F$5)))))/1000</f>
        <v>1.28</v>
      </c>
      <c r="K2986" t="str">
        <v>+</v>
      </c>
      <c r="L2986">
        <f>IF(D2986=0,2*MAX(6*F2986,75),(D2986-1)*2*MAX(6*F2986,75))/1000</f>
        <v>0.15</v>
      </c>
      <c r="M2986" t="str">
        <v>=</v>
      </c>
      <c r="N2986">
        <f>J2986+L2986</f>
        <v>1.43</v>
      </c>
      <c r="T2986" t="str">
        <v>x</v>
      </c>
      <c r="U2986">
        <f>0.006165*F2986^2</f>
        <v>0.6165</v>
      </c>
      <c r="V2986" t="str">
        <v>x</v>
      </c>
      <c r="W2986">
        <f>IF(D2968-MAX(D2968/4,2*G2966)*2&gt;0,ROUND((D2968-MAX(D2968/4,2*G2966)*2)/H2986,0),0)</f>
        <v>20</v>
      </c>
      <c r="X2986" t="str">
        <v>x</v>
      </c>
      <c r="Y2986">
        <f>D2971</f>
        <v>1</v>
      </c>
      <c r="Z2986" t="str">
        <v>=</v>
      </c>
      <c r="AA2986">
        <f>N2986*U2986*W2986*Y2986</f>
        <v>17.6319</v>
      </c>
    </row>
    <row r="2987">
      <c r="A2987" t="str">
        <f>A2965</f>
        <v>Lantai 2</v>
      </c>
      <c r="B2987">
        <f>B2965</f>
        <v>12</v>
      </c>
      <c r="C2987" t="str">
        <v>Sengkang Tumpuan</v>
      </c>
      <c r="D2987">
        <f>VLOOKUP(D2965,'Detail Balok'!$C$10:$AU$140,41,FALSE)</f>
        <v>0</v>
      </c>
      <c r="E2987" t="str">
        <v>D</v>
      </c>
      <c r="F2987">
        <f>VLOOKUP(D2965,'Detail Balok'!$C$10:$AU$140,43,FALSE)</f>
        <v>10</v>
      </c>
      <c r="G2987" t="str">
        <v>-</v>
      </c>
      <c r="H2987">
        <f>VLOOKUP(D2965,'Detail Balok'!$C$10:$AU$140,45,FALSE)</f>
        <v>100</v>
      </c>
      <c r="J2987">
        <f>(IF(D2987=0,(2*(D2966+G2966))-(F$5*8),IF(D2987=3,(2*(D2966+G2966))-(F$5*8)+(G2966-2*F$5),IF(D2987=4,(2*(D2966+G2966))-(F$5*8)+2*(G2966-2*F$5)))))/1000</f>
        <v>1.28</v>
      </c>
      <c r="K2987" t="str">
        <v>+</v>
      </c>
      <c r="L2987">
        <f>IF(D2987=0,2*MAX(6*F2987,75),(D2987-1)*2*MAX(6*F2987,75))/1000</f>
        <v>0.15</v>
      </c>
      <c r="M2987" t="str">
        <v>=</v>
      </c>
      <c r="N2987">
        <f>J2987+L2987</f>
        <v>1.43</v>
      </c>
      <c r="T2987" t="str">
        <v>x</v>
      </c>
      <c r="U2987">
        <f>0.006165*F2987^2</f>
        <v>0.6165</v>
      </c>
      <c r="V2987" t="str">
        <v>x</v>
      </c>
      <c r="W2987">
        <f>IF(D2968&gt;4*G2966,ROUND(MAX(D2968/4,2*G2966)/H2987,0)+1,0)</f>
        <v>16</v>
      </c>
      <c r="X2987" t="str">
        <v>x</v>
      </c>
      <c r="Y2987">
        <f>D2971</f>
        <v>1</v>
      </c>
      <c r="Z2987" t="str">
        <v>=</v>
      </c>
      <c r="AA2987">
        <f>N2987*U2987*W2987*Y2987</f>
        <v>14.10552</v>
      </c>
    </row>
    <row r="2989">
      <c r="A2989" t="str">
        <f>A2965</f>
        <v>Lantai 2</v>
      </c>
      <c r="B2989">
        <f>B2965</f>
        <v>12</v>
      </c>
      <c r="C2989" t="str">
        <v>Kait Horizontal Tump.</v>
      </c>
      <c r="D2989">
        <f>VLOOKUP(D2965,'Detail Balok'!$C$10:$BJ$140,46,FALSE)</f>
        <v>0</v>
      </c>
      <c r="E2989" t="str">
        <v>D</v>
      </c>
      <c r="F2989">
        <f>VLOOKUP(D2965,'Detail Balok'!$C$10:$BJ$140,48,FALSE)</f>
        <v>0</v>
      </c>
      <c r="G2989" t="str">
        <v>-</v>
      </c>
      <c r="H2989">
        <f>VLOOKUP(D2965,'Detail Balok'!$C$10:$BJ$140,50,FALSE)</f>
        <v>100</v>
      </c>
      <c r="J2989">
        <f>(D2966-2*F$5)/1000</f>
        <v>0.12</v>
      </c>
      <c r="K2989" t="str">
        <v>+</v>
      </c>
      <c r="L2989">
        <f>IF(D2989=0,2*MAX(6*F2989,75),(D2989-1)*2*MAX(6*F2989,75))/1000</f>
        <v>0.15</v>
      </c>
      <c r="M2989" t="str">
        <v>=</v>
      </c>
      <c r="N2989">
        <f>J2989+L2989</f>
        <v>0.27</v>
      </c>
      <c r="T2989" t="str">
        <v>x</v>
      </c>
      <c r="U2989">
        <f>0.006165*F2989^2</f>
        <v>0</v>
      </c>
      <c r="V2989" t="str">
        <v>x</v>
      </c>
      <c r="W2989">
        <f>W2985</f>
        <v>16</v>
      </c>
      <c r="X2989" t="str">
        <v>x</v>
      </c>
      <c r="Y2989">
        <f>D2975</f>
        <v>0</v>
      </c>
      <c r="Z2989" t="str">
        <v>=</v>
      </c>
      <c r="AA2989">
        <f>N2989*U2989*W2989*Y2989</f>
        <v>0</v>
      </c>
    </row>
    <row r="2990">
      <c r="A2990" t="str">
        <f>A2965</f>
        <v>Lantai 2</v>
      </c>
      <c r="B2990">
        <f>B2965</f>
        <v>12</v>
      </c>
      <c r="C2990" t="str">
        <v>Kait Horizontal Lap.</v>
      </c>
      <c r="D2990">
        <f>VLOOKUP(D2965,'Detail Balok'!$C$10:$BJ$140,51,FALSE)</f>
        <v>0</v>
      </c>
      <c r="E2990" t="str">
        <v>D</v>
      </c>
      <c r="F2990">
        <f>VLOOKUP(D2965,'Detail Balok'!$C$10:$BJ$140,53,FALSE)</f>
        <v>0</v>
      </c>
      <c r="G2990" t="str">
        <v>-</v>
      </c>
      <c r="H2990">
        <f>VLOOKUP(D2965,'Detail Balok'!$C$10:$BJ$140,55,FALSE)</f>
        <v>100</v>
      </c>
      <c r="J2990">
        <f>(D2966-2*F$5)/1000</f>
        <v>0.12</v>
      </c>
      <c r="K2990" t="str">
        <v>+</v>
      </c>
      <c r="L2990">
        <f>IF(D2990=0,2*MAX(6*F2990,75),(D2990-1)*2*MAX(6*F2990,75))/1000</f>
        <v>0.15</v>
      </c>
      <c r="M2990" t="str">
        <v>=</v>
      </c>
      <c r="N2990">
        <f>J2990+L2990</f>
        <v>0.27</v>
      </c>
      <c r="T2990" t="str">
        <v>x</v>
      </c>
      <c r="U2990">
        <f>0.006165*F2990^2</f>
        <v>0</v>
      </c>
      <c r="V2990" t="str">
        <v>x</v>
      </c>
      <c r="W2990">
        <f>W2986</f>
        <v>20</v>
      </c>
      <c r="X2990" t="str">
        <v>x</v>
      </c>
      <c r="Y2990">
        <f>D2975</f>
        <v>0</v>
      </c>
      <c r="Z2990" t="str">
        <v>=</v>
      </c>
      <c r="AA2990">
        <f>N2990*U2990*W2990*Y2990</f>
        <v>0</v>
      </c>
    </row>
    <row r="2991">
      <c r="A2991" t="str">
        <f>A2965</f>
        <v>Lantai 2</v>
      </c>
      <c r="B2991">
        <f>B2965</f>
        <v>12</v>
      </c>
      <c r="C2991" t="str">
        <v>Kait Horizontal Tump.</v>
      </c>
      <c r="D2991">
        <f>VLOOKUP(D2965,'Detail Balok'!$C$10:$BJ$140,56,FALSE)</f>
        <v>0</v>
      </c>
      <c r="E2991" t="str">
        <v>D</v>
      </c>
      <c r="F2991">
        <f>VLOOKUP(D2965,'Detail Balok'!$C$10:$BJ$140,58,FALSE)</f>
        <v>0</v>
      </c>
      <c r="G2991" t="str">
        <v>-</v>
      </c>
      <c r="H2991">
        <f>VLOOKUP(D2965,'Detail Balok'!$C$10:$BJ$140,60,FALSE)</f>
        <v>100</v>
      </c>
      <c r="J2991">
        <f>(D2966-2*F$5)/1000</f>
        <v>0.12</v>
      </c>
      <c r="K2991" t="str">
        <v>+</v>
      </c>
      <c r="L2991">
        <f>IF(D2991=0,2*MAX(6*F2991,75),(D2991-1)*2*MAX(6*F2991,75))/1000</f>
        <v>0.15</v>
      </c>
      <c r="M2991" t="str">
        <v>=</v>
      </c>
      <c r="N2991">
        <f>J2991+L2991</f>
        <v>0.27</v>
      </c>
      <c r="T2991" t="str">
        <v>x</v>
      </c>
      <c r="U2991">
        <f>0.006165*F2991^2</f>
        <v>0</v>
      </c>
      <c r="V2991" t="str">
        <v>x</v>
      </c>
      <c r="W2991">
        <f>W2987</f>
        <v>16</v>
      </c>
      <c r="X2991" t="str">
        <v>x</v>
      </c>
      <c r="Y2991">
        <f>D2975</f>
        <v>0</v>
      </c>
      <c r="Z2991" t="str">
        <v>=</v>
      </c>
      <c r="AA2991">
        <f>N2991*U2991*W2991*Y2991</f>
        <v>0</v>
      </c>
    </row>
    <row r="2995">
      <c r="A2995" t="str">
        <f>A2965</f>
        <v>Lantai 2</v>
      </c>
      <c r="B2995">
        <f>B2965+1</f>
        <v>13</v>
      </c>
      <c r="C2995" t="str">
        <f>CONCATENATE(A2995," no. ",B2995)</f>
        <v>Lantai 2 no. 13</v>
      </c>
      <c r="D2995" t="str">
        <f>VLOOKUP(C2995,'Data Panjang Balok'!$C$9:$N$254,2,FALSE)</f>
        <v>B23-1</v>
      </c>
    </row>
    <row r="2996">
      <c r="C2996" t="str">
        <v>Dimensi</v>
      </c>
      <c r="D2996">
        <f>VLOOKUP(D2995,'Detail Balok'!$C$10:$AU$140,2,FALSE)</f>
        <v>200</v>
      </c>
      <c r="F2996" t="str">
        <v>x</v>
      </c>
      <c r="G2996">
        <f>VLOOKUP(D2995,'Detail Balok'!$C$10:$AU$140,3,FALSE)</f>
        <v>300</v>
      </c>
    </row>
    <row r="2997">
      <c r="C2997" t="str">
        <v>Panjang as ke as</v>
      </c>
      <c r="D2997">
        <f>VLOOKUP(C2995,'Data Panjang Balok'!$C$9:$N$254,4,FALSE)</f>
        <v>2040</v>
      </c>
    </row>
    <row r="2998">
      <c r="C2998" t="str">
        <v>Panjang netto</v>
      </c>
      <c r="D2998">
        <f>VLOOKUP(C2995,'Data Panjang Balok'!$C$9:$N$254,7,FALSE)</f>
        <v>2040</v>
      </c>
    </row>
    <row r="2999">
      <c r="C2999" t="str">
        <v>Kolom / balok kiri</v>
      </c>
      <c r="D2999">
        <f>VLOOKUP(C2995,'Data Panjang Balok'!$C$9:$N$254,9,FALSE)</f>
        <v>0</v>
      </c>
    </row>
    <row r="3000">
      <c r="C3000" t="str">
        <v>Kolom / balok kanan</v>
      </c>
      <c r="D3000">
        <f>VLOOKUP(C2995,'Data Panjang Balok'!$C$9:$N$254,10,FALSE)</f>
        <v>0</v>
      </c>
    </row>
    <row r="3001">
      <c r="C3001" t="str">
        <v>Jumlah</v>
      </c>
      <c r="D3001">
        <f>VLOOKUP(C2995,'Data Panjang Balok'!$C$9:$N$254,3,FALSE)</f>
        <v>1</v>
      </c>
    </row>
    <row r="3002">
      <c r="A3002" t="str">
        <f>A2995</f>
        <v>Lantai 2</v>
      </c>
      <c r="B3002">
        <f>B2995</f>
        <v>13</v>
      </c>
      <c r="C3002" t="str">
        <v>Tul Atas Tumpuan</v>
      </c>
      <c r="D3002">
        <f>VLOOKUP(D2995,'Detail Balok'!$C$10:$AU$140,4,FALSE)</f>
        <v>3</v>
      </c>
      <c r="E3002" t="str">
        <v>D</v>
      </c>
      <c r="F3002">
        <f>VLOOKUP(D2995,'Detail Balok'!$C$10:$AU$140,6,FALSE)</f>
        <v>13</v>
      </c>
      <c r="I3002" t="str">
        <v>(</v>
      </c>
      <c r="J3002">
        <f>+D2997/4/1000</f>
        <v>0.51</v>
      </c>
      <c r="K3002" t="str">
        <v>+</v>
      </c>
      <c r="L3002">
        <f>MAX(VLOOKUP(F3002,N$6:P$15,3,FALSE)/1000,2/3*D2999/1000)+F$16*F3002/1000</f>
        <v>0.156</v>
      </c>
      <c r="M3002" t="str">
        <v>=</v>
      </c>
      <c r="N3002">
        <f>J3002+L3002</f>
        <v>0.666</v>
      </c>
      <c r="O3002" t="str">
        <v>+</v>
      </c>
      <c r="P3002">
        <f>D3002-D3003</f>
        <v>0</v>
      </c>
      <c r="Q3002" t="str">
        <v>x</v>
      </c>
      <c r="R3002">
        <f>IF(P3002&gt;0,$F$18*F3002/1000,0)</f>
        <v>0</v>
      </c>
      <c r="S3002" t="str">
        <v>)</v>
      </c>
      <c r="T3002" t="str">
        <v>x</v>
      </c>
      <c r="U3002">
        <f>0.006165*F3002^2</f>
        <v>1.041885</v>
      </c>
      <c r="X3002" t="str">
        <v>x</v>
      </c>
      <c r="Y3002">
        <f>D3001</f>
        <v>1</v>
      </c>
      <c r="Z3002" t="str">
        <v>=</v>
      </c>
      <c r="AA3002">
        <f>IF(AA3005=0,(D3002*N3002+P3002*R3002)*U3002*Y3002,0)</f>
        <v>0</v>
      </c>
    </row>
    <row r="3003">
      <c r="A3003" t="str">
        <f>A2995</f>
        <v>Lantai 2</v>
      </c>
      <c r="B3003">
        <f>B2995</f>
        <v>13</v>
      </c>
      <c r="C3003" t="str">
        <v>Tul Atas Lapangan</v>
      </c>
      <c r="D3003">
        <f>VLOOKUP(D2995,'Detail Balok'!$C$10:$AU$140,7,FALSE)</f>
        <v>3</v>
      </c>
      <c r="E3003" t="str">
        <v>D</v>
      </c>
      <c r="F3003">
        <f>VLOOKUP(D2995,'Detail Balok'!$C$10:$AU$140,9,FALSE)</f>
        <v>13</v>
      </c>
      <c r="I3003" t="str">
        <v>(</v>
      </c>
      <c r="J3003">
        <f>+D2997/2/1000</f>
        <v>1.02</v>
      </c>
      <c r="K3003" t="str">
        <v>+</v>
      </c>
      <c r="M3003" t="str">
        <v>=</v>
      </c>
      <c r="N3003">
        <f>J3003+L3003</f>
        <v>1.02</v>
      </c>
      <c r="O3003" t="str">
        <v>+</v>
      </c>
      <c r="P3003">
        <f>MAX(D3003-D3002,D3003-D3004)</f>
        <v>0</v>
      </c>
      <c r="Q3003" t="str">
        <v>x</v>
      </c>
      <c r="R3003">
        <f>IF(P3003&gt;0,2*(1-2*$F$19-1/2)*D2998/1000,0)</f>
        <v>0</v>
      </c>
      <c r="S3003" t="str">
        <v>)</v>
      </c>
      <c r="T3003" t="str">
        <v>x</v>
      </c>
      <c r="U3003">
        <f>0.006165*F3003^2</f>
        <v>1.041885</v>
      </c>
      <c r="X3003" t="str">
        <v>x</v>
      </c>
      <c r="Y3003">
        <f>D3001</f>
        <v>1</v>
      </c>
      <c r="Z3003" t="str">
        <v>=</v>
      </c>
      <c r="AA3003">
        <f>IF(AA3005=0,(D3003*N3003+P3003*R3003)*U3003*Y3003,0)</f>
        <v>0</v>
      </c>
    </row>
    <row r="3004">
      <c r="A3004" t="str">
        <f>A2995</f>
        <v>Lantai 2</v>
      </c>
      <c r="B3004">
        <f>B2995</f>
        <v>13</v>
      </c>
      <c r="C3004" t="str">
        <v>Tul Atas Tumpuan</v>
      </c>
      <c r="D3004">
        <f>VLOOKUP(D2995,'Detail Balok'!$C$10:$AU$140,10,FALSE)</f>
        <v>3</v>
      </c>
      <c r="E3004" t="str">
        <v>D</v>
      </c>
      <c r="F3004">
        <f>VLOOKUP(D2995,'Detail Balok'!$C$10:$AU$140,12,FALSE)</f>
        <v>13</v>
      </c>
      <c r="I3004" t="str">
        <v>(</v>
      </c>
      <c r="J3004">
        <f>+D2997/4/1000</f>
        <v>0.51</v>
      </c>
      <c r="K3004" t="str">
        <v>+</v>
      </c>
      <c r="L3004">
        <f>MAX(VLOOKUP(F3004,N$6:P$15,3,FALSE)/1000,2/3*D2999/1000)+F$16*F3004/1000</f>
        <v>0.156</v>
      </c>
      <c r="M3004" t="str">
        <v>=</v>
      </c>
      <c r="N3004">
        <f>J3004+L3004</f>
        <v>0.666</v>
      </c>
      <c r="O3004" t="str">
        <v>+</v>
      </c>
      <c r="P3004">
        <f>D3004-D3003</f>
        <v>0</v>
      </c>
      <c r="Q3004" t="str">
        <v>x</v>
      </c>
      <c r="R3004">
        <f>IF(P3004&gt;0,$F$18*F3004/1000,0)</f>
        <v>0</v>
      </c>
      <c r="S3004" t="str">
        <v>)</v>
      </c>
      <c r="T3004" t="str">
        <v>x</v>
      </c>
      <c r="U3004">
        <f>0.006165*F3004^2</f>
        <v>1.041885</v>
      </c>
      <c r="X3004" t="str">
        <v>x</v>
      </c>
      <c r="Y3004">
        <f>D3001</f>
        <v>1</v>
      </c>
      <c r="Z3004" t="str">
        <v>=</v>
      </c>
      <c r="AA3004">
        <f>IF(AA3005=0,(D3004*N3004+P3004*R3004)*U3004*Y3004,0)</f>
        <v>0</v>
      </c>
    </row>
    <row r="3005">
      <c r="A3005" t="str">
        <f>A2995</f>
        <v>Lantai 2</v>
      </c>
      <c r="B3005">
        <f>B2995</f>
        <v>13</v>
      </c>
      <c r="D3005">
        <f>IF(AND(D3002=D3003,D3003=D3004,D3002=D3004),D3002,0)</f>
        <v>3</v>
      </c>
      <c r="E3005" t="str">
        <v>D</v>
      </c>
      <c r="F3005">
        <f>IF(AND(F3002=F3003,F3002=F3004,F3003=F3004),F3002,0)</f>
        <v>13</v>
      </c>
      <c r="L3005" t="str">
        <v>Total panjang per balok</v>
      </c>
      <c r="M3005" t="str">
        <v>=</v>
      </c>
      <c r="N3005">
        <f>IF(AND(D3002=D3003,D3002=D3004,D3003=D3004,F3002=F3003,F3002=F3004,F3003=F3004),SUM(N3002:N3004),0)</f>
        <v>2.352</v>
      </c>
      <c r="O3005" t="str">
        <v>+</v>
      </c>
      <c r="P3005">
        <f>IF(N3005&gt;12,ROUNDDOWN(N3005/12,0),0)</f>
        <v>0</v>
      </c>
      <c r="Q3005" t="str">
        <v>x</v>
      </c>
      <c r="R3005">
        <f>IF(P3005&gt;0,MAX(VLOOKUP(F3005,$D$6:$G$15,3,FALSE),600),0)/1000</f>
        <v>0</v>
      </c>
      <c r="T3005" t="str">
        <v>x</v>
      </c>
      <c r="U3005">
        <f>U3004</f>
        <v>1.041885</v>
      </c>
      <c r="V3005" t="str">
        <v>x</v>
      </c>
      <c r="W3005">
        <f>D3005</f>
        <v>3</v>
      </c>
      <c r="X3005" t="str">
        <v>x</v>
      </c>
      <c r="Y3005">
        <f>Y3004</f>
        <v>1</v>
      </c>
      <c r="Z3005" t="str">
        <v>=</v>
      </c>
      <c r="AA3005">
        <f>(N3005+P3005*R3005/1000)*U3005*W3005*Y3005</f>
        <v>7.35154056</v>
      </c>
    </row>
    <row r="3007">
      <c r="A3007" t="str">
        <f>A2995</f>
        <v>Lantai 2</v>
      </c>
      <c r="B3007">
        <f>B2995</f>
        <v>13</v>
      </c>
      <c r="C3007" t="str">
        <v>Tul Peminggang</v>
      </c>
      <c r="D3007">
        <f>VLOOKUP(D2995,'Detail Balok'!$C$10:$AU$140,13,FALSE)</f>
        <v>0</v>
      </c>
      <c r="E3007" t="str">
        <v>D</v>
      </c>
      <c r="F3007">
        <f>VLOOKUP(D2995,'Detail Balok'!$C$10:$AU$140,15,FALSE)</f>
        <v>8</v>
      </c>
      <c r="J3007">
        <f>+D2997/1000</f>
        <v>2.04</v>
      </c>
      <c r="K3007" t="str">
        <v>+</v>
      </c>
      <c r="L3007">
        <f>2*$F$16*F3007/1000</f>
        <v>0.192</v>
      </c>
      <c r="M3007" t="str">
        <v>=</v>
      </c>
      <c r="N3007">
        <f>J3007+L3007</f>
        <v>2.232</v>
      </c>
      <c r="O3007" t="str">
        <v>+</v>
      </c>
      <c r="P3007">
        <f>IF(N3007&gt;12,ROUNDDOWN(N3007/12,0),0)</f>
        <v>0</v>
      </c>
      <c r="Q3007" t="str">
        <v>x</v>
      </c>
      <c r="R3007">
        <f>IF(P3007&gt;0,MAX(VLOOKUP(F3007,$D$6:$G$15,3,FALSE),600),0)/1000</f>
        <v>0</v>
      </c>
      <c r="T3007" t="str">
        <v>x</v>
      </c>
      <c r="U3007">
        <f>0.006165*F3007^2</f>
        <v>0.39456</v>
      </c>
      <c r="V3007" t="str">
        <v>x</v>
      </c>
      <c r="W3007">
        <f>+D3007</f>
        <v>0</v>
      </c>
      <c r="X3007" t="str">
        <v>x</v>
      </c>
      <c r="Y3007">
        <f>D3001</f>
        <v>1</v>
      </c>
      <c r="Z3007" t="str">
        <v>=</v>
      </c>
      <c r="AA3007">
        <f>(N3007+P3007*R3007/1000)*U3007*W3007*Y3007</f>
        <v>0</v>
      </c>
    </row>
    <row r="3010">
      <c r="A3010" t="str">
        <f>A2995</f>
        <v>Lantai 2</v>
      </c>
      <c r="B3010">
        <f>B2995</f>
        <v>13</v>
      </c>
      <c r="C3010" t="str">
        <v>Tul Bawah Tumpuan</v>
      </c>
      <c r="D3010">
        <f>VLOOKUP(D2995,'Detail Balok'!$C$10:$AU$140,22,FALSE)</f>
        <v>3</v>
      </c>
      <c r="E3010" t="str">
        <v>D</v>
      </c>
      <c r="F3010">
        <f>VLOOKUP(D2995,'Detail Balok'!$C$10:$AU$140,24,FALSE)</f>
        <v>13</v>
      </c>
      <c r="I3010" t="str">
        <v>(</v>
      </c>
      <c r="J3010">
        <f>+J3002</f>
        <v>0.51</v>
      </c>
      <c r="K3010" t="str">
        <v>+</v>
      </c>
      <c r="L3010">
        <f>MAX(VLOOKUP(F3010,N$6:P$15,3,FALSE)/1000,2/3*D3000/1000)+F$16*F3010/1000</f>
        <v>0.156</v>
      </c>
      <c r="M3010" t="str">
        <v>=</v>
      </c>
      <c r="N3010">
        <f>J3010+L3010</f>
        <v>0.666</v>
      </c>
      <c r="O3010" t="str">
        <v>+</v>
      </c>
      <c r="P3010">
        <f>D3010-D3011</f>
        <v>0</v>
      </c>
      <c r="Q3010" t="str">
        <v>x</v>
      </c>
      <c r="R3010">
        <f>IF(P3010&gt;0,$F$18*F3010/1000,0)</f>
        <v>0</v>
      </c>
      <c r="S3010" t="str">
        <v>)</v>
      </c>
      <c r="T3010" t="str">
        <v>x</v>
      </c>
      <c r="U3010">
        <f>0.006165*F3010^2</f>
        <v>1.041885</v>
      </c>
      <c r="X3010" t="str">
        <v>x</v>
      </c>
      <c r="Y3010">
        <f>D3001</f>
        <v>1</v>
      </c>
      <c r="Z3010" t="str">
        <v>=</v>
      </c>
      <c r="AA3010">
        <f>IF(AA3013=0,(D3010*N3010+P3010*R3010)*U3010*Y3010,0)</f>
        <v>0</v>
      </c>
    </row>
    <row r="3011">
      <c r="A3011" t="str">
        <f>A2995</f>
        <v>Lantai 2</v>
      </c>
      <c r="B3011">
        <f>B2995</f>
        <v>13</v>
      </c>
      <c r="C3011" t="str">
        <v>Tul Bawah Lapangan</v>
      </c>
      <c r="D3011">
        <f>VLOOKUP(D2995,'Detail Balok'!$C$10:$AU$140,25,FALSE)</f>
        <v>3</v>
      </c>
      <c r="E3011" t="str">
        <v>D</v>
      </c>
      <c r="F3011">
        <f>VLOOKUP(D2995,'Detail Balok'!$C$10:$AU$140,27,FALSE)</f>
        <v>13</v>
      </c>
      <c r="I3011" t="str">
        <v>(</v>
      </c>
      <c r="J3011">
        <f>+J3003</f>
        <v>1.02</v>
      </c>
      <c r="K3011" t="str">
        <v>+</v>
      </c>
      <c r="M3011" t="str">
        <v>=</v>
      </c>
      <c r="N3011">
        <f>J3011+L3011</f>
        <v>1.02</v>
      </c>
      <c r="O3011" t="str">
        <v>+</v>
      </c>
      <c r="P3011">
        <f>MAX(D3011-D3010,D3011-D3012)</f>
        <v>0</v>
      </c>
      <c r="Q3011" t="str">
        <v>x</v>
      </c>
      <c r="R3011">
        <f>IF(P3011&gt;0,2*(1-2*$F$19-1/2)*D2998/1000,0)</f>
        <v>0</v>
      </c>
      <c r="S3011" t="str">
        <v>)</v>
      </c>
      <c r="T3011" t="str">
        <v>x</v>
      </c>
      <c r="U3011">
        <f>0.006165*F3011^2</f>
        <v>1.041885</v>
      </c>
      <c r="X3011" t="str">
        <v>x</v>
      </c>
      <c r="Y3011">
        <f>D3001</f>
        <v>1</v>
      </c>
      <c r="Z3011" t="str">
        <v>=</v>
      </c>
      <c r="AA3011">
        <f>IF(AA3013=0,(D3011*N3011+P3011*R3011)*U3011*Y3011,0)</f>
        <v>0</v>
      </c>
    </row>
    <row r="3012">
      <c r="A3012" t="str">
        <f>A2995</f>
        <v>Lantai 2</v>
      </c>
      <c r="B3012">
        <f>B2995</f>
        <v>13</v>
      </c>
      <c r="C3012" t="str">
        <v>Tul Bawah Tumpuan</v>
      </c>
      <c r="D3012">
        <f>VLOOKUP(D2995,'Detail Balok'!$C$10:$AU$140,28,FALSE)</f>
        <v>3</v>
      </c>
      <c r="E3012" t="str">
        <v>D</v>
      </c>
      <c r="F3012">
        <f>VLOOKUP(D2995,'Detail Balok'!$C$10:$AU$140,30,FALSE)</f>
        <v>13</v>
      </c>
      <c r="I3012" t="str">
        <v>(</v>
      </c>
      <c r="J3012">
        <f>+J3004</f>
        <v>0.51</v>
      </c>
      <c r="K3012" t="str">
        <v>+</v>
      </c>
      <c r="L3012">
        <f>MAX(VLOOKUP(F3012,N$6:P$15,3,FALSE)/1000,2/3*D3000/1000)+F$16*F3012/1000</f>
        <v>0.156</v>
      </c>
      <c r="M3012" t="str">
        <v>=</v>
      </c>
      <c r="N3012">
        <f>J3012+L3012</f>
        <v>0.666</v>
      </c>
      <c r="O3012" t="str">
        <v>+</v>
      </c>
      <c r="P3012">
        <f>D3012-D3011</f>
        <v>0</v>
      </c>
      <c r="Q3012" t="str">
        <v>x</v>
      </c>
      <c r="R3012">
        <f>IF(P3012&gt;0,$F$18*F3012/1000,0)</f>
        <v>0</v>
      </c>
      <c r="S3012" t="str">
        <v>)</v>
      </c>
      <c r="T3012" t="str">
        <v>x</v>
      </c>
      <c r="U3012">
        <f>0.006165*F3012^2</f>
        <v>1.041885</v>
      </c>
      <c r="X3012" t="str">
        <v>x</v>
      </c>
      <c r="Y3012">
        <f>D3001</f>
        <v>1</v>
      </c>
      <c r="Z3012" t="str">
        <v>=</v>
      </c>
      <c r="AA3012">
        <f>IF(AA3013=0,(D3012*N3012+P3012*R3012)*U3012*Y3012,0)</f>
        <v>0</v>
      </c>
    </row>
    <row r="3013">
      <c r="A3013" t="str">
        <f>A2995</f>
        <v>Lantai 2</v>
      </c>
      <c r="B3013">
        <f>B2995</f>
        <v>13</v>
      </c>
      <c r="D3013">
        <f>IF(AND(D3010=D3011,D3011=D3012,D3010=D3012),D3010,0)</f>
        <v>3</v>
      </c>
      <c r="E3013" t="str">
        <v>D</v>
      </c>
      <c r="F3013">
        <f>IF(AND(F3010=F3011,F3010=F3012,F3011=F3012),F3010,0)</f>
        <v>13</v>
      </c>
      <c r="L3013" t="str">
        <v>Total panjang per balok</v>
      </c>
      <c r="M3013" t="str">
        <v>=</v>
      </c>
      <c r="N3013">
        <f>IF(AND(D3010=D3011,D3010=D3012,D3011=D3012,F3010=F3011,F3010=F3012,F3011=F3012),SUM(N3010:N3012),0)</f>
        <v>2.352</v>
      </c>
      <c r="O3013" t="str">
        <v>+</v>
      </c>
      <c r="P3013">
        <f>IF(N3013&gt;12,ROUNDDOWN(N3013/12,0),0)</f>
        <v>0</v>
      </c>
      <c r="Q3013" t="str">
        <v>x</v>
      </c>
      <c r="R3013">
        <f>IF(P3013&gt;0,MAX(VLOOKUP(F3013,$D$6:$G$15,3,FALSE),600),0)/1000</f>
        <v>0</v>
      </c>
      <c r="T3013" t="str">
        <v>x</v>
      </c>
      <c r="U3013">
        <f>U3012</f>
        <v>1.041885</v>
      </c>
      <c r="V3013" t="str">
        <v>x</v>
      </c>
      <c r="W3013">
        <f>D3013</f>
        <v>3</v>
      </c>
      <c r="X3013" t="str">
        <v>x</v>
      </c>
      <c r="Y3013">
        <f>Y3012</f>
        <v>1</v>
      </c>
      <c r="Z3013" t="str">
        <v>=</v>
      </c>
      <c r="AA3013">
        <f>(N3013+P3013*R3013/1000)*U3013*W3013*Y3013</f>
        <v>7.35154056</v>
      </c>
    </row>
    <row r="3015">
      <c r="A3015" t="str">
        <f>A2995</f>
        <v>Lantai 2</v>
      </c>
      <c r="B3015">
        <f>B2995</f>
        <v>13</v>
      </c>
      <c r="C3015" t="str">
        <v>Sengkang Tumpuan</v>
      </c>
      <c r="D3015">
        <f>VLOOKUP(D2995,'Detail Balok'!$C$10:$AU$140,31,FALSE)</f>
        <v>0</v>
      </c>
      <c r="E3015" t="str">
        <v>D</v>
      </c>
      <c r="F3015">
        <f>VLOOKUP(D2995,'Detail Balok'!$C$10:$AU$140,33,FALSE)</f>
        <v>10</v>
      </c>
      <c r="G3015" t="str">
        <v>-</v>
      </c>
      <c r="H3015">
        <f>VLOOKUP(D2995,'Detail Balok'!$C$10:$AU$140,35,FALSE)</f>
        <v>100</v>
      </c>
      <c r="J3015">
        <f>(IF(D3015=0,(2*(D2996+G2996))-(F$5*8),IF(D3015=3,(2*(D2996+G2996))-(F$5*8)+(G2996-2*F$5),IF(D3015=4,(2*(D2996+G2996))-(F$5*8)+2*(G2996-2*F$5)))))/1000</f>
        <v>0.68</v>
      </c>
      <c r="K3015" t="str">
        <v>+</v>
      </c>
      <c r="L3015">
        <f>IF(D3015=0,2*MAX(6*F3015,75),(D3015-1)*2*MAX(6*F3015,75))/1000</f>
        <v>0.15</v>
      </c>
      <c r="M3015" t="str">
        <v>=</v>
      </c>
      <c r="N3015">
        <f>J3015+L3015</f>
        <v>0.8300000000000001</v>
      </c>
      <c r="T3015" t="str">
        <v>x</v>
      </c>
      <c r="U3015">
        <f>0.006165*F3015^2</f>
        <v>0.6165</v>
      </c>
      <c r="V3015" t="str">
        <v>x</v>
      </c>
      <c r="W3015">
        <f>IF(D2998&gt;4*G2996,ROUND(MAX(D2998/4,2*G2996)/H3015,0)+1,ROUND(D2998/H3015,0)+1)</f>
        <v>7</v>
      </c>
      <c r="X3015" t="str">
        <v>x</v>
      </c>
      <c r="Y3015">
        <f>D3001</f>
        <v>1</v>
      </c>
      <c r="Z3015" t="str">
        <v>=</v>
      </c>
      <c r="AA3015">
        <f>N3015*U3015*W3015*Y3015</f>
        <v>3.581865000000001</v>
      </c>
    </row>
    <row r="3016">
      <c r="A3016" t="str">
        <f>A2995</f>
        <v>Lantai 2</v>
      </c>
      <c r="B3016">
        <f>B2995</f>
        <v>13</v>
      </c>
      <c r="C3016" t="str">
        <v>Sengkang Lapangan</v>
      </c>
      <c r="D3016">
        <f>VLOOKUP(D2995,'Detail Balok'!$C$10:$AU$140,36,FALSE)</f>
        <v>0</v>
      </c>
      <c r="E3016" t="str">
        <v>D</v>
      </c>
      <c r="F3016">
        <f>VLOOKUP(D2995,'Detail Balok'!$C$10:$AU$140,38,FALSE)</f>
        <v>10</v>
      </c>
      <c r="G3016" t="str">
        <v>-</v>
      </c>
      <c r="H3016">
        <f>VLOOKUP(D2995,'Detail Balok'!$C$10:$AU$140,40,FALSE)</f>
        <v>200</v>
      </c>
      <c r="J3016">
        <f>(IF(D3016=0,(2*(D2996+G2996))-(F$5*8),IF(D3016=3,(2*(D2996+G2996))-(F$5*8)+(G2996-2*F$5),IF(D3016=4,(2*(D2996+G2996))-(F$5*8)+2*(G2996-2*F$5)))))/1000</f>
        <v>0.68</v>
      </c>
      <c r="K3016" t="str">
        <v>+</v>
      </c>
      <c r="L3016">
        <f>IF(D3016=0,2*MAX(6*F3016,75),(D3016-1)*2*MAX(6*F3016,75))/1000</f>
        <v>0.15</v>
      </c>
      <c r="M3016" t="str">
        <v>=</v>
      </c>
      <c r="N3016">
        <f>J3016+L3016</f>
        <v>0.8300000000000001</v>
      </c>
      <c r="T3016" t="str">
        <v>x</v>
      </c>
      <c r="U3016">
        <f>0.006165*F3016^2</f>
        <v>0.6165</v>
      </c>
      <c r="V3016" t="str">
        <v>x</v>
      </c>
      <c r="W3016">
        <f>IF(D2998-MAX(D2998/4,2*G2996)*2&gt;0,ROUND((D2998-MAX(D2998/4,2*G2996)*2)/H3016,0),0)</f>
        <v>4</v>
      </c>
      <c r="X3016" t="str">
        <v>x</v>
      </c>
      <c r="Y3016">
        <f>D3001</f>
        <v>1</v>
      </c>
      <c r="Z3016" t="str">
        <v>=</v>
      </c>
      <c r="AA3016">
        <f>N3016*U3016*W3016*Y3016</f>
        <v>2.0467800000000005</v>
      </c>
    </row>
    <row r="3017">
      <c r="A3017" t="str">
        <f>A2995</f>
        <v>Lantai 2</v>
      </c>
      <c r="B3017">
        <f>B2995</f>
        <v>13</v>
      </c>
      <c r="C3017" t="str">
        <v>Sengkang Tumpuan</v>
      </c>
      <c r="D3017">
        <f>VLOOKUP(D2995,'Detail Balok'!$C$10:$AU$140,41,FALSE)</f>
        <v>0</v>
      </c>
      <c r="E3017" t="str">
        <v>D</v>
      </c>
      <c r="F3017">
        <f>VLOOKUP(D2995,'Detail Balok'!$C$10:$AU$140,43,FALSE)</f>
        <v>10</v>
      </c>
      <c r="G3017" t="str">
        <v>-</v>
      </c>
      <c r="H3017">
        <f>VLOOKUP(D2995,'Detail Balok'!$C$10:$AU$140,45,FALSE)</f>
        <v>100</v>
      </c>
      <c r="J3017">
        <f>(IF(D3017=0,(2*(D2996+G2996))-(F$5*8),IF(D3017=3,(2*(D2996+G2996))-(F$5*8)+(G2996-2*F$5),IF(D3017=4,(2*(D2996+G2996))-(F$5*8)+2*(G2996-2*F$5)))))/1000</f>
        <v>0.68</v>
      </c>
      <c r="K3017" t="str">
        <v>+</v>
      </c>
      <c r="L3017">
        <f>IF(D3017=0,2*MAX(6*F3017,75),(D3017-1)*2*MAX(6*F3017,75))/1000</f>
        <v>0.15</v>
      </c>
      <c r="M3017" t="str">
        <v>=</v>
      </c>
      <c r="N3017">
        <f>J3017+L3017</f>
        <v>0.8300000000000001</v>
      </c>
      <c r="T3017" t="str">
        <v>x</v>
      </c>
      <c r="U3017">
        <f>0.006165*F3017^2</f>
        <v>0.6165</v>
      </c>
      <c r="V3017" t="str">
        <v>x</v>
      </c>
      <c r="W3017">
        <f>IF(D2998&gt;4*G2996,ROUND(MAX(D2998/4,2*G2996)/H3017,0)+1,0)</f>
        <v>7</v>
      </c>
      <c r="X3017" t="str">
        <v>x</v>
      </c>
      <c r="Y3017">
        <f>D3001</f>
        <v>1</v>
      </c>
      <c r="Z3017" t="str">
        <v>=</v>
      </c>
      <c r="AA3017">
        <f>N3017*U3017*W3017*Y3017</f>
        <v>3.581865000000001</v>
      </c>
    </row>
    <row r="3019">
      <c r="A3019" t="str">
        <f>A2995</f>
        <v>Lantai 2</v>
      </c>
      <c r="B3019">
        <f>B2995</f>
        <v>13</v>
      </c>
      <c r="C3019" t="str">
        <v>Kait Horizontal Tump.</v>
      </c>
      <c r="D3019">
        <f>VLOOKUP(D2995,'Detail Balok'!$C$10:$BJ$140,46,FALSE)</f>
        <v>0</v>
      </c>
      <c r="E3019" t="str">
        <v>D</v>
      </c>
      <c r="F3019">
        <f>VLOOKUP(D2995,'Detail Balok'!$C$10:$BJ$140,48,FALSE)</f>
        <v>0</v>
      </c>
      <c r="G3019" t="str">
        <v>-</v>
      </c>
      <c r="H3019">
        <f>VLOOKUP(D2995,'Detail Balok'!$C$10:$BJ$140,50,FALSE)</f>
        <v>100</v>
      </c>
      <c r="J3019">
        <f>(D2996-2*F$5)/1000</f>
        <v>0.12</v>
      </c>
      <c r="K3019" t="str">
        <v>+</v>
      </c>
      <c r="L3019">
        <f>IF(D3019=0,2*MAX(6*F3019,75),(D3019-1)*2*MAX(6*F3019,75))/1000</f>
        <v>0.15</v>
      </c>
      <c r="M3019" t="str">
        <v>=</v>
      </c>
      <c r="N3019">
        <f>J3019+L3019</f>
        <v>0.27</v>
      </c>
      <c r="T3019" t="str">
        <v>x</v>
      </c>
      <c r="U3019">
        <f>0.006165*F3019^2</f>
        <v>0</v>
      </c>
      <c r="V3019" t="str">
        <v>x</v>
      </c>
      <c r="W3019">
        <f>W3015</f>
        <v>7</v>
      </c>
      <c r="X3019" t="str">
        <v>x</v>
      </c>
      <c r="Y3019">
        <f>D3005</f>
        <v>3</v>
      </c>
      <c r="Z3019" t="str">
        <v>=</v>
      </c>
      <c r="AA3019">
        <f>N3019*U3019*W3019*Y3019</f>
        <v>0</v>
      </c>
    </row>
    <row r="3020">
      <c r="A3020" t="str">
        <f>A2995</f>
        <v>Lantai 2</v>
      </c>
      <c r="B3020">
        <f>B2995</f>
        <v>13</v>
      </c>
      <c r="C3020" t="str">
        <v>Kait Horizontal Lap.</v>
      </c>
      <c r="D3020">
        <f>VLOOKUP(D2995,'Detail Balok'!$C$10:$BJ$140,51,FALSE)</f>
        <v>0</v>
      </c>
      <c r="E3020" t="str">
        <v>D</v>
      </c>
      <c r="F3020">
        <f>VLOOKUP(D2995,'Detail Balok'!$C$10:$BJ$140,53,FALSE)</f>
        <v>0</v>
      </c>
      <c r="G3020" t="str">
        <v>-</v>
      </c>
      <c r="H3020">
        <f>VLOOKUP(D2995,'Detail Balok'!$C$10:$BJ$140,55,FALSE)</f>
        <v>100</v>
      </c>
      <c r="J3020">
        <f>(D2996-2*F$5)/1000</f>
        <v>0.12</v>
      </c>
      <c r="K3020" t="str">
        <v>+</v>
      </c>
      <c r="L3020">
        <f>IF(D3020=0,2*MAX(6*F3020,75),(D3020-1)*2*MAX(6*F3020,75))/1000</f>
        <v>0.15</v>
      </c>
      <c r="M3020" t="str">
        <v>=</v>
      </c>
      <c r="N3020">
        <f>J3020+L3020</f>
        <v>0.27</v>
      </c>
      <c r="T3020" t="str">
        <v>x</v>
      </c>
      <c r="U3020">
        <f>0.006165*F3020^2</f>
        <v>0</v>
      </c>
      <c r="V3020" t="str">
        <v>x</v>
      </c>
      <c r="W3020">
        <f>W3016</f>
        <v>4</v>
      </c>
      <c r="X3020" t="str">
        <v>x</v>
      </c>
      <c r="Y3020">
        <f>D3005</f>
        <v>3</v>
      </c>
      <c r="Z3020" t="str">
        <v>=</v>
      </c>
      <c r="AA3020">
        <f>N3020*U3020*W3020*Y3020</f>
        <v>0</v>
      </c>
    </row>
    <row r="3021">
      <c r="A3021" t="str">
        <f>A2995</f>
        <v>Lantai 2</v>
      </c>
      <c r="B3021">
        <f>B2995</f>
        <v>13</v>
      </c>
      <c r="C3021" t="str">
        <v>Kait Horizontal Tump.</v>
      </c>
      <c r="D3021">
        <f>VLOOKUP(D2995,'Detail Balok'!$C$10:$BJ$140,56,FALSE)</f>
        <v>0</v>
      </c>
      <c r="E3021" t="str">
        <v>D</v>
      </c>
      <c r="F3021">
        <f>VLOOKUP(D2995,'Detail Balok'!$C$10:$BJ$140,58,FALSE)</f>
        <v>0</v>
      </c>
      <c r="G3021" t="str">
        <v>-</v>
      </c>
      <c r="H3021">
        <f>VLOOKUP(D2995,'Detail Balok'!$C$10:$BJ$140,60,FALSE)</f>
        <v>100</v>
      </c>
      <c r="J3021">
        <f>(D2996-2*F$5)/1000</f>
        <v>0.12</v>
      </c>
      <c r="K3021" t="str">
        <v>+</v>
      </c>
      <c r="L3021">
        <f>IF(D3021=0,2*MAX(6*F3021,75),(D3021-1)*2*MAX(6*F3021,75))/1000</f>
        <v>0.15</v>
      </c>
      <c r="M3021" t="str">
        <v>=</v>
      </c>
      <c r="N3021">
        <f>J3021+L3021</f>
        <v>0.27</v>
      </c>
      <c r="T3021" t="str">
        <v>x</v>
      </c>
      <c r="U3021">
        <f>0.006165*F3021^2</f>
        <v>0</v>
      </c>
      <c r="V3021" t="str">
        <v>x</v>
      </c>
      <c r="W3021">
        <f>W3017</f>
        <v>7</v>
      </c>
      <c r="X3021" t="str">
        <v>x</v>
      </c>
      <c r="Y3021">
        <f>D3005</f>
        <v>3</v>
      </c>
      <c r="Z3021" t="str">
        <v>=</v>
      </c>
      <c r="AA3021">
        <f>N3021*U3021*W3021*Y3021</f>
        <v>0</v>
      </c>
    </row>
    <row r="3025">
      <c r="A3025" t="str">
        <f>A2995</f>
        <v>Lantai 2</v>
      </c>
      <c r="B3025">
        <f>B2995+1</f>
        <v>14</v>
      </c>
      <c r="C3025" t="str">
        <f>CONCATENATE(A3025," no. ",B3025)</f>
        <v>Lantai 2 no. 14</v>
      </c>
      <c r="D3025" t="str">
        <f>VLOOKUP(C3025,'Data Panjang Balok'!$C$9:$N$254,2,FALSE)</f>
        <v>B25-1</v>
      </c>
    </row>
    <row r="3026">
      <c r="C3026" t="str">
        <v>Dimensi</v>
      </c>
      <c r="D3026">
        <f>VLOOKUP(D3025,'Detail Balok'!$C$10:$AU$140,2,FALSE)</f>
        <v>200</v>
      </c>
      <c r="F3026" t="str">
        <v>x</v>
      </c>
      <c r="G3026">
        <f>VLOOKUP(D3025,'Detail Balok'!$C$10:$AU$140,3,FALSE)</f>
        <v>500</v>
      </c>
    </row>
    <row r="3027">
      <c r="C3027" t="str">
        <v>Panjang as ke as</v>
      </c>
      <c r="D3027">
        <f>VLOOKUP(C3025,'Data Panjang Balok'!$C$9:$N$254,4,FALSE)</f>
        <v>4000</v>
      </c>
    </row>
    <row r="3028">
      <c r="C3028" t="str">
        <v>Panjang netto</v>
      </c>
      <c r="D3028">
        <f>VLOOKUP(C3025,'Data Panjang Balok'!$C$9:$N$254,7,FALSE)</f>
        <v>4000</v>
      </c>
    </row>
    <row r="3029">
      <c r="C3029" t="str">
        <v>Kolom / balok kiri</v>
      </c>
      <c r="D3029">
        <f>VLOOKUP(C3025,'Data Panjang Balok'!$C$9:$N$254,9,FALSE)</f>
        <v>0</v>
      </c>
    </row>
    <row r="3030">
      <c r="C3030" t="str">
        <v>Kolom / balok kanan</v>
      </c>
      <c r="D3030">
        <f>VLOOKUP(C3025,'Data Panjang Balok'!$C$9:$N$254,10,FALSE)</f>
        <v>0</v>
      </c>
    </row>
    <row r="3031">
      <c r="C3031" t="str">
        <v>Jumlah</v>
      </c>
      <c r="D3031">
        <f>VLOOKUP(C3025,'Data Panjang Balok'!$C$9:$N$254,3,FALSE)</f>
        <v>1</v>
      </c>
    </row>
    <row r="3032">
      <c r="A3032" t="str">
        <f>A3025</f>
        <v>Lantai 2</v>
      </c>
      <c r="B3032">
        <f>B3025</f>
        <v>14</v>
      </c>
      <c r="C3032" t="str">
        <v>Tul Atas Tumpuan</v>
      </c>
      <c r="D3032">
        <f>VLOOKUP(D3025,'Detail Balok'!$C$10:$AU$140,4,FALSE)</f>
        <v>4</v>
      </c>
      <c r="E3032" t="str">
        <v>D</v>
      </c>
      <c r="F3032">
        <f>VLOOKUP(D3025,'Detail Balok'!$C$10:$AU$140,6,FALSE)</f>
        <v>16</v>
      </c>
      <c r="I3032" t="str">
        <v>(</v>
      </c>
      <c r="J3032">
        <f>+D3027/4/1000</f>
        <v>1</v>
      </c>
      <c r="K3032" t="str">
        <v>+</v>
      </c>
      <c r="L3032">
        <f>MAX(VLOOKUP(F3032,N$6:P$15,3,FALSE)/1000,2/3*D3029/1000)+F$16*F3032/1000</f>
        <v>0.192</v>
      </c>
      <c r="M3032" t="str">
        <v>=</v>
      </c>
      <c r="N3032">
        <f>J3032+L3032</f>
        <v>1.192</v>
      </c>
      <c r="O3032" t="str">
        <v>+</v>
      </c>
      <c r="P3032">
        <f>D3032-D3033</f>
        <v>0</v>
      </c>
      <c r="Q3032" t="str">
        <v>x</v>
      </c>
      <c r="R3032">
        <f>IF(P3032&gt;0,$F$18*F3032/1000,0)</f>
        <v>0</v>
      </c>
      <c r="S3032" t="str">
        <v>)</v>
      </c>
      <c r="T3032" t="str">
        <v>x</v>
      </c>
      <c r="U3032">
        <f>0.006165*F3032^2</f>
        <v>1.57824</v>
      </c>
      <c r="X3032" t="str">
        <v>x</v>
      </c>
      <c r="Y3032">
        <f>D3031</f>
        <v>1</v>
      </c>
      <c r="Z3032" t="str">
        <v>=</v>
      </c>
      <c r="AA3032">
        <f>IF(AA3035=0,(D3032*N3032+P3032*R3032)*U3032*Y3032,0)</f>
        <v>0</v>
      </c>
    </row>
    <row r="3033">
      <c r="A3033" t="str">
        <f>A3025</f>
        <v>Lantai 2</v>
      </c>
      <c r="B3033">
        <f>B3025</f>
        <v>14</v>
      </c>
      <c r="C3033" t="str">
        <v>Tul Atas Lapangan</v>
      </c>
      <c r="D3033">
        <f>VLOOKUP(D3025,'Detail Balok'!$C$10:$AU$140,7,FALSE)</f>
        <v>4</v>
      </c>
      <c r="E3033" t="str">
        <v>D</v>
      </c>
      <c r="F3033">
        <f>VLOOKUP(D3025,'Detail Balok'!$C$10:$AU$140,9,FALSE)</f>
        <v>16</v>
      </c>
      <c r="I3033" t="str">
        <v>(</v>
      </c>
      <c r="J3033">
        <f>+D3027/2/1000</f>
        <v>2</v>
      </c>
      <c r="K3033" t="str">
        <v>+</v>
      </c>
      <c r="M3033" t="str">
        <v>=</v>
      </c>
      <c r="N3033">
        <f>J3033+L3033</f>
        <v>2</v>
      </c>
      <c r="O3033" t="str">
        <v>+</v>
      </c>
      <c r="P3033">
        <f>MAX(D3033-D3032,D3033-D3034)</f>
        <v>0</v>
      </c>
      <c r="Q3033" t="str">
        <v>x</v>
      </c>
      <c r="R3033">
        <f>IF(P3033&gt;0,2*(1-2*$F$19-1/2)*D3028/1000,0)</f>
        <v>0</v>
      </c>
      <c r="S3033" t="str">
        <v>)</v>
      </c>
      <c r="T3033" t="str">
        <v>x</v>
      </c>
      <c r="U3033">
        <f>0.006165*F3033^2</f>
        <v>1.57824</v>
      </c>
      <c r="X3033" t="str">
        <v>x</v>
      </c>
      <c r="Y3033">
        <f>D3031</f>
        <v>1</v>
      </c>
      <c r="Z3033" t="str">
        <v>=</v>
      </c>
      <c r="AA3033">
        <f>IF(AA3035=0,(D3033*N3033+P3033*R3033)*U3033*Y3033,0)</f>
        <v>0</v>
      </c>
    </row>
    <row r="3034">
      <c r="A3034" t="str">
        <f>A3025</f>
        <v>Lantai 2</v>
      </c>
      <c r="B3034">
        <f>B3025</f>
        <v>14</v>
      </c>
      <c r="C3034" t="str">
        <v>Tul Atas Tumpuan</v>
      </c>
      <c r="D3034">
        <f>VLOOKUP(D3025,'Detail Balok'!$C$10:$AU$140,10,FALSE)</f>
        <v>4</v>
      </c>
      <c r="E3034" t="str">
        <v>D</v>
      </c>
      <c r="F3034">
        <f>VLOOKUP(D3025,'Detail Balok'!$C$10:$AU$140,12,FALSE)</f>
        <v>16</v>
      </c>
      <c r="I3034" t="str">
        <v>(</v>
      </c>
      <c r="J3034">
        <f>+D3027/4/1000</f>
        <v>1</v>
      </c>
      <c r="K3034" t="str">
        <v>+</v>
      </c>
      <c r="L3034">
        <f>MAX(VLOOKUP(F3034,N$6:P$15,3,FALSE)/1000,2/3*D3029/1000)+F$16*F3034/1000</f>
        <v>0.192</v>
      </c>
      <c r="M3034" t="str">
        <v>=</v>
      </c>
      <c r="N3034">
        <f>J3034+L3034</f>
        <v>1.192</v>
      </c>
      <c r="O3034" t="str">
        <v>+</v>
      </c>
      <c r="P3034">
        <f>D3034-D3033</f>
        <v>0</v>
      </c>
      <c r="Q3034" t="str">
        <v>x</v>
      </c>
      <c r="R3034">
        <f>IF(P3034&gt;0,$F$18*F3034/1000,0)</f>
        <v>0</v>
      </c>
      <c r="S3034" t="str">
        <v>)</v>
      </c>
      <c r="T3034" t="str">
        <v>x</v>
      </c>
      <c r="U3034">
        <f>0.006165*F3034^2</f>
        <v>1.57824</v>
      </c>
      <c r="X3034" t="str">
        <v>x</v>
      </c>
      <c r="Y3034">
        <f>D3031</f>
        <v>1</v>
      </c>
      <c r="Z3034" t="str">
        <v>=</v>
      </c>
      <c r="AA3034">
        <f>IF(AA3035=0,(D3034*N3034+P3034*R3034)*U3034*Y3034,0)</f>
        <v>0</v>
      </c>
    </row>
    <row r="3035">
      <c r="A3035" t="str">
        <f>A3025</f>
        <v>Lantai 2</v>
      </c>
      <c r="B3035">
        <f>B3025</f>
        <v>14</v>
      </c>
      <c r="D3035">
        <f>IF(AND(D3032=D3033,D3033=D3034,D3032=D3034),D3032,0)</f>
        <v>4</v>
      </c>
      <c r="E3035" t="str">
        <v>D</v>
      </c>
      <c r="F3035">
        <f>IF(AND(F3032=F3033,F3032=F3034,F3033=F3034),F3032,0)</f>
        <v>16</v>
      </c>
      <c r="L3035" t="str">
        <v>Total panjang per balok</v>
      </c>
      <c r="M3035" t="str">
        <v>=</v>
      </c>
      <c r="N3035">
        <f>IF(AND(D3032=D3033,D3032=D3034,D3033=D3034,F3032=F3033,F3032=F3034,F3033=F3034),SUM(N3032:N3034),0)</f>
        <v>4.384</v>
      </c>
      <c r="O3035" t="str">
        <v>+</v>
      </c>
      <c r="P3035">
        <f>IF(N3035&gt;12,ROUNDDOWN(N3035/12,0),0)</f>
        <v>0</v>
      </c>
      <c r="Q3035" t="str">
        <v>x</v>
      </c>
      <c r="R3035">
        <f>IF(P3035&gt;0,MAX(VLOOKUP(F3035,$D$6:$G$15,3,FALSE),600),0)/1000</f>
        <v>0</v>
      </c>
      <c r="T3035" t="str">
        <v>x</v>
      </c>
      <c r="U3035">
        <f>U3034</f>
        <v>1.57824</v>
      </c>
      <c r="V3035" t="str">
        <v>x</v>
      </c>
      <c r="W3035">
        <f>D3035</f>
        <v>4</v>
      </c>
      <c r="X3035" t="str">
        <v>x</v>
      </c>
      <c r="Y3035">
        <f>Y3034</f>
        <v>1</v>
      </c>
      <c r="Z3035" t="str">
        <v>=</v>
      </c>
      <c r="AA3035">
        <f>(N3035+P3035*R3035/1000)*U3035*W3035*Y3035</f>
        <v>27.676016640000004</v>
      </c>
    </row>
    <row r="3037">
      <c r="A3037" t="str">
        <f>A3025</f>
        <v>Lantai 2</v>
      </c>
      <c r="B3037">
        <f>B3025</f>
        <v>14</v>
      </c>
      <c r="C3037" t="str">
        <v>Tul Peminggang</v>
      </c>
      <c r="D3037">
        <f>VLOOKUP(D3025,'Detail Balok'!$C$10:$AU$140,13,FALSE)</f>
        <v>2</v>
      </c>
      <c r="E3037" t="str">
        <v>D</v>
      </c>
      <c r="F3037">
        <f>VLOOKUP(D3025,'Detail Balok'!$C$10:$AU$140,15,FALSE)</f>
        <v>10</v>
      </c>
      <c r="J3037">
        <f>+D3027/1000</f>
        <v>4</v>
      </c>
      <c r="K3037" t="str">
        <v>+</v>
      </c>
      <c r="L3037">
        <f>2*$F$16*F3037/1000</f>
        <v>0.24</v>
      </c>
      <c r="M3037" t="str">
        <v>=</v>
      </c>
      <c r="N3037">
        <f>J3037+L3037</f>
        <v>4.24</v>
      </c>
      <c r="O3037" t="str">
        <v>+</v>
      </c>
      <c r="P3037">
        <f>IF(N3037&gt;12,ROUNDDOWN(N3037/12,0),0)</f>
        <v>0</v>
      </c>
      <c r="Q3037" t="str">
        <v>x</v>
      </c>
      <c r="R3037">
        <f>IF(P3037&gt;0,MAX(VLOOKUP(F3037,$D$6:$G$15,3,FALSE),600),0)/1000</f>
        <v>0</v>
      </c>
      <c r="T3037" t="str">
        <v>x</v>
      </c>
      <c r="U3037">
        <f>0.006165*F3037^2</f>
        <v>0.6165</v>
      </c>
      <c r="V3037" t="str">
        <v>x</v>
      </c>
      <c r="W3037">
        <f>+D3037</f>
        <v>2</v>
      </c>
      <c r="X3037" t="str">
        <v>x</v>
      </c>
      <c r="Y3037">
        <f>D3031</f>
        <v>1</v>
      </c>
      <c r="Z3037" t="str">
        <v>=</v>
      </c>
      <c r="AA3037">
        <f>(N3037+P3037*R3037/1000)*U3037*W3037*Y3037</f>
        <v>5.227920000000001</v>
      </c>
    </row>
    <row r="3040">
      <c r="A3040" t="str">
        <f>A3025</f>
        <v>Lantai 2</v>
      </c>
      <c r="B3040">
        <f>B3025</f>
        <v>14</v>
      </c>
      <c r="C3040" t="str">
        <v>Tul Bawah Tumpuan</v>
      </c>
      <c r="D3040">
        <f>VLOOKUP(D3025,'Detail Balok'!$C$10:$AU$140,22,FALSE)</f>
        <v>4</v>
      </c>
      <c r="E3040" t="str">
        <v>D</v>
      </c>
      <c r="F3040">
        <f>VLOOKUP(D3025,'Detail Balok'!$C$10:$AU$140,24,FALSE)</f>
        <v>16</v>
      </c>
      <c r="I3040" t="str">
        <v>(</v>
      </c>
      <c r="J3040">
        <f>+J3032</f>
        <v>1</v>
      </c>
      <c r="K3040" t="str">
        <v>+</v>
      </c>
      <c r="L3040">
        <f>MAX(VLOOKUP(F3040,N$6:P$15,3,FALSE)/1000,2/3*D3030/1000)+F$16*F3040/1000</f>
        <v>0.192</v>
      </c>
      <c r="M3040" t="str">
        <v>=</v>
      </c>
      <c r="N3040">
        <f>J3040+L3040</f>
        <v>1.192</v>
      </c>
      <c r="O3040" t="str">
        <v>+</v>
      </c>
      <c r="P3040">
        <f>D3040-D3041</f>
        <v>0</v>
      </c>
      <c r="Q3040" t="str">
        <v>x</v>
      </c>
      <c r="R3040">
        <f>IF(P3040&gt;0,$F$18*F3040/1000,0)</f>
        <v>0</v>
      </c>
      <c r="S3040" t="str">
        <v>)</v>
      </c>
      <c r="T3040" t="str">
        <v>x</v>
      </c>
      <c r="U3040">
        <f>0.006165*F3040^2</f>
        <v>1.57824</v>
      </c>
      <c r="X3040" t="str">
        <v>x</v>
      </c>
      <c r="Y3040">
        <f>D3031</f>
        <v>1</v>
      </c>
      <c r="Z3040" t="str">
        <v>=</v>
      </c>
      <c r="AA3040">
        <f>IF(AA3043=0,(D3040*N3040+P3040*R3040)*U3040*Y3040,0)</f>
        <v>0</v>
      </c>
    </row>
    <row r="3041">
      <c r="A3041" t="str">
        <f>A3025</f>
        <v>Lantai 2</v>
      </c>
      <c r="B3041">
        <f>B3025</f>
        <v>14</v>
      </c>
      <c r="C3041" t="str">
        <v>Tul Bawah Lapangan</v>
      </c>
      <c r="D3041">
        <f>VLOOKUP(D3025,'Detail Balok'!$C$10:$AU$140,25,FALSE)</f>
        <v>4</v>
      </c>
      <c r="E3041" t="str">
        <v>D</v>
      </c>
      <c r="F3041">
        <f>VLOOKUP(D3025,'Detail Balok'!$C$10:$AU$140,27,FALSE)</f>
        <v>16</v>
      </c>
      <c r="I3041" t="str">
        <v>(</v>
      </c>
      <c r="J3041">
        <f>+J3033</f>
        <v>2</v>
      </c>
      <c r="K3041" t="str">
        <v>+</v>
      </c>
      <c r="M3041" t="str">
        <v>=</v>
      </c>
      <c r="N3041">
        <f>J3041+L3041</f>
        <v>2</v>
      </c>
      <c r="O3041" t="str">
        <v>+</v>
      </c>
      <c r="P3041">
        <f>MAX(D3041-D3040,D3041-D3042)</f>
        <v>0</v>
      </c>
      <c r="Q3041" t="str">
        <v>x</v>
      </c>
      <c r="R3041">
        <f>IF(P3041&gt;0,2*(1-2*$F$19-1/2)*D3028/1000,0)</f>
        <v>0</v>
      </c>
      <c r="S3041" t="str">
        <v>)</v>
      </c>
      <c r="T3041" t="str">
        <v>x</v>
      </c>
      <c r="U3041">
        <f>0.006165*F3041^2</f>
        <v>1.57824</v>
      </c>
      <c r="X3041" t="str">
        <v>x</v>
      </c>
      <c r="Y3041">
        <f>D3031</f>
        <v>1</v>
      </c>
      <c r="Z3041" t="str">
        <v>=</v>
      </c>
      <c r="AA3041">
        <f>IF(AA3043=0,(D3041*N3041+P3041*R3041)*U3041*Y3041,0)</f>
        <v>0</v>
      </c>
    </row>
    <row r="3042">
      <c r="A3042" t="str">
        <f>A3025</f>
        <v>Lantai 2</v>
      </c>
      <c r="B3042">
        <f>B3025</f>
        <v>14</v>
      </c>
      <c r="C3042" t="str">
        <v>Tul Bawah Tumpuan</v>
      </c>
      <c r="D3042">
        <f>VLOOKUP(D3025,'Detail Balok'!$C$10:$AU$140,28,FALSE)</f>
        <v>4</v>
      </c>
      <c r="E3042" t="str">
        <v>D</v>
      </c>
      <c r="F3042">
        <f>VLOOKUP(D3025,'Detail Balok'!$C$10:$AU$140,30,FALSE)</f>
        <v>16</v>
      </c>
      <c r="I3042" t="str">
        <v>(</v>
      </c>
      <c r="J3042">
        <f>+J3034</f>
        <v>1</v>
      </c>
      <c r="K3042" t="str">
        <v>+</v>
      </c>
      <c r="L3042">
        <f>MAX(VLOOKUP(F3042,N$6:P$15,3,FALSE)/1000,2/3*D3030/1000)+F$16*F3042/1000</f>
        <v>0.192</v>
      </c>
      <c r="M3042" t="str">
        <v>=</v>
      </c>
      <c r="N3042">
        <f>J3042+L3042</f>
        <v>1.192</v>
      </c>
      <c r="O3042" t="str">
        <v>+</v>
      </c>
      <c r="P3042">
        <f>D3042-D3041</f>
        <v>0</v>
      </c>
      <c r="Q3042" t="str">
        <v>x</v>
      </c>
      <c r="R3042">
        <f>IF(P3042&gt;0,$F$18*F3042/1000,0)</f>
        <v>0</v>
      </c>
      <c r="S3042" t="str">
        <v>)</v>
      </c>
      <c r="T3042" t="str">
        <v>x</v>
      </c>
      <c r="U3042">
        <f>0.006165*F3042^2</f>
        <v>1.57824</v>
      </c>
      <c r="X3042" t="str">
        <v>x</v>
      </c>
      <c r="Y3042">
        <f>D3031</f>
        <v>1</v>
      </c>
      <c r="Z3042" t="str">
        <v>=</v>
      </c>
      <c r="AA3042">
        <f>IF(AA3043=0,(D3042*N3042+P3042*R3042)*U3042*Y3042,0)</f>
        <v>0</v>
      </c>
    </row>
    <row r="3043">
      <c r="A3043" t="str">
        <f>A3025</f>
        <v>Lantai 2</v>
      </c>
      <c r="B3043">
        <f>B3025</f>
        <v>14</v>
      </c>
      <c r="D3043">
        <f>IF(AND(D3040=D3041,D3041=D3042,D3040=D3042),D3040,0)</f>
        <v>4</v>
      </c>
      <c r="E3043" t="str">
        <v>D</v>
      </c>
      <c r="F3043">
        <f>IF(AND(F3040=F3041,F3040=F3042,F3041=F3042),F3040,0)</f>
        <v>16</v>
      </c>
      <c r="L3043" t="str">
        <v>Total panjang per balok</v>
      </c>
      <c r="M3043" t="str">
        <v>=</v>
      </c>
      <c r="N3043">
        <f>IF(AND(D3040=D3041,D3040=D3042,D3041=D3042,F3040=F3041,F3040=F3042,F3041=F3042),SUM(N3040:N3042),0)</f>
        <v>4.384</v>
      </c>
      <c r="O3043" t="str">
        <v>+</v>
      </c>
      <c r="P3043">
        <f>IF(N3043&gt;12,ROUNDDOWN(N3043/12,0),0)</f>
        <v>0</v>
      </c>
      <c r="Q3043" t="str">
        <v>x</v>
      </c>
      <c r="R3043">
        <f>IF(P3043&gt;0,MAX(VLOOKUP(F3043,$D$6:$G$15,3,FALSE),600),0)/1000</f>
        <v>0</v>
      </c>
      <c r="T3043" t="str">
        <v>x</v>
      </c>
      <c r="U3043">
        <f>U3042</f>
        <v>1.57824</v>
      </c>
      <c r="V3043" t="str">
        <v>x</v>
      </c>
      <c r="W3043">
        <f>D3043</f>
        <v>4</v>
      </c>
      <c r="X3043" t="str">
        <v>x</v>
      </c>
      <c r="Y3043">
        <f>Y3042</f>
        <v>1</v>
      </c>
      <c r="Z3043" t="str">
        <v>=</v>
      </c>
      <c r="AA3043">
        <f>(N3043+P3043*R3043/1000)*U3043*W3043*Y3043</f>
        <v>27.676016640000004</v>
      </c>
    </row>
    <row r="3045">
      <c r="A3045" t="str">
        <f>A3025</f>
        <v>Lantai 2</v>
      </c>
      <c r="B3045">
        <f>B3025</f>
        <v>14</v>
      </c>
      <c r="C3045" t="str">
        <v>Sengkang Tumpuan</v>
      </c>
      <c r="D3045">
        <f>VLOOKUP(D3025,'Detail Balok'!$C$10:$AU$140,31,FALSE)</f>
        <v>0</v>
      </c>
      <c r="E3045" t="str">
        <v>D</v>
      </c>
      <c r="F3045">
        <f>VLOOKUP(D3025,'Detail Balok'!$C$10:$AU$140,33,FALSE)</f>
        <v>10</v>
      </c>
      <c r="G3045" t="str">
        <v>-</v>
      </c>
      <c r="H3045">
        <f>VLOOKUP(D3025,'Detail Balok'!$C$10:$AU$140,35,FALSE)</f>
        <v>150</v>
      </c>
      <c r="J3045">
        <f>(IF(D3045=0,(2*(D3026+G3026))-(F$5*8),IF(D3045=3,(2*(D3026+G3026))-(F$5*8)+(G3026-2*F$5),IF(D3045=4,(2*(D3026+G3026))-(F$5*8)+2*(G3026-2*F$5)))))/1000</f>
        <v>1.08</v>
      </c>
      <c r="K3045" t="str">
        <v>+</v>
      </c>
      <c r="L3045">
        <f>IF(D3045=0,2*MAX(6*F3045,75),(D3045-1)*2*MAX(6*F3045,75))/1000</f>
        <v>0.15</v>
      </c>
      <c r="M3045" t="str">
        <v>=</v>
      </c>
      <c r="N3045">
        <f>J3045+L3045</f>
        <v>1.23</v>
      </c>
      <c r="T3045" t="str">
        <v>x</v>
      </c>
      <c r="U3045">
        <f>0.006165*F3045^2</f>
        <v>0.6165</v>
      </c>
      <c r="V3045" t="str">
        <v>x</v>
      </c>
      <c r="W3045">
        <f>IF(D3028&gt;4*G3026,ROUND(MAX(D3028/4,2*G3026)/H3045,0)+1,ROUND(D3028/H3045,0)+1)</f>
        <v>8</v>
      </c>
      <c r="X3045" t="str">
        <v>x</v>
      </c>
      <c r="Y3045">
        <f>D3031</f>
        <v>1</v>
      </c>
      <c r="Z3045" t="str">
        <v>=</v>
      </c>
      <c r="AA3045">
        <f>N3045*U3045*W3045*Y3045</f>
        <v>6.06636</v>
      </c>
    </row>
    <row r="3046">
      <c r="A3046" t="str">
        <f>A3025</f>
        <v>Lantai 2</v>
      </c>
      <c r="B3046">
        <f>B3025</f>
        <v>14</v>
      </c>
      <c r="C3046" t="str">
        <v>Sengkang Lapangan</v>
      </c>
      <c r="D3046">
        <f>VLOOKUP(D3025,'Detail Balok'!$C$10:$AU$140,36,FALSE)</f>
        <v>0</v>
      </c>
      <c r="E3046" t="str">
        <v>D</v>
      </c>
      <c r="F3046">
        <f>VLOOKUP(D3025,'Detail Balok'!$C$10:$AU$140,38,FALSE)</f>
        <v>10</v>
      </c>
      <c r="G3046" t="str">
        <v>-</v>
      </c>
      <c r="H3046">
        <f>VLOOKUP(D3025,'Detail Balok'!$C$10:$AU$140,40,FALSE)</f>
        <v>200</v>
      </c>
      <c r="J3046">
        <f>(IF(D3046=0,(2*(D3026+G3026))-(F$5*8),IF(D3046=3,(2*(D3026+G3026))-(F$5*8)+(G3026-2*F$5),IF(D3046=4,(2*(D3026+G3026))-(F$5*8)+2*(G3026-2*F$5)))))/1000</f>
        <v>1.08</v>
      </c>
      <c r="K3046" t="str">
        <v>+</v>
      </c>
      <c r="L3046">
        <f>IF(D3046=0,2*MAX(6*F3046,75),(D3046-1)*2*MAX(6*F3046,75))/1000</f>
        <v>0.15</v>
      </c>
      <c r="M3046" t="str">
        <v>=</v>
      </c>
      <c r="N3046">
        <f>J3046+L3046</f>
        <v>1.23</v>
      </c>
      <c r="T3046" t="str">
        <v>x</v>
      </c>
      <c r="U3046">
        <f>0.006165*F3046^2</f>
        <v>0.6165</v>
      </c>
      <c r="V3046" t="str">
        <v>x</v>
      </c>
      <c r="W3046">
        <f>IF(D3028-MAX(D3028/4,2*G3026)*2&gt;0,ROUND((D3028-MAX(D3028/4,2*G3026)*2)/H3046,0),0)</f>
        <v>10</v>
      </c>
      <c r="X3046" t="str">
        <v>x</v>
      </c>
      <c r="Y3046">
        <f>D3031</f>
        <v>1</v>
      </c>
      <c r="Z3046" t="str">
        <v>=</v>
      </c>
      <c r="AA3046">
        <f>N3046*U3046*W3046*Y3046</f>
        <v>7.58295</v>
      </c>
    </row>
    <row r="3047">
      <c r="A3047" t="str">
        <f>A3025</f>
        <v>Lantai 2</v>
      </c>
      <c r="B3047">
        <f>B3025</f>
        <v>14</v>
      </c>
      <c r="C3047" t="str">
        <v>Sengkang Tumpuan</v>
      </c>
      <c r="D3047">
        <f>VLOOKUP(D3025,'Detail Balok'!$C$10:$AU$140,41,FALSE)</f>
        <v>0</v>
      </c>
      <c r="E3047" t="str">
        <v>D</v>
      </c>
      <c r="F3047">
        <f>VLOOKUP(D3025,'Detail Balok'!$C$10:$AU$140,43,FALSE)</f>
        <v>10</v>
      </c>
      <c r="G3047" t="str">
        <v>-</v>
      </c>
      <c r="H3047">
        <f>VLOOKUP(D3025,'Detail Balok'!$C$10:$AU$140,45,FALSE)</f>
        <v>150</v>
      </c>
      <c r="J3047">
        <f>(IF(D3047=0,(2*(D3026+G3026))-(F$5*8),IF(D3047=3,(2*(D3026+G3026))-(F$5*8)+(G3026-2*F$5),IF(D3047=4,(2*(D3026+G3026))-(F$5*8)+2*(G3026-2*F$5)))))/1000</f>
        <v>1.08</v>
      </c>
      <c r="K3047" t="str">
        <v>+</v>
      </c>
      <c r="L3047">
        <f>IF(D3047=0,2*MAX(6*F3047,75),(D3047-1)*2*MAX(6*F3047,75))/1000</f>
        <v>0.15</v>
      </c>
      <c r="M3047" t="str">
        <v>=</v>
      </c>
      <c r="N3047">
        <f>J3047+L3047</f>
        <v>1.23</v>
      </c>
      <c r="T3047" t="str">
        <v>x</v>
      </c>
      <c r="U3047">
        <f>0.006165*F3047^2</f>
        <v>0.6165</v>
      </c>
      <c r="V3047" t="str">
        <v>x</v>
      </c>
      <c r="W3047">
        <f>IF(D3028&gt;4*G3026,ROUND(MAX(D3028/4,2*G3026)/H3047,0)+1,0)</f>
        <v>8</v>
      </c>
      <c r="X3047" t="str">
        <v>x</v>
      </c>
      <c r="Y3047">
        <f>D3031</f>
        <v>1</v>
      </c>
      <c r="Z3047" t="str">
        <v>=</v>
      </c>
      <c r="AA3047">
        <f>N3047*U3047*W3047*Y3047</f>
        <v>6.06636</v>
      </c>
    </row>
    <row r="3049">
      <c r="A3049" t="str">
        <f>A3025</f>
        <v>Lantai 2</v>
      </c>
      <c r="B3049">
        <f>B3025</f>
        <v>14</v>
      </c>
      <c r="C3049" t="str">
        <v>Kait Horizontal Tump.</v>
      </c>
      <c r="D3049">
        <f>VLOOKUP(D3025,'Detail Balok'!$C$10:$BJ$140,46,FALSE)</f>
        <v>0</v>
      </c>
      <c r="E3049" t="str">
        <v>D</v>
      </c>
      <c r="F3049">
        <f>VLOOKUP(D3025,'Detail Balok'!$C$10:$BJ$140,48,FALSE)</f>
        <v>0</v>
      </c>
      <c r="G3049" t="str">
        <v>-</v>
      </c>
      <c r="H3049">
        <f>VLOOKUP(D3025,'Detail Balok'!$C$10:$BJ$140,50,FALSE)</f>
        <v>100</v>
      </c>
      <c r="J3049">
        <f>(D3026-2*F$5)/1000</f>
        <v>0.12</v>
      </c>
      <c r="K3049" t="str">
        <v>+</v>
      </c>
      <c r="L3049">
        <f>IF(D3049=0,2*MAX(6*F3049,75),(D3049-1)*2*MAX(6*F3049,75))/1000</f>
        <v>0.15</v>
      </c>
      <c r="M3049" t="str">
        <v>=</v>
      </c>
      <c r="N3049">
        <f>J3049+L3049</f>
        <v>0.27</v>
      </c>
      <c r="T3049" t="str">
        <v>x</v>
      </c>
      <c r="U3049">
        <f>0.006165*F3049^2</f>
        <v>0</v>
      </c>
      <c r="V3049" t="str">
        <v>x</v>
      </c>
      <c r="W3049">
        <f>W3045</f>
        <v>8</v>
      </c>
      <c r="X3049" t="str">
        <v>x</v>
      </c>
      <c r="Y3049">
        <f>D3035</f>
        <v>4</v>
      </c>
      <c r="Z3049" t="str">
        <v>=</v>
      </c>
      <c r="AA3049">
        <f>N3049*U3049*W3049*Y3049</f>
        <v>0</v>
      </c>
    </row>
    <row r="3050">
      <c r="A3050" t="str">
        <f>A3025</f>
        <v>Lantai 2</v>
      </c>
      <c r="B3050">
        <f>B3025</f>
        <v>14</v>
      </c>
      <c r="C3050" t="str">
        <v>Kait Horizontal Lap.</v>
      </c>
      <c r="D3050">
        <f>VLOOKUP(D3025,'Detail Balok'!$C$10:$BJ$140,51,FALSE)</f>
        <v>0</v>
      </c>
      <c r="E3050" t="str">
        <v>D</v>
      </c>
      <c r="F3050">
        <f>VLOOKUP(D3025,'Detail Balok'!$C$10:$BJ$140,53,FALSE)</f>
        <v>0</v>
      </c>
      <c r="G3050" t="str">
        <v>-</v>
      </c>
      <c r="H3050">
        <f>VLOOKUP(D3025,'Detail Balok'!$C$10:$BJ$140,55,FALSE)</f>
        <v>100</v>
      </c>
      <c r="J3050">
        <f>(D3026-2*F$5)/1000</f>
        <v>0.12</v>
      </c>
      <c r="K3050" t="str">
        <v>+</v>
      </c>
      <c r="L3050">
        <f>IF(D3050=0,2*MAX(6*F3050,75),(D3050-1)*2*MAX(6*F3050,75))/1000</f>
        <v>0.15</v>
      </c>
      <c r="M3050" t="str">
        <v>=</v>
      </c>
      <c r="N3050">
        <f>J3050+L3050</f>
        <v>0.27</v>
      </c>
      <c r="T3050" t="str">
        <v>x</v>
      </c>
      <c r="U3050">
        <f>0.006165*F3050^2</f>
        <v>0</v>
      </c>
      <c r="V3050" t="str">
        <v>x</v>
      </c>
      <c r="W3050">
        <f>W3046</f>
        <v>10</v>
      </c>
      <c r="X3050" t="str">
        <v>x</v>
      </c>
      <c r="Y3050">
        <f>D3035</f>
        <v>4</v>
      </c>
      <c r="Z3050" t="str">
        <v>=</v>
      </c>
      <c r="AA3050">
        <f>N3050*U3050*W3050*Y3050</f>
        <v>0</v>
      </c>
    </row>
    <row r="3051">
      <c r="A3051" t="str">
        <f>A3025</f>
        <v>Lantai 2</v>
      </c>
      <c r="B3051">
        <f>B3025</f>
        <v>14</v>
      </c>
      <c r="C3051" t="str">
        <v>Kait Horizontal Tump.</v>
      </c>
      <c r="D3051">
        <f>VLOOKUP(D3025,'Detail Balok'!$C$10:$BJ$140,56,FALSE)</f>
        <v>0</v>
      </c>
      <c r="E3051" t="str">
        <v>D</v>
      </c>
      <c r="F3051">
        <f>VLOOKUP(D3025,'Detail Balok'!$C$10:$BJ$140,58,FALSE)</f>
        <v>0</v>
      </c>
      <c r="G3051" t="str">
        <v>-</v>
      </c>
      <c r="H3051">
        <f>VLOOKUP(D3025,'Detail Balok'!$C$10:$BJ$140,60,FALSE)</f>
        <v>100</v>
      </c>
      <c r="J3051">
        <f>(D3026-2*F$5)/1000</f>
        <v>0.12</v>
      </c>
      <c r="K3051" t="str">
        <v>+</v>
      </c>
      <c r="L3051">
        <f>IF(D3051=0,2*MAX(6*F3051,75),(D3051-1)*2*MAX(6*F3051,75))/1000</f>
        <v>0.15</v>
      </c>
      <c r="M3051" t="str">
        <v>=</v>
      </c>
      <c r="N3051">
        <f>J3051+L3051</f>
        <v>0.27</v>
      </c>
      <c r="T3051" t="str">
        <v>x</v>
      </c>
      <c r="U3051">
        <f>0.006165*F3051^2</f>
        <v>0</v>
      </c>
      <c r="V3051" t="str">
        <v>x</v>
      </c>
      <c r="W3051">
        <f>W3047</f>
        <v>8</v>
      </c>
      <c r="X3051" t="str">
        <v>x</v>
      </c>
      <c r="Y3051">
        <f>D3035</f>
        <v>4</v>
      </c>
      <c r="Z3051" t="str">
        <v>=</v>
      </c>
      <c r="AA3051">
        <f>N3051*U3051*W3051*Y3051</f>
        <v>0</v>
      </c>
    </row>
    <row r="3055">
      <c r="A3055" t="str">
        <f>A3025</f>
        <v>Lantai 2</v>
      </c>
      <c r="B3055">
        <f>B3025+1</f>
        <v>15</v>
      </c>
      <c r="C3055" t="str">
        <f>CONCATENATE(A3055," no. ",B3055)</f>
        <v>Lantai 2 no. 15</v>
      </c>
      <c r="D3055" t="str">
        <f>VLOOKUP(C3055,'Data Panjang Balok'!$C$9:$N$254,2,FALSE)</f>
        <v>B25-1</v>
      </c>
    </row>
    <row r="3056">
      <c r="C3056" t="str">
        <v>Dimensi</v>
      </c>
      <c r="D3056">
        <f>VLOOKUP(D3055,'Detail Balok'!$C$10:$AU$140,2,FALSE)</f>
        <v>200</v>
      </c>
      <c r="F3056" t="str">
        <v>x</v>
      </c>
      <c r="G3056">
        <f>VLOOKUP(D3055,'Detail Balok'!$C$10:$AU$140,3,FALSE)</f>
        <v>500</v>
      </c>
    </row>
    <row r="3057">
      <c r="C3057" t="str">
        <v>Panjang as ke as</v>
      </c>
      <c r="D3057">
        <f>VLOOKUP(C3055,'Data Panjang Balok'!$C$9:$N$254,4,FALSE)</f>
        <v>5000</v>
      </c>
    </row>
    <row r="3058">
      <c r="C3058" t="str">
        <v>Panjang netto</v>
      </c>
      <c r="D3058">
        <f>VLOOKUP(C3055,'Data Panjang Balok'!$C$9:$N$254,7,FALSE)</f>
        <v>5000</v>
      </c>
    </row>
    <row r="3059">
      <c r="C3059" t="str">
        <v>Kolom / balok kiri</v>
      </c>
      <c r="D3059">
        <f>VLOOKUP(C3055,'Data Panjang Balok'!$C$9:$N$254,9,FALSE)</f>
        <v>0</v>
      </c>
    </row>
    <row r="3060">
      <c r="C3060" t="str">
        <v>Kolom / balok kanan</v>
      </c>
      <c r="D3060">
        <f>VLOOKUP(C3055,'Data Panjang Balok'!$C$9:$N$254,10,FALSE)</f>
        <v>0</v>
      </c>
    </row>
    <row r="3061">
      <c r="C3061" t="str">
        <v>Jumlah</v>
      </c>
      <c r="D3061">
        <f>VLOOKUP(C3055,'Data Panjang Balok'!$C$9:$N$254,3,FALSE)</f>
        <v>1</v>
      </c>
    </row>
    <row r="3062">
      <c r="A3062" t="str">
        <f>A3055</f>
        <v>Lantai 2</v>
      </c>
      <c r="B3062">
        <f>B3055</f>
        <v>15</v>
      </c>
      <c r="C3062" t="str">
        <v>Tul Atas Tumpuan</v>
      </c>
      <c r="D3062">
        <f>VLOOKUP(D3055,'Detail Balok'!$C$10:$AU$140,4,FALSE)</f>
        <v>4</v>
      </c>
      <c r="E3062" t="str">
        <v>D</v>
      </c>
      <c r="F3062">
        <f>VLOOKUP(D3055,'Detail Balok'!$C$10:$AU$140,6,FALSE)</f>
        <v>16</v>
      </c>
      <c r="I3062" t="str">
        <v>(</v>
      </c>
      <c r="J3062">
        <f>+D3057/4/1000</f>
        <v>1.25</v>
      </c>
      <c r="K3062" t="str">
        <v>+</v>
      </c>
      <c r="L3062">
        <f>MAX(VLOOKUP(F3062,N$6:P$15,3,FALSE)/1000,2/3*D3059/1000)+F$16*F3062/1000</f>
        <v>0.192</v>
      </c>
      <c r="M3062" t="str">
        <v>=</v>
      </c>
      <c r="N3062">
        <f>J3062+L3062</f>
        <v>1.442</v>
      </c>
      <c r="O3062" t="str">
        <v>+</v>
      </c>
      <c r="P3062">
        <f>D3062-D3063</f>
        <v>0</v>
      </c>
      <c r="Q3062" t="str">
        <v>x</v>
      </c>
      <c r="R3062">
        <f>IF(P3062&gt;0,$F$18*F3062/1000,0)</f>
        <v>0</v>
      </c>
      <c r="S3062" t="str">
        <v>)</v>
      </c>
      <c r="T3062" t="str">
        <v>x</v>
      </c>
      <c r="U3062">
        <f>0.006165*F3062^2</f>
        <v>1.57824</v>
      </c>
      <c r="X3062" t="str">
        <v>x</v>
      </c>
      <c r="Y3062">
        <f>D3061</f>
        <v>1</v>
      </c>
      <c r="Z3062" t="str">
        <v>=</v>
      </c>
      <c r="AA3062">
        <f>IF(AA3065=0,(D3062*N3062+P3062*R3062)*U3062*Y3062,0)</f>
        <v>0</v>
      </c>
    </row>
    <row r="3063">
      <c r="A3063" t="str">
        <f>A3055</f>
        <v>Lantai 2</v>
      </c>
      <c r="B3063">
        <f>B3055</f>
        <v>15</v>
      </c>
      <c r="C3063" t="str">
        <v>Tul Atas Lapangan</v>
      </c>
      <c r="D3063">
        <f>VLOOKUP(D3055,'Detail Balok'!$C$10:$AU$140,7,FALSE)</f>
        <v>4</v>
      </c>
      <c r="E3063" t="str">
        <v>D</v>
      </c>
      <c r="F3063">
        <f>VLOOKUP(D3055,'Detail Balok'!$C$10:$AU$140,9,FALSE)</f>
        <v>16</v>
      </c>
      <c r="I3063" t="str">
        <v>(</v>
      </c>
      <c r="J3063">
        <f>+D3057/2/1000</f>
        <v>2.5</v>
      </c>
      <c r="K3063" t="str">
        <v>+</v>
      </c>
      <c r="M3063" t="str">
        <v>=</v>
      </c>
      <c r="N3063">
        <f>J3063+L3063</f>
        <v>2.5</v>
      </c>
      <c r="O3063" t="str">
        <v>+</v>
      </c>
      <c r="P3063">
        <f>MAX(D3063-D3062,D3063-D3064)</f>
        <v>0</v>
      </c>
      <c r="Q3063" t="str">
        <v>x</v>
      </c>
      <c r="R3063">
        <f>IF(P3063&gt;0,2*(1-2*$F$19-1/2)*D3058/1000,0)</f>
        <v>0</v>
      </c>
      <c r="S3063" t="str">
        <v>)</v>
      </c>
      <c r="T3063" t="str">
        <v>x</v>
      </c>
      <c r="U3063">
        <f>0.006165*F3063^2</f>
        <v>1.57824</v>
      </c>
      <c r="X3063" t="str">
        <v>x</v>
      </c>
      <c r="Y3063">
        <f>D3061</f>
        <v>1</v>
      </c>
      <c r="Z3063" t="str">
        <v>=</v>
      </c>
      <c r="AA3063">
        <f>IF(AA3065=0,(D3063*N3063+P3063*R3063)*U3063*Y3063,0)</f>
        <v>0</v>
      </c>
    </row>
    <row r="3064">
      <c r="A3064" t="str">
        <f>A3055</f>
        <v>Lantai 2</v>
      </c>
      <c r="B3064">
        <f>B3055</f>
        <v>15</v>
      </c>
      <c r="C3064" t="str">
        <v>Tul Atas Tumpuan</v>
      </c>
      <c r="D3064">
        <f>VLOOKUP(D3055,'Detail Balok'!$C$10:$AU$140,10,FALSE)</f>
        <v>4</v>
      </c>
      <c r="E3064" t="str">
        <v>D</v>
      </c>
      <c r="F3064">
        <f>VLOOKUP(D3055,'Detail Balok'!$C$10:$AU$140,12,FALSE)</f>
        <v>16</v>
      </c>
      <c r="I3064" t="str">
        <v>(</v>
      </c>
      <c r="J3064">
        <f>+D3057/4/1000</f>
        <v>1.25</v>
      </c>
      <c r="K3064" t="str">
        <v>+</v>
      </c>
      <c r="L3064">
        <f>MAX(VLOOKUP(F3064,N$6:P$15,3,FALSE)/1000,2/3*D3059/1000)+F$16*F3064/1000</f>
        <v>0.192</v>
      </c>
      <c r="M3064" t="str">
        <v>=</v>
      </c>
      <c r="N3064">
        <f>J3064+L3064</f>
        <v>1.442</v>
      </c>
      <c r="O3064" t="str">
        <v>+</v>
      </c>
      <c r="P3064">
        <f>D3064-D3063</f>
        <v>0</v>
      </c>
      <c r="Q3064" t="str">
        <v>x</v>
      </c>
      <c r="R3064">
        <f>IF(P3064&gt;0,$F$18*F3064/1000,0)</f>
        <v>0</v>
      </c>
      <c r="S3064" t="str">
        <v>)</v>
      </c>
      <c r="T3064" t="str">
        <v>x</v>
      </c>
      <c r="U3064">
        <f>0.006165*F3064^2</f>
        <v>1.57824</v>
      </c>
      <c r="X3064" t="str">
        <v>x</v>
      </c>
      <c r="Y3064">
        <f>D3061</f>
        <v>1</v>
      </c>
      <c r="Z3064" t="str">
        <v>=</v>
      </c>
      <c r="AA3064">
        <f>IF(AA3065=0,(D3064*N3064+P3064*R3064)*U3064*Y3064,0)</f>
        <v>0</v>
      </c>
    </row>
    <row r="3065">
      <c r="A3065" t="str">
        <f>A3055</f>
        <v>Lantai 2</v>
      </c>
      <c r="B3065">
        <f>B3055</f>
        <v>15</v>
      </c>
      <c r="D3065">
        <f>IF(AND(D3062=D3063,D3063=D3064,D3062=D3064),D3062,0)</f>
        <v>4</v>
      </c>
      <c r="E3065" t="str">
        <v>D</v>
      </c>
      <c r="F3065">
        <f>IF(AND(F3062=F3063,F3062=F3064,F3063=F3064),F3062,0)</f>
        <v>16</v>
      </c>
      <c r="L3065" t="str">
        <v>Total panjang per balok</v>
      </c>
      <c r="M3065" t="str">
        <v>=</v>
      </c>
      <c r="N3065">
        <f>IF(AND(D3062=D3063,D3062=D3064,D3063=D3064,F3062=F3063,F3062=F3064,F3063=F3064),SUM(N3062:N3064),0)</f>
        <v>5.384</v>
      </c>
      <c r="O3065" t="str">
        <v>+</v>
      </c>
      <c r="P3065">
        <f>IF(N3065&gt;12,ROUNDDOWN(N3065/12,0),0)</f>
        <v>0</v>
      </c>
      <c r="Q3065" t="str">
        <v>x</v>
      </c>
      <c r="R3065">
        <f>IF(P3065&gt;0,MAX(VLOOKUP(F3065,$D$6:$G$15,3,FALSE),600),0)/1000</f>
        <v>0</v>
      </c>
      <c r="T3065" t="str">
        <v>x</v>
      </c>
      <c r="U3065">
        <f>U3064</f>
        <v>1.57824</v>
      </c>
      <c r="V3065" t="str">
        <v>x</v>
      </c>
      <c r="W3065">
        <f>D3065</f>
        <v>4</v>
      </c>
      <c r="X3065" t="str">
        <v>x</v>
      </c>
      <c r="Y3065">
        <f>Y3064</f>
        <v>1</v>
      </c>
      <c r="Z3065" t="str">
        <v>=</v>
      </c>
      <c r="AA3065">
        <f>(N3065+P3065*R3065/1000)*U3065*W3065*Y3065</f>
        <v>33.988976640000004</v>
      </c>
    </row>
    <row r="3067">
      <c r="A3067" t="str">
        <f>A3055</f>
        <v>Lantai 2</v>
      </c>
      <c r="B3067">
        <f>B3055</f>
        <v>15</v>
      </c>
      <c r="C3067" t="str">
        <v>Tul Peminggang</v>
      </c>
      <c r="D3067">
        <f>VLOOKUP(D3055,'Detail Balok'!$C$10:$AU$140,13,FALSE)</f>
        <v>2</v>
      </c>
      <c r="E3067" t="str">
        <v>D</v>
      </c>
      <c r="F3067">
        <f>VLOOKUP(D3055,'Detail Balok'!$C$10:$AU$140,15,FALSE)</f>
        <v>10</v>
      </c>
      <c r="J3067">
        <f>+D3057/1000</f>
        <v>5</v>
      </c>
      <c r="K3067" t="str">
        <v>+</v>
      </c>
      <c r="L3067">
        <f>2*$F$16*F3067/1000</f>
        <v>0.24</v>
      </c>
      <c r="M3067" t="str">
        <v>=</v>
      </c>
      <c r="N3067">
        <f>J3067+L3067</f>
        <v>5.24</v>
      </c>
      <c r="O3067" t="str">
        <v>+</v>
      </c>
      <c r="P3067">
        <f>IF(N3067&gt;12,ROUNDDOWN(N3067/12,0),0)</f>
        <v>0</v>
      </c>
      <c r="Q3067" t="str">
        <v>x</v>
      </c>
      <c r="R3067">
        <f>IF(P3067&gt;0,MAX(VLOOKUP(F3067,$D$6:$G$15,3,FALSE),600),0)/1000</f>
        <v>0</v>
      </c>
      <c r="T3067" t="str">
        <v>x</v>
      </c>
      <c r="U3067">
        <f>0.006165*F3067^2</f>
        <v>0.6165</v>
      </c>
      <c r="V3067" t="str">
        <v>x</v>
      </c>
      <c r="W3067">
        <f>+D3067</f>
        <v>2</v>
      </c>
      <c r="X3067" t="str">
        <v>x</v>
      </c>
      <c r="Y3067">
        <f>D3061</f>
        <v>1</v>
      </c>
      <c r="Z3067" t="str">
        <v>=</v>
      </c>
      <c r="AA3067">
        <f>(N3067+P3067*R3067/1000)*U3067*W3067*Y3067</f>
        <v>6.460920000000001</v>
      </c>
    </row>
    <row r="3070">
      <c r="A3070" t="str">
        <f>A3055</f>
        <v>Lantai 2</v>
      </c>
      <c r="B3070">
        <f>B3055</f>
        <v>15</v>
      </c>
      <c r="C3070" t="str">
        <v>Tul Bawah Tumpuan</v>
      </c>
      <c r="D3070">
        <f>VLOOKUP(D3055,'Detail Balok'!$C$10:$AU$140,22,FALSE)</f>
        <v>4</v>
      </c>
      <c r="E3070" t="str">
        <v>D</v>
      </c>
      <c r="F3070">
        <f>VLOOKUP(D3055,'Detail Balok'!$C$10:$AU$140,24,FALSE)</f>
        <v>16</v>
      </c>
      <c r="I3070" t="str">
        <v>(</v>
      </c>
      <c r="J3070">
        <f>+J3062</f>
        <v>1.25</v>
      </c>
      <c r="K3070" t="str">
        <v>+</v>
      </c>
      <c r="L3070">
        <f>MAX(VLOOKUP(F3070,N$6:P$15,3,FALSE)/1000,2/3*D3060/1000)+F$16*F3070/1000</f>
        <v>0.192</v>
      </c>
      <c r="M3070" t="str">
        <v>=</v>
      </c>
      <c r="N3070">
        <f>J3070+L3070</f>
        <v>1.442</v>
      </c>
      <c r="O3070" t="str">
        <v>+</v>
      </c>
      <c r="P3070">
        <f>D3070-D3071</f>
        <v>0</v>
      </c>
      <c r="Q3070" t="str">
        <v>x</v>
      </c>
      <c r="R3070">
        <f>IF(P3070&gt;0,$F$18*F3070/1000,0)</f>
        <v>0</v>
      </c>
      <c r="S3070" t="str">
        <v>)</v>
      </c>
      <c r="T3070" t="str">
        <v>x</v>
      </c>
      <c r="U3070">
        <f>0.006165*F3070^2</f>
        <v>1.57824</v>
      </c>
      <c r="X3070" t="str">
        <v>x</v>
      </c>
      <c r="Y3070">
        <f>D3061</f>
        <v>1</v>
      </c>
      <c r="Z3070" t="str">
        <v>=</v>
      </c>
      <c r="AA3070">
        <f>IF(AA3073=0,(D3070*N3070+P3070*R3070)*U3070*Y3070,0)</f>
        <v>0</v>
      </c>
    </row>
    <row r="3071">
      <c r="A3071" t="str">
        <f>A3055</f>
        <v>Lantai 2</v>
      </c>
      <c r="B3071">
        <f>B3055</f>
        <v>15</v>
      </c>
      <c r="C3071" t="str">
        <v>Tul Bawah Lapangan</v>
      </c>
      <c r="D3071">
        <f>VLOOKUP(D3055,'Detail Balok'!$C$10:$AU$140,25,FALSE)</f>
        <v>4</v>
      </c>
      <c r="E3071" t="str">
        <v>D</v>
      </c>
      <c r="F3071">
        <f>VLOOKUP(D3055,'Detail Balok'!$C$10:$AU$140,27,FALSE)</f>
        <v>16</v>
      </c>
      <c r="I3071" t="str">
        <v>(</v>
      </c>
      <c r="J3071">
        <f>+J3063</f>
        <v>2.5</v>
      </c>
      <c r="K3071" t="str">
        <v>+</v>
      </c>
      <c r="M3071" t="str">
        <v>=</v>
      </c>
      <c r="N3071">
        <f>J3071+L3071</f>
        <v>2.5</v>
      </c>
      <c r="O3071" t="str">
        <v>+</v>
      </c>
      <c r="P3071">
        <f>MAX(D3071-D3070,D3071-D3072)</f>
        <v>0</v>
      </c>
      <c r="Q3071" t="str">
        <v>x</v>
      </c>
      <c r="R3071">
        <f>IF(P3071&gt;0,2*(1-2*$F$19-1/2)*D3058/1000,0)</f>
        <v>0</v>
      </c>
      <c r="S3071" t="str">
        <v>)</v>
      </c>
      <c r="T3071" t="str">
        <v>x</v>
      </c>
      <c r="U3071">
        <f>0.006165*F3071^2</f>
        <v>1.57824</v>
      </c>
      <c r="X3071" t="str">
        <v>x</v>
      </c>
      <c r="Y3071">
        <f>D3061</f>
        <v>1</v>
      </c>
      <c r="Z3071" t="str">
        <v>=</v>
      </c>
      <c r="AA3071">
        <f>IF(AA3073=0,(D3071*N3071+P3071*R3071)*U3071*Y3071,0)</f>
        <v>0</v>
      </c>
    </row>
    <row r="3072">
      <c r="A3072" t="str">
        <f>A3055</f>
        <v>Lantai 2</v>
      </c>
      <c r="B3072">
        <f>B3055</f>
        <v>15</v>
      </c>
      <c r="C3072" t="str">
        <v>Tul Bawah Tumpuan</v>
      </c>
      <c r="D3072">
        <f>VLOOKUP(D3055,'Detail Balok'!$C$10:$AU$140,28,FALSE)</f>
        <v>4</v>
      </c>
      <c r="E3072" t="str">
        <v>D</v>
      </c>
      <c r="F3072">
        <f>VLOOKUP(D3055,'Detail Balok'!$C$10:$AU$140,30,FALSE)</f>
        <v>16</v>
      </c>
      <c r="I3072" t="str">
        <v>(</v>
      </c>
      <c r="J3072">
        <f>+J3064</f>
        <v>1.25</v>
      </c>
      <c r="K3072" t="str">
        <v>+</v>
      </c>
      <c r="L3072">
        <f>MAX(VLOOKUP(F3072,N$6:P$15,3,FALSE)/1000,2/3*D3060/1000)+F$16*F3072/1000</f>
        <v>0.192</v>
      </c>
      <c r="M3072" t="str">
        <v>=</v>
      </c>
      <c r="N3072">
        <f>J3072+L3072</f>
        <v>1.442</v>
      </c>
      <c r="O3072" t="str">
        <v>+</v>
      </c>
      <c r="P3072">
        <f>D3072-D3071</f>
        <v>0</v>
      </c>
      <c r="Q3072" t="str">
        <v>x</v>
      </c>
      <c r="R3072">
        <f>IF(P3072&gt;0,$F$18*F3072/1000,0)</f>
        <v>0</v>
      </c>
      <c r="S3072" t="str">
        <v>)</v>
      </c>
      <c r="T3072" t="str">
        <v>x</v>
      </c>
      <c r="U3072">
        <f>0.006165*F3072^2</f>
        <v>1.57824</v>
      </c>
      <c r="X3072" t="str">
        <v>x</v>
      </c>
      <c r="Y3072">
        <f>D3061</f>
        <v>1</v>
      </c>
      <c r="Z3072" t="str">
        <v>=</v>
      </c>
      <c r="AA3072">
        <f>IF(AA3073=0,(D3072*N3072+P3072*R3072)*U3072*Y3072,0)</f>
        <v>0</v>
      </c>
    </row>
    <row r="3073">
      <c r="A3073" t="str">
        <f>A3055</f>
        <v>Lantai 2</v>
      </c>
      <c r="B3073">
        <f>B3055</f>
        <v>15</v>
      </c>
      <c r="D3073">
        <f>IF(AND(D3070=D3071,D3071=D3072,D3070=D3072),D3070,0)</f>
        <v>4</v>
      </c>
      <c r="E3073" t="str">
        <v>D</v>
      </c>
      <c r="F3073">
        <f>IF(AND(F3070=F3071,F3070=F3072,F3071=F3072),F3070,0)</f>
        <v>16</v>
      </c>
      <c r="L3073" t="str">
        <v>Total panjang per balok</v>
      </c>
      <c r="M3073" t="str">
        <v>=</v>
      </c>
      <c r="N3073">
        <f>IF(AND(D3070=D3071,D3070=D3072,D3071=D3072,F3070=F3071,F3070=F3072,F3071=F3072),SUM(N3070:N3072),0)</f>
        <v>5.384</v>
      </c>
      <c r="O3073" t="str">
        <v>+</v>
      </c>
      <c r="P3073">
        <f>IF(N3073&gt;12,ROUNDDOWN(N3073/12,0),0)</f>
        <v>0</v>
      </c>
      <c r="Q3073" t="str">
        <v>x</v>
      </c>
      <c r="R3073">
        <f>IF(P3073&gt;0,MAX(VLOOKUP(F3073,$D$6:$G$15,3,FALSE),600),0)/1000</f>
        <v>0</v>
      </c>
      <c r="T3073" t="str">
        <v>x</v>
      </c>
      <c r="U3073">
        <f>U3072</f>
        <v>1.57824</v>
      </c>
      <c r="V3073" t="str">
        <v>x</v>
      </c>
      <c r="W3073">
        <f>D3073</f>
        <v>4</v>
      </c>
      <c r="X3073" t="str">
        <v>x</v>
      </c>
      <c r="Y3073">
        <f>Y3072</f>
        <v>1</v>
      </c>
      <c r="Z3073" t="str">
        <v>=</v>
      </c>
      <c r="AA3073">
        <f>(N3073+P3073*R3073/1000)*U3073*W3073*Y3073</f>
        <v>33.988976640000004</v>
      </c>
    </row>
    <row r="3075">
      <c r="A3075" t="str">
        <f>A3055</f>
        <v>Lantai 2</v>
      </c>
      <c r="B3075">
        <f>B3055</f>
        <v>15</v>
      </c>
      <c r="C3075" t="str">
        <v>Sengkang Tumpuan</v>
      </c>
      <c r="D3075">
        <f>VLOOKUP(D3055,'Detail Balok'!$C$10:$AU$140,31,FALSE)</f>
        <v>0</v>
      </c>
      <c r="E3075" t="str">
        <v>D</v>
      </c>
      <c r="F3075">
        <f>VLOOKUP(D3055,'Detail Balok'!$C$10:$AU$140,33,FALSE)</f>
        <v>10</v>
      </c>
      <c r="G3075" t="str">
        <v>-</v>
      </c>
      <c r="H3075">
        <f>VLOOKUP(D3055,'Detail Balok'!$C$10:$AU$140,35,FALSE)</f>
        <v>150</v>
      </c>
      <c r="J3075">
        <f>(IF(D3075=0,(2*(D3056+G3056))-(F$5*8),IF(D3075=3,(2*(D3056+G3056))-(F$5*8)+(G3056-2*F$5),IF(D3075=4,(2*(D3056+G3056))-(F$5*8)+2*(G3056-2*F$5)))))/1000</f>
        <v>1.08</v>
      </c>
      <c r="K3075" t="str">
        <v>+</v>
      </c>
      <c r="L3075">
        <f>IF(D3075=0,2*MAX(6*F3075,75),(D3075-1)*2*MAX(6*F3075,75))/1000</f>
        <v>0.15</v>
      </c>
      <c r="M3075" t="str">
        <v>=</v>
      </c>
      <c r="N3075">
        <f>J3075+L3075</f>
        <v>1.23</v>
      </c>
      <c r="T3075" t="str">
        <v>x</v>
      </c>
      <c r="U3075">
        <f>0.006165*F3075^2</f>
        <v>0.6165</v>
      </c>
      <c r="V3075" t="str">
        <v>x</v>
      </c>
      <c r="W3075">
        <f>IF(D3058&gt;4*G3056,ROUND(MAX(D3058/4,2*G3056)/H3075,0)+1,ROUND(D3058/H3075,0)+1)</f>
        <v>9</v>
      </c>
      <c r="X3075" t="str">
        <v>x</v>
      </c>
      <c r="Y3075">
        <f>D3061</f>
        <v>1</v>
      </c>
      <c r="Z3075" t="str">
        <v>=</v>
      </c>
      <c r="AA3075">
        <f>N3075*U3075*W3075*Y3075</f>
        <v>6.824655000000001</v>
      </c>
    </row>
    <row r="3076">
      <c r="A3076" t="str">
        <f>A3055</f>
        <v>Lantai 2</v>
      </c>
      <c r="B3076">
        <f>B3055</f>
        <v>15</v>
      </c>
      <c r="C3076" t="str">
        <v>Sengkang Lapangan</v>
      </c>
      <c r="D3076">
        <f>VLOOKUP(D3055,'Detail Balok'!$C$10:$AU$140,36,FALSE)</f>
        <v>0</v>
      </c>
      <c r="E3076" t="str">
        <v>D</v>
      </c>
      <c r="F3076">
        <f>VLOOKUP(D3055,'Detail Balok'!$C$10:$AU$140,38,FALSE)</f>
        <v>10</v>
      </c>
      <c r="G3076" t="str">
        <v>-</v>
      </c>
      <c r="H3076">
        <f>VLOOKUP(D3055,'Detail Balok'!$C$10:$AU$140,40,FALSE)</f>
        <v>200</v>
      </c>
      <c r="J3076">
        <f>(IF(D3076=0,(2*(D3056+G3056))-(F$5*8),IF(D3076=3,(2*(D3056+G3056))-(F$5*8)+(G3056-2*F$5),IF(D3076=4,(2*(D3056+G3056))-(F$5*8)+2*(G3056-2*F$5)))))/1000</f>
        <v>1.08</v>
      </c>
      <c r="K3076" t="str">
        <v>+</v>
      </c>
      <c r="L3076">
        <f>IF(D3076=0,2*MAX(6*F3076,75),(D3076-1)*2*MAX(6*F3076,75))/1000</f>
        <v>0.15</v>
      </c>
      <c r="M3076" t="str">
        <v>=</v>
      </c>
      <c r="N3076">
        <f>J3076+L3076</f>
        <v>1.23</v>
      </c>
      <c r="T3076" t="str">
        <v>x</v>
      </c>
      <c r="U3076">
        <f>0.006165*F3076^2</f>
        <v>0.6165</v>
      </c>
      <c r="V3076" t="str">
        <v>x</v>
      </c>
      <c r="W3076">
        <f>IF(D3058-MAX(D3058/4,2*G3056)*2&gt;0,ROUND((D3058-MAX(D3058/4,2*G3056)*2)/H3076,0),0)</f>
        <v>13</v>
      </c>
      <c r="X3076" t="str">
        <v>x</v>
      </c>
      <c r="Y3076">
        <f>D3061</f>
        <v>1</v>
      </c>
      <c r="Z3076" t="str">
        <v>=</v>
      </c>
      <c r="AA3076">
        <f>N3076*U3076*W3076*Y3076</f>
        <v>9.857835000000001</v>
      </c>
    </row>
    <row r="3077">
      <c r="A3077" t="str">
        <f>A3055</f>
        <v>Lantai 2</v>
      </c>
      <c r="B3077">
        <f>B3055</f>
        <v>15</v>
      </c>
      <c r="C3077" t="str">
        <v>Sengkang Tumpuan</v>
      </c>
      <c r="D3077">
        <f>VLOOKUP(D3055,'Detail Balok'!$C$10:$AU$140,41,FALSE)</f>
        <v>0</v>
      </c>
      <c r="E3077" t="str">
        <v>D</v>
      </c>
      <c r="F3077">
        <f>VLOOKUP(D3055,'Detail Balok'!$C$10:$AU$140,43,FALSE)</f>
        <v>10</v>
      </c>
      <c r="G3077" t="str">
        <v>-</v>
      </c>
      <c r="H3077">
        <f>VLOOKUP(D3055,'Detail Balok'!$C$10:$AU$140,45,FALSE)</f>
        <v>150</v>
      </c>
      <c r="J3077">
        <f>(IF(D3077=0,(2*(D3056+G3056))-(F$5*8),IF(D3077=3,(2*(D3056+G3056))-(F$5*8)+(G3056-2*F$5),IF(D3077=4,(2*(D3056+G3056))-(F$5*8)+2*(G3056-2*F$5)))))/1000</f>
        <v>1.08</v>
      </c>
      <c r="K3077" t="str">
        <v>+</v>
      </c>
      <c r="L3077">
        <f>IF(D3077=0,2*MAX(6*F3077,75),(D3077-1)*2*MAX(6*F3077,75))/1000</f>
        <v>0.15</v>
      </c>
      <c r="M3077" t="str">
        <v>=</v>
      </c>
      <c r="N3077">
        <f>J3077+L3077</f>
        <v>1.23</v>
      </c>
      <c r="T3077" t="str">
        <v>x</v>
      </c>
      <c r="U3077">
        <f>0.006165*F3077^2</f>
        <v>0.6165</v>
      </c>
      <c r="V3077" t="str">
        <v>x</v>
      </c>
      <c r="W3077">
        <f>IF(D3058&gt;4*G3056,ROUND(MAX(D3058/4,2*G3056)/H3077,0)+1,0)</f>
        <v>9</v>
      </c>
      <c r="X3077" t="str">
        <v>x</v>
      </c>
      <c r="Y3077">
        <f>D3061</f>
        <v>1</v>
      </c>
      <c r="Z3077" t="str">
        <v>=</v>
      </c>
      <c r="AA3077">
        <f>N3077*U3077*W3077*Y3077</f>
        <v>6.824655000000001</v>
      </c>
    </row>
    <row r="3079">
      <c r="A3079" t="str">
        <f>A3055</f>
        <v>Lantai 2</v>
      </c>
      <c r="B3079">
        <f>B3055</f>
        <v>15</v>
      </c>
      <c r="C3079" t="str">
        <v>Kait Horizontal Tump.</v>
      </c>
      <c r="D3079">
        <f>VLOOKUP(D3055,'Detail Balok'!$C$10:$BJ$140,46,FALSE)</f>
        <v>0</v>
      </c>
      <c r="E3079" t="str">
        <v>D</v>
      </c>
      <c r="F3079">
        <f>VLOOKUP(D3055,'Detail Balok'!$C$10:$BJ$140,48,FALSE)</f>
        <v>0</v>
      </c>
      <c r="G3079" t="str">
        <v>-</v>
      </c>
      <c r="H3079">
        <f>VLOOKUP(D3055,'Detail Balok'!$C$10:$BJ$140,50,FALSE)</f>
        <v>100</v>
      </c>
      <c r="J3079">
        <f>(D3056-2*F$5)/1000</f>
        <v>0.12</v>
      </c>
      <c r="K3079" t="str">
        <v>+</v>
      </c>
      <c r="L3079">
        <f>IF(D3079=0,2*MAX(6*F3079,75),(D3079-1)*2*MAX(6*F3079,75))/1000</f>
        <v>0.15</v>
      </c>
      <c r="M3079" t="str">
        <v>=</v>
      </c>
      <c r="N3079">
        <f>J3079+L3079</f>
        <v>0.27</v>
      </c>
      <c r="T3079" t="str">
        <v>x</v>
      </c>
      <c r="U3079">
        <f>0.006165*F3079^2</f>
        <v>0</v>
      </c>
      <c r="V3079" t="str">
        <v>x</v>
      </c>
      <c r="W3079">
        <f>W3075</f>
        <v>9</v>
      </c>
      <c r="X3079" t="str">
        <v>x</v>
      </c>
      <c r="Y3079">
        <f>D3065</f>
        <v>4</v>
      </c>
      <c r="Z3079" t="str">
        <v>=</v>
      </c>
      <c r="AA3079">
        <f>N3079*U3079*W3079*Y3079</f>
        <v>0</v>
      </c>
    </row>
    <row r="3080">
      <c r="A3080" t="str">
        <f>A3055</f>
        <v>Lantai 2</v>
      </c>
      <c r="B3080">
        <f>B3055</f>
        <v>15</v>
      </c>
      <c r="C3080" t="str">
        <v>Kait Horizontal Lap.</v>
      </c>
      <c r="D3080">
        <f>VLOOKUP(D3055,'Detail Balok'!$C$10:$BJ$140,51,FALSE)</f>
        <v>0</v>
      </c>
      <c r="E3080" t="str">
        <v>D</v>
      </c>
      <c r="F3080">
        <f>VLOOKUP(D3055,'Detail Balok'!$C$10:$BJ$140,53,FALSE)</f>
        <v>0</v>
      </c>
      <c r="G3080" t="str">
        <v>-</v>
      </c>
      <c r="H3080">
        <f>VLOOKUP(D3055,'Detail Balok'!$C$10:$BJ$140,55,FALSE)</f>
        <v>100</v>
      </c>
      <c r="J3080">
        <f>(D3056-2*F$5)/1000</f>
        <v>0.12</v>
      </c>
      <c r="K3080" t="str">
        <v>+</v>
      </c>
      <c r="L3080">
        <f>IF(D3080=0,2*MAX(6*F3080,75),(D3080-1)*2*MAX(6*F3080,75))/1000</f>
        <v>0.15</v>
      </c>
      <c r="M3080" t="str">
        <v>=</v>
      </c>
      <c r="N3080">
        <f>J3080+L3080</f>
        <v>0.27</v>
      </c>
      <c r="T3080" t="str">
        <v>x</v>
      </c>
      <c r="U3080">
        <f>0.006165*F3080^2</f>
        <v>0</v>
      </c>
      <c r="V3080" t="str">
        <v>x</v>
      </c>
      <c r="W3080">
        <f>W3076</f>
        <v>13</v>
      </c>
      <c r="X3080" t="str">
        <v>x</v>
      </c>
      <c r="Y3080">
        <f>D3065</f>
        <v>4</v>
      </c>
      <c r="Z3080" t="str">
        <v>=</v>
      </c>
      <c r="AA3080">
        <f>N3080*U3080*W3080*Y3080</f>
        <v>0</v>
      </c>
    </row>
    <row r="3081">
      <c r="A3081" t="str">
        <f>A3055</f>
        <v>Lantai 2</v>
      </c>
      <c r="B3081">
        <f>B3055</f>
        <v>15</v>
      </c>
      <c r="C3081" t="str">
        <v>Kait Horizontal Tump.</v>
      </c>
      <c r="D3081">
        <f>VLOOKUP(D3055,'Detail Balok'!$C$10:$BJ$140,56,FALSE)</f>
        <v>0</v>
      </c>
      <c r="E3081" t="str">
        <v>D</v>
      </c>
      <c r="F3081">
        <f>VLOOKUP(D3055,'Detail Balok'!$C$10:$BJ$140,58,FALSE)</f>
        <v>0</v>
      </c>
      <c r="G3081" t="str">
        <v>-</v>
      </c>
      <c r="H3081">
        <f>VLOOKUP(D3055,'Detail Balok'!$C$10:$BJ$140,60,FALSE)</f>
        <v>100</v>
      </c>
      <c r="J3081">
        <f>(D3056-2*F$5)/1000</f>
        <v>0.12</v>
      </c>
      <c r="K3081" t="str">
        <v>+</v>
      </c>
      <c r="L3081">
        <f>IF(D3081=0,2*MAX(6*F3081,75),(D3081-1)*2*MAX(6*F3081,75))/1000</f>
        <v>0.15</v>
      </c>
      <c r="M3081" t="str">
        <v>=</v>
      </c>
      <c r="N3081">
        <f>J3081+L3081</f>
        <v>0.27</v>
      </c>
      <c r="T3081" t="str">
        <v>x</v>
      </c>
      <c r="U3081">
        <f>0.006165*F3081^2</f>
        <v>0</v>
      </c>
      <c r="V3081" t="str">
        <v>x</v>
      </c>
      <c r="W3081">
        <f>W3077</f>
        <v>9</v>
      </c>
      <c r="X3081" t="str">
        <v>x</v>
      </c>
      <c r="Y3081">
        <f>D3065</f>
        <v>4</v>
      </c>
      <c r="Z3081" t="str">
        <v>=</v>
      </c>
      <c r="AA3081">
        <f>N3081*U3081*W3081*Y3081</f>
        <v>0</v>
      </c>
    </row>
    <row r="3085">
      <c r="A3085" t="str">
        <f>A3055</f>
        <v>Lantai 2</v>
      </c>
      <c r="B3085">
        <f>B3055+1</f>
        <v>16</v>
      </c>
      <c r="C3085" t="str">
        <f>CONCATENATE(A3085," no. ",B3085)</f>
        <v>Lantai 2 no. 16</v>
      </c>
      <c r="D3085" t="str">
        <f>VLOOKUP(C3085,'Data Panjang Balok'!$C$9:$N$254,2,FALSE)</f>
        <v>B36-1</v>
      </c>
    </row>
    <row r="3086">
      <c r="C3086" t="str">
        <v>Dimensi</v>
      </c>
      <c r="D3086">
        <f>VLOOKUP(D3085,'Detail Balok'!$C$10:$AU$140,2,FALSE)</f>
        <v>300</v>
      </c>
      <c r="F3086" t="str">
        <v>x</v>
      </c>
      <c r="G3086">
        <f>VLOOKUP(D3085,'Detail Balok'!$C$10:$AU$140,3,FALSE)</f>
        <v>600</v>
      </c>
    </row>
    <row r="3087">
      <c r="C3087" t="str">
        <v>Panjang as ke as</v>
      </c>
      <c r="D3087">
        <f>VLOOKUP(C3085,'Data Panjang Balok'!$C$9:$N$254,4,FALSE)</f>
        <v>6075</v>
      </c>
    </row>
    <row r="3088">
      <c r="C3088" t="str">
        <v>Panjang netto</v>
      </c>
      <c r="D3088">
        <f>VLOOKUP(C3085,'Data Panjang Balok'!$C$9:$N$254,7,FALSE)</f>
        <v>6075</v>
      </c>
    </row>
    <row r="3089">
      <c r="C3089" t="str">
        <v>Kolom / balok kiri</v>
      </c>
      <c r="D3089">
        <f>VLOOKUP(C3085,'Data Panjang Balok'!$C$9:$N$254,9,FALSE)</f>
        <v>0</v>
      </c>
    </row>
    <row r="3090">
      <c r="C3090" t="str">
        <v>Kolom / balok kanan</v>
      </c>
      <c r="D3090">
        <f>VLOOKUP(C3085,'Data Panjang Balok'!$C$9:$N$254,10,FALSE)</f>
        <v>0</v>
      </c>
    </row>
    <row r="3091">
      <c r="C3091" t="str">
        <v>Jumlah</v>
      </c>
      <c r="D3091">
        <f>VLOOKUP(C3085,'Data Panjang Balok'!$C$9:$N$254,3,FALSE)</f>
        <v>1</v>
      </c>
    </row>
    <row r="3092">
      <c r="A3092" t="str">
        <f>A3085</f>
        <v>Lantai 2</v>
      </c>
      <c r="B3092">
        <f>B3085</f>
        <v>16</v>
      </c>
      <c r="C3092" t="str">
        <v>Tul Atas Tumpuan</v>
      </c>
      <c r="D3092">
        <f>VLOOKUP(D3085,'Detail Balok'!$C$10:$AU$140,4,FALSE)</f>
        <v>5</v>
      </c>
      <c r="E3092" t="str">
        <v>D</v>
      </c>
      <c r="F3092">
        <f>VLOOKUP(D3085,'Detail Balok'!$C$10:$AU$140,6,FALSE)</f>
        <v>16</v>
      </c>
      <c r="I3092" t="str">
        <v>(</v>
      </c>
      <c r="J3092">
        <f>+D3087/4/1000</f>
        <v>1.51875</v>
      </c>
      <c r="K3092" t="str">
        <v>+</v>
      </c>
      <c r="L3092">
        <f>MAX(VLOOKUP(F3092,N$6:P$15,3,FALSE)/1000,2/3*D3089/1000)+F$16*F3092/1000</f>
        <v>0.192</v>
      </c>
      <c r="M3092" t="str">
        <v>=</v>
      </c>
      <c r="N3092">
        <f>J3092+L3092</f>
        <v>1.71075</v>
      </c>
      <c r="O3092" t="str">
        <v>+</v>
      </c>
      <c r="P3092">
        <f>D3092-D3093</f>
        <v>0</v>
      </c>
      <c r="Q3092" t="str">
        <v>x</v>
      </c>
      <c r="R3092">
        <f>IF(P3092&gt;0,$F$18*F3092/1000,0)</f>
        <v>0</v>
      </c>
      <c r="S3092" t="str">
        <v>)</v>
      </c>
      <c r="T3092" t="str">
        <v>x</v>
      </c>
      <c r="U3092">
        <f>0.006165*F3092^2</f>
        <v>1.57824</v>
      </c>
      <c r="X3092" t="str">
        <v>x</v>
      </c>
      <c r="Y3092">
        <f>D3091</f>
        <v>1</v>
      </c>
      <c r="Z3092" t="str">
        <v>=</v>
      </c>
      <c r="AA3092">
        <f>IF(AA3095=0,(D3092*N3092+P3092*R3092)*U3092*Y3092,0)</f>
        <v>0</v>
      </c>
    </row>
    <row r="3093">
      <c r="A3093" t="str">
        <f>A3085</f>
        <v>Lantai 2</v>
      </c>
      <c r="B3093">
        <f>B3085</f>
        <v>16</v>
      </c>
      <c r="C3093" t="str">
        <v>Tul Atas Lapangan</v>
      </c>
      <c r="D3093">
        <f>VLOOKUP(D3085,'Detail Balok'!$C$10:$AU$140,7,FALSE)</f>
        <v>5</v>
      </c>
      <c r="E3093" t="str">
        <v>D</v>
      </c>
      <c r="F3093">
        <f>VLOOKUP(D3085,'Detail Balok'!$C$10:$AU$140,9,FALSE)</f>
        <v>16</v>
      </c>
      <c r="I3093" t="str">
        <v>(</v>
      </c>
      <c r="J3093">
        <f>+D3087/2/1000</f>
        <v>3.0375</v>
      </c>
      <c r="K3093" t="str">
        <v>+</v>
      </c>
      <c r="M3093" t="str">
        <v>=</v>
      </c>
      <c r="N3093">
        <f>J3093+L3093</f>
        <v>3.0375</v>
      </c>
      <c r="O3093" t="str">
        <v>+</v>
      </c>
      <c r="P3093">
        <f>MAX(D3093-D3092,D3093-D3094)</f>
        <v>0</v>
      </c>
      <c r="Q3093" t="str">
        <v>x</v>
      </c>
      <c r="R3093">
        <f>IF(P3093&gt;0,2*(1-2*$F$19-1/2)*D3088/1000,0)</f>
        <v>0</v>
      </c>
      <c r="S3093" t="str">
        <v>)</v>
      </c>
      <c r="T3093" t="str">
        <v>x</v>
      </c>
      <c r="U3093">
        <f>0.006165*F3093^2</f>
        <v>1.57824</v>
      </c>
      <c r="X3093" t="str">
        <v>x</v>
      </c>
      <c r="Y3093">
        <f>D3091</f>
        <v>1</v>
      </c>
      <c r="Z3093" t="str">
        <v>=</v>
      </c>
      <c r="AA3093">
        <f>IF(AA3095=0,(D3093*N3093+P3093*R3093)*U3093*Y3093,0)</f>
        <v>0</v>
      </c>
    </row>
    <row r="3094">
      <c r="A3094" t="str">
        <f>A3085</f>
        <v>Lantai 2</v>
      </c>
      <c r="B3094">
        <f>B3085</f>
        <v>16</v>
      </c>
      <c r="C3094" t="str">
        <v>Tul Atas Tumpuan</v>
      </c>
      <c r="D3094">
        <f>VLOOKUP(D3085,'Detail Balok'!$C$10:$AU$140,10,FALSE)</f>
        <v>5</v>
      </c>
      <c r="E3094" t="str">
        <v>D</v>
      </c>
      <c r="F3094">
        <f>VLOOKUP(D3085,'Detail Balok'!$C$10:$AU$140,12,FALSE)</f>
        <v>16</v>
      </c>
      <c r="I3094" t="str">
        <v>(</v>
      </c>
      <c r="J3094">
        <f>+D3087/4/1000</f>
        <v>1.51875</v>
      </c>
      <c r="K3094" t="str">
        <v>+</v>
      </c>
      <c r="L3094">
        <f>MAX(VLOOKUP(F3094,N$6:P$15,3,FALSE)/1000,2/3*D3089/1000)+F$16*F3094/1000</f>
        <v>0.192</v>
      </c>
      <c r="M3094" t="str">
        <v>=</v>
      </c>
      <c r="N3094">
        <f>J3094+L3094</f>
        <v>1.71075</v>
      </c>
      <c r="O3094" t="str">
        <v>+</v>
      </c>
      <c r="P3094">
        <f>D3094-D3093</f>
        <v>0</v>
      </c>
      <c r="Q3094" t="str">
        <v>x</v>
      </c>
      <c r="R3094">
        <f>IF(P3094&gt;0,$F$18*F3094/1000,0)</f>
        <v>0</v>
      </c>
      <c r="S3094" t="str">
        <v>)</v>
      </c>
      <c r="T3094" t="str">
        <v>x</v>
      </c>
      <c r="U3094">
        <f>0.006165*F3094^2</f>
        <v>1.57824</v>
      </c>
      <c r="X3094" t="str">
        <v>x</v>
      </c>
      <c r="Y3094">
        <f>D3091</f>
        <v>1</v>
      </c>
      <c r="Z3094" t="str">
        <v>=</v>
      </c>
      <c r="AA3094">
        <f>IF(AA3095=0,(D3094*N3094+P3094*R3094)*U3094*Y3094,0)</f>
        <v>0</v>
      </c>
    </row>
    <row r="3095">
      <c r="A3095" t="str">
        <f>A3085</f>
        <v>Lantai 2</v>
      </c>
      <c r="B3095">
        <f>B3085</f>
        <v>16</v>
      </c>
      <c r="D3095">
        <f>IF(AND(D3092=D3093,D3093=D3094,D3092=D3094),D3092,0)</f>
        <v>5</v>
      </c>
      <c r="E3095" t="str">
        <v>D</v>
      </c>
      <c r="F3095">
        <f>IF(AND(F3092=F3093,F3092=F3094,F3093=F3094),F3092,0)</f>
        <v>16</v>
      </c>
      <c r="L3095" t="str">
        <v>Total panjang per balok</v>
      </c>
      <c r="M3095" t="str">
        <v>=</v>
      </c>
      <c r="N3095">
        <f>IF(AND(D3092=D3093,D3092=D3094,D3093=D3094,F3092=F3093,F3092=F3094,F3093=F3094),SUM(N3092:N3094),0)</f>
        <v>6.4590000000000005</v>
      </c>
      <c r="O3095" t="str">
        <v>+</v>
      </c>
      <c r="P3095">
        <f>IF(N3095&gt;12,ROUNDDOWN(N3095/12,0),0)</f>
        <v>0</v>
      </c>
      <c r="Q3095" t="str">
        <v>x</v>
      </c>
      <c r="R3095">
        <f>IF(P3095&gt;0,MAX(VLOOKUP(F3095,$D$6:$G$15,3,FALSE),600),0)/1000</f>
        <v>0</v>
      </c>
      <c r="T3095" t="str">
        <v>x</v>
      </c>
      <c r="U3095">
        <f>U3094</f>
        <v>1.57824</v>
      </c>
      <c r="V3095" t="str">
        <v>x</v>
      </c>
      <c r="W3095">
        <f>D3095</f>
        <v>5</v>
      </c>
      <c r="X3095" t="str">
        <v>x</v>
      </c>
      <c r="Y3095">
        <f>Y3094</f>
        <v>1</v>
      </c>
      <c r="Z3095" t="str">
        <v>=</v>
      </c>
      <c r="AA3095">
        <f>(N3095+P3095*R3095/1000)*U3095*W3095*Y3095</f>
        <v>50.9692608</v>
      </c>
    </row>
    <row r="3097">
      <c r="A3097" t="str">
        <f>A3085</f>
        <v>Lantai 2</v>
      </c>
      <c r="B3097">
        <f>B3085</f>
        <v>16</v>
      </c>
      <c r="C3097" t="str">
        <v>Tul Peminggang</v>
      </c>
      <c r="D3097">
        <f>VLOOKUP(D3085,'Detail Balok'!$C$10:$AU$140,13,FALSE)</f>
        <v>2</v>
      </c>
      <c r="E3097" t="str">
        <v>D</v>
      </c>
      <c r="F3097">
        <f>VLOOKUP(D3085,'Detail Balok'!$C$10:$AU$140,15,FALSE)</f>
        <v>10</v>
      </c>
      <c r="J3097">
        <f>+D3087/1000</f>
        <v>6.075</v>
      </c>
      <c r="K3097" t="str">
        <v>+</v>
      </c>
      <c r="L3097">
        <f>2*$F$16*F3097/1000</f>
        <v>0.24</v>
      </c>
      <c r="M3097" t="str">
        <v>=</v>
      </c>
      <c r="N3097">
        <f>J3097+L3097</f>
        <v>6.315</v>
      </c>
      <c r="O3097" t="str">
        <v>+</v>
      </c>
      <c r="P3097">
        <f>IF(N3097&gt;12,ROUNDDOWN(N3097/12,0),0)</f>
        <v>0</v>
      </c>
      <c r="Q3097" t="str">
        <v>x</v>
      </c>
      <c r="R3097">
        <f>IF(P3097&gt;0,MAX(VLOOKUP(F3097,$D$6:$G$15,3,FALSE),600),0)/1000</f>
        <v>0</v>
      </c>
      <c r="T3097" t="str">
        <v>x</v>
      </c>
      <c r="U3097">
        <f>0.006165*F3097^2</f>
        <v>0.6165</v>
      </c>
      <c r="V3097" t="str">
        <v>x</v>
      </c>
      <c r="W3097">
        <f>+D3097</f>
        <v>2</v>
      </c>
      <c r="X3097" t="str">
        <v>x</v>
      </c>
      <c r="Y3097">
        <f>D3091</f>
        <v>1</v>
      </c>
      <c r="Z3097" t="str">
        <v>=</v>
      </c>
      <c r="AA3097">
        <f>(N3097+P3097*R3097/1000)*U3097*W3097*Y3097</f>
        <v>7.7863950000000015</v>
      </c>
    </row>
    <row r="3100">
      <c r="A3100" t="str">
        <f>A3085</f>
        <v>Lantai 2</v>
      </c>
      <c r="B3100">
        <f>B3085</f>
        <v>16</v>
      </c>
      <c r="C3100" t="str">
        <v>Tul Bawah Tumpuan</v>
      </c>
      <c r="D3100">
        <f>VLOOKUP(D3085,'Detail Balok'!$C$10:$AU$140,22,FALSE)</f>
        <v>5</v>
      </c>
      <c r="E3100" t="str">
        <v>D</v>
      </c>
      <c r="F3100">
        <f>VLOOKUP(D3085,'Detail Balok'!$C$10:$AU$140,24,FALSE)</f>
        <v>16</v>
      </c>
      <c r="I3100" t="str">
        <v>(</v>
      </c>
      <c r="J3100">
        <f>+J3092</f>
        <v>1.51875</v>
      </c>
      <c r="K3100" t="str">
        <v>+</v>
      </c>
      <c r="L3100">
        <f>MAX(VLOOKUP(F3100,N$6:P$15,3,FALSE)/1000,2/3*D3090/1000)+F$16*F3100/1000</f>
        <v>0.192</v>
      </c>
      <c r="M3100" t="str">
        <v>=</v>
      </c>
      <c r="N3100">
        <f>J3100+L3100</f>
        <v>1.71075</v>
      </c>
      <c r="O3100" t="str">
        <v>+</v>
      </c>
      <c r="P3100">
        <f>D3100-D3101</f>
        <v>0</v>
      </c>
      <c r="Q3100" t="str">
        <v>x</v>
      </c>
      <c r="R3100">
        <f>IF(P3100&gt;0,$F$18*F3100/1000,0)</f>
        <v>0</v>
      </c>
      <c r="S3100" t="str">
        <v>)</v>
      </c>
      <c r="T3100" t="str">
        <v>x</v>
      </c>
      <c r="U3100">
        <f>0.006165*F3100^2</f>
        <v>1.57824</v>
      </c>
      <c r="X3100" t="str">
        <v>x</v>
      </c>
      <c r="Y3100">
        <f>D3091</f>
        <v>1</v>
      </c>
      <c r="Z3100" t="str">
        <v>=</v>
      </c>
      <c r="AA3100">
        <f>IF(AA3103=0,(D3100*N3100+P3100*R3100)*U3100*Y3100,0)</f>
        <v>0</v>
      </c>
    </row>
    <row r="3101">
      <c r="A3101" t="str">
        <f>A3085</f>
        <v>Lantai 2</v>
      </c>
      <c r="B3101">
        <f>B3085</f>
        <v>16</v>
      </c>
      <c r="C3101" t="str">
        <v>Tul Bawah Lapangan</v>
      </c>
      <c r="D3101">
        <f>VLOOKUP(D3085,'Detail Balok'!$C$10:$AU$140,25,FALSE)</f>
        <v>5</v>
      </c>
      <c r="E3101" t="str">
        <v>D</v>
      </c>
      <c r="F3101">
        <f>VLOOKUP(D3085,'Detail Balok'!$C$10:$AU$140,27,FALSE)</f>
        <v>16</v>
      </c>
      <c r="I3101" t="str">
        <v>(</v>
      </c>
      <c r="J3101">
        <f>+J3093</f>
        <v>3.0375</v>
      </c>
      <c r="K3101" t="str">
        <v>+</v>
      </c>
      <c r="M3101" t="str">
        <v>=</v>
      </c>
      <c r="N3101">
        <f>J3101+L3101</f>
        <v>3.0375</v>
      </c>
      <c r="O3101" t="str">
        <v>+</v>
      </c>
      <c r="P3101">
        <f>MAX(D3101-D3100,D3101-D3102)</f>
        <v>0</v>
      </c>
      <c r="Q3101" t="str">
        <v>x</v>
      </c>
      <c r="R3101">
        <f>IF(P3101&gt;0,2*(1-2*$F$19-1/2)*D3088/1000,0)</f>
        <v>0</v>
      </c>
      <c r="S3101" t="str">
        <v>)</v>
      </c>
      <c r="T3101" t="str">
        <v>x</v>
      </c>
      <c r="U3101">
        <f>0.006165*F3101^2</f>
        <v>1.57824</v>
      </c>
      <c r="X3101" t="str">
        <v>x</v>
      </c>
      <c r="Y3101">
        <f>D3091</f>
        <v>1</v>
      </c>
      <c r="Z3101" t="str">
        <v>=</v>
      </c>
      <c r="AA3101">
        <f>IF(AA3103=0,(D3101*N3101+P3101*R3101)*U3101*Y3101,0)</f>
        <v>0</v>
      </c>
    </row>
    <row r="3102">
      <c r="A3102" t="str">
        <f>A3085</f>
        <v>Lantai 2</v>
      </c>
      <c r="B3102">
        <f>B3085</f>
        <v>16</v>
      </c>
      <c r="C3102" t="str">
        <v>Tul Bawah Tumpuan</v>
      </c>
      <c r="D3102">
        <f>VLOOKUP(D3085,'Detail Balok'!$C$10:$AU$140,28,FALSE)</f>
        <v>5</v>
      </c>
      <c r="E3102" t="str">
        <v>D</v>
      </c>
      <c r="F3102">
        <f>VLOOKUP(D3085,'Detail Balok'!$C$10:$AU$140,30,FALSE)</f>
        <v>16</v>
      </c>
      <c r="I3102" t="str">
        <v>(</v>
      </c>
      <c r="J3102">
        <f>+J3094</f>
        <v>1.51875</v>
      </c>
      <c r="K3102" t="str">
        <v>+</v>
      </c>
      <c r="L3102">
        <f>MAX(VLOOKUP(F3102,N$6:P$15,3,FALSE)/1000,2/3*D3090/1000)+F$16*F3102/1000</f>
        <v>0.192</v>
      </c>
      <c r="M3102" t="str">
        <v>=</v>
      </c>
      <c r="N3102">
        <f>J3102+L3102</f>
        <v>1.71075</v>
      </c>
      <c r="O3102" t="str">
        <v>+</v>
      </c>
      <c r="P3102">
        <f>D3102-D3101</f>
        <v>0</v>
      </c>
      <c r="Q3102" t="str">
        <v>x</v>
      </c>
      <c r="R3102">
        <f>IF(P3102&gt;0,$F$18*F3102/1000,0)</f>
        <v>0</v>
      </c>
      <c r="S3102" t="str">
        <v>)</v>
      </c>
      <c r="T3102" t="str">
        <v>x</v>
      </c>
      <c r="U3102">
        <f>0.006165*F3102^2</f>
        <v>1.57824</v>
      </c>
      <c r="X3102" t="str">
        <v>x</v>
      </c>
      <c r="Y3102">
        <f>D3091</f>
        <v>1</v>
      </c>
      <c r="Z3102" t="str">
        <v>=</v>
      </c>
      <c r="AA3102">
        <f>IF(AA3103=0,(D3102*N3102+P3102*R3102)*U3102*Y3102,0)</f>
        <v>0</v>
      </c>
    </row>
    <row r="3103">
      <c r="A3103" t="str">
        <f>A3085</f>
        <v>Lantai 2</v>
      </c>
      <c r="B3103">
        <f>B3085</f>
        <v>16</v>
      </c>
      <c r="D3103">
        <f>IF(AND(D3100=D3101,D3101=D3102,D3100=D3102),D3100,0)</f>
        <v>5</v>
      </c>
      <c r="E3103" t="str">
        <v>D</v>
      </c>
      <c r="F3103">
        <f>IF(AND(F3100=F3101,F3100=F3102,F3101=F3102),F3100,0)</f>
        <v>16</v>
      </c>
      <c r="L3103" t="str">
        <v>Total panjang per balok</v>
      </c>
      <c r="M3103" t="str">
        <v>=</v>
      </c>
      <c r="N3103">
        <f>IF(AND(D3100=D3101,D3100=D3102,D3101=D3102,F3100=F3101,F3100=F3102,F3101=F3102),SUM(N3100:N3102),0)</f>
        <v>6.4590000000000005</v>
      </c>
      <c r="O3103" t="str">
        <v>+</v>
      </c>
      <c r="P3103">
        <f>IF(N3103&gt;12,ROUNDDOWN(N3103/12,0),0)</f>
        <v>0</v>
      </c>
      <c r="Q3103" t="str">
        <v>x</v>
      </c>
      <c r="R3103">
        <f>IF(P3103&gt;0,MAX(VLOOKUP(F3103,$D$6:$G$15,3,FALSE),600),0)/1000</f>
        <v>0</v>
      </c>
      <c r="T3103" t="str">
        <v>x</v>
      </c>
      <c r="U3103">
        <f>U3102</f>
        <v>1.57824</v>
      </c>
      <c r="V3103" t="str">
        <v>x</v>
      </c>
      <c r="W3103">
        <f>D3103</f>
        <v>5</v>
      </c>
      <c r="X3103" t="str">
        <v>x</v>
      </c>
      <c r="Y3103">
        <f>Y3102</f>
        <v>1</v>
      </c>
      <c r="Z3103" t="str">
        <v>=</v>
      </c>
      <c r="AA3103">
        <f>(N3103+P3103*R3103/1000)*U3103*W3103*Y3103</f>
        <v>50.9692608</v>
      </c>
    </row>
    <row r="3105">
      <c r="A3105" t="str">
        <f>A3085</f>
        <v>Lantai 2</v>
      </c>
      <c r="B3105">
        <f>B3085</f>
        <v>16</v>
      </c>
      <c r="C3105" t="str">
        <v>Sengkang Tumpuan</v>
      </c>
      <c r="D3105">
        <f>VLOOKUP(D3085,'Detail Balok'!$C$10:$AU$140,31,FALSE)</f>
        <v>0</v>
      </c>
      <c r="E3105" t="str">
        <v>D</v>
      </c>
      <c r="F3105">
        <f>VLOOKUP(D3085,'Detail Balok'!$C$10:$AU$140,33,FALSE)</f>
        <v>10</v>
      </c>
      <c r="G3105" t="str">
        <v>-</v>
      </c>
      <c r="H3105">
        <f>VLOOKUP(D3085,'Detail Balok'!$C$10:$AU$140,35,FALSE)</f>
        <v>100</v>
      </c>
      <c r="J3105">
        <f>(IF(D3105=0,(2*(D3086+G3086))-(F$5*8),IF(D3105=3,(2*(D3086+G3086))-(F$5*8)+(G3086-2*F$5),IF(D3105=4,(2*(D3086+G3086))-(F$5*8)+2*(G3086-2*F$5)))))/1000</f>
        <v>1.48</v>
      </c>
      <c r="K3105" t="str">
        <v>+</v>
      </c>
      <c r="L3105">
        <f>IF(D3105=0,2*MAX(6*F3105,75),(D3105-1)*2*MAX(6*F3105,75))/1000</f>
        <v>0.15</v>
      </c>
      <c r="M3105" t="str">
        <v>=</v>
      </c>
      <c r="N3105">
        <f>J3105+L3105</f>
        <v>1.63</v>
      </c>
      <c r="T3105" t="str">
        <v>x</v>
      </c>
      <c r="U3105">
        <f>0.006165*F3105^2</f>
        <v>0.6165</v>
      </c>
      <c r="V3105" t="str">
        <v>x</v>
      </c>
      <c r="W3105">
        <f>IF(D3088&gt;4*G3086,ROUND(MAX(D3088/4,2*G3086)/H3105,0)+1,ROUND(D3088/H3105,0)+1)</f>
        <v>16</v>
      </c>
      <c r="X3105" t="str">
        <v>x</v>
      </c>
      <c r="Y3105">
        <f>D3091</f>
        <v>1</v>
      </c>
      <c r="Z3105" t="str">
        <v>=</v>
      </c>
      <c r="AA3105">
        <f>N3105*U3105*W3105*Y3105</f>
        <v>16.07832</v>
      </c>
    </row>
    <row r="3106">
      <c r="A3106" t="str">
        <f>A3085</f>
        <v>Lantai 2</v>
      </c>
      <c r="B3106">
        <f>B3085</f>
        <v>16</v>
      </c>
      <c r="C3106" t="str">
        <v>Sengkang Lapangan</v>
      </c>
      <c r="D3106">
        <f>VLOOKUP(D3085,'Detail Balok'!$C$10:$AU$140,36,FALSE)</f>
        <v>0</v>
      </c>
      <c r="E3106" t="str">
        <v>D</v>
      </c>
      <c r="F3106">
        <f>VLOOKUP(D3085,'Detail Balok'!$C$10:$AU$140,38,FALSE)</f>
        <v>10</v>
      </c>
      <c r="G3106" t="str">
        <v>-</v>
      </c>
      <c r="H3106">
        <f>VLOOKUP(D3085,'Detail Balok'!$C$10:$AU$140,40,FALSE)</f>
        <v>150</v>
      </c>
      <c r="J3106">
        <f>(IF(D3106=0,(2*(D3086+G3086))-(F$5*8),IF(D3106=3,(2*(D3086+G3086))-(F$5*8)+(G3086-2*F$5),IF(D3106=4,(2*(D3086+G3086))-(F$5*8)+2*(G3086-2*F$5)))))/1000</f>
        <v>1.48</v>
      </c>
      <c r="K3106" t="str">
        <v>+</v>
      </c>
      <c r="L3106">
        <f>IF(D3106=0,2*MAX(6*F3106,75),(D3106-1)*2*MAX(6*F3106,75))/1000</f>
        <v>0.15</v>
      </c>
      <c r="M3106" t="str">
        <v>=</v>
      </c>
      <c r="N3106">
        <f>J3106+L3106</f>
        <v>1.63</v>
      </c>
      <c r="T3106" t="str">
        <v>x</v>
      </c>
      <c r="U3106">
        <f>0.006165*F3106^2</f>
        <v>0.6165</v>
      </c>
      <c r="V3106" t="str">
        <v>x</v>
      </c>
      <c r="W3106">
        <f>IF(D3088-MAX(D3088/4,2*G3086)*2&gt;0,ROUND((D3088-MAX(D3088/4,2*G3086)*2)/H3106,0),0)</f>
        <v>20</v>
      </c>
      <c r="X3106" t="str">
        <v>x</v>
      </c>
      <c r="Y3106">
        <f>D3091</f>
        <v>1</v>
      </c>
      <c r="Z3106" t="str">
        <v>=</v>
      </c>
      <c r="AA3106">
        <f>N3106*U3106*W3106*Y3106</f>
        <v>20.097900000000003</v>
      </c>
    </row>
    <row r="3107">
      <c r="A3107" t="str">
        <f>A3085</f>
        <v>Lantai 2</v>
      </c>
      <c r="B3107">
        <f>B3085</f>
        <v>16</v>
      </c>
      <c r="C3107" t="str">
        <v>Sengkang Tumpuan</v>
      </c>
      <c r="D3107">
        <f>VLOOKUP(D3085,'Detail Balok'!$C$10:$AU$140,41,FALSE)</f>
        <v>0</v>
      </c>
      <c r="E3107" t="str">
        <v>D</v>
      </c>
      <c r="F3107">
        <f>VLOOKUP(D3085,'Detail Balok'!$C$10:$AU$140,43,FALSE)</f>
        <v>10</v>
      </c>
      <c r="G3107" t="str">
        <v>-</v>
      </c>
      <c r="H3107">
        <f>VLOOKUP(D3085,'Detail Balok'!$C$10:$AU$140,45,FALSE)</f>
        <v>100</v>
      </c>
      <c r="J3107">
        <f>(IF(D3107=0,(2*(D3086+G3086))-(F$5*8),IF(D3107=3,(2*(D3086+G3086))-(F$5*8)+(G3086-2*F$5),IF(D3107=4,(2*(D3086+G3086))-(F$5*8)+2*(G3086-2*F$5)))))/1000</f>
        <v>1.48</v>
      </c>
      <c r="K3107" t="str">
        <v>+</v>
      </c>
      <c r="L3107">
        <f>IF(D3107=0,2*MAX(6*F3107,75),(D3107-1)*2*MAX(6*F3107,75))/1000</f>
        <v>0.15</v>
      </c>
      <c r="M3107" t="str">
        <v>=</v>
      </c>
      <c r="N3107">
        <f>J3107+L3107</f>
        <v>1.63</v>
      </c>
      <c r="T3107" t="str">
        <v>x</v>
      </c>
      <c r="U3107">
        <f>0.006165*F3107^2</f>
        <v>0.6165</v>
      </c>
      <c r="V3107" t="str">
        <v>x</v>
      </c>
      <c r="W3107">
        <f>IF(D3088&gt;4*G3086,ROUND(MAX(D3088/4,2*G3086)/H3107,0)+1,0)</f>
        <v>16</v>
      </c>
      <c r="X3107" t="str">
        <v>x</v>
      </c>
      <c r="Y3107">
        <f>D3091</f>
        <v>1</v>
      </c>
      <c r="Z3107" t="str">
        <v>=</v>
      </c>
      <c r="AA3107">
        <f>N3107*U3107*W3107*Y3107</f>
        <v>16.07832</v>
      </c>
    </row>
    <row r="3109">
      <c r="A3109" t="str">
        <f>A3085</f>
        <v>Lantai 2</v>
      </c>
      <c r="B3109">
        <f>B3085</f>
        <v>16</v>
      </c>
      <c r="C3109" t="str">
        <v>Kait Horizontal Tump.</v>
      </c>
      <c r="D3109">
        <f>VLOOKUP(D3085,'Detail Balok'!$C$10:$BJ$140,46,FALSE)</f>
        <v>0</v>
      </c>
      <c r="E3109" t="str">
        <v>D</v>
      </c>
      <c r="F3109">
        <f>VLOOKUP(D3085,'Detail Balok'!$C$10:$BJ$140,48,FALSE)</f>
        <v>0</v>
      </c>
      <c r="G3109" t="str">
        <v>-</v>
      </c>
      <c r="H3109">
        <f>VLOOKUP(D3085,'Detail Balok'!$C$10:$BJ$140,50,FALSE)</f>
        <v>100</v>
      </c>
      <c r="J3109">
        <f>(D3086-2*F$5)/1000</f>
        <v>0.22</v>
      </c>
      <c r="K3109" t="str">
        <v>+</v>
      </c>
      <c r="L3109">
        <f>IF(D3109=0,2*MAX(6*F3109,75),(D3109-1)*2*MAX(6*F3109,75))/1000</f>
        <v>0.15</v>
      </c>
      <c r="M3109" t="str">
        <v>=</v>
      </c>
      <c r="N3109">
        <f>J3109+L3109</f>
        <v>0.37</v>
      </c>
      <c r="T3109" t="str">
        <v>x</v>
      </c>
      <c r="U3109">
        <f>0.006165*F3109^2</f>
        <v>0</v>
      </c>
      <c r="V3109" t="str">
        <v>x</v>
      </c>
      <c r="W3109">
        <f>W3105</f>
        <v>16</v>
      </c>
      <c r="X3109" t="str">
        <v>x</v>
      </c>
      <c r="Y3109">
        <f>D3095</f>
        <v>5</v>
      </c>
      <c r="Z3109" t="str">
        <v>=</v>
      </c>
      <c r="AA3109">
        <f>N3109*U3109*W3109*Y3109</f>
        <v>0</v>
      </c>
    </row>
    <row r="3110">
      <c r="A3110" t="str">
        <f>A3085</f>
        <v>Lantai 2</v>
      </c>
      <c r="B3110">
        <f>B3085</f>
        <v>16</v>
      </c>
      <c r="C3110" t="str">
        <v>Kait Horizontal Lap.</v>
      </c>
      <c r="D3110">
        <f>VLOOKUP(D3085,'Detail Balok'!$C$10:$BJ$140,51,FALSE)</f>
        <v>0</v>
      </c>
      <c r="E3110" t="str">
        <v>D</v>
      </c>
      <c r="F3110">
        <f>VLOOKUP(D3085,'Detail Balok'!$C$10:$BJ$140,53,FALSE)</f>
        <v>0</v>
      </c>
      <c r="G3110" t="str">
        <v>-</v>
      </c>
      <c r="H3110">
        <f>VLOOKUP(D3085,'Detail Balok'!$C$10:$BJ$140,55,FALSE)</f>
        <v>100</v>
      </c>
      <c r="J3110">
        <f>(D3086-2*F$5)/1000</f>
        <v>0.22</v>
      </c>
      <c r="K3110" t="str">
        <v>+</v>
      </c>
      <c r="L3110">
        <f>IF(D3110=0,2*MAX(6*F3110,75),(D3110-1)*2*MAX(6*F3110,75))/1000</f>
        <v>0.15</v>
      </c>
      <c r="M3110" t="str">
        <v>=</v>
      </c>
      <c r="N3110">
        <f>J3110+L3110</f>
        <v>0.37</v>
      </c>
      <c r="T3110" t="str">
        <v>x</v>
      </c>
      <c r="U3110">
        <f>0.006165*F3110^2</f>
        <v>0</v>
      </c>
      <c r="V3110" t="str">
        <v>x</v>
      </c>
      <c r="W3110">
        <f>W3106</f>
        <v>20</v>
      </c>
      <c r="X3110" t="str">
        <v>x</v>
      </c>
      <c r="Y3110">
        <f>D3095</f>
        <v>5</v>
      </c>
      <c r="Z3110" t="str">
        <v>=</v>
      </c>
      <c r="AA3110">
        <f>N3110*U3110*W3110*Y3110</f>
        <v>0</v>
      </c>
    </row>
    <row r="3111">
      <c r="A3111" t="str">
        <f>A3085</f>
        <v>Lantai 2</v>
      </c>
      <c r="B3111">
        <f>B3085</f>
        <v>16</v>
      </c>
      <c r="C3111" t="str">
        <v>Kait Horizontal Tump.</v>
      </c>
      <c r="D3111">
        <f>VLOOKUP(D3085,'Detail Balok'!$C$10:$BJ$140,56,FALSE)</f>
        <v>0</v>
      </c>
      <c r="E3111" t="str">
        <v>D</v>
      </c>
      <c r="F3111">
        <f>VLOOKUP(D3085,'Detail Balok'!$C$10:$BJ$140,58,FALSE)</f>
        <v>0</v>
      </c>
      <c r="G3111" t="str">
        <v>-</v>
      </c>
      <c r="H3111">
        <f>VLOOKUP(D3085,'Detail Balok'!$C$10:$BJ$140,60,FALSE)</f>
        <v>100</v>
      </c>
      <c r="J3111">
        <f>(D3086-2*F$5)/1000</f>
        <v>0.22</v>
      </c>
      <c r="K3111" t="str">
        <v>+</v>
      </c>
      <c r="L3111">
        <f>IF(D3111=0,2*MAX(6*F3111,75),(D3111-1)*2*MAX(6*F3111,75))/1000</f>
        <v>0.15</v>
      </c>
      <c r="M3111" t="str">
        <v>=</v>
      </c>
      <c r="N3111">
        <f>J3111+L3111</f>
        <v>0.37</v>
      </c>
      <c r="T3111" t="str">
        <v>x</v>
      </c>
      <c r="U3111">
        <f>0.006165*F3111^2</f>
        <v>0</v>
      </c>
      <c r="V3111" t="str">
        <v>x</v>
      </c>
      <c r="W3111">
        <f>W3107</f>
        <v>16</v>
      </c>
      <c r="X3111" t="str">
        <v>x</v>
      </c>
      <c r="Y3111">
        <f>D3095</f>
        <v>5</v>
      </c>
      <c r="Z3111" t="str">
        <v>=</v>
      </c>
      <c r="AA3111">
        <f>N3111*U3111*W3111*Y3111</f>
        <v>0</v>
      </c>
    </row>
    <row r="3115">
      <c r="A3115" t="str">
        <f>A3085</f>
        <v>Lantai 2</v>
      </c>
      <c r="B3115">
        <f>B3085+1</f>
        <v>17</v>
      </c>
      <c r="C3115" t="str">
        <f>CONCATENATE(A3115," no. ",B3115)</f>
        <v>Lantai 2 no. 17</v>
      </c>
      <c r="D3115" t="str">
        <f>VLOOKUP(C3115,'Data Panjang Balok'!$C$9:$N$254,2,FALSE)</f>
        <v>B24-2</v>
      </c>
    </row>
    <row r="3116">
      <c r="C3116" t="str">
        <v>Dimensi</v>
      </c>
      <c r="D3116">
        <f>VLOOKUP(D3115,'Detail Balok'!$C$10:$AU$140,2,FALSE)</f>
        <v>200</v>
      </c>
      <c r="F3116" t="str">
        <v>x</v>
      </c>
      <c r="G3116">
        <f>VLOOKUP(D3115,'Detail Balok'!$C$10:$AU$140,3,FALSE)</f>
        <v>400</v>
      </c>
    </row>
    <row r="3117">
      <c r="C3117" t="str">
        <v>Panjang as ke as</v>
      </c>
      <c r="D3117">
        <f>VLOOKUP(C3115,'Data Panjang Balok'!$C$9:$N$254,4,FALSE)</f>
        <v>4065</v>
      </c>
    </row>
    <row r="3118">
      <c r="C3118" t="str">
        <v>Panjang netto</v>
      </c>
      <c r="D3118">
        <f>VLOOKUP(C3115,'Data Panjang Balok'!$C$9:$N$254,7,FALSE)</f>
        <v>4065</v>
      </c>
    </row>
    <row r="3119">
      <c r="C3119" t="str">
        <v>Kolom / balok kiri</v>
      </c>
      <c r="D3119">
        <f>VLOOKUP(C3115,'Data Panjang Balok'!$C$9:$N$254,9,FALSE)</f>
        <v>0</v>
      </c>
    </row>
    <row r="3120">
      <c r="C3120" t="str">
        <v>Kolom / balok kanan</v>
      </c>
      <c r="D3120">
        <f>VLOOKUP(C3115,'Data Panjang Balok'!$C$9:$N$254,10,FALSE)</f>
        <v>0</v>
      </c>
    </row>
    <row r="3121">
      <c r="C3121" t="str">
        <v>Jumlah</v>
      </c>
      <c r="D3121">
        <f>VLOOKUP(C3115,'Data Panjang Balok'!$C$9:$N$254,3,FALSE)</f>
        <v>1</v>
      </c>
    </row>
    <row r="3122">
      <c r="A3122" t="str">
        <f>A3115</f>
        <v>Lantai 2</v>
      </c>
      <c r="B3122">
        <f>B3115</f>
        <v>17</v>
      </c>
      <c r="C3122" t="str">
        <v>Tul Atas Tumpuan</v>
      </c>
      <c r="D3122">
        <f>VLOOKUP(D3115,'Detail Balok'!$C$10:$AU$140,4,FALSE)</f>
        <v>3</v>
      </c>
      <c r="E3122" t="str">
        <v>D</v>
      </c>
      <c r="F3122">
        <f>VLOOKUP(D3115,'Detail Balok'!$C$10:$AU$140,6,FALSE)</f>
        <v>16</v>
      </c>
      <c r="I3122" t="str">
        <v>(</v>
      </c>
      <c r="J3122">
        <f>+D3117/4/1000</f>
        <v>1.01625</v>
      </c>
      <c r="K3122" t="str">
        <v>+</v>
      </c>
      <c r="L3122">
        <f>MAX(VLOOKUP(F3122,N$6:P$15,3,FALSE)/1000,2/3*D3119/1000)+F$16*F3122/1000</f>
        <v>0.192</v>
      </c>
      <c r="M3122" t="str">
        <v>=</v>
      </c>
      <c r="N3122">
        <f>J3122+L3122</f>
        <v>1.20825</v>
      </c>
      <c r="O3122" t="str">
        <v>+</v>
      </c>
      <c r="P3122">
        <f>D3122-D3123</f>
        <v>0</v>
      </c>
      <c r="Q3122" t="str">
        <v>x</v>
      </c>
      <c r="R3122">
        <f>IF(P3122&gt;0,$F$18*F3122/1000,0)</f>
        <v>0</v>
      </c>
      <c r="S3122" t="str">
        <v>)</v>
      </c>
      <c r="T3122" t="str">
        <v>x</v>
      </c>
      <c r="U3122">
        <f>0.006165*F3122^2</f>
        <v>1.57824</v>
      </c>
      <c r="X3122" t="str">
        <v>x</v>
      </c>
      <c r="Y3122">
        <f>D3121</f>
        <v>1</v>
      </c>
      <c r="Z3122" t="str">
        <v>=</v>
      </c>
      <c r="AA3122">
        <f>IF(AA3125=0,(D3122*N3122+P3122*R3122)*U3122*Y3122,0)</f>
        <v>0</v>
      </c>
    </row>
    <row r="3123">
      <c r="A3123" t="str">
        <f>A3115</f>
        <v>Lantai 2</v>
      </c>
      <c r="B3123">
        <f>B3115</f>
        <v>17</v>
      </c>
      <c r="C3123" t="str">
        <v>Tul Atas Lapangan</v>
      </c>
      <c r="D3123">
        <f>VLOOKUP(D3115,'Detail Balok'!$C$10:$AU$140,7,FALSE)</f>
        <v>3</v>
      </c>
      <c r="E3123" t="str">
        <v>D</v>
      </c>
      <c r="F3123">
        <f>VLOOKUP(D3115,'Detail Balok'!$C$10:$AU$140,9,FALSE)</f>
        <v>16</v>
      </c>
      <c r="I3123" t="str">
        <v>(</v>
      </c>
      <c r="J3123">
        <f>+D3117/2/1000</f>
        <v>2.0325</v>
      </c>
      <c r="K3123" t="str">
        <v>+</v>
      </c>
      <c r="M3123" t="str">
        <v>=</v>
      </c>
      <c r="N3123">
        <f>J3123+L3123</f>
        <v>2.0325</v>
      </c>
      <c r="O3123" t="str">
        <v>+</v>
      </c>
      <c r="P3123">
        <f>MAX(D3123-D3122,D3123-D3124)</f>
        <v>0</v>
      </c>
      <c r="Q3123" t="str">
        <v>x</v>
      </c>
      <c r="R3123">
        <f>IF(P3123&gt;0,2*(1-2*$F$19-1/2)*D3118/1000,0)</f>
        <v>0</v>
      </c>
      <c r="S3123" t="str">
        <v>)</v>
      </c>
      <c r="T3123" t="str">
        <v>x</v>
      </c>
      <c r="U3123">
        <f>0.006165*F3123^2</f>
        <v>1.57824</v>
      </c>
      <c r="X3123" t="str">
        <v>x</v>
      </c>
      <c r="Y3123">
        <f>D3121</f>
        <v>1</v>
      </c>
      <c r="Z3123" t="str">
        <v>=</v>
      </c>
      <c r="AA3123">
        <f>IF(AA3125=0,(D3123*N3123+P3123*R3123)*U3123*Y3123,0)</f>
        <v>0</v>
      </c>
    </row>
    <row r="3124">
      <c r="A3124" t="str">
        <f>A3115</f>
        <v>Lantai 2</v>
      </c>
      <c r="B3124">
        <f>B3115</f>
        <v>17</v>
      </c>
      <c r="C3124" t="str">
        <v>Tul Atas Tumpuan</v>
      </c>
      <c r="D3124">
        <f>VLOOKUP(D3115,'Detail Balok'!$C$10:$AU$140,10,FALSE)</f>
        <v>3</v>
      </c>
      <c r="E3124" t="str">
        <v>D</v>
      </c>
      <c r="F3124">
        <f>VLOOKUP(D3115,'Detail Balok'!$C$10:$AU$140,12,FALSE)</f>
        <v>16</v>
      </c>
      <c r="I3124" t="str">
        <v>(</v>
      </c>
      <c r="J3124">
        <f>+D3117/4/1000</f>
        <v>1.01625</v>
      </c>
      <c r="K3124" t="str">
        <v>+</v>
      </c>
      <c r="L3124">
        <f>MAX(VLOOKUP(F3124,N$6:P$15,3,FALSE)/1000,2/3*D3119/1000)+F$16*F3124/1000</f>
        <v>0.192</v>
      </c>
      <c r="M3124" t="str">
        <v>=</v>
      </c>
      <c r="N3124">
        <f>J3124+L3124</f>
        <v>1.20825</v>
      </c>
      <c r="O3124" t="str">
        <v>+</v>
      </c>
      <c r="P3124">
        <f>D3124-D3123</f>
        <v>0</v>
      </c>
      <c r="Q3124" t="str">
        <v>x</v>
      </c>
      <c r="R3124">
        <f>IF(P3124&gt;0,$F$18*F3124/1000,0)</f>
        <v>0</v>
      </c>
      <c r="S3124" t="str">
        <v>)</v>
      </c>
      <c r="T3124" t="str">
        <v>x</v>
      </c>
      <c r="U3124">
        <f>0.006165*F3124^2</f>
        <v>1.57824</v>
      </c>
      <c r="X3124" t="str">
        <v>x</v>
      </c>
      <c r="Y3124">
        <f>D3121</f>
        <v>1</v>
      </c>
      <c r="Z3124" t="str">
        <v>=</v>
      </c>
      <c r="AA3124">
        <f>IF(AA3125=0,(D3124*N3124+P3124*R3124)*U3124*Y3124,0)</f>
        <v>0</v>
      </c>
    </row>
    <row r="3125">
      <c r="A3125" t="str">
        <f>A3115</f>
        <v>Lantai 2</v>
      </c>
      <c r="B3125">
        <f>B3115</f>
        <v>17</v>
      </c>
      <c r="D3125">
        <f>IF(AND(D3122=D3123,D3123=D3124,D3122=D3124),D3122,0)</f>
        <v>3</v>
      </c>
      <c r="E3125" t="str">
        <v>D</v>
      </c>
      <c r="F3125">
        <f>IF(AND(F3122=F3123,F3122=F3124,F3123=F3124),F3122,0)</f>
        <v>16</v>
      </c>
      <c r="L3125" t="str">
        <v>Total panjang per balok</v>
      </c>
      <c r="M3125" t="str">
        <v>=</v>
      </c>
      <c r="N3125">
        <f>IF(AND(D3122=D3123,D3122=D3124,D3123=D3124,F3122=F3123,F3122=F3124,F3123=F3124),SUM(N3122:N3124),0)</f>
        <v>4.449</v>
      </c>
      <c r="O3125" t="str">
        <v>+</v>
      </c>
      <c r="P3125">
        <f>IF(N3125&gt;12,ROUNDDOWN(N3125/12,0),0)</f>
        <v>0</v>
      </c>
      <c r="Q3125" t="str">
        <v>x</v>
      </c>
      <c r="R3125">
        <f>IF(P3125&gt;0,MAX(VLOOKUP(F3125,$D$6:$G$15,3,FALSE),600),0)/1000</f>
        <v>0</v>
      </c>
      <c r="T3125" t="str">
        <v>x</v>
      </c>
      <c r="U3125">
        <f>U3124</f>
        <v>1.57824</v>
      </c>
      <c r="V3125" t="str">
        <v>x</v>
      </c>
      <c r="W3125">
        <f>D3125</f>
        <v>3</v>
      </c>
      <c r="X3125" t="str">
        <v>x</v>
      </c>
      <c r="Y3125">
        <f>Y3124</f>
        <v>1</v>
      </c>
      <c r="Z3125" t="str">
        <v>=</v>
      </c>
      <c r="AA3125">
        <f>(N3125+P3125*R3125/1000)*U3125*W3125*Y3125</f>
        <v>21.06476928</v>
      </c>
    </row>
    <row r="3127">
      <c r="A3127" t="str">
        <f>A3115</f>
        <v>Lantai 2</v>
      </c>
      <c r="B3127">
        <f>B3115</f>
        <v>17</v>
      </c>
      <c r="C3127" t="str">
        <v>Tul Peminggang</v>
      </c>
      <c r="D3127">
        <f>VLOOKUP(D3115,'Detail Balok'!$C$10:$AU$140,13,FALSE)</f>
        <v>0</v>
      </c>
      <c r="E3127" t="str">
        <v>D</v>
      </c>
      <c r="F3127">
        <f>VLOOKUP(D3115,'Detail Balok'!$C$10:$AU$140,15,FALSE)</f>
        <v>8</v>
      </c>
      <c r="J3127">
        <f>+D3117/1000</f>
        <v>4.065</v>
      </c>
      <c r="K3127" t="str">
        <v>+</v>
      </c>
      <c r="L3127">
        <f>2*$F$16*F3127/1000</f>
        <v>0.192</v>
      </c>
      <c r="M3127" t="str">
        <v>=</v>
      </c>
      <c r="N3127">
        <f>J3127+L3127</f>
        <v>4.257000000000001</v>
      </c>
      <c r="O3127" t="str">
        <v>+</v>
      </c>
      <c r="P3127">
        <f>IF(N3127&gt;12,ROUNDDOWN(N3127/12,0),0)</f>
        <v>0</v>
      </c>
      <c r="Q3127" t="str">
        <v>x</v>
      </c>
      <c r="R3127">
        <f>IF(P3127&gt;0,MAX(VLOOKUP(F3127,$D$6:$G$15,3,FALSE),600),0)/1000</f>
        <v>0</v>
      </c>
      <c r="T3127" t="str">
        <v>x</v>
      </c>
      <c r="U3127">
        <f>0.006165*F3127^2</f>
        <v>0.39456</v>
      </c>
      <c r="V3127" t="str">
        <v>x</v>
      </c>
      <c r="W3127">
        <f>+D3127</f>
        <v>0</v>
      </c>
      <c r="X3127" t="str">
        <v>x</v>
      </c>
      <c r="Y3127">
        <f>D3121</f>
        <v>1</v>
      </c>
      <c r="Z3127" t="str">
        <v>=</v>
      </c>
      <c r="AA3127">
        <f>(N3127+P3127*R3127/1000)*U3127*W3127*Y3127</f>
        <v>0</v>
      </c>
    </row>
    <row r="3130">
      <c r="A3130" t="str">
        <f>A3115</f>
        <v>Lantai 2</v>
      </c>
      <c r="B3130">
        <f>B3115</f>
        <v>17</v>
      </c>
      <c r="C3130" t="str">
        <v>Tul Bawah Tumpuan</v>
      </c>
      <c r="D3130">
        <f>VLOOKUP(D3115,'Detail Balok'!$C$10:$AU$140,22,FALSE)</f>
        <v>3</v>
      </c>
      <c r="E3130" t="str">
        <v>D</v>
      </c>
      <c r="F3130">
        <f>VLOOKUP(D3115,'Detail Balok'!$C$10:$AU$140,24,FALSE)</f>
        <v>16</v>
      </c>
      <c r="I3130" t="str">
        <v>(</v>
      </c>
      <c r="J3130">
        <f>+J3122</f>
        <v>1.01625</v>
      </c>
      <c r="K3130" t="str">
        <v>+</v>
      </c>
      <c r="L3130">
        <f>MAX(VLOOKUP(F3130,N$6:P$15,3,FALSE)/1000,2/3*D3120/1000)+F$16*F3130/1000</f>
        <v>0.192</v>
      </c>
      <c r="M3130" t="str">
        <v>=</v>
      </c>
      <c r="N3130">
        <f>J3130+L3130</f>
        <v>1.20825</v>
      </c>
      <c r="O3130" t="str">
        <v>+</v>
      </c>
      <c r="P3130">
        <f>D3130-D3131</f>
        <v>0</v>
      </c>
      <c r="Q3130" t="str">
        <v>x</v>
      </c>
      <c r="R3130">
        <f>IF(P3130&gt;0,$F$18*F3130/1000,0)</f>
        <v>0</v>
      </c>
      <c r="S3130" t="str">
        <v>)</v>
      </c>
      <c r="T3130" t="str">
        <v>x</v>
      </c>
      <c r="U3130">
        <f>0.006165*F3130^2</f>
        <v>1.57824</v>
      </c>
      <c r="X3130" t="str">
        <v>x</v>
      </c>
      <c r="Y3130">
        <f>D3121</f>
        <v>1</v>
      </c>
      <c r="Z3130" t="str">
        <v>=</v>
      </c>
      <c r="AA3130">
        <f>IF(AA3133=0,(D3130*N3130+P3130*R3130)*U3130*Y3130,0)</f>
        <v>0</v>
      </c>
    </row>
    <row r="3131">
      <c r="A3131" t="str">
        <f>A3115</f>
        <v>Lantai 2</v>
      </c>
      <c r="B3131">
        <f>B3115</f>
        <v>17</v>
      </c>
      <c r="C3131" t="str">
        <v>Tul Bawah Lapangan</v>
      </c>
      <c r="D3131">
        <f>VLOOKUP(D3115,'Detail Balok'!$C$10:$AU$140,25,FALSE)</f>
        <v>3</v>
      </c>
      <c r="E3131" t="str">
        <v>D</v>
      </c>
      <c r="F3131">
        <f>VLOOKUP(D3115,'Detail Balok'!$C$10:$AU$140,27,FALSE)</f>
        <v>16</v>
      </c>
      <c r="I3131" t="str">
        <v>(</v>
      </c>
      <c r="J3131">
        <f>+J3123</f>
        <v>2.0325</v>
      </c>
      <c r="K3131" t="str">
        <v>+</v>
      </c>
      <c r="M3131" t="str">
        <v>=</v>
      </c>
      <c r="N3131">
        <f>J3131+L3131</f>
        <v>2.0325</v>
      </c>
      <c r="O3131" t="str">
        <v>+</v>
      </c>
      <c r="P3131">
        <f>MAX(D3131-D3130,D3131-D3132)</f>
        <v>0</v>
      </c>
      <c r="Q3131" t="str">
        <v>x</v>
      </c>
      <c r="R3131">
        <f>IF(P3131&gt;0,2*(1-2*$F$19-1/2)*D3118/1000,0)</f>
        <v>0</v>
      </c>
      <c r="S3131" t="str">
        <v>)</v>
      </c>
      <c r="T3131" t="str">
        <v>x</v>
      </c>
      <c r="U3131">
        <f>0.006165*F3131^2</f>
        <v>1.57824</v>
      </c>
      <c r="X3131" t="str">
        <v>x</v>
      </c>
      <c r="Y3131">
        <f>D3121</f>
        <v>1</v>
      </c>
      <c r="Z3131" t="str">
        <v>=</v>
      </c>
      <c r="AA3131">
        <f>IF(AA3133=0,(D3131*N3131+P3131*R3131)*U3131*Y3131,0)</f>
        <v>0</v>
      </c>
    </row>
    <row r="3132">
      <c r="A3132" t="str">
        <f>A3115</f>
        <v>Lantai 2</v>
      </c>
      <c r="B3132">
        <f>B3115</f>
        <v>17</v>
      </c>
      <c r="C3132" t="str">
        <v>Tul Bawah Tumpuan</v>
      </c>
      <c r="D3132">
        <f>VLOOKUP(D3115,'Detail Balok'!$C$10:$AU$140,28,FALSE)</f>
        <v>3</v>
      </c>
      <c r="E3132" t="str">
        <v>D</v>
      </c>
      <c r="F3132">
        <f>VLOOKUP(D3115,'Detail Balok'!$C$10:$AU$140,30,FALSE)</f>
        <v>16</v>
      </c>
      <c r="I3132" t="str">
        <v>(</v>
      </c>
      <c r="J3132">
        <f>+J3124</f>
        <v>1.01625</v>
      </c>
      <c r="K3132" t="str">
        <v>+</v>
      </c>
      <c r="L3132">
        <f>MAX(VLOOKUP(F3132,N$6:P$15,3,FALSE)/1000,2/3*D3120/1000)+F$16*F3132/1000</f>
        <v>0.192</v>
      </c>
      <c r="M3132" t="str">
        <v>=</v>
      </c>
      <c r="N3132">
        <f>J3132+L3132</f>
        <v>1.20825</v>
      </c>
      <c r="O3132" t="str">
        <v>+</v>
      </c>
      <c r="P3132">
        <f>D3132-D3131</f>
        <v>0</v>
      </c>
      <c r="Q3132" t="str">
        <v>x</v>
      </c>
      <c r="R3132">
        <f>IF(P3132&gt;0,$F$18*F3132/1000,0)</f>
        <v>0</v>
      </c>
      <c r="S3132" t="str">
        <v>)</v>
      </c>
      <c r="T3132" t="str">
        <v>x</v>
      </c>
      <c r="U3132">
        <f>0.006165*F3132^2</f>
        <v>1.57824</v>
      </c>
      <c r="X3132" t="str">
        <v>x</v>
      </c>
      <c r="Y3132">
        <f>D3121</f>
        <v>1</v>
      </c>
      <c r="Z3132" t="str">
        <v>=</v>
      </c>
      <c r="AA3132">
        <f>IF(AA3133=0,(D3132*N3132+P3132*R3132)*U3132*Y3132,0)</f>
        <v>0</v>
      </c>
    </row>
    <row r="3133">
      <c r="A3133" t="str">
        <f>A3115</f>
        <v>Lantai 2</v>
      </c>
      <c r="B3133">
        <f>B3115</f>
        <v>17</v>
      </c>
      <c r="D3133">
        <f>IF(AND(D3130=D3131,D3131=D3132,D3130=D3132),D3130,0)</f>
        <v>3</v>
      </c>
      <c r="E3133" t="str">
        <v>D</v>
      </c>
      <c r="F3133">
        <f>IF(AND(F3130=F3131,F3130=F3132,F3131=F3132),F3130,0)</f>
        <v>16</v>
      </c>
      <c r="L3133" t="str">
        <v>Total panjang per balok</v>
      </c>
      <c r="M3133" t="str">
        <v>=</v>
      </c>
      <c r="N3133">
        <f>IF(AND(D3130=D3131,D3130=D3132,D3131=D3132,F3130=F3131,F3130=F3132,F3131=F3132),SUM(N3130:N3132),0)</f>
        <v>4.449</v>
      </c>
      <c r="O3133" t="str">
        <v>+</v>
      </c>
      <c r="P3133">
        <f>IF(N3133&gt;12,ROUNDDOWN(N3133/12,0),0)</f>
        <v>0</v>
      </c>
      <c r="Q3133" t="str">
        <v>x</v>
      </c>
      <c r="R3133">
        <f>IF(P3133&gt;0,MAX(VLOOKUP(F3133,$D$6:$G$15,3,FALSE),600),0)/1000</f>
        <v>0</v>
      </c>
      <c r="T3133" t="str">
        <v>x</v>
      </c>
      <c r="U3133">
        <f>U3132</f>
        <v>1.57824</v>
      </c>
      <c r="V3133" t="str">
        <v>x</v>
      </c>
      <c r="W3133">
        <f>D3133</f>
        <v>3</v>
      </c>
      <c r="X3133" t="str">
        <v>x</v>
      </c>
      <c r="Y3133">
        <f>Y3132</f>
        <v>1</v>
      </c>
      <c r="Z3133" t="str">
        <v>=</v>
      </c>
      <c r="AA3133">
        <f>(N3133+P3133*R3133/1000)*U3133*W3133*Y3133</f>
        <v>21.06476928</v>
      </c>
    </row>
    <row r="3135">
      <c r="A3135" t="str">
        <f>A3115</f>
        <v>Lantai 2</v>
      </c>
      <c r="B3135">
        <f>B3115</f>
        <v>17</v>
      </c>
      <c r="C3135" t="str">
        <v>Sengkang Tumpuan</v>
      </c>
      <c r="D3135">
        <f>VLOOKUP(D3115,'Detail Balok'!$C$10:$AU$140,31,FALSE)</f>
        <v>0</v>
      </c>
      <c r="E3135" t="str">
        <v>D</v>
      </c>
      <c r="F3135">
        <f>VLOOKUP(D3115,'Detail Balok'!$C$10:$AU$140,33,FALSE)</f>
        <v>10</v>
      </c>
      <c r="G3135" t="str">
        <v>-</v>
      </c>
      <c r="H3135">
        <f>VLOOKUP(D3115,'Detail Balok'!$C$10:$AU$140,35,FALSE)</f>
        <v>100</v>
      </c>
      <c r="J3135">
        <f>(IF(D3135=0,(2*(D3116+G3116))-(F$5*8),IF(D3135=3,(2*(D3116+G3116))-(F$5*8)+(G3116-2*F$5),IF(D3135=4,(2*(D3116+G3116))-(F$5*8)+2*(G3116-2*F$5)))))/1000</f>
        <v>0.88</v>
      </c>
      <c r="K3135" t="str">
        <v>+</v>
      </c>
      <c r="L3135">
        <f>IF(D3135=0,2*MAX(6*F3135,75),(D3135-1)*2*MAX(6*F3135,75))/1000</f>
        <v>0.15</v>
      </c>
      <c r="M3135" t="str">
        <v>=</v>
      </c>
      <c r="N3135">
        <f>J3135+L3135</f>
        <v>1.03</v>
      </c>
      <c r="T3135" t="str">
        <v>x</v>
      </c>
      <c r="U3135">
        <f>0.006165*F3135^2</f>
        <v>0.6165</v>
      </c>
      <c r="V3135" t="str">
        <v>x</v>
      </c>
      <c r="W3135">
        <f>IF(D3118&gt;4*G3116,ROUND(MAX(D3118/4,2*G3116)/H3135,0)+1,ROUND(D3118/H3135,0)+1)</f>
        <v>11</v>
      </c>
      <c r="X3135" t="str">
        <v>x</v>
      </c>
      <c r="Y3135">
        <f>D3121</f>
        <v>1</v>
      </c>
      <c r="Z3135" t="str">
        <v>=</v>
      </c>
      <c r="AA3135">
        <f>N3135*U3135*W3135*Y3135</f>
        <v>6.984945000000001</v>
      </c>
    </row>
    <row r="3136">
      <c r="A3136" t="str">
        <f>A3115</f>
        <v>Lantai 2</v>
      </c>
      <c r="B3136">
        <f>B3115</f>
        <v>17</v>
      </c>
      <c r="C3136" t="str">
        <v>Sengkang Lapangan</v>
      </c>
      <c r="D3136">
        <f>VLOOKUP(D3115,'Detail Balok'!$C$10:$AU$140,36,FALSE)</f>
        <v>0</v>
      </c>
      <c r="E3136" t="str">
        <v>D</v>
      </c>
      <c r="F3136">
        <f>VLOOKUP(D3115,'Detail Balok'!$C$10:$AU$140,38,FALSE)</f>
        <v>10</v>
      </c>
      <c r="G3136" t="str">
        <v>-</v>
      </c>
      <c r="H3136">
        <f>VLOOKUP(D3115,'Detail Balok'!$C$10:$AU$140,40,FALSE)</f>
        <v>200</v>
      </c>
      <c r="J3136">
        <f>(IF(D3136=0,(2*(D3116+G3116))-(F$5*8),IF(D3136=3,(2*(D3116+G3116))-(F$5*8)+(G3116-2*F$5),IF(D3136=4,(2*(D3116+G3116))-(F$5*8)+2*(G3116-2*F$5)))))/1000</f>
        <v>0.88</v>
      </c>
      <c r="K3136" t="str">
        <v>+</v>
      </c>
      <c r="L3136">
        <f>IF(D3136=0,2*MAX(6*F3136,75),(D3136-1)*2*MAX(6*F3136,75))/1000</f>
        <v>0.15</v>
      </c>
      <c r="M3136" t="str">
        <v>=</v>
      </c>
      <c r="N3136">
        <f>J3136+L3136</f>
        <v>1.03</v>
      </c>
      <c r="T3136" t="str">
        <v>x</v>
      </c>
      <c r="U3136">
        <f>0.006165*F3136^2</f>
        <v>0.6165</v>
      </c>
      <c r="V3136" t="str">
        <v>x</v>
      </c>
      <c r="W3136">
        <f>IF(D3118-MAX(D3118/4,2*G3116)*2&gt;0,ROUND((D3118-MAX(D3118/4,2*G3116)*2)/H3136,0),0)</f>
        <v>10</v>
      </c>
      <c r="X3136" t="str">
        <v>x</v>
      </c>
      <c r="Y3136">
        <f>D3121</f>
        <v>1</v>
      </c>
      <c r="Z3136" t="str">
        <v>=</v>
      </c>
      <c r="AA3136">
        <f>N3136*U3136*W3136*Y3136</f>
        <v>6.349950000000001</v>
      </c>
    </row>
    <row r="3137">
      <c r="A3137" t="str">
        <f>A3115</f>
        <v>Lantai 2</v>
      </c>
      <c r="B3137">
        <f>B3115</f>
        <v>17</v>
      </c>
      <c r="C3137" t="str">
        <v>Sengkang Tumpuan</v>
      </c>
      <c r="D3137">
        <f>VLOOKUP(D3115,'Detail Balok'!$C$10:$AU$140,41,FALSE)</f>
        <v>0</v>
      </c>
      <c r="E3137" t="str">
        <v>D</v>
      </c>
      <c r="F3137">
        <f>VLOOKUP(D3115,'Detail Balok'!$C$10:$AU$140,43,FALSE)</f>
        <v>10</v>
      </c>
      <c r="G3137" t="str">
        <v>-</v>
      </c>
      <c r="H3137">
        <f>VLOOKUP(D3115,'Detail Balok'!$C$10:$AU$140,45,FALSE)</f>
        <v>100</v>
      </c>
      <c r="J3137">
        <f>(IF(D3137=0,(2*(D3116+G3116))-(F$5*8),IF(D3137=3,(2*(D3116+G3116))-(F$5*8)+(G3116-2*F$5),IF(D3137=4,(2*(D3116+G3116))-(F$5*8)+2*(G3116-2*F$5)))))/1000</f>
        <v>0.88</v>
      </c>
      <c r="K3137" t="str">
        <v>+</v>
      </c>
      <c r="L3137">
        <f>IF(D3137=0,2*MAX(6*F3137,75),(D3137-1)*2*MAX(6*F3137,75))/1000</f>
        <v>0.15</v>
      </c>
      <c r="M3137" t="str">
        <v>=</v>
      </c>
      <c r="N3137">
        <f>J3137+L3137</f>
        <v>1.03</v>
      </c>
      <c r="T3137" t="str">
        <v>x</v>
      </c>
      <c r="U3137">
        <f>0.006165*F3137^2</f>
        <v>0.6165</v>
      </c>
      <c r="V3137" t="str">
        <v>x</v>
      </c>
      <c r="W3137">
        <f>IF(D3118&gt;4*G3116,ROUND(MAX(D3118/4,2*G3116)/H3137,0)+1,0)</f>
        <v>11</v>
      </c>
      <c r="X3137" t="str">
        <v>x</v>
      </c>
      <c r="Y3137">
        <f>D3121</f>
        <v>1</v>
      </c>
      <c r="Z3137" t="str">
        <v>=</v>
      </c>
      <c r="AA3137">
        <f>N3137*U3137*W3137*Y3137</f>
        <v>6.984945000000001</v>
      </c>
    </row>
    <row r="3139">
      <c r="A3139" t="str">
        <f>A3115</f>
        <v>Lantai 2</v>
      </c>
      <c r="B3139">
        <f>B3115</f>
        <v>17</v>
      </c>
      <c r="C3139" t="str">
        <v>Kait Horizontal Tump.</v>
      </c>
      <c r="D3139">
        <f>VLOOKUP(D3115,'Detail Balok'!$C$10:$BJ$140,46,FALSE)</f>
        <v>0</v>
      </c>
      <c r="E3139" t="str">
        <v>D</v>
      </c>
      <c r="F3139">
        <f>VLOOKUP(D3115,'Detail Balok'!$C$10:$BJ$140,48,FALSE)</f>
        <v>0</v>
      </c>
      <c r="G3139" t="str">
        <v>-</v>
      </c>
      <c r="H3139">
        <f>VLOOKUP(D3115,'Detail Balok'!$C$10:$BJ$140,50,FALSE)</f>
        <v>100</v>
      </c>
      <c r="J3139">
        <f>(D3116-2*F$5)/1000</f>
        <v>0.12</v>
      </c>
      <c r="K3139" t="str">
        <v>+</v>
      </c>
      <c r="L3139">
        <f>IF(D3139=0,2*MAX(6*F3139,75),(D3139-1)*2*MAX(6*F3139,75))/1000</f>
        <v>0.15</v>
      </c>
      <c r="M3139" t="str">
        <v>=</v>
      </c>
      <c r="N3139">
        <f>J3139+L3139</f>
        <v>0.27</v>
      </c>
      <c r="T3139" t="str">
        <v>x</v>
      </c>
      <c r="U3139">
        <f>0.006165*F3139^2</f>
        <v>0</v>
      </c>
      <c r="V3139" t="str">
        <v>x</v>
      </c>
      <c r="W3139">
        <f>W3135</f>
        <v>11</v>
      </c>
      <c r="X3139" t="str">
        <v>x</v>
      </c>
      <c r="Y3139">
        <f>D3125</f>
        <v>3</v>
      </c>
      <c r="Z3139" t="str">
        <v>=</v>
      </c>
      <c r="AA3139">
        <f>N3139*U3139*W3139*Y3139</f>
        <v>0</v>
      </c>
    </row>
    <row r="3140">
      <c r="A3140" t="str">
        <f>A3115</f>
        <v>Lantai 2</v>
      </c>
      <c r="B3140">
        <f>B3115</f>
        <v>17</v>
      </c>
      <c r="C3140" t="str">
        <v>Kait Horizontal Lap.</v>
      </c>
      <c r="D3140">
        <f>VLOOKUP(D3115,'Detail Balok'!$C$10:$BJ$140,51,FALSE)</f>
        <v>0</v>
      </c>
      <c r="E3140" t="str">
        <v>D</v>
      </c>
      <c r="F3140">
        <f>VLOOKUP(D3115,'Detail Balok'!$C$10:$BJ$140,53,FALSE)</f>
        <v>0</v>
      </c>
      <c r="G3140" t="str">
        <v>-</v>
      </c>
      <c r="H3140">
        <f>VLOOKUP(D3115,'Detail Balok'!$C$10:$BJ$140,55,FALSE)</f>
        <v>100</v>
      </c>
      <c r="J3140">
        <f>(D3116-2*F$5)/1000</f>
        <v>0.12</v>
      </c>
      <c r="K3140" t="str">
        <v>+</v>
      </c>
      <c r="L3140">
        <f>IF(D3140=0,2*MAX(6*F3140,75),(D3140-1)*2*MAX(6*F3140,75))/1000</f>
        <v>0.15</v>
      </c>
      <c r="M3140" t="str">
        <v>=</v>
      </c>
      <c r="N3140">
        <f>J3140+L3140</f>
        <v>0.27</v>
      </c>
      <c r="T3140" t="str">
        <v>x</v>
      </c>
      <c r="U3140">
        <f>0.006165*F3140^2</f>
        <v>0</v>
      </c>
      <c r="V3140" t="str">
        <v>x</v>
      </c>
      <c r="W3140">
        <f>W3136</f>
        <v>10</v>
      </c>
      <c r="X3140" t="str">
        <v>x</v>
      </c>
      <c r="Y3140">
        <f>D3125</f>
        <v>3</v>
      </c>
      <c r="Z3140" t="str">
        <v>=</v>
      </c>
      <c r="AA3140">
        <f>N3140*U3140*W3140*Y3140</f>
        <v>0</v>
      </c>
    </row>
    <row r="3141">
      <c r="A3141" t="str">
        <f>A3115</f>
        <v>Lantai 2</v>
      </c>
      <c r="B3141">
        <f>B3115</f>
        <v>17</v>
      </c>
      <c r="C3141" t="str">
        <v>Kait Horizontal Tump.</v>
      </c>
      <c r="D3141">
        <f>VLOOKUP(D3115,'Detail Balok'!$C$10:$BJ$140,56,FALSE)</f>
        <v>0</v>
      </c>
      <c r="E3141" t="str">
        <v>D</v>
      </c>
      <c r="F3141">
        <f>VLOOKUP(D3115,'Detail Balok'!$C$10:$BJ$140,58,FALSE)</f>
        <v>0</v>
      </c>
      <c r="G3141" t="str">
        <v>-</v>
      </c>
      <c r="H3141">
        <f>VLOOKUP(D3115,'Detail Balok'!$C$10:$BJ$140,60,FALSE)</f>
        <v>100</v>
      </c>
      <c r="J3141">
        <f>(D3116-2*F$5)/1000</f>
        <v>0.12</v>
      </c>
      <c r="K3141" t="str">
        <v>+</v>
      </c>
      <c r="L3141">
        <f>IF(D3141=0,2*MAX(6*F3141,75),(D3141-1)*2*MAX(6*F3141,75))/1000</f>
        <v>0.15</v>
      </c>
      <c r="M3141" t="str">
        <v>=</v>
      </c>
      <c r="N3141">
        <f>J3141+L3141</f>
        <v>0.27</v>
      </c>
      <c r="T3141" t="str">
        <v>x</v>
      </c>
      <c r="U3141">
        <f>0.006165*F3141^2</f>
        <v>0</v>
      </c>
      <c r="V3141" t="str">
        <v>x</v>
      </c>
      <c r="W3141">
        <f>W3137</f>
        <v>11</v>
      </c>
      <c r="X3141" t="str">
        <v>x</v>
      </c>
      <c r="Y3141">
        <f>D3125</f>
        <v>3</v>
      </c>
      <c r="Z3141" t="str">
        <v>=</v>
      </c>
      <c r="AA3141">
        <f>N3141*U3141*W3141*Y3141</f>
        <v>0</v>
      </c>
    </row>
    <row r="3145">
      <c r="A3145" t="str">
        <f>A3115</f>
        <v>Lantai 2</v>
      </c>
      <c r="B3145">
        <f>B3115+1</f>
        <v>18</v>
      </c>
      <c r="C3145" t="str">
        <f>CONCATENATE(A3145," no. ",B3145)</f>
        <v>Lantai 2 no. 18</v>
      </c>
      <c r="D3145" t="str">
        <f>VLOOKUP(C3145,'Data Panjang Balok'!$C$9:$N$254,2,FALSE)</f>
        <v>B24-1</v>
      </c>
    </row>
    <row r="3146">
      <c r="C3146" t="str">
        <v>Dimensi</v>
      </c>
      <c r="D3146">
        <f>VLOOKUP(D3145,'Detail Balok'!$C$10:$AU$140,2,FALSE)</f>
        <v>200</v>
      </c>
      <c r="F3146" t="str">
        <v>x</v>
      </c>
      <c r="G3146">
        <f>VLOOKUP(D3145,'Detail Balok'!$C$10:$AU$140,3,FALSE)</f>
        <v>400</v>
      </c>
    </row>
    <row r="3147">
      <c r="C3147" t="str">
        <v>Panjang as ke as</v>
      </c>
      <c r="D3147">
        <f>VLOOKUP(C3145,'Data Panjang Balok'!$C$9:$N$254,4,FALSE)</f>
        <v>1855</v>
      </c>
    </row>
    <row r="3148">
      <c r="C3148" t="str">
        <v>Panjang netto</v>
      </c>
      <c r="D3148">
        <f>VLOOKUP(C3145,'Data Panjang Balok'!$C$9:$N$254,7,FALSE)</f>
        <v>1855</v>
      </c>
    </row>
    <row r="3149">
      <c r="C3149" t="str">
        <v>Kolom / balok kiri</v>
      </c>
      <c r="D3149">
        <f>VLOOKUP(C3145,'Data Panjang Balok'!$C$9:$N$254,9,FALSE)</f>
        <v>0</v>
      </c>
    </row>
    <row r="3150">
      <c r="C3150" t="str">
        <v>Kolom / balok kanan</v>
      </c>
      <c r="D3150">
        <f>VLOOKUP(C3145,'Data Panjang Balok'!$C$9:$N$254,10,FALSE)</f>
        <v>0</v>
      </c>
    </row>
    <row r="3151">
      <c r="C3151" t="str">
        <v>Jumlah</v>
      </c>
      <c r="D3151">
        <f>VLOOKUP(C3145,'Data Panjang Balok'!$C$9:$N$254,3,FALSE)</f>
        <v>1</v>
      </c>
    </row>
    <row r="3152">
      <c r="A3152" t="str">
        <f>A3145</f>
        <v>Lantai 2</v>
      </c>
      <c r="B3152">
        <f>B3145</f>
        <v>18</v>
      </c>
      <c r="C3152" t="str">
        <v>Tul Atas Tumpuan</v>
      </c>
      <c r="D3152">
        <f>VLOOKUP(D3145,'Detail Balok'!$C$10:$AU$140,4,FALSE)</f>
        <v>3</v>
      </c>
      <c r="E3152" t="str">
        <v>D</v>
      </c>
      <c r="F3152">
        <f>VLOOKUP(D3145,'Detail Balok'!$C$10:$AU$140,6,FALSE)</f>
        <v>13</v>
      </c>
      <c r="I3152" t="str">
        <v>(</v>
      </c>
      <c r="J3152">
        <f>+D3147/4/1000</f>
        <v>0.46375</v>
      </c>
      <c r="K3152" t="str">
        <v>+</v>
      </c>
      <c r="L3152">
        <f>MAX(VLOOKUP(F3152,N$6:P$15,3,FALSE)/1000,2/3*D3149/1000)+F$16*F3152/1000</f>
        <v>0.156</v>
      </c>
      <c r="M3152" t="str">
        <v>=</v>
      </c>
      <c r="N3152">
        <f>J3152+L3152</f>
        <v>0.61975</v>
      </c>
      <c r="O3152" t="str">
        <v>+</v>
      </c>
      <c r="P3152">
        <f>D3152-D3153</f>
        <v>0</v>
      </c>
      <c r="Q3152" t="str">
        <v>x</v>
      </c>
      <c r="R3152">
        <f>IF(P3152&gt;0,$F$18*F3152/1000,0)</f>
        <v>0</v>
      </c>
      <c r="S3152" t="str">
        <v>)</v>
      </c>
      <c r="T3152" t="str">
        <v>x</v>
      </c>
      <c r="U3152">
        <f>0.006165*F3152^2</f>
        <v>1.041885</v>
      </c>
      <c r="X3152" t="str">
        <v>x</v>
      </c>
      <c r="Y3152">
        <f>D3151</f>
        <v>1</v>
      </c>
      <c r="Z3152" t="str">
        <v>=</v>
      </c>
      <c r="AA3152">
        <f>IF(AA3155=0,(D3152*N3152+P3152*R3152)*U3152*Y3152,0)</f>
        <v>0</v>
      </c>
    </row>
    <row r="3153">
      <c r="A3153" t="str">
        <f>A3145</f>
        <v>Lantai 2</v>
      </c>
      <c r="B3153">
        <f>B3145</f>
        <v>18</v>
      </c>
      <c r="C3153" t="str">
        <v>Tul Atas Lapangan</v>
      </c>
      <c r="D3153">
        <f>VLOOKUP(D3145,'Detail Balok'!$C$10:$AU$140,7,FALSE)</f>
        <v>3</v>
      </c>
      <c r="E3153" t="str">
        <v>D</v>
      </c>
      <c r="F3153">
        <f>VLOOKUP(D3145,'Detail Balok'!$C$10:$AU$140,9,FALSE)</f>
        <v>13</v>
      </c>
      <c r="I3153" t="str">
        <v>(</v>
      </c>
      <c r="J3153">
        <f>+D3147/2/1000</f>
        <v>0.9275</v>
      </c>
      <c r="K3153" t="str">
        <v>+</v>
      </c>
      <c r="M3153" t="str">
        <v>=</v>
      </c>
      <c r="N3153">
        <f>J3153+L3153</f>
        <v>0.9275</v>
      </c>
      <c r="O3153" t="str">
        <v>+</v>
      </c>
      <c r="P3153">
        <f>MAX(D3153-D3152,D3153-D3154)</f>
        <v>0</v>
      </c>
      <c r="Q3153" t="str">
        <v>x</v>
      </c>
      <c r="R3153">
        <f>IF(P3153&gt;0,2*(1-2*$F$19-1/2)*D3148/1000,0)</f>
        <v>0</v>
      </c>
      <c r="S3153" t="str">
        <v>)</v>
      </c>
      <c r="T3153" t="str">
        <v>x</v>
      </c>
      <c r="U3153">
        <f>0.006165*F3153^2</f>
        <v>1.041885</v>
      </c>
      <c r="X3153" t="str">
        <v>x</v>
      </c>
      <c r="Y3153">
        <f>D3151</f>
        <v>1</v>
      </c>
      <c r="Z3153" t="str">
        <v>=</v>
      </c>
      <c r="AA3153">
        <f>IF(AA3155=0,(D3153*N3153+P3153*R3153)*U3153*Y3153,0)</f>
        <v>0</v>
      </c>
    </row>
    <row r="3154">
      <c r="A3154" t="str">
        <f>A3145</f>
        <v>Lantai 2</v>
      </c>
      <c r="B3154">
        <f>B3145</f>
        <v>18</v>
      </c>
      <c r="C3154" t="str">
        <v>Tul Atas Tumpuan</v>
      </c>
      <c r="D3154">
        <f>VLOOKUP(D3145,'Detail Balok'!$C$10:$AU$140,10,FALSE)</f>
        <v>3</v>
      </c>
      <c r="E3154" t="str">
        <v>D</v>
      </c>
      <c r="F3154">
        <f>VLOOKUP(D3145,'Detail Balok'!$C$10:$AU$140,12,FALSE)</f>
        <v>13</v>
      </c>
      <c r="I3154" t="str">
        <v>(</v>
      </c>
      <c r="J3154">
        <f>+D3147/4/1000</f>
        <v>0.46375</v>
      </c>
      <c r="K3154" t="str">
        <v>+</v>
      </c>
      <c r="L3154">
        <f>MAX(VLOOKUP(F3154,N$6:P$15,3,FALSE)/1000,2/3*D3149/1000)+F$16*F3154/1000</f>
        <v>0.156</v>
      </c>
      <c r="M3154" t="str">
        <v>=</v>
      </c>
      <c r="N3154">
        <f>J3154+L3154</f>
        <v>0.61975</v>
      </c>
      <c r="O3154" t="str">
        <v>+</v>
      </c>
      <c r="P3154">
        <f>D3154-D3153</f>
        <v>0</v>
      </c>
      <c r="Q3154" t="str">
        <v>x</v>
      </c>
      <c r="R3154">
        <f>IF(P3154&gt;0,$F$18*F3154/1000,0)</f>
        <v>0</v>
      </c>
      <c r="S3154" t="str">
        <v>)</v>
      </c>
      <c r="T3154" t="str">
        <v>x</v>
      </c>
      <c r="U3154">
        <f>0.006165*F3154^2</f>
        <v>1.041885</v>
      </c>
      <c r="X3154" t="str">
        <v>x</v>
      </c>
      <c r="Y3154">
        <f>D3151</f>
        <v>1</v>
      </c>
      <c r="Z3154" t="str">
        <v>=</v>
      </c>
      <c r="AA3154">
        <f>IF(AA3155=0,(D3154*N3154+P3154*R3154)*U3154*Y3154,0)</f>
        <v>0</v>
      </c>
    </row>
    <row r="3155">
      <c r="A3155" t="str">
        <f>A3145</f>
        <v>Lantai 2</v>
      </c>
      <c r="B3155">
        <f>B3145</f>
        <v>18</v>
      </c>
      <c r="D3155">
        <f>IF(AND(D3152=D3153,D3153=D3154,D3152=D3154),D3152,0)</f>
        <v>3</v>
      </c>
      <c r="E3155" t="str">
        <v>D</v>
      </c>
      <c r="F3155">
        <f>IF(AND(F3152=F3153,F3152=F3154,F3153=F3154),F3152,0)</f>
        <v>13</v>
      </c>
      <c r="L3155" t="str">
        <v>Total panjang per balok</v>
      </c>
      <c r="M3155" t="str">
        <v>=</v>
      </c>
      <c r="N3155">
        <f>IF(AND(D3152=D3153,D3152=D3154,D3153=D3154,F3152=F3153,F3152=F3154,F3153=F3154),SUM(N3152:N3154),0)</f>
        <v>2.167</v>
      </c>
      <c r="O3155" t="str">
        <v>+</v>
      </c>
      <c r="P3155">
        <f>IF(N3155&gt;12,ROUNDDOWN(N3155/12,0),0)</f>
        <v>0</v>
      </c>
      <c r="Q3155" t="str">
        <v>x</v>
      </c>
      <c r="R3155">
        <f>IF(P3155&gt;0,MAX(VLOOKUP(F3155,$D$6:$G$15,3,FALSE),600),0)/1000</f>
        <v>0</v>
      </c>
      <c r="T3155" t="str">
        <v>x</v>
      </c>
      <c r="U3155">
        <f>U3154</f>
        <v>1.041885</v>
      </c>
      <c r="V3155" t="str">
        <v>x</v>
      </c>
      <c r="W3155">
        <f>D3155</f>
        <v>3</v>
      </c>
      <c r="X3155" t="str">
        <v>x</v>
      </c>
      <c r="Y3155">
        <f>Y3154</f>
        <v>1</v>
      </c>
      <c r="Z3155" t="str">
        <v>=</v>
      </c>
      <c r="AA3155">
        <f>(N3155+P3155*R3155/1000)*U3155*W3155*Y3155</f>
        <v>6.773294384999998</v>
      </c>
    </row>
    <row r="3157">
      <c r="A3157" t="str">
        <f>A3145</f>
        <v>Lantai 2</v>
      </c>
      <c r="B3157">
        <f>B3145</f>
        <v>18</v>
      </c>
      <c r="C3157" t="str">
        <v>Tul Peminggang</v>
      </c>
      <c r="D3157">
        <f>VLOOKUP(D3145,'Detail Balok'!$C$10:$AU$140,13,FALSE)</f>
        <v>0</v>
      </c>
      <c r="E3157" t="str">
        <v>D</v>
      </c>
      <c r="F3157">
        <f>VLOOKUP(D3145,'Detail Balok'!$C$10:$AU$140,15,FALSE)</f>
        <v>8</v>
      </c>
      <c r="J3157">
        <f>+D3147/1000</f>
        <v>1.855</v>
      </c>
      <c r="K3157" t="str">
        <v>+</v>
      </c>
      <c r="L3157">
        <f>2*$F$16*F3157/1000</f>
        <v>0.192</v>
      </c>
      <c r="M3157" t="str">
        <v>=</v>
      </c>
      <c r="N3157">
        <f>J3157+L3157</f>
        <v>2.047</v>
      </c>
      <c r="O3157" t="str">
        <v>+</v>
      </c>
      <c r="P3157">
        <f>IF(N3157&gt;12,ROUNDDOWN(N3157/12,0),0)</f>
        <v>0</v>
      </c>
      <c r="Q3157" t="str">
        <v>x</v>
      </c>
      <c r="R3157">
        <f>IF(P3157&gt;0,MAX(VLOOKUP(F3157,$D$6:$G$15,3,FALSE),600),0)/1000</f>
        <v>0</v>
      </c>
      <c r="T3157" t="str">
        <v>x</v>
      </c>
      <c r="U3157">
        <f>0.006165*F3157^2</f>
        <v>0.39456</v>
      </c>
      <c r="V3157" t="str">
        <v>x</v>
      </c>
      <c r="W3157">
        <f>+D3157</f>
        <v>0</v>
      </c>
      <c r="X3157" t="str">
        <v>x</v>
      </c>
      <c r="Y3157">
        <f>D3151</f>
        <v>1</v>
      </c>
      <c r="Z3157" t="str">
        <v>=</v>
      </c>
      <c r="AA3157">
        <f>(N3157+P3157*R3157/1000)*U3157*W3157*Y3157</f>
        <v>0</v>
      </c>
    </row>
    <row r="3160">
      <c r="A3160" t="str">
        <f>A3145</f>
        <v>Lantai 2</v>
      </c>
      <c r="B3160">
        <f>B3145</f>
        <v>18</v>
      </c>
      <c r="C3160" t="str">
        <v>Tul Bawah Tumpuan</v>
      </c>
      <c r="D3160">
        <f>VLOOKUP(D3145,'Detail Balok'!$C$10:$AU$140,22,FALSE)</f>
        <v>3</v>
      </c>
      <c r="E3160" t="str">
        <v>D</v>
      </c>
      <c r="F3160">
        <f>VLOOKUP(D3145,'Detail Balok'!$C$10:$AU$140,24,FALSE)</f>
        <v>13</v>
      </c>
      <c r="I3160" t="str">
        <v>(</v>
      </c>
      <c r="J3160">
        <f>+J3152</f>
        <v>0.46375</v>
      </c>
      <c r="K3160" t="str">
        <v>+</v>
      </c>
      <c r="L3160">
        <f>MAX(VLOOKUP(F3160,N$6:P$15,3,FALSE)/1000,2/3*D3150/1000)+F$16*F3160/1000</f>
        <v>0.156</v>
      </c>
      <c r="M3160" t="str">
        <v>=</v>
      </c>
      <c r="N3160">
        <f>J3160+L3160</f>
        <v>0.61975</v>
      </c>
      <c r="O3160" t="str">
        <v>+</v>
      </c>
      <c r="P3160">
        <f>D3160-D3161</f>
        <v>0</v>
      </c>
      <c r="Q3160" t="str">
        <v>x</v>
      </c>
      <c r="R3160">
        <f>IF(P3160&gt;0,$F$18*F3160/1000,0)</f>
        <v>0</v>
      </c>
      <c r="S3160" t="str">
        <v>)</v>
      </c>
      <c r="T3160" t="str">
        <v>x</v>
      </c>
      <c r="U3160">
        <f>0.006165*F3160^2</f>
        <v>1.041885</v>
      </c>
      <c r="X3160" t="str">
        <v>x</v>
      </c>
      <c r="Y3160">
        <f>D3151</f>
        <v>1</v>
      </c>
      <c r="Z3160" t="str">
        <v>=</v>
      </c>
      <c r="AA3160">
        <f>IF(AA3163=0,(D3160*N3160+P3160*R3160)*U3160*Y3160,0)</f>
        <v>0</v>
      </c>
    </row>
    <row r="3161">
      <c r="A3161" t="str">
        <f>A3145</f>
        <v>Lantai 2</v>
      </c>
      <c r="B3161">
        <f>B3145</f>
        <v>18</v>
      </c>
      <c r="C3161" t="str">
        <v>Tul Bawah Lapangan</v>
      </c>
      <c r="D3161">
        <f>VLOOKUP(D3145,'Detail Balok'!$C$10:$AU$140,25,FALSE)</f>
        <v>3</v>
      </c>
      <c r="E3161" t="str">
        <v>D</v>
      </c>
      <c r="F3161">
        <f>VLOOKUP(D3145,'Detail Balok'!$C$10:$AU$140,27,FALSE)</f>
        <v>13</v>
      </c>
      <c r="I3161" t="str">
        <v>(</v>
      </c>
      <c r="J3161">
        <f>+J3153</f>
        <v>0.9275</v>
      </c>
      <c r="K3161" t="str">
        <v>+</v>
      </c>
      <c r="M3161" t="str">
        <v>=</v>
      </c>
      <c r="N3161">
        <f>J3161+L3161</f>
        <v>0.9275</v>
      </c>
      <c r="O3161" t="str">
        <v>+</v>
      </c>
      <c r="P3161">
        <f>MAX(D3161-D3160,D3161-D3162)</f>
        <v>0</v>
      </c>
      <c r="Q3161" t="str">
        <v>x</v>
      </c>
      <c r="R3161">
        <f>IF(P3161&gt;0,2*(1-2*$F$19-1/2)*D3148/1000,0)</f>
        <v>0</v>
      </c>
      <c r="S3161" t="str">
        <v>)</v>
      </c>
      <c r="T3161" t="str">
        <v>x</v>
      </c>
      <c r="U3161">
        <f>0.006165*F3161^2</f>
        <v>1.041885</v>
      </c>
      <c r="X3161" t="str">
        <v>x</v>
      </c>
      <c r="Y3161">
        <f>D3151</f>
        <v>1</v>
      </c>
      <c r="Z3161" t="str">
        <v>=</v>
      </c>
      <c r="AA3161">
        <f>IF(AA3163=0,(D3161*N3161+P3161*R3161)*U3161*Y3161,0)</f>
        <v>0</v>
      </c>
    </row>
    <row r="3162">
      <c r="A3162" t="str">
        <f>A3145</f>
        <v>Lantai 2</v>
      </c>
      <c r="B3162">
        <f>B3145</f>
        <v>18</v>
      </c>
      <c r="C3162" t="str">
        <v>Tul Bawah Tumpuan</v>
      </c>
      <c r="D3162">
        <f>VLOOKUP(D3145,'Detail Balok'!$C$10:$AU$140,28,FALSE)</f>
        <v>3</v>
      </c>
      <c r="E3162" t="str">
        <v>D</v>
      </c>
      <c r="F3162">
        <f>VLOOKUP(D3145,'Detail Balok'!$C$10:$AU$140,30,FALSE)</f>
        <v>13</v>
      </c>
      <c r="I3162" t="str">
        <v>(</v>
      </c>
      <c r="J3162">
        <f>+J3154</f>
        <v>0.46375</v>
      </c>
      <c r="K3162" t="str">
        <v>+</v>
      </c>
      <c r="L3162">
        <f>MAX(VLOOKUP(F3162,N$6:P$15,3,FALSE)/1000,2/3*D3150/1000)+F$16*F3162/1000</f>
        <v>0.156</v>
      </c>
      <c r="M3162" t="str">
        <v>=</v>
      </c>
      <c r="N3162">
        <f>J3162+L3162</f>
        <v>0.61975</v>
      </c>
      <c r="O3162" t="str">
        <v>+</v>
      </c>
      <c r="P3162">
        <f>D3162-D3161</f>
        <v>0</v>
      </c>
      <c r="Q3162" t="str">
        <v>x</v>
      </c>
      <c r="R3162">
        <f>IF(P3162&gt;0,$F$18*F3162/1000,0)</f>
        <v>0</v>
      </c>
      <c r="S3162" t="str">
        <v>)</v>
      </c>
      <c r="T3162" t="str">
        <v>x</v>
      </c>
      <c r="U3162">
        <f>0.006165*F3162^2</f>
        <v>1.041885</v>
      </c>
      <c r="X3162" t="str">
        <v>x</v>
      </c>
      <c r="Y3162">
        <f>D3151</f>
        <v>1</v>
      </c>
      <c r="Z3162" t="str">
        <v>=</v>
      </c>
      <c r="AA3162">
        <f>IF(AA3163=0,(D3162*N3162+P3162*R3162)*U3162*Y3162,0)</f>
        <v>0</v>
      </c>
    </row>
    <row r="3163">
      <c r="A3163" t="str">
        <f>A3145</f>
        <v>Lantai 2</v>
      </c>
      <c r="B3163">
        <f>B3145</f>
        <v>18</v>
      </c>
      <c r="D3163">
        <f>IF(AND(D3160=D3161,D3161=D3162,D3160=D3162),D3160,0)</f>
        <v>3</v>
      </c>
      <c r="E3163" t="str">
        <v>D</v>
      </c>
      <c r="F3163">
        <f>IF(AND(F3160=F3161,F3160=F3162,F3161=F3162),F3160,0)</f>
        <v>13</v>
      </c>
      <c r="L3163" t="str">
        <v>Total panjang per balok</v>
      </c>
      <c r="M3163" t="str">
        <v>=</v>
      </c>
      <c r="N3163">
        <f>IF(AND(D3160=D3161,D3160=D3162,D3161=D3162,F3160=F3161,F3160=F3162,F3161=F3162),SUM(N3160:N3162),0)</f>
        <v>2.167</v>
      </c>
      <c r="O3163" t="str">
        <v>+</v>
      </c>
      <c r="P3163">
        <f>IF(N3163&gt;12,ROUNDDOWN(N3163/12,0),0)</f>
        <v>0</v>
      </c>
      <c r="Q3163" t="str">
        <v>x</v>
      </c>
      <c r="R3163">
        <f>IF(P3163&gt;0,MAX(VLOOKUP(F3163,$D$6:$G$15,3,FALSE),600),0)/1000</f>
        <v>0</v>
      </c>
      <c r="T3163" t="str">
        <v>x</v>
      </c>
      <c r="U3163">
        <f>U3162</f>
        <v>1.041885</v>
      </c>
      <c r="V3163" t="str">
        <v>x</v>
      </c>
      <c r="W3163">
        <f>D3163</f>
        <v>3</v>
      </c>
      <c r="X3163" t="str">
        <v>x</v>
      </c>
      <c r="Y3163">
        <f>Y3162</f>
        <v>1</v>
      </c>
      <c r="Z3163" t="str">
        <v>=</v>
      </c>
      <c r="AA3163">
        <f>(N3163+P3163*R3163/1000)*U3163*W3163*Y3163</f>
        <v>6.773294384999998</v>
      </c>
    </row>
    <row r="3165">
      <c r="A3165" t="str">
        <f>A3145</f>
        <v>Lantai 2</v>
      </c>
      <c r="B3165">
        <f>B3145</f>
        <v>18</v>
      </c>
      <c r="C3165" t="str">
        <v>Sengkang Tumpuan</v>
      </c>
      <c r="D3165">
        <f>VLOOKUP(D3145,'Detail Balok'!$C$10:$AU$140,31,FALSE)</f>
        <v>0</v>
      </c>
      <c r="E3165" t="str">
        <v>D</v>
      </c>
      <c r="F3165">
        <f>VLOOKUP(D3145,'Detail Balok'!$C$10:$AU$140,33,FALSE)</f>
        <v>10</v>
      </c>
      <c r="G3165" t="str">
        <v>-</v>
      </c>
      <c r="H3165">
        <f>VLOOKUP(D3145,'Detail Balok'!$C$10:$AU$140,35,FALSE)</f>
        <v>100</v>
      </c>
      <c r="J3165">
        <f>(IF(D3165=0,(2*(D3146+G3146))-(F$5*8),IF(D3165=3,(2*(D3146+G3146))-(F$5*8)+(G3146-2*F$5),IF(D3165=4,(2*(D3146+G3146))-(F$5*8)+2*(G3146-2*F$5)))))/1000</f>
        <v>0.88</v>
      </c>
      <c r="K3165" t="str">
        <v>+</v>
      </c>
      <c r="L3165">
        <f>IF(D3165=0,2*MAX(6*F3165,75),(D3165-1)*2*MAX(6*F3165,75))/1000</f>
        <v>0.15</v>
      </c>
      <c r="M3165" t="str">
        <v>=</v>
      </c>
      <c r="N3165">
        <f>J3165+L3165</f>
        <v>1.03</v>
      </c>
      <c r="T3165" t="str">
        <v>x</v>
      </c>
      <c r="U3165">
        <f>0.006165*F3165^2</f>
        <v>0.6165</v>
      </c>
      <c r="V3165" t="str">
        <v>x</v>
      </c>
      <c r="W3165">
        <f>IF(D3148&gt;4*G3146,ROUND(MAX(D3148/4,2*G3146)/H3165,0)+1,ROUND(D3148/H3165,0)+1)</f>
        <v>9</v>
      </c>
      <c r="X3165" t="str">
        <v>x</v>
      </c>
      <c r="Y3165">
        <f>D3151</f>
        <v>1</v>
      </c>
      <c r="Z3165" t="str">
        <v>=</v>
      </c>
      <c r="AA3165">
        <f>N3165*U3165*W3165*Y3165</f>
        <v>5.714955000000001</v>
      </c>
    </row>
    <row r="3166">
      <c r="A3166" t="str">
        <f>A3145</f>
        <v>Lantai 2</v>
      </c>
      <c r="B3166">
        <f>B3145</f>
        <v>18</v>
      </c>
      <c r="C3166" t="str">
        <v>Sengkang Lapangan</v>
      </c>
      <c r="D3166">
        <f>VLOOKUP(D3145,'Detail Balok'!$C$10:$AU$140,36,FALSE)</f>
        <v>0</v>
      </c>
      <c r="E3166" t="str">
        <v>D</v>
      </c>
      <c r="F3166">
        <f>VLOOKUP(D3145,'Detail Balok'!$C$10:$AU$140,38,FALSE)</f>
        <v>10</v>
      </c>
      <c r="G3166" t="str">
        <v>-</v>
      </c>
      <c r="H3166">
        <f>VLOOKUP(D3145,'Detail Balok'!$C$10:$AU$140,40,FALSE)</f>
        <v>200</v>
      </c>
      <c r="J3166">
        <f>(IF(D3166=0,(2*(D3146+G3146))-(F$5*8),IF(D3166=3,(2*(D3146+G3146))-(F$5*8)+(G3146-2*F$5),IF(D3166=4,(2*(D3146+G3146))-(F$5*8)+2*(G3146-2*F$5)))))/1000</f>
        <v>0.88</v>
      </c>
      <c r="K3166" t="str">
        <v>+</v>
      </c>
      <c r="L3166">
        <f>IF(D3166=0,2*MAX(6*F3166,75),(D3166-1)*2*MAX(6*F3166,75))/1000</f>
        <v>0.15</v>
      </c>
      <c r="M3166" t="str">
        <v>=</v>
      </c>
      <c r="N3166">
        <f>J3166+L3166</f>
        <v>1.03</v>
      </c>
      <c r="T3166" t="str">
        <v>x</v>
      </c>
      <c r="U3166">
        <f>0.006165*F3166^2</f>
        <v>0.6165</v>
      </c>
      <c r="V3166" t="str">
        <v>x</v>
      </c>
      <c r="W3166">
        <f>IF(D3148-MAX(D3148/4,2*G3146)*2&gt;0,ROUND((D3148-MAX(D3148/4,2*G3146)*2)/H3166,0),0)</f>
        <v>1</v>
      </c>
      <c r="X3166" t="str">
        <v>x</v>
      </c>
      <c r="Y3166">
        <f>D3151</f>
        <v>1</v>
      </c>
      <c r="Z3166" t="str">
        <v>=</v>
      </c>
      <c r="AA3166">
        <f>N3166*U3166*W3166*Y3166</f>
        <v>0.6349950000000001</v>
      </c>
    </row>
    <row r="3167">
      <c r="A3167" t="str">
        <f>A3145</f>
        <v>Lantai 2</v>
      </c>
      <c r="B3167">
        <f>B3145</f>
        <v>18</v>
      </c>
      <c r="C3167" t="str">
        <v>Sengkang Tumpuan</v>
      </c>
      <c r="D3167">
        <f>VLOOKUP(D3145,'Detail Balok'!$C$10:$AU$140,41,FALSE)</f>
        <v>0</v>
      </c>
      <c r="E3167" t="str">
        <v>D</v>
      </c>
      <c r="F3167">
        <f>VLOOKUP(D3145,'Detail Balok'!$C$10:$AU$140,43,FALSE)</f>
        <v>10</v>
      </c>
      <c r="G3167" t="str">
        <v>-</v>
      </c>
      <c r="H3167">
        <f>VLOOKUP(D3145,'Detail Balok'!$C$10:$AU$140,45,FALSE)</f>
        <v>100</v>
      </c>
      <c r="J3167">
        <f>(IF(D3167=0,(2*(D3146+G3146))-(F$5*8),IF(D3167=3,(2*(D3146+G3146))-(F$5*8)+(G3146-2*F$5),IF(D3167=4,(2*(D3146+G3146))-(F$5*8)+2*(G3146-2*F$5)))))/1000</f>
        <v>0.88</v>
      </c>
      <c r="K3167" t="str">
        <v>+</v>
      </c>
      <c r="L3167">
        <f>IF(D3167=0,2*MAX(6*F3167,75),(D3167-1)*2*MAX(6*F3167,75))/1000</f>
        <v>0.15</v>
      </c>
      <c r="M3167" t="str">
        <v>=</v>
      </c>
      <c r="N3167">
        <f>J3167+L3167</f>
        <v>1.03</v>
      </c>
      <c r="T3167" t="str">
        <v>x</v>
      </c>
      <c r="U3167">
        <f>0.006165*F3167^2</f>
        <v>0.6165</v>
      </c>
      <c r="V3167" t="str">
        <v>x</v>
      </c>
      <c r="W3167">
        <f>IF(D3148&gt;4*G3146,ROUND(MAX(D3148/4,2*G3146)/H3167,0)+1,0)</f>
        <v>9</v>
      </c>
      <c r="X3167" t="str">
        <v>x</v>
      </c>
      <c r="Y3167">
        <f>D3151</f>
        <v>1</v>
      </c>
      <c r="Z3167" t="str">
        <v>=</v>
      </c>
      <c r="AA3167">
        <f>N3167*U3167*W3167*Y3167</f>
        <v>5.714955000000001</v>
      </c>
    </row>
    <row r="3169">
      <c r="A3169" t="str">
        <f>A3145</f>
        <v>Lantai 2</v>
      </c>
      <c r="B3169">
        <f>B3145</f>
        <v>18</v>
      </c>
      <c r="C3169" t="str">
        <v>Kait Horizontal Tump.</v>
      </c>
      <c r="D3169">
        <f>VLOOKUP(D3145,'Detail Balok'!$C$10:$BJ$140,46,FALSE)</f>
        <v>0</v>
      </c>
      <c r="E3169" t="str">
        <v>D</v>
      </c>
      <c r="F3169">
        <f>VLOOKUP(D3145,'Detail Balok'!$C$10:$BJ$140,48,FALSE)</f>
        <v>0</v>
      </c>
      <c r="G3169" t="str">
        <v>-</v>
      </c>
      <c r="H3169">
        <f>VLOOKUP(D3145,'Detail Balok'!$C$10:$BJ$140,50,FALSE)</f>
        <v>100</v>
      </c>
      <c r="J3169">
        <f>(D3146-2*F$5)/1000</f>
        <v>0.12</v>
      </c>
      <c r="K3169" t="str">
        <v>+</v>
      </c>
      <c r="L3169">
        <f>IF(D3169=0,2*MAX(6*F3169,75),(D3169-1)*2*MAX(6*F3169,75))/1000</f>
        <v>0.15</v>
      </c>
      <c r="M3169" t="str">
        <v>=</v>
      </c>
      <c r="N3169">
        <f>J3169+L3169</f>
        <v>0.27</v>
      </c>
      <c r="T3169" t="str">
        <v>x</v>
      </c>
      <c r="U3169">
        <f>0.006165*F3169^2</f>
        <v>0</v>
      </c>
      <c r="V3169" t="str">
        <v>x</v>
      </c>
      <c r="W3169">
        <f>W3165</f>
        <v>9</v>
      </c>
      <c r="X3169" t="str">
        <v>x</v>
      </c>
      <c r="Y3169">
        <f>D3155</f>
        <v>3</v>
      </c>
      <c r="Z3169" t="str">
        <v>=</v>
      </c>
      <c r="AA3169">
        <f>N3169*U3169*W3169*Y3169</f>
        <v>0</v>
      </c>
    </row>
    <row r="3170">
      <c r="A3170" t="str">
        <f>A3145</f>
        <v>Lantai 2</v>
      </c>
      <c r="B3170">
        <f>B3145</f>
        <v>18</v>
      </c>
      <c r="C3170" t="str">
        <v>Kait Horizontal Lap.</v>
      </c>
      <c r="D3170">
        <f>VLOOKUP(D3145,'Detail Balok'!$C$10:$BJ$140,51,FALSE)</f>
        <v>0</v>
      </c>
      <c r="E3170" t="str">
        <v>D</v>
      </c>
      <c r="F3170">
        <f>VLOOKUP(D3145,'Detail Balok'!$C$10:$BJ$140,53,FALSE)</f>
        <v>0</v>
      </c>
      <c r="G3170" t="str">
        <v>-</v>
      </c>
      <c r="H3170">
        <f>VLOOKUP(D3145,'Detail Balok'!$C$10:$BJ$140,55,FALSE)</f>
        <v>100</v>
      </c>
      <c r="J3170">
        <f>(D3146-2*F$5)/1000</f>
        <v>0.12</v>
      </c>
      <c r="K3170" t="str">
        <v>+</v>
      </c>
      <c r="L3170">
        <f>IF(D3170=0,2*MAX(6*F3170,75),(D3170-1)*2*MAX(6*F3170,75))/1000</f>
        <v>0.15</v>
      </c>
      <c r="M3170" t="str">
        <v>=</v>
      </c>
      <c r="N3170">
        <f>J3170+L3170</f>
        <v>0.27</v>
      </c>
      <c r="T3170" t="str">
        <v>x</v>
      </c>
      <c r="U3170">
        <f>0.006165*F3170^2</f>
        <v>0</v>
      </c>
      <c r="V3170" t="str">
        <v>x</v>
      </c>
      <c r="W3170">
        <f>W3166</f>
        <v>1</v>
      </c>
      <c r="X3170" t="str">
        <v>x</v>
      </c>
      <c r="Y3170">
        <f>D3155</f>
        <v>3</v>
      </c>
      <c r="Z3170" t="str">
        <v>=</v>
      </c>
      <c r="AA3170">
        <f>N3170*U3170*W3170*Y3170</f>
        <v>0</v>
      </c>
    </row>
    <row r="3171">
      <c r="A3171" t="str">
        <f>A3145</f>
        <v>Lantai 2</v>
      </c>
      <c r="B3171">
        <f>B3145</f>
        <v>18</v>
      </c>
      <c r="C3171" t="str">
        <v>Kait Horizontal Tump.</v>
      </c>
      <c r="D3171">
        <f>VLOOKUP(D3145,'Detail Balok'!$C$10:$BJ$140,56,FALSE)</f>
        <v>0</v>
      </c>
      <c r="E3171" t="str">
        <v>D</v>
      </c>
      <c r="F3171">
        <f>VLOOKUP(D3145,'Detail Balok'!$C$10:$BJ$140,58,FALSE)</f>
        <v>0</v>
      </c>
      <c r="G3171" t="str">
        <v>-</v>
      </c>
      <c r="H3171">
        <f>VLOOKUP(D3145,'Detail Balok'!$C$10:$BJ$140,60,FALSE)</f>
        <v>100</v>
      </c>
      <c r="J3171">
        <f>(D3146-2*F$5)/1000</f>
        <v>0.12</v>
      </c>
      <c r="K3171" t="str">
        <v>+</v>
      </c>
      <c r="L3171">
        <f>IF(D3171=0,2*MAX(6*F3171,75),(D3171-1)*2*MAX(6*F3171,75))/1000</f>
        <v>0.15</v>
      </c>
      <c r="M3171" t="str">
        <v>=</v>
      </c>
      <c r="N3171">
        <f>J3171+L3171</f>
        <v>0.27</v>
      </c>
      <c r="T3171" t="str">
        <v>x</v>
      </c>
      <c r="U3171">
        <f>0.006165*F3171^2</f>
        <v>0</v>
      </c>
      <c r="V3171" t="str">
        <v>x</v>
      </c>
      <c r="W3171">
        <f>W3167</f>
        <v>9</v>
      </c>
      <c r="X3171" t="str">
        <v>x</v>
      </c>
      <c r="Y3171">
        <f>D3155</f>
        <v>3</v>
      </c>
      <c r="Z3171" t="str">
        <v>=</v>
      </c>
      <c r="AA3171">
        <f>N3171*U3171*W3171*Y3171</f>
        <v>0</v>
      </c>
    </row>
    <row r="3175">
      <c r="A3175" t="str">
        <f>A3145</f>
        <v>Lantai 2</v>
      </c>
      <c r="B3175">
        <f>B3145+1</f>
        <v>19</v>
      </c>
      <c r="C3175" t="str">
        <f>CONCATENATE(A3175," no. ",B3175)</f>
        <v>Lantai 2 no. 19</v>
      </c>
      <c r="D3175" t="str">
        <f>VLOOKUP(C3175,'Data Panjang Balok'!$C$9:$N$254,2,FALSE)</f>
        <v>B23-1</v>
      </c>
    </row>
    <row r="3176">
      <c r="C3176" t="str">
        <v>Dimensi</v>
      </c>
      <c r="D3176">
        <f>VLOOKUP(D3175,'Detail Balok'!$C$10:$AU$140,2,FALSE)</f>
        <v>200</v>
      </c>
      <c r="F3176" t="str">
        <v>x</v>
      </c>
      <c r="G3176">
        <f>VLOOKUP(D3175,'Detail Balok'!$C$10:$AU$140,3,FALSE)</f>
        <v>300</v>
      </c>
    </row>
    <row r="3177">
      <c r="C3177" t="str">
        <v>Panjang as ke as</v>
      </c>
      <c r="D3177">
        <f>VLOOKUP(C3175,'Data Panjang Balok'!$C$9:$N$254,4,FALSE)</f>
        <v>2075</v>
      </c>
    </row>
    <row r="3178">
      <c r="C3178" t="str">
        <v>Panjang netto</v>
      </c>
      <c r="D3178">
        <f>VLOOKUP(C3175,'Data Panjang Balok'!$C$9:$N$254,7,FALSE)</f>
        <v>2075</v>
      </c>
    </row>
    <row r="3179">
      <c r="C3179" t="str">
        <v>Kolom / balok kiri</v>
      </c>
      <c r="D3179">
        <f>VLOOKUP(C3175,'Data Panjang Balok'!$C$9:$N$254,9,FALSE)</f>
        <v>0</v>
      </c>
    </row>
    <row r="3180">
      <c r="C3180" t="str">
        <v>Kolom / balok kanan</v>
      </c>
      <c r="D3180">
        <f>VLOOKUP(C3175,'Data Panjang Balok'!$C$9:$N$254,10,FALSE)</f>
        <v>0</v>
      </c>
    </row>
    <row r="3181">
      <c r="C3181" t="str">
        <v>Jumlah</v>
      </c>
      <c r="D3181">
        <f>VLOOKUP(C3175,'Data Panjang Balok'!$C$9:$N$254,3,FALSE)</f>
        <v>1</v>
      </c>
    </row>
    <row r="3182">
      <c r="A3182" t="str">
        <f>A3175</f>
        <v>Lantai 2</v>
      </c>
      <c r="B3182">
        <f>B3175</f>
        <v>19</v>
      </c>
      <c r="C3182" t="str">
        <v>Tul Atas Tumpuan</v>
      </c>
      <c r="D3182">
        <f>VLOOKUP(D3175,'Detail Balok'!$C$10:$AU$140,4,FALSE)</f>
        <v>3</v>
      </c>
      <c r="E3182" t="str">
        <v>D</v>
      </c>
      <c r="F3182">
        <f>VLOOKUP(D3175,'Detail Balok'!$C$10:$AU$140,6,FALSE)</f>
        <v>13</v>
      </c>
      <c r="I3182" t="str">
        <v>(</v>
      </c>
      <c r="J3182">
        <f>+D3177/4/1000</f>
        <v>0.51875</v>
      </c>
      <c r="K3182" t="str">
        <v>+</v>
      </c>
      <c r="L3182">
        <f>MAX(VLOOKUP(F3182,N$6:P$15,3,FALSE)/1000,2/3*D3179/1000)+F$16*F3182/1000</f>
        <v>0.156</v>
      </c>
      <c r="M3182" t="str">
        <v>=</v>
      </c>
      <c r="N3182">
        <f>J3182+L3182</f>
        <v>0.6747500000000001</v>
      </c>
      <c r="O3182" t="str">
        <v>+</v>
      </c>
      <c r="P3182">
        <f>D3182-D3183</f>
        <v>0</v>
      </c>
      <c r="Q3182" t="str">
        <v>x</v>
      </c>
      <c r="R3182">
        <f>IF(P3182&gt;0,$F$18*F3182/1000,0)</f>
        <v>0</v>
      </c>
      <c r="S3182" t="str">
        <v>)</v>
      </c>
      <c r="T3182" t="str">
        <v>x</v>
      </c>
      <c r="U3182">
        <f>0.006165*F3182^2</f>
        <v>1.041885</v>
      </c>
      <c r="X3182" t="str">
        <v>x</v>
      </c>
      <c r="Y3182">
        <f>D3181</f>
        <v>1</v>
      </c>
      <c r="Z3182" t="str">
        <v>=</v>
      </c>
      <c r="AA3182">
        <f>IF(AA3185=0,(D3182*N3182+P3182*R3182)*U3182*Y3182,0)</f>
        <v>0</v>
      </c>
    </row>
    <row r="3183">
      <c r="A3183" t="str">
        <f>A3175</f>
        <v>Lantai 2</v>
      </c>
      <c r="B3183">
        <f>B3175</f>
        <v>19</v>
      </c>
      <c r="C3183" t="str">
        <v>Tul Atas Lapangan</v>
      </c>
      <c r="D3183">
        <f>VLOOKUP(D3175,'Detail Balok'!$C$10:$AU$140,7,FALSE)</f>
        <v>3</v>
      </c>
      <c r="E3183" t="str">
        <v>D</v>
      </c>
      <c r="F3183">
        <f>VLOOKUP(D3175,'Detail Balok'!$C$10:$AU$140,9,FALSE)</f>
        <v>13</v>
      </c>
      <c r="I3183" t="str">
        <v>(</v>
      </c>
      <c r="J3183">
        <f>+D3177/2/1000</f>
        <v>1.0375</v>
      </c>
      <c r="K3183" t="str">
        <v>+</v>
      </c>
      <c r="M3183" t="str">
        <v>=</v>
      </c>
      <c r="N3183">
        <f>J3183+L3183</f>
        <v>1.0375</v>
      </c>
      <c r="O3183" t="str">
        <v>+</v>
      </c>
      <c r="P3183">
        <f>MAX(D3183-D3182,D3183-D3184)</f>
        <v>0</v>
      </c>
      <c r="Q3183" t="str">
        <v>x</v>
      </c>
      <c r="R3183">
        <f>IF(P3183&gt;0,2*(1-2*$F$19-1/2)*D3178/1000,0)</f>
        <v>0</v>
      </c>
      <c r="S3183" t="str">
        <v>)</v>
      </c>
      <c r="T3183" t="str">
        <v>x</v>
      </c>
      <c r="U3183">
        <f>0.006165*F3183^2</f>
        <v>1.041885</v>
      </c>
      <c r="X3183" t="str">
        <v>x</v>
      </c>
      <c r="Y3183">
        <f>D3181</f>
        <v>1</v>
      </c>
      <c r="Z3183" t="str">
        <v>=</v>
      </c>
      <c r="AA3183">
        <f>IF(AA3185=0,(D3183*N3183+P3183*R3183)*U3183*Y3183,0)</f>
        <v>0</v>
      </c>
    </row>
    <row r="3184">
      <c r="A3184" t="str">
        <f>A3175</f>
        <v>Lantai 2</v>
      </c>
      <c r="B3184">
        <f>B3175</f>
        <v>19</v>
      </c>
      <c r="C3184" t="str">
        <v>Tul Atas Tumpuan</v>
      </c>
      <c r="D3184">
        <f>VLOOKUP(D3175,'Detail Balok'!$C$10:$AU$140,10,FALSE)</f>
        <v>3</v>
      </c>
      <c r="E3184" t="str">
        <v>D</v>
      </c>
      <c r="F3184">
        <f>VLOOKUP(D3175,'Detail Balok'!$C$10:$AU$140,12,FALSE)</f>
        <v>13</v>
      </c>
      <c r="I3184" t="str">
        <v>(</v>
      </c>
      <c r="J3184">
        <f>+D3177/4/1000</f>
        <v>0.51875</v>
      </c>
      <c r="K3184" t="str">
        <v>+</v>
      </c>
      <c r="L3184">
        <f>MAX(VLOOKUP(F3184,N$6:P$15,3,FALSE)/1000,2/3*D3179/1000)+F$16*F3184/1000</f>
        <v>0.156</v>
      </c>
      <c r="M3184" t="str">
        <v>=</v>
      </c>
      <c r="N3184">
        <f>J3184+L3184</f>
        <v>0.6747500000000001</v>
      </c>
      <c r="O3184" t="str">
        <v>+</v>
      </c>
      <c r="P3184">
        <f>D3184-D3183</f>
        <v>0</v>
      </c>
      <c r="Q3184" t="str">
        <v>x</v>
      </c>
      <c r="R3184">
        <f>IF(P3184&gt;0,$F$18*F3184/1000,0)</f>
        <v>0</v>
      </c>
      <c r="S3184" t="str">
        <v>)</v>
      </c>
      <c r="T3184" t="str">
        <v>x</v>
      </c>
      <c r="U3184">
        <f>0.006165*F3184^2</f>
        <v>1.041885</v>
      </c>
      <c r="X3184" t="str">
        <v>x</v>
      </c>
      <c r="Y3184">
        <f>D3181</f>
        <v>1</v>
      </c>
      <c r="Z3184" t="str">
        <v>=</v>
      </c>
      <c r="AA3184">
        <f>IF(AA3185=0,(D3184*N3184+P3184*R3184)*U3184*Y3184,0)</f>
        <v>0</v>
      </c>
    </row>
    <row r="3185">
      <c r="A3185" t="str">
        <f>A3175</f>
        <v>Lantai 2</v>
      </c>
      <c r="B3185">
        <f>B3175</f>
        <v>19</v>
      </c>
      <c r="D3185">
        <f>IF(AND(D3182=D3183,D3183=D3184,D3182=D3184),D3182,0)</f>
        <v>3</v>
      </c>
      <c r="E3185" t="str">
        <v>D</v>
      </c>
      <c r="F3185">
        <f>IF(AND(F3182=F3183,F3182=F3184,F3183=F3184),F3182,0)</f>
        <v>13</v>
      </c>
      <c r="L3185" t="str">
        <v>Total panjang per balok</v>
      </c>
      <c r="M3185" t="str">
        <v>=</v>
      </c>
      <c r="N3185">
        <f>IF(AND(D3182=D3183,D3182=D3184,D3183=D3184,F3182=F3183,F3182=F3184,F3183=F3184),SUM(N3182:N3184),0)</f>
        <v>2.387</v>
      </c>
      <c r="O3185" t="str">
        <v>+</v>
      </c>
      <c r="P3185">
        <f>IF(N3185&gt;12,ROUNDDOWN(N3185/12,0),0)</f>
        <v>0</v>
      </c>
      <c r="Q3185" t="str">
        <v>x</v>
      </c>
      <c r="R3185">
        <f>IF(P3185&gt;0,MAX(VLOOKUP(F3185,$D$6:$G$15,3,FALSE),600),0)/1000</f>
        <v>0</v>
      </c>
      <c r="T3185" t="str">
        <v>x</v>
      </c>
      <c r="U3185">
        <f>U3184</f>
        <v>1.041885</v>
      </c>
      <c r="V3185" t="str">
        <v>x</v>
      </c>
      <c r="W3185">
        <f>D3185</f>
        <v>3</v>
      </c>
      <c r="X3185" t="str">
        <v>x</v>
      </c>
      <c r="Y3185">
        <f>Y3184</f>
        <v>1</v>
      </c>
      <c r="Z3185" t="str">
        <v>=</v>
      </c>
      <c r="AA3185">
        <f>(N3185+P3185*R3185/1000)*U3185*W3185*Y3185</f>
        <v>7.460938485</v>
      </c>
    </row>
    <row r="3187">
      <c r="A3187" t="str">
        <f>A3175</f>
        <v>Lantai 2</v>
      </c>
      <c r="B3187">
        <f>B3175</f>
        <v>19</v>
      </c>
      <c r="C3187" t="str">
        <v>Tul Peminggang</v>
      </c>
      <c r="D3187">
        <f>VLOOKUP(D3175,'Detail Balok'!$C$10:$AU$140,13,FALSE)</f>
        <v>0</v>
      </c>
      <c r="E3187" t="str">
        <v>D</v>
      </c>
      <c r="F3187">
        <f>VLOOKUP(D3175,'Detail Balok'!$C$10:$AU$140,15,FALSE)</f>
        <v>8</v>
      </c>
      <c r="J3187">
        <f>+D3177/1000</f>
        <v>2.075</v>
      </c>
      <c r="K3187" t="str">
        <v>+</v>
      </c>
      <c r="L3187">
        <f>2*$F$16*F3187/1000</f>
        <v>0.192</v>
      </c>
      <c r="M3187" t="str">
        <v>=</v>
      </c>
      <c r="N3187">
        <f>J3187+L3187</f>
        <v>2.2670000000000003</v>
      </c>
      <c r="O3187" t="str">
        <v>+</v>
      </c>
      <c r="P3187">
        <f>IF(N3187&gt;12,ROUNDDOWN(N3187/12,0),0)</f>
        <v>0</v>
      </c>
      <c r="Q3187" t="str">
        <v>x</v>
      </c>
      <c r="R3187">
        <f>IF(P3187&gt;0,MAX(VLOOKUP(F3187,$D$6:$G$15,3,FALSE),600),0)/1000</f>
        <v>0</v>
      </c>
      <c r="T3187" t="str">
        <v>x</v>
      </c>
      <c r="U3187">
        <f>0.006165*F3187^2</f>
        <v>0.39456</v>
      </c>
      <c r="V3187" t="str">
        <v>x</v>
      </c>
      <c r="W3187">
        <f>+D3187</f>
        <v>0</v>
      </c>
      <c r="X3187" t="str">
        <v>x</v>
      </c>
      <c r="Y3187">
        <f>D3181</f>
        <v>1</v>
      </c>
      <c r="Z3187" t="str">
        <v>=</v>
      </c>
      <c r="AA3187">
        <f>(N3187+P3187*R3187/1000)*U3187*W3187*Y3187</f>
        <v>0</v>
      </c>
    </row>
    <row r="3190">
      <c r="A3190" t="str">
        <f>A3175</f>
        <v>Lantai 2</v>
      </c>
      <c r="B3190">
        <f>B3175</f>
        <v>19</v>
      </c>
      <c r="C3190" t="str">
        <v>Tul Bawah Tumpuan</v>
      </c>
      <c r="D3190">
        <f>VLOOKUP(D3175,'Detail Balok'!$C$10:$AU$140,22,FALSE)</f>
        <v>3</v>
      </c>
      <c r="E3190" t="str">
        <v>D</v>
      </c>
      <c r="F3190">
        <f>VLOOKUP(D3175,'Detail Balok'!$C$10:$AU$140,24,FALSE)</f>
        <v>13</v>
      </c>
      <c r="I3190" t="str">
        <v>(</v>
      </c>
      <c r="J3190">
        <f>+J3182</f>
        <v>0.51875</v>
      </c>
      <c r="K3190" t="str">
        <v>+</v>
      </c>
      <c r="L3190">
        <f>MAX(VLOOKUP(F3190,N$6:P$15,3,FALSE)/1000,2/3*D3180/1000)+F$16*F3190/1000</f>
        <v>0.156</v>
      </c>
      <c r="M3190" t="str">
        <v>=</v>
      </c>
      <c r="N3190">
        <f>J3190+L3190</f>
        <v>0.6747500000000001</v>
      </c>
      <c r="O3190" t="str">
        <v>+</v>
      </c>
      <c r="P3190">
        <f>D3190-D3191</f>
        <v>0</v>
      </c>
      <c r="Q3190" t="str">
        <v>x</v>
      </c>
      <c r="R3190">
        <f>IF(P3190&gt;0,$F$18*F3190/1000,0)</f>
        <v>0</v>
      </c>
      <c r="S3190" t="str">
        <v>)</v>
      </c>
      <c r="T3190" t="str">
        <v>x</v>
      </c>
      <c r="U3190">
        <f>0.006165*F3190^2</f>
        <v>1.041885</v>
      </c>
      <c r="X3190" t="str">
        <v>x</v>
      </c>
      <c r="Y3190">
        <f>D3181</f>
        <v>1</v>
      </c>
      <c r="Z3190" t="str">
        <v>=</v>
      </c>
      <c r="AA3190">
        <f>IF(AA3193=0,(D3190*N3190+P3190*R3190)*U3190*Y3190,0)</f>
        <v>0</v>
      </c>
    </row>
    <row r="3191">
      <c r="A3191" t="str">
        <f>A3175</f>
        <v>Lantai 2</v>
      </c>
      <c r="B3191">
        <f>B3175</f>
        <v>19</v>
      </c>
      <c r="C3191" t="str">
        <v>Tul Bawah Lapangan</v>
      </c>
      <c r="D3191">
        <f>VLOOKUP(D3175,'Detail Balok'!$C$10:$AU$140,25,FALSE)</f>
        <v>3</v>
      </c>
      <c r="E3191" t="str">
        <v>D</v>
      </c>
      <c r="F3191">
        <f>VLOOKUP(D3175,'Detail Balok'!$C$10:$AU$140,27,FALSE)</f>
        <v>13</v>
      </c>
      <c r="I3191" t="str">
        <v>(</v>
      </c>
      <c r="J3191">
        <f>+J3183</f>
        <v>1.0375</v>
      </c>
      <c r="K3191" t="str">
        <v>+</v>
      </c>
      <c r="M3191" t="str">
        <v>=</v>
      </c>
      <c r="N3191">
        <f>J3191+L3191</f>
        <v>1.0375</v>
      </c>
      <c r="O3191" t="str">
        <v>+</v>
      </c>
      <c r="P3191">
        <f>MAX(D3191-D3190,D3191-D3192)</f>
        <v>0</v>
      </c>
      <c r="Q3191" t="str">
        <v>x</v>
      </c>
      <c r="R3191">
        <f>IF(P3191&gt;0,2*(1-2*$F$19-1/2)*D3178/1000,0)</f>
        <v>0</v>
      </c>
      <c r="S3191" t="str">
        <v>)</v>
      </c>
      <c r="T3191" t="str">
        <v>x</v>
      </c>
      <c r="U3191">
        <f>0.006165*F3191^2</f>
        <v>1.041885</v>
      </c>
      <c r="X3191" t="str">
        <v>x</v>
      </c>
      <c r="Y3191">
        <f>D3181</f>
        <v>1</v>
      </c>
      <c r="Z3191" t="str">
        <v>=</v>
      </c>
      <c r="AA3191">
        <f>IF(AA3193=0,(D3191*N3191+P3191*R3191)*U3191*Y3191,0)</f>
        <v>0</v>
      </c>
    </row>
    <row r="3192">
      <c r="A3192" t="str">
        <f>A3175</f>
        <v>Lantai 2</v>
      </c>
      <c r="B3192">
        <f>B3175</f>
        <v>19</v>
      </c>
      <c r="C3192" t="str">
        <v>Tul Bawah Tumpuan</v>
      </c>
      <c r="D3192">
        <f>VLOOKUP(D3175,'Detail Balok'!$C$10:$AU$140,28,FALSE)</f>
        <v>3</v>
      </c>
      <c r="E3192" t="str">
        <v>D</v>
      </c>
      <c r="F3192">
        <f>VLOOKUP(D3175,'Detail Balok'!$C$10:$AU$140,30,FALSE)</f>
        <v>13</v>
      </c>
      <c r="I3192" t="str">
        <v>(</v>
      </c>
      <c r="J3192">
        <f>+J3184</f>
        <v>0.51875</v>
      </c>
      <c r="K3192" t="str">
        <v>+</v>
      </c>
      <c r="L3192">
        <f>MAX(VLOOKUP(F3192,N$6:P$15,3,FALSE)/1000,2/3*D3180/1000)+F$16*F3192/1000</f>
        <v>0.156</v>
      </c>
      <c r="M3192" t="str">
        <v>=</v>
      </c>
      <c r="N3192">
        <f>J3192+L3192</f>
        <v>0.6747500000000001</v>
      </c>
      <c r="O3192" t="str">
        <v>+</v>
      </c>
      <c r="P3192">
        <f>D3192-D3191</f>
        <v>0</v>
      </c>
      <c r="Q3192" t="str">
        <v>x</v>
      </c>
      <c r="R3192">
        <f>IF(P3192&gt;0,$F$18*F3192/1000,0)</f>
        <v>0</v>
      </c>
      <c r="S3192" t="str">
        <v>)</v>
      </c>
      <c r="T3192" t="str">
        <v>x</v>
      </c>
      <c r="U3192">
        <f>0.006165*F3192^2</f>
        <v>1.041885</v>
      </c>
      <c r="X3192" t="str">
        <v>x</v>
      </c>
      <c r="Y3192">
        <f>D3181</f>
        <v>1</v>
      </c>
      <c r="Z3192" t="str">
        <v>=</v>
      </c>
      <c r="AA3192">
        <f>IF(AA3193=0,(D3192*N3192+P3192*R3192)*U3192*Y3192,0)</f>
        <v>0</v>
      </c>
    </row>
    <row r="3193">
      <c r="A3193" t="str">
        <f>A3175</f>
        <v>Lantai 2</v>
      </c>
      <c r="B3193">
        <f>B3175</f>
        <v>19</v>
      </c>
      <c r="D3193">
        <f>IF(AND(D3190=D3191,D3191=D3192,D3190=D3192),D3190,0)</f>
        <v>3</v>
      </c>
      <c r="E3193" t="str">
        <v>D</v>
      </c>
      <c r="F3193">
        <f>IF(AND(F3190=F3191,F3190=F3192,F3191=F3192),F3190,0)</f>
        <v>13</v>
      </c>
      <c r="L3193" t="str">
        <v>Total panjang per balok</v>
      </c>
      <c r="M3193" t="str">
        <v>=</v>
      </c>
      <c r="N3193">
        <f>IF(AND(D3190=D3191,D3190=D3192,D3191=D3192,F3190=F3191,F3190=F3192,F3191=F3192),SUM(N3190:N3192),0)</f>
        <v>2.387</v>
      </c>
      <c r="O3193" t="str">
        <v>+</v>
      </c>
      <c r="P3193">
        <f>IF(N3193&gt;12,ROUNDDOWN(N3193/12,0),0)</f>
        <v>0</v>
      </c>
      <c r="Q3193" t="str">
        <v>x</v>
      </c>
      <c r="R3193">
        <f>IF(P3193&gt;0,MAX(VLOOKUP(F3193,$D$6:$G$15,3,FALSE),600),0)/1000</f>
        <v>0</v>
      </c>
      <c r="T3193" t="str">
        <v>x</v>
      </c>
      <c r="U3193">
        <f>U3192</f>
        <v>1.041885</v>
      </c>
      <c r="V3193" t="str">
        <v>x</v>
      </c>
      <c r="W3193">
        <f>D3193</f>
        <v>3</v>
      </c>
      <c r="X3193" t="str">
        <v>x</v>
      </c>
      <c r="Y3193">
        <f>Y3192</f>
        <v>1</v>
      </c>
      <c r="Z3193" t="str">
        <v>=</v>
      </c>
      <c r="AA3193">
        <f>(N3193+P3193*R3193/1000)*U3193*W3193*Y3193</f>
        <v>7.460938485</v>
      </c>
    </row>
    <row r="3195">
      <c r="A3195" t="str">
        <f>A3175</f>
        <v>Lantai 2</v>
      </c>
      <c r="B3195">
        <f>B3175</f>
        <v>19</v>
      </c>
      <c r="C3195" t="str">
        <v>Sengkang Tumpuan</v>
      </c>
      <c r="D3195">
        <f>VLOOKUP(D3175,'Detail Balok'!$C$10:$AU$140,31,FALSE)</f>
        <v>0</v>
      </c>
      <c r="E3195" t="str">
        <v>D</v>
      </c>
      <c r="F3195">
        <f>VLOOKUP(D3175,'Detail Balok'!$C$10:$AU$140,33,FALSE)</f>
        <v>10</v>
      </c>
      <c r="G3195" t="str">
        <v>-</v>
      </c>
      <c r="H3195">
        <f>VLOOKUP(D3175,'Detail Balok'!$C$10:$AU$140,35,FALSE)</f>
        <v>100</v>
      </c>
      <c r="J3195">
        <f>(IF(D3195=0,(2*(D3176+G3176))-(F$5*8),IF(D3195=3,(2*(D3176+G3176))-(F$5*8)+(G3176-2*F$5),IF(D3195=4,(2*(D3176+G3176))-(F$5*8)+2*(G3176-2*F$5)))))/1000</f>
        <v>0.68</v>
      </c>
      <c r="K3195" t="str">
        <v>+</v>
      </c>
      <c r="L3195">
        <f>IF(D3195=0,2*MAX(6*F3195,75),(D3195-1)*2*MAX(6*F3195,75))/1000</f>
        <v>0.15</v>
      </c>
      <c r="M3195" t="str">
        <v>=</v>
      </c>
      <c r="N3195">
        <f>J3195+L3195</f>
        <v>0.8300000000000001</v>
      </c>
      <c r="T3195" t="str">
        <v>x</v>
      </c>
      <c r="U3195">
        <f>0.006165*F3195^2</f>
        <v>0.6165</v>
      </c>
      <c r="V3195" t="str">
        <v>x</v>
      </c>
      <c r="W3195">
        <f>IF(D3178&gt;4*G3176,ROUND(MAX(D3178/4,2*G3176)/H3195,0)+1,ROUND(D3178/H3195,0)+1)</f>
        <v>7</v>
      </c>
      <c r="X3195" t="str">
        <v>x</v>
      </c>
      <c r="Y3195">
        <f>D3181</f>
        <v>1</v>
      </c>
      <c r="Z3195" t="str">
        <v>=</v>
      </c>
      <c r="AA3195">
        <f>N3195*U3195*W3195*Y3195</f>
        <v>3.581865000000001</v>
      </c>
    </row>
    <row r="3196">
      <c r="A3196" t="str">
        <f>A3175</f>
        <v>Lantai 2</v>
      </c>
      <c r="B3196">
        <f>B3175</f>
        <v>19</v>
      </c>
      <c r="C3196" t="str">
        <v>Sengkang Lapangan</v>
      </c>
      <c r="D3196">
        <f>VLOOKUP(D3175,'Detail Balok'!$C$10:$AU$140,36,FALSE)</f>
        <v>0</v>
      </c>
      <c r="E3196" t="str">
        <v>D</v>
      </c>
      <c r="F3196">
        <f>VLOOKUP(D3175,'Detail Balok'!$C$10:$AU$140,38,FALSE)</f>
        <v>10</v>
      </c>
      <c r="G3196" t="str">
        <v>-</v>
      </c>
      <c r="H3196">
        <f>VLOOKUP(D3175,'Detail Balok'!$C$10:$AU$140,40,FALSE)</f>
        <v>200</v>
      </c>
      <c r="J3196">
        <f>(IF(D3196=0,(2*(D3176+G3176))-(F$5*8),IF(D3196=3,(2*(D3176+G3176))-(F$5*8)+(G3176-2*F$5),IF(D3196=4,(2*(D3176+G3176))-(F$5*8)+2*(G3176-2*F$5)))))/1000</f>
        <v>0.68</v>
      </c>
      <c r="K3196" t="str">
        <v>+</v>
      </c>
      <c r="L3196">
        <f>IF(D3196=0,2*MAX(6*F3196,75),(D3196-1)*2*MAX(6*F3196,75))/1000</f>
        <v>0.15</v>
      </c>
      <c r="M3196" t="str">
        <v>=</v>
      </c>
      <c r="N3196">
        <f>J3196+L3196</f>
        <v>0.8300000000000001</v>
      </c>
      <c r="T3196" t="str">
        <v>x</v>
      </c>
      <c r="U3196">
        <f>0.006165*F3196^2</f>
        <v>0.6165</v>
      </c>
      <c r="V3196" t="str">
        <v>x</v>
      </c>
      <c r="W3196">
        <f>IF(D3178-MAX(D3178/4,2*G3176)*2&gt;0,ROUND((D3178-MAX(D3178/4,2*G3176)*2)/H3196,0),0)</f>
        <v>4</v>
      </c>
      <c r="X3196" t="str">
        <v>x</v>
      </c>
      <c r="Y3196">
        <f>D3181</f>
        <v>1</v>
      </c>
      <c r="Z3196" t="str">
        <v>=</v>
      </c>
      <c r="AA3196">
        <f>N3196*U3196*W3196*Y3196</f>
        <v>2.0467800000000005</v>
      </c>
    </row>
    <row r="3197">
      <c r="A3197" t="str">
        <f>A3175</f>
        <v>Lantai 2</v>
      </c>
      <c r="B3197">
        <f>B3175</f>
        <v>19</v>
      </c>
      <c r="C3197" t="str">
        <v>Sengkang Tumpuan</v>
      </c>
      <c r="D3197">
        <f>VLOOKUP(D3175,'Detail Balok'!$C$10:$AU$140,41,FALSE)</f>
        <v>0</v>
      </c>
      <c r="E3197" t="str">
        <v>D</v>
      </c>
      <c r="F3197">
        <f>VLOOKUP(D3175,'Detail Balok'!$C$10:$AU$140,43,FALSE)</f>
        <v>10</v>
      </c>
      <c r="G3197" t="str">
        <v>-</v>
      </c>
      <c r="H3197">
        <f>VLOOKUP(D3175,'Detail Balok'!$C$10:$AU$140,45,FALSE)</f>
        <v>100</v>
      </c>
      <c r="J3197">
        <f>(IF(D3197=0,(2*(D3176+G3176))-(F$5*8),IF(D3197=3,(2*(D3176+G3176))-(F$5*8)+(G3176-2*F$5),IF(D3197=4,(2*(D3176+G3176))-(F$5*8)+2*(G3176-2*F$5)))))/1000</f>
        <v>0.68</v>
      </c>
      <c r="K3197" t="str">
        <v>+</v>
      </c>
      <c r="L3197">
        <f>IF(D3197=0,2*MAX(6*F3197,75),(D3197-1)*2*MAX(6*F3197,75))/1000</f>
        <v>0.15</v>
      </c>
      <c r="M3197" t="str">
        <v>=</v>
      </c>
      <c r="N3197">
        <f>J3197+L3197</f>
        <v>0.8300000000000001</v>
      </c>
      <c r="T3197" t="str">
        <v>x</v>
      </c>
      <c r="U3197">
        <f>0.006165*F3197^2</f>
        <v>0.6165</v>
      </c>
      <c r="V3197" t="str">
        <v>x</v>
      </c>
      <c r="W3197">
        <f>IF(D3178&gt;4*G3176,ROUND(MAX(D3178/4,2*G3176)/H3197,0)+1,0)</f>
        <v>7</v>
      </c>
      <c r="X3197" t="str">
        <v>x</v>
      </c>
      <c r="Y3197">
        <f>D3181</f>
        <v>1</v>
      </c>
      <c r="Z3197" t="str">
        <v>=</v>
      </c>
      <c r="AA3197">
        <f>N3197*U3197*W3197*Y3197</f>
        <v>3.581865000000001</v>
      </c>
    </row>
    <row r="3199">
      <c r="A3199" t="str">
        <f>A3175</f>
        <v>Lantai 2</v>
      </c>
      <c r="B3199">
        <f>B3175</f>
        <v>19</v>
      </c>
      <c r="C3199" t="str">
        <v>Kait Horizontal Tump.</v>
      </c>
      <c r="D3199">
        <f>VLOOKUP(D3175,'Detail Balok'!$C$10:$BJ$140,46,FALSE)</f>
        <v>0</v>
      </c>
      <c r="E3199" t="str">
        <v>D</v>
      </c>
      <c r="F3199">
        <f>VLOOKUP(D3175,'Detail Balok'!$C$10:$BJ$140,48,FALSE)</f>
        <v>0</v>
      </c>
      <c r="G3199" t="str">
        <v>-</v>
      </c>
      <c r="H3199">
        <f>VLOOKUP(D3175,'Detail Balok'!$C$10:$BJ$140,50,FALSE)</f>
        <v>100</v>
      </c>
      <c r="J3199">
        <f>(D3176-2*F$5)/1000</f>
        <v>0.12</v>
      </c>
      <c r="K3199" t="str">
        <v>+</v>
      </c>
      <c r="L3199">
        <f>IF(D3199=0,2*MAX(6*F3199,75),(D3199-1)*2*MAX(6*F3199,75))/1000</f>
        <v>0.15</v>
      </c>
      <c r="M3199" t="str">
        <v>=</v>
      </c>
      <c r="N3199">
        <f>J3199+L3199</f>
        <v>0.27</v>
      </c>
      <c r="T3199" t="str">
        <v>x</v>
      </c>
      <c r="U3199">
        <f>0.006165*F3199^2</f>
        <v>0</v>
      </c>
      <c r="V3199" t="str">
        <v>x</v>
      </c>
      <c r="W3199">
        <f>W3195</f>
        <v>7</v>
      </c>
      <c r="X3199" t="str">
        <v>x</v>
      </c>
      <c r="Y3199">
        <f>D3185</f>
        <v>3</v>
      </c>
      <c r="Z3199" t="str">
        <v>=</v>
      </c>
      <c r="AA3199">
        <f>N3199*U3199*W3199*Y3199</f>
        <v>0</v>
      </c>
    </row>
    <row r="3200">
      <c r="A3200" t="str">
        <f>A3175</f>
        <v>Lantai 2</v>
      </c>
      <c r="B3200">
        <f>B3175</f>
        <v>19</v>
      </c>
      <c r="C3200" t="str">
        <v>Kait Horizontal Lap.</v>
      </c>
      <c r="D3200">
        <f>VLOOKUP(D3175,'Detail Balok'!$C$10:$BJ$140,51,FALSE)</f>
        <v>0</v>
      </c>
      <c r="E3200" t="str">
        <v>D</v>
      </c>
      <c r="F3200">
        <f>VLOOKUP(D3175,'Detail Balok'!$C$10:$BJ$140,53,FALSE)</f>
        <v>0</v>
      </c>
      <c r="G3200" t="str">
        <v>-</v>
      </c>
      <c r="H3200">
        <f>VLOOKUP(D3175,'Detail Balok'!$C$10:$BJ$140,55,FALSE)</f>
        <v>100</v>
      </c>
      <c r="J3200">
        <f>(D3176-2*F$5)/1000</f>
        <v>0.12</v>
      </c>
      <c r="K3200" t="str">
        <v>+</v>
      </c>
      <c r="L3200">
        <f>IF(D3200=0,2*MAX(6*F3200,75),(D3200-1)*2*MAX(6*F3200,75))/1000</f>
        <v>0.15</v>
      </c>
      <c r="M3200" t="str">
        <v>=</v>
      </c>
      <c r="N3200">
        <f>J3200+L3200</f>
        <v>0.27</v>
      </c>
      <c r="T3200" t="str">
        <v>x</v>
      </c>
      <c r="U3200">
        <f>0.006165*F3200^2</f>
        <v>0</v>
      </c>
      <c r="V3200" t="str">
        <v>x</v>
      </c>
      <c r="W3200">
        <f>W3196</f>
        <v>4</v>
      </c>
      <c r="X3200" t="str">
        <v>x</v>
      </c>
      <c r="Y3200">
        <f>D3185</f>
        <v>3</v>
      </c>
      <c r="Z3200" t="str">
        <v>=</v>
      </c>
      <c r="AA3200">
        <f>N3200*U3200*W3200*Y3200</f>
        <v>0</v>
      </c>
    </row>
    <row r="3201">
      <c r="A3201" t="str">
        <f>A3175</f>
        <v>Lantai 2</v>
      </c>
      <c r="B3201">
        <f>B3175</f>
        <v>19</v>
      </c>
      <c r="C3201" t="str">
        <v>Kait Horizontal Tump.</v>
      </c>
      <c r="D3201">
        <f>VLOOKUP(D3175,'Detail Balok'!$C$10:$BJ$140,56,FALSE)</f>
        <v>0</v>
      </c>
      <c r="E3201" t="str">
        <v>D</v>
      </c>
      <c r="F3201">
        <f>VLOOKUP(D3175,'Detail Balok'!$C$10:$BJ$140,58,FALSE)</f>
        <v>0</v>
      </c>
      <c r="G3201" t="str">
        <v>-</v>
      </c>
      <c r="H3201">
        <f>VLOOKUP(D3175,'Detail Balok'!$C$10:$BJ$140,60,FALSE)</f>
        <v>100</v>
      </c>
      <c r="J3201">
        <f>(D3176-2*F$5)/1000</f>
        <v>0.12</v>
      </c>
      <c r="K3201" t="str">
        <v>+</v>
      </c>
      <c r="L3201">
        <f>IF(D3201=0,2*MAX(6*F3201,75),(D3201-1)*2*MAX(6*F3201,75))/1000</f>
        <v>0.15</v>
      </c>
      <c r="M3201" t="str">
        <v>=</v>
      </c>
      <c r="N3201">
        <f>J3201+L3201</f>
        <v>0.27</v>
      </c>
      <c r="T3201" t="str">
        <v>x</v>
      </c>
      <c r="U3201">
        <f>0.006165*F3201^2</f>
        <v>0</v>
      </c>
      <c r="V3201" t="str">
        <v>x</v>
      </c>
      <c r="W3201">
        <f>W3197</f>
        <v>7</v>
      </c>
      <c r="X3201" t="str">
        <v>x</v>
      </c>
      <c r="Y3201">
        <f>D3185</f>
        <v>3</v>
      </c>
      <c r="Z3201" t="str">
        <v>=</v>
      </c>
      <c r="AA3201">
        <f>N3201*U3201*W3201*Y3201</f>
        <v>0</v>
      </c>
    </row>
    <row r="3205">
      <c r="A3205" t="str">
        <f>A3175</f>
        <v>Lantai 2</v>
      </c>
      <c r="B3205">
        <f>B3175+1</f>
        <v>20</v>
      </c>
      <c r="C3205" t="str">
        <f>CONCATENATE(A3205," no. ",B3205)</f>
        <v>Lantai 2 no. 20</v>
      </c>
      <c r="D3205" t="str">
        <f>VLOOKUP(C3205,'Data Panjang Balok'!$C$9:$N$254,2,FALSE)</f>
        <v>B24-2</v>
      </c>
    </row>
    <row r="3206">
      <c r="C3206" t="str">
        <v>Dimensi</v>
      </c>
      <c r="D3206">
        <f>VLOOKUP(D3205,'Detail Balok'!$C$10:$AU$140,2,FALSE)</f>
        <v>200</v>
      </c>
      <c r="F3206" t="str">
        <v>x</v>
      </c>
      <c r="G3206">
        <f>VLOOKUP(D3205,'Detail Balok'!$C$10:$AU$140,3,FALSE)</f>
        <v>400</v>
      </c>
    </row>
    <row r="3207">
      <c r="C3207" t="str">
        <v>Panjang as ke as</v>
      </c>
      <c r="D3207">
        <f>VLOOKUP(C3205,'Data Panjang Balok'!$C$9:$N$254,4,FALSE)</f>
        <v>3010</v>
      </c>
    </row>
    <row r="3208">
      <c r="C3208" t="str">
        <v>Panjang netto</v>
      </c>
      <c r="D3208">
        <f>VLOOKUP(C3205,'Data Panjang Balok'!$C$9:$N$254,7,FALSE)</f>
        <v>3010</v>
      </c>
    </row>
    <row r="3209">
      <c r="C3209" t="str">
        <v>Kolom / balok kiri</v>
      </c>
      <c r="D3209">
        <f>VLOOKUP(C3205,'Data Panjang Balok'!$C$9:$N$254,9,FALSE)</f>
        <v>0</v>
      </c>
    </row>
    <row r="3210">
      <c r="C3210" t="str">
        <v>Kolom / balok kanan</v>
      </c>
      <c r="D3210">
        <f>VLOOKUP(C3205,'Data Panjang Balok'!$C$9:$N$254,10,FALSE)</f>
        <v>0</v>
      </c>
    </row>
    <row r="3211">
      <c r="C3211" t="str">
        <v>Jumlah</v>
      </c>
      <c r="D3211">
        <f>VLOOKUP(C3205,'Data Panjang Balok'!$C$9:$N$254,3,FALSE)</f>
        <v>1</v>
      </c>
    </row>
    <row r="3212">
      <c r="A3212" t="str">
        <f>A3205</f>
        <v>Lantai 2</v>
      </c>
      <c r="B3212">
        <f>B3205</f>
        <v>20</v>
      </c>
      <c r="C3212" t="str">
        <v>Tul Atas Tumpuan</v>
      </c>
      <c r="D3212">
        <f>VLOOKUP(D3205,'Detail Balok'!$C$10:$AU$140,4,FALSE)</f>
        <v>3</v>
      </c>
      <c r="E3212" t="str">
        <v>D</v>
      </c>
      <c r="F3212">
        <f>VLOOKUP(D3205,'Detail Balok'!$C$10:$AU$140,6,FALSE)</f>
        <v>16</v>
      </c>
      <c r="I3212" t="str">
        <v>(</v>
      </c>
      <c r="J3212">
        <f>+D3207/4/1000</f>
        <v>0.7525</v>
      </c>
      <c r="K3212" t="str">
        <v>+</v>
      </c>
      <c r="L3212">
        <f>MAX(VLOOKUP(F3212,N$6:P$15,3,FALSE)/1000,2/3*D3209/1000)+F$16*F3212/1000</f>
        <v>0.192</v>
      </c>
      <c r="M3212" t="str">
        <v>=</v>
      </c>
      <c r="N3212">
        <f>J3212+L3212</f>
        <v>0.9444999999999999</v>
      </c>
      <c r="O3212" t="str">
        <v>+</v>
      </c>
      <c r="P3212">
        <f>D3212-D3213</f>
        <v>0</v>
      </c>
      <c r="Q3212" t="str">
        <v>x</v>
      </c>
      <c r="R3212">
        <f>IF(P3212&gt;0,$F$18*F3212/1000,0)</f>
        <v>0</v>
      </c>
      <c r="S3212" t="str">
        <v>)</v>
      </c>
      <c r="T3212" t="str">
        <v>x</v>
      </c>
      <c r="U3212">
        <f>0.006165*F3212^2</f>
        <v>1.57824</v>
      </c>
      <c r="X3212" t="str">
        <v>x</v>
      </c>
      <c r="Y3212">
        <f>D3211</f>
        <v>1</v>
      </c>
      <c r="Z3212" t="str">
        <v>=</v>
      </c>
      <c r="AA3212">
        <f>IF(AA3215=0,(D3212*N3212+P3212*R3212)*U3212*Y3212,0)</f>
        <v>0</v>
      </c>
    </row>
    <row r="3213">
      <c r="A3213" t="str">
        <f>A3205</f>
        <v>Lantai 2</v>
      </c>
      <c r="B3213">
        <f>B3205</f>
        <v>20</v>
      </c>
      <c r="C3213" t="str">
        <v>Tul Atas Lapangan</v>
      </c>
      <c r="D3213">
        <f>VLOOKUP(D3205,'Detail Balok'!$C$10:$AU$140,7,FALSE)</f>
        <v>3</v>
      </c>
      <c r="E3213" t="str">
        <v>D</v>
      </c>
      <c r="F3213">
        <f>VLOOKUP(D3205,'Detail Balok'!$C$10:$AU$140,9,FALSE)</f>
        <v>16</v>
      </c>
      <c r="I3213" t="str">
        <v>(</v>
      </c>
      <c r="J3213">
        <f>+D3207/2/1000</f>
        <v>1.505</v>
      </c>
      <c r="K3213" t="str">
        <v>+</v>
      </c>
      <c r="M3213" t="str">
        <v>=</v>
      </c>
      <c r="N3213">
        <f>J3213+L3213</f>
        <v>1.505</v>
      </c>
      <c r="O3213" t="str">
        <v>+</v>
      </c>
      <c r="P3213">
        <f>MAX(D3213-D3212,D3213-D3214)</f>
        <v>0</v>
      </c>
      <c r="Q3213" t="str">
        <v>x</v>
      </c>
      <c r="R3213">
        <f>IF(P3213&gt;0,2*(1-2*$F$19-1/2)*D3208/1000,0)</f>
        <v>0</v>
      </c>
      <c r="S3213" t="str">
        <v>)</v>
      </c>
      <c r="T3213" t="str">
        <v>x</v>
      </c>
      <c r="U3213">
        <f>0.006165*F3213^2</f>
        <v>1.57824</v>
      </c>
      <c r="X3213" t="str">
        <v>x</v>
      </c>
      <c r="Y3213">
        <f>D3211</f>
        <v>1</v>
      </c>
      <c r="Z3213" t="str">
        <v>=</v>
      </c>
      <c r="AA3213">
        <f>IF(AA3215=0,(D3213*N3213+P3213*R3213)*U3213*Y3213,0)</f>
        <v>0</v>
      </c>
    </row>
    <row r="3214">
      <c r="A3214" t="str">
        <f>A3205</f>
        <v>Lantai 2</v>
      </c>
      <c r="B3214">
        <f>B3205</f>
        <v>20</v>
      </c>
      <c r="C3214" t="str">
        <v>Tul Atas Tumpuan</v>
      </c>
      <c r="D3214">
        <f>VLOOKUP(D3205,'Detail Balok'!$C$10:$AU$140,10,FALSE)</f>
        <v>3</v>
      </c>
      <c r="E3214" t="str">
        <v>D</v>
      </c>
      <c r="F3214">
        <f>VLOOKUP(D3205,'Detail Balok'!$C$10:$AU$140,12,FALSE)</f>
        <v>16</v>
      </c>
      <c r="I3214" t="str">
        <v>(</v>
      </c>
      <c r="J3214">
        <f>+D3207/4/1000</f>
        <v>0.7525</v>
      </c>
      <c r="K3214" t="str">
        <v>+</v>
      </c>
      <c r="L3214">
        <f>MAX(VLOOKUP(F3214,N$6:P$15,3,FALSE)/1000,2/3*D3209/1000)+F$16*F3214/1000</f>
        <v>0.192</v>
      </c>
      <c r="M3214" t="str">
        <v>=</v>
      </c>
      <c r="N3214">
        <f>J3214+L3214</f>
        <v>0.9444999999999999</v>
      </c>
      <c r="O3214" t="str">
        <v>+</v>
      </c>
      <c r="P3214">
        <f>D3214-D3213</f>
        <v>0</v>
      </c>
      <c r="Q3214" t="str">
        <v>x</v>
      </c>
      <c r="R3214">
        <f>IF(P3214&gt;0,$F$18*F3214/1000,0)</f>
        <v>0</v>
      </c>
      <c r="S3214" t="str">
        <v>)</v>
      </c>
      <c r="T3214" t="str">
        <v>x</v>
      </c>
      <c r="U3214">
        <f>0.006165*F3214^2</f>
        <v>1.57824</v>
      </c>
      <c r="X3214" t="str">
        <v>x</v>
      </c>
      <c r="Y3214">
        <f>D3211</f>
        <v>1</v>
      </c>
      <c r="Z3214" t="str">
        <v>=</v>
      </c>
      <c r="AA3214">
        <f>IF(AA3215=0,(D3214*N3214+P3214*R3214)*U3214*Y3214,0)</f>
        <v>0</v>
      </c>
    </row>
    <row r="3215">
      <c r="A3215" t="str">
        <f>A3205</f>
        <v>Lantai 2</v>
      </c>
      <c r="B3215">
        <f>B3205</f>
        <v>20</v>
      </c>
      <c r="D3215">
        <f>IF(AND(D3212=D3213,D3213=D3214,D3212=D3214),D3212,0)</f>
        <v>3</v>
      </c>
      <c r="E3215" t="str">
        <v>D</v>
      </c>
      <c r="F3215">
        <f>IF(AND(F3212=F3213,F3212=F3214,F3213=F3214),F3212,0)</f>
        <v>16</v>
      </c>
      <c r="L3215" t="str">
        <v>Total panjang per balok</v>
      </c>
      <c r="M3215" t="str">
        <v>=</v>
      </c>
      <c r="N3215">
        <f>IF(AND(D3212=D3213,D3212=D3214,D3213=D3214,F3212=F3213,F3212=F3214,F3213=F3214),SUM(N3212:N3214),0)</f>
        <v>3.3939999999999992</v>
      </c>
      <c r="O3215" t="str">
        <v>+</v>
      </c>
      <c r="P3215">
        <f>IF(N3215&gt;12,ROUNDDOWN(N3215/12,0),0)</f>
        <v>0</v>
      </c>
      <c r="Q3215" t="str">
        <v>x</v>
      </c>
      <c r="R3215">
        <f>IF(P3215&gt;0,MAX(VLOOKUP(F3215,$D$6:$G$15,3,FALSE),600),0)/1000</f>
        <v>0</v>
      </c>
      <c r="T3215" t="str">
        <v>x</v>
      </c>
      <c r="U3215">
        <f>U3214</f>
        <v>1.57824</v>
      </c>
      <c r="V3215" t="str">
        <v>x</v>
      </c>
      <c r="W3215">
        <f>D3215</f>
        <v>3</v>
      </c>
      <c r="X3215" t="str">
        <v>x</v>
      </c>
      <c r="Y3215">
        <f>Y3214</f>
        <v>1</v>
      </c>
      <c r="Z3215" t="str">
        <v>=</v>
      </c>
      <c r="AA3215">
        <f>(N3215+P3215*R3215/1000)*U3215*W3215*Y3215</f>
        <v>16.069639679999998</v>
      </c>
    </row>
    <row r="3217">
      <c r="A3217" t="str">
        <f>A3205</f>
        <v>Lantai 2</v>
      </c>
      <c r="B3217">
        <f>B3205</f>
        <v>20</v>
      </c>
      <c r="C3217" t="str">
        <v>Tul Peminggang</v>
      </c>
      <c r="D3217">
        <f>VLOOKUP(D3205,'Detail Balok'!$C$10:$AU$140,13,FALSE)</f>
        <v>0</v>
      </c>
      <c r="E3217" t="str">
        <v>D</v>
      </c>
      <c r="F3217">
        <f>VLOOKUP(D3205,'Detail Balok'!$C$10:$AU$140,15,FALSE)</f>
        <v>8</v>
      </c>
      <c r="J3217">
        <f>+D3207/1000</f>
        <v>3.01</v>
      </c>
      <c r="K3217" t="str">
        <v>+</v>
      </c>
      <c r="L3217">
        <f>2*$F$16*F3217/1000</f>
        <v>0.192</v>
      </c>
      <c r="M3217" t="str">
        <v>=</v>
      </c>
      <c r="N3217">
        <f>J3217+L3217</f>
        <v>3.202</v>
      </c>
      <c r="O3217" t="str">
        <v>+</v>
      </c>
      <c r="P3217">
        <f>IF(N3217&gt;12,ROUNDDOWN(N3217/12,0),0)</f>
        <v>0</v>
      </c>
      <c r="Q3217" t="str">
        <v>x</v>
      </c>
      <c r="R3217">
        <f>IF(P3217&gt;0,MAX(VLOOKUP(F3217,$D$6:$G$15,3,FALSE),600),0)/1000</f>
        <v>0</v>
      </c>
      <c r="T3217" t="str">
        <v>x</v>
      </c>
      <c r="U3217">
        <f>0.006165*F3217^2</f>
        <v>0.39456</v>
      </c>
      <c r="V3217" t="str">
        <v>x</v>
      </c>
      <c r="W3217">
        <f>+D3217</f>
        <v>0</v>
      </c>
      <c r="X3217" t="str">
        <v>x</v>
      </c>
      <c r="Y3217">
        <f>D3211</f>
        <v>1</v>
      </c>
      <c r="Z3217" t="str">
        <v>=</v>
      </c>
      <c r="AA3217">
        <f>(N3217+P3217*R3217/1000)*U3217*W3217*Y3217</f>
        <v>0</v>
      </c>
    </row>
    <row r="3220">
      <c r="A3220" t="str">
        <f>A3205</f>
        <v>Lantai 2</v>
      </c>
      <c r="B3220">
        <f>B3205</f>
        <v>20</v>
      </c>
      <c r="C3220" t="str">
        <v>Tul Bawah Tumpuan</v>
      </c>
      <c r="D3220">
        <f>VLOOKUP(D3205,'Detail Balok'!$C$10:$AU$140,22,FALSE)</f>
        <v>3</v>
      </c>
      <c r="E3220" t="str">
        <v>D</v>
      </c>
      <c r="F3220">
        <f>VLOOKUP(D3205,'Detail Balok'!$C$10:$AU$140,24,FALSE)</f>
        <v>16</v>
      </c>
      <c r="I3220" t="str">
        <v>(</v>
      </c>
      <c r="J3220">
        <f>+J3212</f>
        <v>0.7525</v>
      </c>
      <c r="K3220" t="str">
        <v>+</v>
      </c>
      <c r="L3220">
        <f>MAX(VLOOKUP(F3220,N$6:P$15,3,FALSE)/1000,2/3*D3210/1000)+F$16*F3220/1000</f>
        <v>0.192</v>
      </c>
      <c r="M3220" t="str">
        <v>=</v>
      </c>
      <c r="N3220">
        <f>J3220+L3220</f>
        <v>0.9444999999999999</v>
      </c>
      <c r="O3220" t="str">
        <v>+</v>
      </c>
      <c r="P3220">
        <f>D3220-D3221</f>
        <v>0</v>
      </c>
      <c r="Q3220" t="str">
        <v>x</v>
      </c>
      <c r="R3220">
        <f>IF(P3220&gt;0,$F$18*F3220/1000,0)</f>
        <v>0</v>
      </c>
      <c r="S3220" t="str">
        <v>)</v>
      </c>
      <c r="T3220" t="str">
        <v>x</v>
      </c>
      <c r="U3220">
        <f>0.006165*F3220^2</f>
        <v>1.57824</v>
      </c>
      <c r="X3220" t="str">
        <v>x</v>
      </c>
      <c r="Y3220">
        <f>D3211</f>
        <v>1</v>
      </c>
      <c r="Z3220" t="str">
        <v>=</v>
      </c>
      <c r="AA3220">
        <f>IF(AA3223=0,(D3220*N3220+P3220*R3220)*U3220*Y3220,0)</f>
        <v>0</v>
      </c>
    </row>
    <row r="3221">
      <c r="A3221" t="str">
        <f>A3205</f>
        <v>Lantai 2</v>
      </c>
      <c r="B3221">
        <f>B3205</f>
        <v>20</v>
      </c>
      <c r="C3221" t="str">
        <v>Tul Bawah Lapangan</v>
      </c>
      <c r="D3221">
        <f>VLOOKUP(D3205,'Detail Balok'!$C$10:$AU$140,25,FALSE)</f>
        <v>3</v>
      </c>
      <c r="E3221" t="str">
        <v>D</v>
      </c>
      <c r="F3221">
        <f>VLOOKUP(D3205,'Detail Balok'!$C$10:$AU$140,27,FALSE)</f>
        <v>16</v>
      </c>
      <c r="I3221" t="str">
        <v>(</v>
      </c>
      <c r="J3221">
        <f>+J3213</f>
        <v>1.505</v>
      </c>
      <c r="K3221" t="str">
        <v>+</v>
      </c>
      <c r="M3221" t="str">
        <v>=</v>
      </c>
      <c r="N3221">
        <f>J3221+L3221</f>
        <v>1.505</v>
      </c>
      <c r="O3221" t="str">
        <v>+</v>
      </c>
      <c r="P3221">
        <f>MAX(D3221-D3220,D3221-D3222)</f>
        <v>0</v>
      </c>
      <c r="Q3221" t="str">
        <v>x</v>
      </c>
      <c r="R3221">
        <f>IF(P3221&gt;0,2*(1-2*$F$19-1/2)*D3208/1000,0)</f>
        <v>0</v>
      </c>
      <c r="S3221" t="str">
        <v>)</v>
      </c>
      <c r="T3221" t="str">
        <v>x</v>
      </c>
      <c r="U3221">
        <f>0.006165*F3221^2</f>
        <v>1.57824</v>
      </c>
      <c r="X3221" t="str">
        <v>x</v>
      </c>
      <c r="Y3221">
        <f>D3211</f>
        <v>1</v>
      </c>
      <c r="Z3221" t="str">
        <v>=</v>
      </c>
      <c r="AA3221">
        <f>IF(AA3223=0,(D3221*N3221+P3221*R3221)*U3221*Y3221,0)</f>
        <v>0</v>
      </c>
    </row>
    <row r="3222">
      <c r="A3222" t="str">
        <f>A3205</f>
        <v>Lantai 2</v>
      </c>
      <c r="B3222">
        <f>B3205</f>
        <v>20</v>
      </c>
      <c r="C3222" t="str">
        <v>Tul Bawah Tumpuan</v>
      </c>
      <c r="D3222">
        <f>VLOOKUP(D3205,'Detail Balok'!$C$10:$AU$140,28,FALSE)</f>
        <v>3</v>
      </c>
      <c r="E3222" t="str">
        <v>D</v>
      </c>
      <c r="F3222">
        <f>VLOOKUP(D3205,'Detail Balok'!$C$10:$AU$140,30,FALSE)</f>
        <v>16</v>
      </c>
      <c r="I3222" t="str">
        <v>(</v>
      </c>
      <c r="J3222">
        <f>+J3214</f>
        <v>0.7525</v>
      </c>
      <c r="K3222" t="str">
        <v>+</v>
      </c>
      <c r="L3222">
        <f>MAX(VLOOKUP(F3222,N$6:P$15,3,FALSE)/1000,2/3*D3210/1000)+F$16*F3222/1000</f>
        <v>0.192</v>
      </c>
      <c r="M3222" t="str">
        <v>=</v>
      </c>
      <c r="N3222">
        <f>J3222+L3222</f>
        <v>0.9444999999999999</v>
      </c>
      <c r="O3222" t="str">
        <v>+</v>
      </c>
      <c r="P3222">
        <f>D3222-D3221</f>
        <v>0</v>
      </c>
      <c r="Q3222" t="str">
        <v>x</v>
      </c>
      <c r="R3222">
        <f>IF(P3222&gt;0,$F$18*F3222/1000,0)</f>
        <v>0</v>
      </c>
      <c r="S3222" t="str">
        <v>)</v>
      </c>
      <c r="T3222" t="str">
        <v>x</v>
      </c>
      <c r="U3222">
        <f>0.006165*F3222^2</f>
        <v>1.57824</v>
      </c>
      <c r="X3222" t="str">
        <v>x</v>
      </c>
      <c r="Y3222">
        <f>D3211</f>
        <v>1</v>
      </c>
      <c r="Z3222" t="str">
        <v>=</v>
      </c>
      <c r="AA3222">
        <f>IF(AA3223=0,(D3222*N3222+P3222*R3222)*U3222*Y3222,0)</f>
        <v>0</v>
      </c>
    </row>
    <row r="3223">
      <c r="A3223" t="str">
        <f>A3205</f>
        <v>Lantai 2</v>
      </c>
      <c r="B3223">
        <f>B3205</f>
        <v>20</v>
      </c>
      <c r="D3223">
        <f>IF(AND(D3220=D3221,D3221=D3222,D3220=D3222),D3220,0)</f>
        <v>3</v>
      </c>
      <c r="E3223" t="str">
        <v>D</v>
      </c>
      <c r="F3223">
        <f>IF(AND(F3220=F3221,F3220=F3222,F3221=F3222),F3220,0)</f>
        <v>16</v>
      </c>
      <c r="L3223" t="str">
        <v>Total panjang per balok</v>
      </c>
      <c r="M3223" t="str">
        <v>=</v>
      </c>
      <c r="N3223">
        <f>IF(AND(D3220=D3221,D3220=D3222,D3221=D3222,F3220=F3221,F3220=F3222,F3221=F3222),SUM(N3220:N3222),0)</f>
        <v>3.3939999999999992</v>
      </c>
      <c r="O3223" t="str">
        <v>+</v>
      </c>
      <c r="P3223">
        <f>IF(N3223&gt;12,ROUNDDOWN(N3223/12,0),0)</f>
        <v>0</v>
      </c>
      <c r="Q3223" t="str">
        <v>x</v>
      </c>
      <c r="R3223">
        <f>IF(P3223&gt;0,MAX(VLOOKUP(F3223,$D$6:$G$15,3,FALSE),600),0)/1000</f>
        <v>0</v>
      </c>
      <c r="T3223" t="str">
        <v>x</v>
      </c>
      <c r="U3223">
        <f>U3222</f>
        <v>1.57824</v>
      </c>
      <c r="V3223" t="str">
        <v>x</v>
      </c>
      <c r="W3223">
        <f>D3223</f>
        <v>3</v>
      </c>
      <c r="X3223" t="str">
        <v>x</v>
      </c>
      <c r="Y3223">
        <f>Y3222</f>
        <v>1</v>
      </c>
      <c r="Z3223" t="str">
        <v>=</v>
      </c>
      <c r="AA3223">
        <f>(N3223+P3223*R3223/1000)*U3223*W3223*Y3223</f>
        <v>16.069639679999998</v>
      </c>
    </row>
    <row r="3225">
      <c r="A3225" t="str">
        <f>A3205</f>
        <v>Lantai 2</v>
      </c>
      <c r="B3225">
        <f>B3205</f>
        <v>20</v>
      </c>
      <c r="C3225" t="str">
        <v>Sengkang Tumpuan</v>
      </c>
      <c r="D3225">
        <f>VLOOKUP(D3205,'Detail Balok'!$C$10:$AU$140,31,FALSE)</f>
        <v>0</v>
      </c>
      <c r="E3225" t="str">
        <v>D</v>
      </c>
      <c r="F3225">
        <f>VLOOKUP(D3205,'Detail Balok'!$C$10:$AU$140,33,FALSE)</f>
        <v>10</v>
      </c>
      <c r="G3225" t="str">
        <v>-</v>
      </c>
      <c r="H3225">
        <f>VLOOKUP(D3205,'Detail Balok'!$C$10:$AU$140,35,FALSE)</f>
        <v>100</v>
      </c>
      <c r="J3225">
        <f>(IF(D3225=0,(2*(D3206+G3206))-(F$5*8),IF(D3225=3,(2*(D3206+G3206))-(F$5*8)+(G3206-2*F$5),IF(D3225=4,(2*(D3206+G3206))-(F$5*8)+2*(G3206-2*F$5)))))/1000</f>
        <v>0.88</v>
      </c>
      <c r="K3225" t="str">
        <v>+</v>
      </c>
      <c r="L3225">
        <f>IF(D3225=0,2*MAX(6*F3225,75),(D3225-1)*2*MAX(6*F3225,75))/1000</f>
        <v>0.15</v>
      </c>
      <c r="M3225" t="str">
        <v>=</v>
      </c>
      <c r="N3225">
        <f>J3225+L3225</f>
        <v>1.03</v>
      </c>
      <c r="T3225" t="str">
        <v>x</v>
      </c>
      <c r="U3225">
        <f>0.006165*F3225^2</f>
        <v>0.6165</v>
      </c>
      <c r="V3225" t="str">
        <v>x</v>
      </c>
      <c r="W3225">
        <f>IF(D3208&gt;4*G3206,ROUND(MAX(D3208/4,2*G3206)/H3225,0)+1,ROUND(D3208/H3225,0)+1)</f>
        <v>9</v>
      </c>
      <c r="X3225" t="str">
        <v>x</v>
      </c>
      <c r="Y3225">
        <f>D3211</f>
        <v>1</v>
      </c>
      <c r="Z3225" t="str">
        <v>=</v>
      </c>
      <c r="AA3225">
        <f>N3225*U3225*W3225*Y3225</f>
        <v>5.714955000000001</v>
      </c>
    </row>
    <row r="3226">
      <c r="A3226" t="str">
        <f>A3205</f>
        <v>Lantai 2</v>
      </c>
      <c r="B3226">
        <f>B3205</f>
        <v>20</v>
      </c>
      <c r="C3226" t="str">
        <v>Sengkang Lapangan</v>
      </c>
      <c r="D3226">
        <f>VLOOKUP(D3205,'Detail Balok'!$C$10:$AU$140,36,FALSE)</f>
        <v>0</v>
      </c>
      <c r="E3226" t="str">
        <v>D</v>
      </c>
      <c r="F3226">
        <f>VLOOKUP(D3205,'Detail Balok'!$C$10:$AU$140,38,FALSE)</f>
        <v>10</v>
      </c>
      <c r="G3226" t="str">
        <v>-</v>
      </c>
      <c r="H3226">
        <f>VLOOKUP(D3205,'Detail Balok'!$C$10:$AU$140,40,FALSE)</f>
        <v>200</v>
      </c>
      <c r="J3226">
        <f>(IF(D3226=0,(2*(D3206+G3206))-(F$5*8),IF(D3226=3,(2*(D3206+G3206))-(F$5*8)+(G3206-2*F$5),IF(D3226=4,(2*(D3206+G3206))-(F$5*8)+2*(G3206-2*F$5)))))/1000</f>
        <v>0.88</v>
      </c>
      <c r="K3226" t="str">
        <v>+</v>
      </c>
      <c r="L3226">
        <f>IF(D3226=0,2*MAX(6*F3226,75),(D3226-1)*2*MAX(6*F3226,75))/1000</f>
        <v>0.15</v>
      </c>
      <c r="M3226" t="str">
        <v>=</v>
      </c>
      <c r="N3226">
        <f>J3226+L3226</f>
        <v>1.03</v>
      </c>
      <c r="T3226" t="str">
        <v>x</v>
      </c>
      <c r="U3226">
        <f>0.006165*F3226^2</f>
        <v>0.6165</v>
      </c>
      <c r="V3226" t="str">
        <v>x</v>
      </c>
      <c r="W3226">
        <f>IF(D3208-MAX(D3208/4,2*G3206)*2&gt;0,ROUND((D3208-MAX(D3208/4,2*G3206)*2)/H3226,0),0)</f>
        <v>7</v>
      </c>
      <c r="X3226" t="str">
        <v>x</v>
      </c>
      <c r="Y3226">
        <f>D3211</f>
        <v>1</v>
      </c>
      <c r="Z3226" t="str">
        <v>=</v>
      </c>
      <c r="AA3226">
        <f>N3226*U3226*W3226*Y3226</f>
        <v>4.444965000000001</v>
      </c>
    </row>
    <row r="3227">
      <c r="A3227" t="str">
        <f>A3205</f>
        <v>Lantai 2</v>
      </c>
      <c r="B3227">
        <f>B3205</f>
        <v>20</v>
      </c>
      <c r="C3227" t="str">
        <v>Sengkang Tumpuan</v>
      </c>
      <c r="D3227">
        <f>VLOOKUP(D3205,'Detail Balok'!$C$10:$AU$140,41,FALSE)</f>
        <v>0</v>
      </c>
      <c r="E3227" t="str">
        <v>D</v>
      </c>
      <c r="F3227">
        <f>VLOOKUP(D3205,'Detail Balok'!$C$10:$AU$140,43,FALSE)</f>
        <v>10</v>
      </c>
      <c r="G3227" t="str">
        <v>-</v>
      </c>
      <c r="H3227">
        <f>VLOOKUP(D3205,'Detail Balok'!$C$10:$AU$140,45,FALSE)</f>
        <v>100</v>
      </c>
      <c r="J3227">
        <f>(IF(D3227=0,(2*(D3206+G3206))-(F$5*8),IF(D3227=3,(2*(D3206+G3206))-(F$5*8)+(G3206-2*F$5),IF(D3227=4,(2*(D3206+G3206))-(F$5*8)+2*(G3206-2*F$5)))))/1000</f>
        <v>0.88</v>
      </c>
      <c r="K3227" t="str">
        <v>+</v>
      </c>
      <c r="L3227">
        <f>IF(D3227=0,2*MAX(6*F3227,75),(D3227-1)*2*MAX(6*F3227,75))/1000</f>
        <v>0.15</v>
      </c>
      <c r="M3227" t="str">
        <v>=</v>
      </c>
      <c r="N3227">
        <f>J3227+L3227</f>
        <v>1.03</v>
      </c>
      <c r="T3227" t="str">
        <v>x</v>
      </c>
      <c r="U3227">
        <f>0.006165*F3227^2</f>
        <v>0.6165</v>
      </c>
      <c r="V3227" t="str">
        <v>x</v>
      </c>
      <c r="W3227">
        <f>IF(D3208&gt;4*G3206,ROUND(MAX(D3208/4,2*G3206)/H3227,0)+1,0)</f>
        <v>9</v>
      </c>
      <c r="X3227" t="str">
        <v>x</v>
      </c>
      <c r="Y3227">
        <f>D3211</f>
        <v>1</v>
      </c>
      <c r="Z3227" t="str">
        <v>=</v>
      </c>
      <c r="AA3227">
        <f>N3227*U3227*W3227*Y3227</f>
        <v>5.714955000000001</v>
      </c>
    </row>
    <row r="3229">
      <c r="A3229" t="str">
        <f>A3205</f>
        <v>Lantai 2</v>
      </c>
      <c r="B3229">
        <f>B3205</f>
        <v>20</v>
      </c>
      <c r="C3229" t="str">
        <v>Kait Horizontal Tump.</v>
      </c>
      <c r="D3229">
        <f>VLOOKUP(D3205,'Detail Balok'!$C$10:$BJ$140,46,FALSE)</f>
        <v>0</v>
      </c>
      <c r="E3229" t="str">
        <v>D</v>
      </c>
      <c r="F3229">
        <f>VLOOKUP(D3205,'Detail Balok'!$C$10:$BJ$140,48,FALSE)</f>
        <v>0</v>
      </c>
      <c r="G3229" t="str">
        <v>-</v>
      </c>
      <c r="H3229">
        <f>VLOOKUP(D3205,'Detail Balok'!$C$10:$BJ$140,50,FALSE)</f>
        <v>100</v>
      </c>
      <c r="J3229">
        <f>(D3206-2*F$5)/1000</f>
        <v>0.12</v>
      </c>
      <c r="K3229" t="str">
        <v>+</v>
      </c>
      <c r="L3229">
        <f>IF(D3229=0,2*MAX(6*F3229,75),(D3229-1)*2*MAX(6*F3229,75))/1000</f>
        <v>0.15</v>
      </c>
      <c r="M3229" t="str">
        <v>=</v>
      </c>
      <c r="N3229">
        <f>J3229+L3229</f>
        <v>0.27</v>
      </c>
      <c r="T3229" t="str">
        <v>x</v>
      </c>
      <c r="U3229">
        <f>0.006165*F3229^2</f>
        <v>0</v>
      </c>
      <c r="V3229" t="str">
        <v>x</v>
      </c>
      <c r="W3229">
        <f>W3225</f>
        <v>9</v>
      </c>
      <c r="X3229" t="str">
        <v>x</v>
      </c>
      <c r="Y3229">
        <f>D3215</f>
        <v>3</v>
      </c>
      <c r="Z3229" t="str">
        <v>=</v>
      </c>
      <c r="AA3229">
        <f>N3229*U3229*W3229*Y3229</f>
        <v>0</v>
      </c>
    </row>
    <row r="3230">
      <c r="A3230" t="str">
        <f>A3205</f>
        <v>Lantai 2</v>
      </c>
      <c r="B3230">
        <f>B3205</f>
        <v>20</v>
      </c>
      <c r="C3230" t="str">
        <v>Kait Horizontal Lap.</v>
      </c>
      <c r="D3230">
        <f>VLOOKUP(D3205,'Detail Balok'!$C$10:$BJ$140,51,FALSE)</f>
        <v>0</v>
      </c>
      <c r="E3230" t="str">
        <v>D</v>
      </c>
      <c r="F3230">
        <f>VLOOKUP(D3205,'Detail Balok'!$C$10:$BJ$140,53,FALSE)</f>
        <v>0</v>
      </c>
      <c r="G3230" t="str">
        <v>-</v>
      </c>
      <c r="H3230">
        <f>VLOOKUP(D3205,'Detail Balok'!$C$10:$BJ$140,55,FALSE)</f>
        <v>100</v>
      </c>
      <c r="J3230">
        <f>(D3206-2*F$5)/1000</f>
        <v>0.12</v>
      </c>
      <c r="K3230" t="str">
        <v>+</v>
      </c>
      <c r="L3230">
        <f>IF(D3230=0,2*MAX(6*F3230,75),(D3230-1)*2*MAX(6*F3230,75))/1000</f>
        <v>0.15</v>
      </c>
      <c r="M3230" t="str">
        <v>=</v>
      </c>
      <c r="N3230">
        <f>J3230+L3230</f>
        <v>0.27</v>
      </c>
      <c r="T3230" t="str">
        <v>x</v>
      </c>
      <c r="U3230">
        <f>0.006165*F3230^2</f>
        <v>0</v>
      </c>
      <c r="V3230" t="str">
        <v>x</v>
      </c>
      <c r="W3230">
        <f>W3226</f>
        <v>7</v>
      </c>
      <c r="X3230" t="str">
        <v>x</v>
      </c>
      <c r="Y3230">
        <f>D3215</f>
        <v>3</v>
      </c>
      <c r="Z3230" t="str">
        <v>=</v>
      </c>
      <c r="AA3230">
        <f>N3230*U3230*W3230*Y3230</f>
        <v>0</v>
      </c>
    </row>
    <row r="3231">
      <c r="A3231" t="str">
        <f>A3205</f>
        <v>Lantai 2</v>
      </c>
      <c r="B3231">
        <f>B3205</f>
        <v>20</v>
      </c>
      <c r="C3231" t="str">
        <v>Kait Horizontal Tump.</v>
      </c>
      <c r="D3231">
        <f>VLOOKUP(D3205,'Detail Balok'!$C$10:$BJ$140,56,FALSE)</f>
        <v>0</v>
      </c>
      <c r="E3231" t="str">
        <v>D</v>
      </c>
      <c r="F3231">
        <f>VLOOKUP(D3205,'Detail Balok'!$C$10:$BJ$140,58,FALSE)</f>
        <v>0</v>
      </c>
      <c r="G3231" t="str">
        <v>-</v>
      </c>
      <c r="H3231">
        <f>VLOOKUP(D3205,'Detail Balok'!$C$10:$BJ$140,60,FALSE)</f>
        <v>100</v>
      </c>
      <c r="J3231">
        <f>(D3206-2*F$5)/1000</f>
        <v>0.12</v>
      </c>
      <c r="K3231" t="str">
        <v>+</v>
      </c>
      <c r="L3231">
        <f>IF(D3231=0,2*MAX(6*F3231,75),(D3231-1)*2*MAX(6*F3231,75))/1000</f>
        <v>0.15</v>
      </c>
      <c r="M3231" t="str">
        <v>=</v>
      </c>
      <c r="N3231">
        <f>J3231+L3231</f>
        <v>0.27</v>
      </c>
      <c r="T3231" t="str">
        <v>x</v>
      </c>
      <c r="U3231">
        <f>0.006165*F3231^2</f>
        <v>0</v>
      </c>
      <c r="V3231" t="str">
        <v>x</v>
      </c>
      <c r="W3231">
        <f>W3227</f>
        <v>9</v>
      </c>
      <c r="X3231" t="str">
        <v>x</v>
      </c>
      <c r="Y3231">
        <f>D3215</f>
        <v>3</v>
      </c>
      <c r="Z3231" t="str">
        <v>=</v>
      </c>
      <c r="AA3231">
        <f>N3231*U3231*W3231*Y3231</f>
        <v>0</v>
      </c>
    </row>
    <row r="3235">
      <c r="A3235" t="str">
        <f>A3205</f>
        <v>Lantai 2</v>
      </c>
      <c r="B3235">
        <f>B3205+1</f>
        <v>21</v>
      </c>
      <c r="C3235" t="str">
        <f>CONCATENATE(A3235," no. ",B3235)</f>
        <v>Lantai 2 no. 21</v>
      </c>
      <c r="D3235" t="str">
        <f>VLOOKUP(C3235,'Data Panjang Balok'!$C$9:$N$254,2,FALSE)</f>
        <v>B25-1</v>
      </c>
    </row>
    <row r="3236">
      <c r="C3236" t="str">
        <v>Dimensi</v>
      </c>
      <c r="D3236">
        <f>VLOOKUP(D3235,'Detail Balok'!$C$10:$AU$140,2,FALSE)</f>
        <v>200</v>
      </c>
      <c r="F3236" t="str">
        <v>x</v>
      </c>
      <c r="G3236">
        <f>VLOOKUP(D3235,'Detail Balok'!$C$10:$AU$140,3,FALSE)</f>
        <v>500</v>
      </c>
    </row>
    <row r="3237">
      <c r="C3237" t="str">
        <v>Panjang as ke as</v>
      </c>
      <c r="D3237">
        <f>VLOOKUP(C3235,'Data Panjang Balok'!$C$9:$N$254,4,FALSE)</f>
        <v>4075</v>
      </c>
    </row>
    <row r="3238">
      <c r="C3238" t="str">
        <v>Panjang netto</v>
      </c>
      <c r="D3238">
        <f>VLOOKUP(C3235,'Data Panjang Balok'!$C$9:$N$254,7,FALSE)</f>
        <v>4075</v>
      </c>
    </row>
    <row r="3239">
      <c r="C3239" t="str">
        <v>Kolom / balok kiri</v>
      </c>
      <c r="D3239">
        <f>VLOOKUP(C3235,'Data Panjang Balok'!$C$9:$N$254,9,FALSE)</f>
        <v>0</v>
      </c>
    </row>
    <row r="3240">
      <c r="C3240" t="str">
        <v>Kolom / balok kanan</v>
      </c>
      <c r="D3240">
        <f>VLOOKUP(C3235,'Data Panjang Balok'!$C$9:$N$254,10,FALSE)</f>
        <v>0</v>
      </c>
    </row>
    <row r="3241">
      <c r="C3241" t="str">
        <v>Jumlah</v>
      </c>
      <c r="D3241">
        <f>VLOOKUP(C3235,'Data Panjang Balok'!$C$9:$N$254,3,FALSE)</f>
        <v>1</v>
      </c>
    </row>
    <row r="3242">
      <c r="A3242" t="str">
        <f>A3235</f>
        <v>Lantai 2</v>
      </c>
      <c r="B3242">
        <f>B3235</f>
        <v>21</v>
      </c>
      <c r="C3242" t="str">
        <v>Tul Atas Tumpuan</v>
      </c>
      <c r="D3242">
        <f>VLOOKUP(D3235,'Detail Balok'!$C$10:$AU$140,4,FALSE)</f>
        <v>4</v>
      </c>
      <c r="E3242" t="str">
        <v>D</v>
      </c>
      <c r="F3242">
        <f>VLOOKUP(D3235,'Detail Balok'!$C$10:$AU$140,6,FALSE)</f>
        <v>16</v>
      </c>
      <c r="I3242" t="str">
        <v>(</v>
      </c>
      <c r="J3242">
        <f>+D3237/4/1000</f>
        <v>1.01875</v>
      </c>
      <c r="K3242" t="str">
        <v>+</v>
      </c>
      <c r="L3242">
        <f>MAX(VLOOKUP(F3242,N$6:P$15,3,FALSE)/1000,2/3*D3239/1000)+F$16*F3242/1000</f>
        <v>0.192</v>
      </c>
      <c r="M3242" t="str">
        <v>=</v>
      </c>
      <c r="N3242">
        <f>J3242+L3242</f>
        <v>1.21075</v>
      </c>
      <c r="O3242" t="str">
        <v>+</v>
      </c>
      <c r="P3242">
        <f>D3242-D3243</f>
        <v>0</v>
      </c>
      <c r="Q3242" t="str">
        <v>x</v>
      </c>
      <c r="R3242">
        <f>IF(P3242&gt;0,$F$18*F3242/1000,0)</f>
        <v>0</v>
      </c>
      <c r="S3242" t="str">
        <v>)</v>
      </c>
      <c r="T3242" t="str">
        <v>x</v>
      </c>
      <c r="U3242">
        <f>0.006165*F3242^2</f>
        <v>1.57824</v>
      </c>
      <c r="X3242" t="str">
        <v>x</v>
      </c>
      <c r="Y3242">
        <f>D3241</f>
        <v>1</v>
      </c>
      <c r="Z3242" t="str">
        <v>=</v>
      </c>
      <c r="AA3242">
        <f>IF(AA3245=0,(D3242*N3242+P3242*R3242)*U3242*Y3242,0)</f>
        <v>0</v>
      </c>
    </row>
    <row r="3243">
      <c r="A3243" t="str">
        <f>A3235</f>
        <v>Lantai 2</v>
      </c>
      <c r="B3243">
        <f>B3235</f>
        <v>21</v>
      </c>
      <c r="C3243" t="str">
        <v>Tul Atas Lapangan</v>
      </c>
      <c r="D3243">
        <f>VLOOKUP(D3235,'Detail Balok'!$C$10:$AU$140,7,FALSE)</f>
        <v>4</v>
      </c>
      <c r="E3243" t="str">
        <v>D</v>
      </c>
      <c r="F3243">
        <f>VLOOKUP(D3235,'Detail Balok'!$C$10:$AU$140,9,FALSE)</f>
        <v>16</v>
      </c>
      <c r="I3243" t="str">
        <v>(</v>
      </c>
      <c r="J3243">
        <f>+D3237/2/1000</f>
        <v>2.0375</v>
      </c>
      <c r="K3243" t="str">
        <v>+</v>
      </c>
      <c r="M3243" t="str">
        <v>=</v>
      </c>
      <c r="N3243">
        <f>J3243+L3243</f>
        <v>2.0375</v>
      </c>
      <c r="O3243" t="str">
        <v>+</v>
      </c>
      <c r="P3243">
        <f>MAX(D3243-D3242,D3243-D3244)</f>
        <v>0</v>
      </c>
      <c r="Q3243" t="str">
        <v>x</v>
      </c>
      <c r="R3243">
        <f>IF(P3243&gt;0,2*(1-2*$F$19-1/2)*D3238/1000,0)</f>
        <v>0</v>
      </c>
      <c r="S3243" t="str">
        <v>)</v>
      </c>
      <c r="T3243" t="str">
        <v>x</v>
      </c>
      <c r="U3243">
        <f>0.006165*F3243^2</f>
        <v>1.57824</v>
      </c>
      <c r="X3243" t="str">
        <v>x</v>
      </c>
      <c r="Y3243">
        <f>D3241</f>
        <v>1</v>
      </c>
      <c r="Z3243" t="str">
        <v>=</v>
      </c>
      <c r="AA3243">
        <f>IF(AA3245=0,(D3243*N3243+P3243*R3243)*U3243*Y3243,0)</f>
        <v>0</v>
      </c>
    </row>
    <row r="3244">
      <c r="A3244" t="str">
        <f>A3235</f>
        <v>Lantai 2</v>
      </c>
      <c r="B3244">
        <f>B3235</f>
        <v>21</v>
      </c>
      <c r="C3244" t="str">
        <v>Tul Atas Tumpuan</v>
      </c>
      <c r="D3244">
        <f>VLOOKUP(D3235,'Detail Balok'!$C$10:$AU$140,10,FALSE)</f>
        <v>4</v>
      </c>
      <c r="E3244" t="str">
        <v>D</v>
      </c>
      <c r="F3244">
        <f>VLOOKUP(D3235,'Detail Balok'!$C$10:$AU$140,12,FALSE)</f>
        <v>16</v>
      </c>
      <c r="I3244" t="str">
        <v>(</v>
      </c>
      <c r="J3244">
        <f>+D3237/4/1000</f>
        <v>1.01875</v>
      </c>
      <c r="K3244" t="str">
        <v>+</v>
      </c>
      <c r="L3244">
        <f>MAX(VLOOKUP(F3244,N$6:P$15,3,FALSE)/1000,2/3*D3239/1000)+F$16*F3244/1000</f>
        <v>0.192</v>
      </c>
      <c r="M3244" t="str">
        <v>=</v>
      </c>
      <c r="N3244">
        <f>J3244+L3244</f>
        <v>1.21075</v>
      </c>
      <c r="O3244" t="str">
        <v>+</v>
      </c>
      <c r="P3244">
        <f>D3244-D3243</f>
        <v>0</v>
      </c>
      <c r="Q3244" t="str">
        <v>x</v>
      </c>
      <c r="R3244">
        <f>IF(P3244&gt;0,$F$18*F3244/1000,0)</f>
        <v>0</v>
      </c>
      <c r="S3244" t="str">
        <v>)</v>
      </c>
      <c r="T3244" t="str">
        <v>x</v>
      </c>
      <c r="U3244">
        <f>0.006165*F3244^2</f>
        <v>1.57824</v>
      </c>
      <c r="X3244" t="str">
        <v>x</v>
      </c>
      <c r="Y3244">
        <f>D3241</f>
        <v>1</v>
      </c>
      <c r="Z3244" t="str">
        <v>=</v>
      </c>
      <c r="AA3244">
        <f>IF(AA3245=0,(D3244*N3244+P3244*R3244)*U3244*Y3244,0)</f>
        <v>0</v>
      </c>
    </row>
    <row r="3245">
      <c r="A3245" t="str">
        <f>A3235</f>
        <v>Lantai 2</v>
      </c>
      <c r="B3245">
        <f>B3235</f>
        <v>21</v>
      </c>
      <c r="D3245">
        <f>IF(AND(D3242=D3243,D3243=D3244,D3242=D3244),D3242,0)</f>
        <v>4</v>
      </c>
      <c r="E3245" t="str">
        <v>D</v>
      </c>
      <c r="F3245">
        <f>IF(AND(F3242=F3243,F3242=F3244,F3243=F3244),F3242,0)</f>
        <v>16</v>
      </c>
      <c r="L3245" t="str">
        <v>Total panjang per balok</v>
      </c>
      <c r="M3245" t="str">
        <v>=</v>
      </c>
      <c r="N3245">
        <f>IF(AND(D3242=D3243,D3242=D3244,D3243=D3244,F3242=F3243,F3242=F3244,F3243=F3244),SUM(N3242:N3244),0)</f>
        <v>4.459</v>
      </c>
      <c r="O3245" t="str">
        <v>+</v>
      </c>
      <c r="P3245">
        <f>IF(N3245&gt;12,ROUNDDOWN(N3245/12,0),0)</f>
        <v>0</v>
      </c>
      <c r="Q3245" t="str">
        <v>x</v>
      </c>
      <c r="R3245">
        <f>IF(P3245&gt;0,MAX(VLOOKUP(F3245,$D$6:$G$15,3,FALSE),600),0)/1000</f>
        <v>0</v>
      </c>
      <c r="T3245" t="str">
        <v>x</v>
      </c>
      <c r="U3245">
        <f>U3244</f>
        <v>1.57824</v>
      </c>
      <c r="V3245" t="str">
        <v>x</v>
      </c>
      <c r="W3245">
        <f>D3245</f>
        <v>4</v>
      </c>
      <c r="X3245" t="str">
        <v>x</v>
      </c>
      <c r="Y3245">
        <f>Y3244</f>
        <v>1</v>
      </c>
      <c r="Z3245" t="str">
        <v>=</v>
      </c>
      <c r="AA3245">
        <f>(N3245+P3245*R3245/1000)*U3245*W3245*Y3245</f>
        <v>28.149488639999998</v>
      </c>
    </row>
    <row r="3247">
      <c r="A3247" t="str">
        <f>A3235</f>
        <v>Lantai 2</v>
      </c>
      <c r="B3247">
        <f>B3235</f>
        <v>21</v>
      </c>
      <c r="C3247" t="str">
        <v>Tul Peminggang</v>
      </c>
      <c r="D3247">
        <f>VLOOKUP(D3235,'Detail Balok'!$C$10:$AU$140,13,FALSE)</f>
        <v>2</v>
      </c>
      <c r="E3247" t="str">
        <v>D</v>
      </c>
      <c r="F3247">
        <f>VLOOKUP(D3235,'Detail Balok'!$C$10:$AU$140,15,FALSE)</f>
        <v>10</v>
      </c>
      <c r="J3247">
        <f>+D3237/1000</f>
        <v>4.075</v>
      </c>
      <c r="K3247" t="str">
        <v>+</v>
      </c>
      <c r="L3247">
        <f>2*$F$16*F3247/1000</f>
        <v>0.24</v>
      </c>
      <c r="M3247" t="str">
        <v>=</v>
      </c>
      <c r="N3247">
        <f>J3247+L3247</f>
        <v>4.315</v>
      </c>
      <c r="O3247" t="str">
        <v>+</v>
      </c>
      <c r="P3247">
        <f>IF(N3247&gt;12,ROUNDDOWN(N3247/12,0),0)</f>
        <v>0</v>
      </c>
      <c r="Q3247" t="str">
        <v>x</v>
      </c>
      <c r="R3247">
        <f>IF(P3247&gt;0,MAX(VLOOKUP(F3247,$D$6:$G$15,3,FALSE),600),0)/1000</f>
        <v>0</v>
      </c>
      <c r="T3247" t="str">
        <v>x</v>
      </c>
      <c r="U3247">
        <f>0.006165*F3247^2</f>
        <v>0.6165</v>
      </c>
      <c r="V3247" t="str">
        <v>x</v>
      </c>
      <c r="W3247">
        <f>+D3247</f>
        <v>2</v>
      </c>
      <c r="X3247" t="str">
        <v>x</v>
      </c>
      <c r="Y3247">
        <f>D3241</f>
        <v>1</v>
      </c>
      <c r="Z3247" t="str">
        <v>=</v>
      </c>
      <c r="AA3247">
        <f>(N3247+P3247*R3247/1000)*U3247*W3247*Y3247</f>
        <v>5.320395000000001</v>
      </c>
    </row>
    <row r="3250">
      <c r="A3250" t="str">
        <f>A3235</f>
        <v>Lantai 2</v>
      </c>
      <c r="B3250">
        <f>B3235</f>
        <v>21</v>
      </c>
      <c r="C3250" t="str">
        <v>Tul Bawah Tumpuan</v>
      </c>
      <c r="D3250">
        <f>VLOOKUP(D3235,'Detail Balok'!$C$10:$AU$140,22,FALSE)</f>
        <v>4</v>
      </c>
      <c r="E3250" t="str">
        <v>D</v>
      </c>
      <c r="F3250">
        <f>VLOOKUP(D3235,'Detail Balok'!$C$10:$AU$140,24,FALSE)</f>
        <v>16</v>
      </c>
      <c r="I3250" t="str">
        <v>(</v>
      </c>
      <c r="J3250">
        <f>+J3242</f>
        <v>1.01875</v>
      </c>
      <c r="K3250" t="str">
        <v>+</v>
      </c>
      <c r="L3250">
        <f>MAX(VLOOKUP(F3250,N$6:P$15,3,FALSE)/1000,2/3*D3240/1000)+F$16*F3250/1000</f>
        <v>0.192</v>
      </c>
      <c r="M3250" t="str">
        <v>=</v>
      </c>
      <c r="N3250">
        <f>J3250+L3250</f>
        <v>1.21075</v>
      </c>
      <c r="O3250" t="str">
        <v>+</v>
      </c>
      <c r="P3250">
        <f>D3250-D3251</f>
        <v>0</v>
      </c>
      <c r="Q3250" t="str">
        <v>x</v>
      </c>
      <c r="R3250">
        <f>IF(P3250&gt;0,$F$18*F3250/1000,0)</f>
        <v>0</v>
      </c>
      <c r="S3250" t="str">
        <v>)</v>
      </c>
      <c r="T3250" t="str">
        <v>x</v>
      </c>
      <c r="U3250">
        <f>0.006165*F3250^2</f>
        <v>1.57824</v>
      </c>
      <c r="X3250" t="str">
        <v>x</v>
      </c>
      <c r="Y3250">
        <f>D3241</f>
        <v>1</v>
      </c>
      <c r="Z3250" t="str">
        <v>=</v>
      </c>
      <c r="AA3250">
        <f>IF(AA3253=0,(D3250*N3250+P3250*R3250)*U3250*Y3250,0)</f>
        <v>0</v>
      </c>
    </row>
    <row r="3251">
      <c r="A3251" t="str">
        <f>A3235</f>
        <v>Lantai 2</v>
      </c>
      <c r="B3251">
        <f>B3235</f>
        <v>21</v>
      </c>
      <c r="C3251" t="str">
        <v>Tul Bawah Lapangan</v>
      </c>
      <c r="D3251">
        <f>VLOOKUP(D3235,'Detail Balok'!$C$10:$AU$140,25,FALSE)</f>
        <v>4</v>
      </c>
      <c r="E3251" t="str">
        <v>D</v>
      </c>
      <c r="F3251">
        <f>VLOOKUP(D3235,'Detail Balok'!$C$10:$AU$140,27,FALSE)</f>
        <v>16</v>
      </c>
      <c r="I3251" t="str">
        <v>(</v>
      </c>
      <c r="J3251">
        <f>+J3243</f>
        <v>2.0375</v>
      </c>
      <c r="K3251" t="str">
        <v>+</v>
      </c>
      <c r="M3251" t="str">
        <v>=</v>
      </c>
      <c r="N3251">
        <f>J3251+L3251</f>
        <v>2.0375</v>
      </c>
      <c r="O3251" t="str">
        <v>+</v>
      </c>
      <c r="P3251">
        <f>MAX(D3251-D3250,D3251-D3252)</f>
        <v>0</v>
      </c>
      <c r="Q3251" t="str">
        <v>x</v>
      </c>
      <c r="R3251">
        <f>IF(P3251&gt;0,2*(1-2*$F$19-1/2)*D3238/1000,0)</f>
        <v>0</v>
      </c>
      <c r="S3251" t="str">
        <v>)</v>
      </c>
      <c r="T3251" t="str">
        <v>x</v>
      </c>
      <c r="U3251">
        <f>0.006165*F3251^2</f>
        <v>1.57824</v>
      </c>
      <c r="X3251" t="str">
        <v>x</v>
      </c>
      <c r="Y3251">
        <f>D3241</f>
        <v>1</v>
      </c>
      <c r="Z3251" t="str">
        <v>=</v>
      </c>
      <c r="AA3251">
        <f>IF(AA3253=0,(D3251*N3251+P3251*R3251)*U3251*Y3251,0)</f>
        <v>0</v>
      </c>
    </row>
    <row r="3252">
      <c r="A3252" t="str">
        <f>A3235</f>
        <v>Lantai 2</v>
      </c>
      <c r="B3252">
        <f>B3235</f>
        <v>21</v>
      </c>
      <c r="C3252" t="str">
        <v>Tul Bawah Tumpuan</v>
      </c>
      <c r="D3252">
        <f>VLOOKUP(D3235,'Detail Balok'!$C$10:$AU$140,28,FALSE)</f>
        <v>4</v>
      </c>
      <c r="E3252" t="str">
        <v>D</v>
      </c>
      <c r="F3252">
        <f>VLOOKUP(D3235,'Detail Balok'!$C$10:$AU$140,30,FALSE)</f>
        <v>16</v>
      </c>
      <c r="I3252" t="str">
        <v>(</v>
      </c>
      <c r="J3252">
        <f>+J3244</f>
        <v>1.01875</v>
      </c>
      <c r="K3252" t="str">
        <v>+</v>
      </c>
      <c r="L3252">
        <f>MAX(VLOOKUP(F3252,N$6:P$15,3,FALSE)/1000,2/3*D3240/1000)+F$16*F3252/1000</f>
        <v>0.192</v>
      </c>
      <c r="M3252" t="str">
        <v>=</v>
      </c>
      <c r="N3252">
        <f>J3252+L3252</f>
        <v>1.21075</v>
      </c>
      <c r="O3252" t="str">
        <v>+</v>
      </c>
      <c r="P3252">
        <f>D3252-D3251</f>
        <v>0</v>
      </c>
      <c r="Q3252" t="str">
        <v>x</v>
      </c>
      <c r="R3252">
        <f>IF(P3252&gt;0,$F$18*F3252/1000,0)</f>
        <v>0</v>
      </c>
      <c r="S3252" t="str">
        <v>)</v>
      </c>
      <c r="T3252" t="str">
        <v>x</v>
      </c>
      <c r="U3252">
        <f>0.006165*F3252^2</f>
        <v>1.57824</v>
      </c>
      <c r="X3252" t="str">
        <v>x</v>
      </c>
      <c r="Y3252">
        <f>D3241</f>
        <v>1</v>
      </c>
      <c r="Z3252" t="str">
        <v>=</v>
      </c>
      <c r="AA3252">
        <f>IF(AA3253=0,(D3252*N3252+P3252*R3252)*U3252*Y3252,0)</f>
        <v>0</v>
      </c>
    </row>
    <row r="3253">
      <c r="A3253" t="str">
        <f>A3235</f>
        <v>Lantai 2</v>
      </c>
      <c r="B3253">
        <f>B3235</f>
        <v>21</v>
      </c>
      <c r="D3253">
        <f>IF(AND(D3250=D3251,D3251=D3252,D3250=D3252),D3250,0)</f>
        <v>4</v>
      </c>
      <c r="E3253" t="str">
        <v>D</v>
      </c>
      <c r="F3253">
        <f>IF(AND(F3250=F3251,F3250=F3252,F3251=F3252),F3250,0)</f>
        <v>16</v>
      </c>
      <c r="L3253" t="str">
        <v>Total panjang per balok</v>
      </c>
      <c r="M3253" t="str">
        <v>=</v>
      </c>
      <c r="N3253">
        <f>IF(AND(D3250=D3251,D3250=D3252,D3251=D3252,F3250=F3251,F3250=F3252,F3251=F3252),SUM(N3250:N3252),0)</f>
        <v>4.459</v>
      </c>
      <c r="O3253" t="str">
        <v>+</v>
      </c>
      <c r="P3253">
        <f>IF(N3253&gt;12,ROUNDDOWN(N3253/12,0),0)</f>
        <v>0</v>
      </c>
      <c r="Q3253" t="str">
        <v>x</v>
      </c>
      <c r="R3253">
        <f>IF(P3253&gt;0,MAX(VLOOKUP(F3253,$D$6:$G$15,3,FALSE),600),0)/1000</f>
        <v>0</v>
      </c>
      <c r="T3253" t="str">
        <v>x</v>
      </c>
      <c r="U3253">
        <f>U3252</f>
        <v>1.57824</v>
      </c>
      <c r="V3253" t="str">
        <v>x</v>
      </c>
      <c r="W3253">
        <f>D3253</f>
        <v>4</v>
      </c>
      <c r="X3253" t="str">
        <v>x</v>
      </c>
      <c r="Y3253">
        <f>Y3252</f>
        <v>1</v>
      </c>
      <c r="Z3253" t="str">
        <v>=</v>
      </c>
      <c r="AA3253">
        <f>(N3253+P3253*R3253/1000)*U3253*W3253*Y3253</f>
        <v>28.149488639999998</v>
      </c>
    </row>
    <row r="3255">
      <c r="A3255" t="str">
        <f>A3235</f>
        <v>Lantai 2</v>
      </c>
      <c r="B3255">
        <f>B3235</f>
        <v>21</v>
      </c>
      <c r="C3255" t="str">
        <v>Sengkang Tumpuan</v>
      </c>
      <c r="D3255">
        <f>VLOOKUP(D3235,'Detail Balok'!$C$10:$AU$140,31,FALSE)</f>
        <v>0</v>
      </c>
      <c r="E3255" t="str">
        <v>D</v>
      </c>
      <c r="F3255">
        <f>VLOOKUP(D3235,'Detail Balok'!$C$10:$AU$140,33,FALSE)</f>
        <v>10</v>
      </c>
      <c r="G3255" t="str">
        <v>-</v>
      </c>
      <c r="H3255">
        <f>VLOOKUP(D3235,'Detail Balok'!$C$10:$AU$140,35,FALSE)</f>
        <v>150</v>
      </c>
      <c r="J3255">
        <f>(IF(D3255=0,(2*(D3236+G3236))-(F$5*8),IF(D3255=3,(2*(D3236+G3236))-(F$5*8)+(G3236-2*F$5),IF(D3255=4,(2*(D3236+G3236))-(F$5*8)+2*(G3236-2*F$5)))))/1000</f>
        <v>1.08</v>
      </c>
      <c r="K3255" t="str">
        <v>+</v>
      </c>
      <c r="L3255">
        <f>IF(D3255=0,2*MAX(6*F3255,75),(D3255-1)*2*MAX(6*F3255,75))/1000</f>
        <v>0.15</v>
      </c>
      <c r="M3255" t="str">
        <v>=</v>
      </c>
      <c r="N3255">
        <f>J3255+L3255</f>
        <v>1.23</v>
      </c>
      <c r="T3255" t="str">
        <v>x</v>
      </c>
      <c r="U3255">
        <f>0.006165*F3255^2</f>
        <v>0.6165</v>
      </c>
      <c r="V3255" t="str">
        <v>x</v>
      </c>
      <c r="W3255">
        <f>IF(D3238&gt;4*G3236,ROUND(MAX(D3238/4,2*G3236)/H3255,0)+1,ROUND(D3238/H3255,0)+1)</f>
        <v>8</v>
      </c>
      <c r="X3255" t="str">
        <v>x</v>
      </c>
      <c r="Y3255">
        <f>D3241</f>
        <v>1</v>
      </c>
      <c r="Z3255" t="str">
        <v>=</v>
      </c>
      <c r="AA3255">
        <f>N3255*U3255*W3255*Y3255</f>
        <v>6.06636</v>
      </c>
    </row>
    <row r="3256">
      <c r="A3256" t="str">
        <f>A3235</f>
        <v>Lantai 2</v>
      </c>
      <c r="B3256">
        <f>B3235</f>
        <v>21</v>
      </c>
      <c r="C3256" t="str">
        <v>Sengkang Lapangan</v>
      </c>
      <c r="D3256">
        <f>VLOOKUP(D3235,'Detail Balok'!$C$10:$AU$140,36,FALSE)</f>
        <v>0</v>
      </c>
      <c r="E3256" t="str">
        <v>D</v>
      </c>
      <c r="F3256">
        <f>VLOOKUP(D3235,'Detail Balok'!$C$10:$AU$140,38,FALSE)</f>
        <v>10</v>
      </c>
      <c r="G3256" t="str">
        <v>-</v>
      </c>
      <c r="H3256">
        <f>VLOOKUP(D3235,'Detail Balok'!$C$10:$AU$140,40,FALSE)</f>
        <v>200</v>
      </c>
      <c r="J3256">
        <f>(IF(D3256=0,(2*(D3236+G3236))-(F$5*8),IF(D3256=3,(2*(D3236+G3236))-(F$5*8)+(G3236-2*F$5),IF(D3256=4,(2*(D3236+G3236))-(F$5*8)+2*(G3236-2*F$5)))))/1000</f>
        <v>1.08</v>
      </c>
      <c r="K3256" t="str">
        <v>+</v>
      </c>
      <c r="L3256">
        <f>IF(D3256=0,2*MAX(6*F3256,75),(D3256-1)*2*MAX(6*F3256,75))/1000</f>
        <v>0.15</v>
      </c>
      <c r="M3256" t="str">
        <v>=</v>
      </c>
      <c r="N3256">
        <f>J3256+L3256</f>
        <v>1.23</v>
      </c>
      <c r="T3256" t="str">
        <v>x</v>
      </c>
      <c r="U3256">
        <f>0.006165*F3256^2</f>
        <v>0.6165</v>
      </c>
      <c r="V3256" t="str">
        <v>x</v>
      </c>
      <c r="W3256">
        <f>IF(D3238-MAX(D3238/4,2*G3236)*2&gt;0,ROUND((D3238-MAX(D3238/4,2*G3236)*2)/H3256,0),0)</f>
        <v>10</v>
      </c>
      <c r="X3256" t="str">
        <v>x</v>
      </c>
      <c r="Y3256">
        <f>D3241</f>
        <v>1</v>
      </c>
      <c r="Z3256" t="str">
        <v>=</v>
      </c>
      <c r="AA3256">
        <f>N3256*U3256*W3256*Y3256</f>
        <v>7.58295</v>
      </c>
    </row>
    <row r="3257">
      <c r="A3257" t="str">
        <f>A3235</f>
        <v>Lantai 2</v>
      </c>
      <c r="B3257">
        <f>B3235</f>
        <v>21</v>
      </c>
      <c r="C3257" t="str">
        <v>Sengkang Tumpuan</v>
      </c>
      <c r="D3257">
        <f>VLOOKUP(D3235,'Detail Balok'!$C$10:$AU$140,41,FALSE)</f>
        <v>0</v>
      </c>
      <c r="E3257" t="str">
        <v>D</v>
      </c>
      <c r="F3257">
        <f>VLOOKUP(D3235,'Detail Balok'!$C$10:$AU$140,43,FALSE)</f>
        <v>10</v>
      </c>
      <c r="G3257" t="str">
        <v>-</v>
      </c>
      <c r="H3257">
        <f>VLOOKUP(D3235,'Detail Balok'!$C$10:$AU$140,45,FALSE)</f>
        <v>150</v>
      </c>
      <c r="J3257">
        <f>(IF(D3257=0,(2*(D3236+G3236))-(F$5*8),IF(D3257=3,(2*(D3236+G3236))-(F$5*8)+(G3236-2*F$5),IF(D3257=4,(2*(D3236+G3236))-(F$5*8)+2*(G3236-2*F$5)))))/1000</f>
        <v>1.08</v>
      </c>
      <c r="K3257" t="str">
        <v>+</v>
      </c>
      <c r="L3257">
        <f>IF(D3257=0,2*MAX(6*F3257,75),(D3257-1)*2*MAX(6*F3257,75))/1000</f>
        <v>0.15</v>
      </c>
      <c r="M3257" t="str">
        <v>=</v>
      </c>
      <c r="N3257">
        <f>J3257+L3257</f>
        <v>1.23</v>
      </c>
      <c r="T3257" t="str">
        <v>x</v>
      </c>
      <c r="U3257">
        <f>0.006165*F3257^2</f>
        <v>0.6165</v>
      </c>
      <c r="V3257" t="str">
        <v>x</v>
      </c>
      <c r="W3257">
        <f>IF(D3238&gt;4*G3236,ROUND(MAX(D3238/4,2*G3236)/H3257,0)+1,0)</f>
        <v>8</v>
      </c>
      <c r="X3257" t="str">
        <v>x</v>
      </c>
      <c r="Y3257">
        <f>D3241</f>
        <v>1</v>
      </c>
      <c r="Z3257" t="str">
        <v>=</v>
      </c>
      <c r="AA3257">
        <f>N3257*U3257*W3257*Y3257</f>
        <v>6.06636</v>
      </c>
    </row>
    <row r="3259">
      <c r="A3259" t="str">
        <f>A3235</f>
        <v>Lantai 2</v>
      </c>
      <c r="B3259">
        <f>B3235</f>
        <v>21</v>
      </c>
      <c r="C3259" t="str">
        <v>Kait Horizontal Tump.</v>
      </c>
      <c r="D3259">
        <f>VLOOKUP(D3235,'Detail Balok'!$C$10:$BJ$140,46,FALSE)</f>
        <v>0</v>
      </c>
      <c r="E3259" t="str">
        <v>D</v>
      </c>
      <c r="F3259">
        <f>VLOOKUP(D3235,'Detail Balok'!$C$10:$BJ$140,48,FALSE)</f>
        <v>0</v>
      </c>
      <c r="G3259" t="str">
        <v>-</v>
      </c>
      <c r="H3259">
        <f>VLOOKUP(D3235,'Detail Balok'!$C$10:$BJ$140,50,FALSE)</f>
        <v>100</v>
      </c>
      <c r="J3259">
        <f>(D3236-2*F$5)/1000</f>
        <v>0.12</v>
      </c>
      <c r="K3259" t="str">
        <v>+</v>
      </c>
      <c r="L3259">
        <f>IF(D3259=0,2*MAX(6*F3259,75),(D3259-1)*2*MAX(6*F3259,75))/1000</f>
        <v>0.15</v>
      </c>
      <c r="M3259" t="str">
        <v>=</v>
      </c>
      <c r="N3259">
        <f>J3259+L3259</f>
        <v>0.27</v>
      </c>
      <c r="T3259" t="str">
        <v>x</v>
      </c>
      <c r="U3259">
        <f>0.006165*F3259^2</f>
        <v>0</v>
      </c>
      <c r="V3259" t="str">
        <v>x</v>
      </c>
      <c r="W3259">
        <f>W3255</f>
        <v>8</v>
      </c>
      <c r="X3259" t="str">
        <v>x</v>
      </c>
      <c r="Y3259">
        <f>D3245</f>
        <v>4</v>
      </c>
      <c r="Z3259" t="str">
        <v>=</v>
      </c>
      <c r="AA3259">
        <f>N3259*U3259*W3259*Y3259</f>
        <v>0</v>
      </c>
    </row>
    <row r="3260">
      <c r="A3260" t="str">
        <f>A3235</f>
        <v>Lantai 2</v>
      </c>
      <c r="B3260">
        <f>B3235</f>
        <v>21</v>
      </c>
      <c r="C3260" t="str">
        <v>Kait Horizontal Lap.</v>
      </c>
      <c r="D3260">
        <f>VLOOKUP(D3235,'Detail Balok'!$C$10:$BJ$140,51,FALSE)</f>
        <v>0</v>
      </c>
      <c r="E3260" t="str">
        <v>D</v>
      </c>
      <c r="F3260">
        <f>VLOOKUP(D3235,'Detail Balok'!$C$10:$BJ$140,53,FALSE)</f>
        <v>0</v>
      </c>
      <c r="G3260" t="str">
        <v>-</v>
      </c>
      <c r="H3260">
        <f>VLOOKUP(D3235,'Detail Balok'!$C$10:$BJ$140,55,FALSE)</f>
        <v>100</v>
      </c>
      <c r="J3260">
        <f>(D3236-2*F$5)/1000</f>
        <v>0.12</v>
      </c>
      <c r="K3260" t="str">
        <v>+</v>
      </c>
      <c r="L3260">
        <f>IF(D3260=0,2*MAX(6*F3260,75),(D3260-1)*2*MAX(6*F3260,75))/1000</f>
        <v>0.15</v>
      </c>
      <c r="M3260" t="str">
        <v>=</v>
      </c>
      <c r="N3260">
        <f>J3260+L3260</f>
        <v>0.27</v>
      </c>
      <c r="T3260" t="str">
        <v>x</v>
      </c>
      <c r="U3260">
        <f>0.006165*F3260^2</f>
        <v>0</v>
      </c>
      <c r="V3260" t="str">
        <v>x</v>
      </c>
      <c r="W3260">
        <f>W3256</f>
        <v>10</v>
      </c>
      <c r="X3260" t="str">
        <v>x</v>
      </c>
      <c r="Y3260">
        <f>D3245</f>
        <v>4</v>
      </c>
      <c r="Z3260" t="str">
        <v>=</v>
      </c>
      <c r="AA3260">
        <f>N3260*U3260*W3260*Y3260</f>
        <v>0</v>
      </c>
    </row>
    <row r="3261">
      <c r="A3261" t="str">
        <f>A3235</f>
        <v>Lantai 2</v>
      </c>
      <c r="B3261">
        <f>B3235</f>
        <v>21</v>
      </c>
      <c r="C3261" t="str">
        <v>Kait Horizontal Tump.</v>
      </c>
      <c r="D3261">
        <f>VLOOKUP(D3235,'Detail Balok'!$C$10:$BJ$140,56,FALSE)</f>
        <v>0</v>
      </c>
      <c r="E3261" t="str">
        <v>D</v>
      </c>
      <c r="F3261">
        <f>VLOOKUP(D3235,'Detail Balok'!$C$10:$BJ$140,58,FALSE)</f>
        <v>0</v>
      </c>
      <c r="G3261" t="str">
        <v>-</v>
      </c>
      <c r="H3261">
        <f>VLOOKUP(D3235,'Detail Balok'!$C$10:$BJ$140,60,FALSE)</f>
        <v>100</v>
      </c>
      <c r="J3261">
        <f>(D3236-2*F$5)/1000</f>
        <v>0.12</v>
      </c>
      <c r="K3261" t="str">
        <v>+</v>
      </c>
      <c r="L3261">
        <f>IF(D3261=0,2*MAX(6*F3261,75),(D3261-1)*2*MAX(6*F3261,75))/1000</f>
        <v>0.15</v>
      </c>
      <c r="M3261" t="str">
        <v>=</v>
      </c>
      <c r="N3261">
        <f>J3261+L3261</f>
        <v>0.27</v>
      </c>
      <c r="T3261" t="str">
        <v>x</v>
      </c>
      <c r="U3261">
        <f>0.006165*F3261^2</f>
        <v>0</v>
      </c>
      <c r="V3261" t="str">
        <v>x</v>
      </c>
      <c r="W3261">
        <f>W3257</f>
        <v>8</v>
      </c>
      <c r="X3261" t="str">
        <v>x</v>
      </c>
      <c r="Y3261">
        <f>D3245</f>
        <v>4</v>
      </c>
      <c r="Z3261" t="str">
        <v>=</v>
      </c>
      <c r="AA3261">
        <f>N3261*U3261*W3261*Y3261</f>
        <v>0</v>
      </c>
    </row>
    <row r="3265">
      <c r="A3265" t="str">
        <f>A3235</f>
        <v>Lantai 2</v>
      </c>
      <c r="B3265">
        <f>B3235+1</f>
        <v>22</v>
      </c>
      <c r="C3265" t="str">
        <f>CONCATENATE(A3265," no. ",B3265)</f>
        <v>Lantai 2 no. 22</v>
      </c>
      <c r="D3265" t="str">
        <f>VLOOKUP(C3265,'Data Panjang Balok'!$C$9:$N$254,2,FALSE)</f>
        <v>B24-1</v>
      </c>
    </row>
    <row r="3266">
      <c r="C3266" t="str">
        <v>Dimensi</v>
      </c>
      <c r="D3266">
        <f>VLOOKUP(D3265,'Detail Balok'!$C$10:$AU$140,2,FALSE)</f>
        <v>200</v>
      </c>
      <c r="F3266" t="str">
        <v>x</v>
      </c>
      <c r="G3266">
        <f>VLOOKUP(D3265,'Detail Balok'!$C$10:$AU$140,3,FALSE)</f>
        <v>400</v>
      </c>
    </row>
    <row r="3267">
      <c r="C3267" t="str">
        <v>Panjang as ke as</v>
      </c>
      <c r="D3267">
        <f>VLOOKUP(C3265,'Data Panjang Balok'!$C$9:$N$254,4,FALSE)</f>
        <v>1760</v>
      </c>
    </row>
    <row r="3268">
      <c r="C3268" t="str">
        <v>Panjang netto</v>
      </c>
      <c r="D3268">
        <f>VLOOKUP(C3265,'Data Panjang Balok'!$C$9:$N$254,7,FALSE)</f>
        <v>1760</v>
      </c>
    </row>
    <row r="3269">
      <c r="C3269" t="str">
        <v>Kolom / balok kiri</v>
      </c>
      <c r="D3269">
        <f>VLOOKUP(C3265,'Data Panjang Balok'!$C$9:$N$254,9,FALSE)</f>
        <v>0</v>
      </c>
    </row>
    <row r="3270">
      <c r="C3270" t="str">
        <v>Kolom / balok kanan</v>
      </c>
      <c r="D3270">
        <f>VLOOKUP(C3265,'Data Panjang Balok'!$C$9:$N$254,10,FALSE)</f>
        <v>0</v>
      </c>
    </row>
    <row r="3271">
      <c r="C3271" t="str">
        <v>Jumlah</v>
      </c>
      <c r="D3271">
        <f>VLOOKUP(C3265,'Data Panjang Balok'!$C$9:$N$254,3,FALSE)</f>
        <v>1</v>
      </c>
    </row>
    <row r="3272">
      <c r="A3272" t="str">
        <f>A3265</f>
        <v>Lantai 2</v>
      </c>
      <c r="B3272">
        <f>B3265</f>
        <v>22</v>
      </c>
      <c r="C3272" t="str">
        <v>Tul Atas Tumpuan</v>
      </c>
      <c r="D3272">
        <f>VLOOKUP(D3265,'Detail Balok'!$C$10:$AU$140,4,FALSE)</f>
        <v>3</v>
      </c>
      <c r="E3272" t="str">
        <v>D</v>
      </c>
      <c r="F3272">
        <f>VLOOKUP(D3265,'Detail Balok'!$C$10:$AU$140,6,FALSE)</f>
        <v>13</v>
      </c>
      <c r="I3272" t="str">
        <v>(</v>
      </c>
      <c r="J3272">
        <f>+D3267/4/1000</f>
        <v>0.44</v>
      </c>
      <c r="K3272" t="str">
        <v>+</v>
      </c>
      <c r="L3272">
        <f>MAX(VLOOKUP(F3272,N$6:P$15,3,FALSE)/1000,2/3*D3269/1000)+F$16*F3272/1000</f>
        <v>0.156</v>
      </c>
      <c r="M3272" t="str">
        <v>=</v>
      </c>
      <c r="N3272">
        <f>J3272+L3272</f>
        <v>0.596</v>
      </c>
      <c r="O3272" t="str">
        <v>+</v>
      </c>
      <c r="P3272">
        <f>D3272-D3273</f>
        <v>0</v>
      </c>
      <c r="Q3272" t="str">
        <v>x</v>
      </c>
      <c r="R3272">
        <f>IF(P3272&gt;0,$F$18*F3272/1000,0)</f>
        <v>0</v>
      </c>
      <c r="S3272" t="str">
        <v>)</v>
      </c>
      <c r="T3272" t="str">
        <v>x</v>
      </c>
      <c r="U3272">
        <f>0.006165*F3272^2</f>
        <v>1.041885</v>
      </c>
      <c r="X3272" t="str">
        <v>x</v>
      </c>
      <c r="Y3272">
        <f>D3271</f>
        <v>1</v>
      </c>
      <c r="Z3272" t="str">
        <v>=</v>
      </c>
      <c r="AA3272">
        <f>IF(AA3275=0,(D3272*N3272+P3272*R3272)*U3272*Y3272,0)</f>
        <v>0</v>
      </c>
    </row>
    <row r="3273">
      <c r="A3273" t="str">
        <f>A3265</f>
        <v>Lantai 2</v>
      </c>
      <c r="B3273">
        <f>B3265</f>
        <v>22</v>
      </c>
      <c r="C3273" t="str">
        <v>Tul Atas Lapangan</v>
      </c>
      <c r="D3273">
        <f>VLOOKUP(D3265,'Detail Balok'!$C$10:$AU$140,7,FALSE)</f>
        <v>3</v>
      </c>
      <c r="E3273" t="str">
        <v>D</v>
      </c>
      <c r="F3273">
        <f>VLOOKUP(D3265,'Detail Balok'!$C$10:$AU$140,9,FALSE)</f>
        <v>13</v>
      </c>
      <c r="I3273" t="str">
        <v>(</v>
      </c>
      <c r="J3273">
        <f>+D3267/2/1000</f>
        <v>0.88</v>
      </c>
      <c r="K3273" t="str">
        <v>+</v>
      </c>
      <c r="M3273" t="str">
        <v>=</v>
      </c>
      <c r="N3273">
        <f>J3273+L3273</f>
        <v>0.88</v>
      </c>
      <c r="O3273" t="str">
        <v>+</v>
      </c>
      <c r="P3273">
        <f>MAX(D3273-D3272,D3273-D3274)</f>
        <v>0</v>
      </c>
      <c r="Q3273" t="str">
        <v>x</v>
      </c>
      <c r="R3273">
        <f>IF(P3273&gt;0,2*(1-2*$F$19-1/2)*D3268/1000,0)</f>
        <v>0</v>
      </c>
      <c r="S3273" t="str">
        <v>)</v>
      </c>
      <c r="T3273" t="str">
        <v>x</v>
      </c>
      <c r="U3273">
        <f>0.006165*F3273^2</f>
        <v>1.041885</v>
      </c>
      <c r="X3273" t="str">
        <v>x</v>
      </c>
      <c r="Y3273">
        <f>D3271</f>
        <v>1</v>
      </c>
      <c r="Z3273" t="str">
        <v>=</v>
      </c>
      <c r="AA3273">
        <f>IF(AA3275=0,(D3273*N3273+P3273*R3273)*U3273*Y3273,0)</f>
        <v>0</v>
      </c>
    </row>
    <row r="3274">
      <c r="A3274" t="str">
        <f>A3265</f>
        <v>Lantai 2</v>
      </c>
      <c r="B3274">
        <f>B3265</f>
        <v>22</v>
      </c>
      <c r="C3274" t="str">
        <v>Tul Atas Tumpuan</v>
      </c>
      <c r="D3274">
        <f>VLOOKUP(D3265,'Detail Balok'!$C$10:$AU$140,10,FALSE)</f>
        <v>3</v>
      </c>
      <c r="E3274" t="str">
        <v>D</v>
      </c>
      <c r="F3274">
        <f>VLOOKUP(D3265,'Detail Balok'!$C$10:$AU$140,12,FALSE)</f>
        <v>13</v>
      </c>
      <c r="I3274" t="str">
        <v>(</v>
      </c>
      <c r="J3274">
        <f>+D3267/4/1000</f>
        <v>0.44</v>
      </c>
      <c r="K3274" t="str">
        <v>+</v>
      </c>
      <c r="L3274">
        <f>MAX(VLOOKUP(F3274,N$6:P$15,3,FALSE)/1000,2/3*D3269/1000)+F$16*F3274/1000</f>
        <v>0.156</v>
      </c>
      <c r="M3274" t="str">
        <v>=</v>
      </c>
      <c r="N3274">
        <f>J3274+L3274</f>
        <v>0.596</v>
      </c>
      <c r="O3274" t="str">
        <v>+</v>
      </c>
      <c r="P3274">
        <f>D3274-D3273</f>
        <v>0</v>
      </c>
      <c r="Q3274" t="str">
        <v>x</v>
      </c>
      <c r="R3274">
        <f>IF(P3274&gt;0,$F$18*F3274/1000,0)</f>
        <v>0</v>
      </c>
      <c r="S3274" t="str">
        <v>)</v>
      </c>
      <c r="T3274" t="str">
        <v>x</v>
      </c>
      <c r="U3274">
        <f>0.006165*F3274^2</f>
        <v>1.041885</v>
      </c>
      <c r="X3274" t="str">
        <v>x</v>
      </c>
      <c r="Y3274">
        <f>D3271</f>
        <v>1</v>
      </c>
      <c r="Z3274" t="str">
        <v>=</v>
      </c>
      <c r="AA3274">
        <f>IF(AA3275=0,(D3274*N3274+P3274*R3274)*U3274*Y3274,0)</f>
        <v>0</v>
      </c>
    </row>
    <row r="3275">
      <c r="A3275" t="str">
        <f>A3265</f>
        <v>Lantai 2</v>
      </c>
      <c r="B3275">
        <f>B3265</f>
        <v>22</v>
      </c>
      <c r="D3275">
        <f>IF(AND(D3272=D3273,D3273=D3274,D3272=D3274),D3272,0)</f>
        <v>3</v>
      </c>
      <c r="E3275" t="str">
        <v>D</v>
      </c>
      <c r="F3275">
        <f>IF(AND(F3272=F3273,F3272=F3274,F3273=F3274),F3272,0)</f>
        <v>13</v>
      </c>
      <c r="L3275" t="str">
        <v>Total panjang per balok</v>
      </c>
      <c r="M3275" t="str">
        <v>=</v>
      </c>
      <c r="N3275">
        <f>IF(AND(D3272=D3273,D3272=D3274,D3273=D3274,F3272=F3273,F3272=F3274,F3273=F3274),SUM(N3272:N3274),0)</f>
        <v>2.072</v>
      </c>
      <c r="O3275" t="str">
        <v>+</v>
      </c>
      <c r="P3275">
        <f>IF(N3275&gt;12,ROUNDDOWN(N3275/12,0),0)</f>
        <v>0</v>
      </c>
      <c r="Q3275" t="str">
        <v>x</v>
      </c>
      <c r="R3275">
        <f>IF(P3275&gt;0,MAX(VLOOKUP(F3275,$D$6:$G$15,3,FALSE),600),0)/1000</f>
        <v>0</v>
      </c>
      <c r="T3275" t="str">
        <v>x</v>
      </c>
      <c r="U3275">
        <f>U3274</f>
        <v>1.041885</v>
      </c>
      <c r="V3275" t="str">
        <v>x</v>
      </c>
      <c r="W3275">
        <f>D3275</f>
        <v>3</v>
      </c>
      <c r="X3275" t="str">
        <v>x</v>
      </c>
      <c r="Y3275">
        <f>Y3274</f>
        <v>1</v>
      </c>
      <c r="Z3275" t="str">
        <v>=</v>
      </c>
      <c r="AA3275">
        <f>(N3275+P3275*R3275/1000)*U3275*W3275*Y3275</f>
        <v>6.47635716</v>
      </c>
    </row>
    <row r="3277">
      <c r="A3277" t="str">
        <f>A3265</f>
        <v>Lantai 2</v>
      </c>
      <c r="B3277">
        <f>B3265</f>
        <v>22</v>
      </c>
      <c r="C3277" t="str">
        <v>Tul Peminggang</v>
      </c>
      <c r="D3277">
        <f>VLOOKUP(D3265,'Detail Balok'!$C$10:$AU$140,13,FALSE)</f>
        <v>0</v>
      </c>
      <c r="E3277" t="str">
        <v>D</v>
      </c>
      <c r="F3277">
        <f>VLOOKUP(D3265,'Detail Balok'!$C$10:$AU$140,15,FALSE)</f>
        <v>8</v>
      </c>
      <c r="J3277">
        <f>+D3267/1000</f>
        <v>1.76</v>
      </c>
      <c r="K3277" t="str">
        <v>+</v>
      </c>
      <c r="L3277">
        <f>2*$F$16*F3277/1000</f>
        <v>0.192</v>
      </c>
      <c r="M3277" t="str">
        <v>=</v>
      </c>
      <c r="N3277">
        <f>J3277+L3277</f>
        <v>1.952</v>
      </c>
      <c r="O3277" t="str">
        <v>+</v>
      </c>
      <c r="P3277">
        <f>IF(N3277&gt;12,ROUNDDOWN(N3277/12,0),0)</f>
        <v>0</v>
      </c>
      <c r="Q3277" t="str">
        <v>x</v>
      </c>
      <c r="R3277">
        <f>IF(P3277&gt;0,MAX(VLOOKUP(F3277,$D$6:$G$15,3,FALSE),600),0)/1000</f>
        <v>0</v>
      </c>
      <c r="T3277" t="str">
        <v>x</v>
      </c>
      <c r="U3277">
        <f>0.006165*F3277^2</f>
        <v>0.39456</v>
      </c>
      <c r="V3277" t="str">
        <v>x</v>
      </c>
      <c r="W3277">
        <f>+D3277</f>
        <v>0</v>
      </c>
      <c r="X3277" t="str">
        <v>x</v>
      </c>
      <c r="Y3277">
        <f>D3271</f>
        <v>1</v>
      </c>
      <c r="Z3277" t="str">
        <v>=</v>
      </c>
      <c r="AA3277">
        <f>(N3277+P3277*R3277/1000)*U3277*W3277*Y3277</f>
        <v>0</v>
      </c>
    </row>
    <row r="3280">
      <c r="A3280" t="str">
        <f>A3265</f>
        <v>Lantai 2</v>
      </c>
      <c r="B3280">
        <f>B3265</f>
        <v>22</v>
      </c>
      <c r="C3280" t="str">
        <v>Tul Bawah Tumpuan</v>
      </c>
      <c r="D3280">
        <f>VLOOKUP(D3265,'Detail Balok'!$C$10:$AU$140,22,FALSE)</f>
        <v>3</v>
      </c>
      <c r="E3280" t="str">
        <v>D</v>
      </c>
      <c r="F3280">
        <f>VLOOKUP(D3265,'Detail Balok'!$C$10:$AU$140,24,FALSE)</f>
        <v>13</v>
      </c>
      <c r="I3280" t="str">
        <v>(</v>
      </c>
      <c r="J3280">
        <f>+J3272</f>
        <v>0.44</v>
      </c>
      <c r="K3280" t="str">
        <v>+</v>
      </c>
      <c r="L3280">
        <f>MAX(VLOOKUP(F3280,N$6:P$15,3,FALSE)/1000,2/3*D3270/1000)+F$16*F3280/1000</f>
        <v>0.156</v>
      </c>
      <c r="M3280" t="str">
        <v>=</v>
      </c>
      <c r="N3280">
        <f>J3280+L3280</f>
        <v>0.596</v>
      </c>
      <c r="O3280" t="str">
        <v>+</v>
      </c>
      <c r="P3280">
        <f>D3280-D3281</f>
        <v>0</v>
      </c>
      <c r="Q3280" t="str">
        <v>x</v>
      </c>
      <c r="R3280">
        <f>IF(P3280&gt;0,$F$18*F3280/1000,0)</f>
        <v>0</v>
      </c>
      <c r="S3280" t="str">
        <v>)</v>
      </c>
      <c r="T3280" t="str">
        <v>x</v>
      </c>
      <c r="U3280">
        <f>0.006165*F3280^2</f>
        <v>1.041885</v>
      </c>
      <c r="X3280" t="str">
        <v>x</v>
      </c>
      <c r="Y3280">
        <f>D3271</f>
        <v>1</v>
      </c>
      <c r="Z3280" t="str">
        <v>=</v>
      </c>
      <c r="AA3280">
        <f>IF(AA3283=0,(D3280*N3280+P3280*R3280)*U3280*Y3280,0)</f>
        <v>0</v>
      </c>
    </row>
    <row r="3281">
      <c r="A3281" t="str">
        <f>A3265</f>
        <v>Lantai 2</v>
      </c>
      <c r="B3281">
        <f>B3265</f>
        <v>22</v>
      </c>
      <c r="C3281" t="str">
        <v>Tul Bawah Lapangan</v>
      </c>
      <c r="D3281">
        <f>VLOOKUP(D3265,'Detail Balok'!$C$10:$AU$140,25,FALSE)</f>
        <v>3</v>
      </c>
      <c r="E3281" t="str">
        <v>D</v>
      </c>
      <c r="F3281">
        <f>VLOOKUP(D3265,'Detail Balok'!$C$10:$AU$140,27,FALSE)</f>
        <v>13</v>
      </c>
      <c r="I3281" t="str">
        <v>(</v>
      </c>
      <c r="J3281">
        <f>+J3273</f>
        <v>0.88</v>
      </c>
      <c r="K3281" t="str">
        <v>+</v>
      </c>
      <c r="M3281" t="str">
        <v>=</v>
      </c>
      <c r="N3281">
        <f>J3281+L3281</f>
        <v>0.88</v>
      </c>
      <c r="O3281" t="str">
        <v>+</v>
      </c>
      <c r="P3281">
        <f>MAX(D3281-D3280,D3281-D3282)</f>
        <v>0</v>
      </c>
      <c r="Q3281" t="str">
        <v>x</v>
      </c>
      <c r="R3281">
        <f>IF(P3281&gt;0,2*(1-2*$F$19-1/2)*D3268/1000,0)</f>
        <v>0</v>
      </c>
      <c r="S3281" t="str">
        <v>)</v>
      </c>
      <c r="T3281" t="str">
        <v>x</v>
      </c>
      <c r="U3281">
        <f>0.006165*F3281^2</f>
        <v>1.041885</v>
      </c>
      <c r="X3281" t="str">
        <v>x</v>
      </c>
      <c r="Y3281">
        <f>D3271</f>
        <v>1</v>
      </c>
      <c r="Z3281" t="str">
        <v>=</v>
      </c>
      <c r="AA3281">
        <f>IF(AA3283=0,(D3281*N3281+P3281*R3281)*U3281*Y3281,0)</f>
        <v>0</v>
      </c>
    </row>
    <row r="3282">
      <c r="A3282" t="str">
        <f>A3265</f>
        <v>Lantai 2</v>
      </c>
      <c r="B3282">
        <f>B3265</f>
        <v>22</v>
      </c>
      <c r="C3282" t="str">
        <v>Tul Bawah Tumpuan</v>
      </c>
      <c r="D3282">
        <f>VLOOKUP(D3265,'Detail Balok'!$C$10:$AU$140,28,FALSE)</f>
        <v>3</v>
      </c>
      <c r="E3282" t="str">
        <v>D</v>
      </c>
      <c r="F3282">
        <f>VLOOKUP(D3265,'Detail Balok'!$C$10:$AU$140,30,FALSE)</f>
        <v>13</v>
      </c>
      <c r="I3282" t="str">
        <v>(</v>
      </c>
      <c r="J3282">
        <f>+J3274</f>
        <v>0.44</v>
      </c>
      <c r="K3282" t="str">
        <v>+</v>
      </c>
      <c r="L3282">
        <f>MAX(VLOOKUP(F3282,N$6:P$15,3,FALSE)/1000,2/3*D3270/1000)+F$16*F3282/1000</f>
        <v>0.156</v>
      </c>
      <c r="M3282" t="str">
        <v>=</v>
      </c>
      <c r="N3282">
        <f>J3282+L3282</f>
        <v>0.596</v>
      </c>
      <c r="O3282" t="str">
        <v>+</v>
      </c>
      <c r="P3282">
        <f>D3282-D3281</f>
        <v>0</v>
      </c>
      <c r="Q3282" t="str">
        <v>x</v>
      </c>
      <c r="R3282">
        <f>IF(P3282&gt;0,$F$18*F3282/1000,0)</f>
        <v>0</v>
      </c>
      <c r="S3282" t="str">
        <v>)</v>
      </c>
      <c r="T3282" t="str">
        <v>x</v>
      </c>
      <c r="U3282">
        <f>0.006165*F3282^2</f>
        <v>1.041885</v>
      </c>
      <c r="X3282" t="str">
        <v>x</v>
      </c>
      <c r="Y3282">
        <f>D3271</f>
        <v>1</v>
      </c>
      <c r="Z3282" t="str">
        <v>=</v>
      </c>
      <c r="AA3282">
        <f>IF(AA3283=0,(D3282*N3282+P3282*R3282)*U3282*Y3282,0)</f>
        <v>0</v>
      </c>
    </row>
    <row r="3283">
      <c r="A3283" t="str">
        <f>A3265</f>
        <v>Lantai 2</v>
      </c>
      <c r="B3283">
        <f>B3265</f>
        <v>22</v>
      </c>
      <c r="D3283">
        <f>IF(AND(D3280=D3281,D3281=D3282,D3280=D3282),D3280,0)</f>
        <v>3</v>
      </c>
      <c r="E3283" t="str">
        <v>D</v>
      </c>
      <c r="F3283">
        <f>IF(AND(F3280=F3281,F3280=F3282,F3281=F3282),F3280,0)</f>
        <v>13</v>
      </c>
      <c r="L3283" t="str">
        <v>Total panjang per balok</v>
      </c>
      <c r="M3283" t="str">
        <v>=</v>
      </c>
      <c r="N3283">
        <f>IF(AND(D3280=D3281,D3280=D3282,D3281=D3282,F3280=F3281,F3280=F3282,F3281=F3282),SUM(N3280:N3282),0)</f>
        <v>2.072</v>
      </c>
      <c r="O3283" t="str">
        <v>+</v>
      </c>
      <c r="P3283">
        <f>IF(N3283&gt;12,ROUNDDOWN(N3283/12,0),0)</f>
        <v>0</v>
      </c>
      <c r="Q3283" t="str">
        <v>x</v>
      </c>
      <c r="R3283">
        <f>IF(P3283&gt;0,MAX(VLOOKUP(F3283,$D$6:$G$15,3,FALSE),600),0)/1000</f>
        <v>0</v>
      </c>
      <c r="T3283" t="str">
        <v>x</v>
      </c>
      <c r="U3283">
        <f>U3282</f>
        <v>1.041885</v>
      </c>
      <c r="V3283" t="str">
        <v>x</v>
      </c>
      <c r="W3283">
        <f>D3283</f>
        <v>3</v>
      </c>
      <c r="X3283" t="str">
        <v>x</v>
      </c>
      <c r="Y3283">
        <f>Y3282</f>
        <v>1</v>
      </c>
      <c r="Z3283" t="str">
        <v>=</v>
      </c>
      <c r="AA3283">
        <f>(N3283+P3283*R3283/1000)*U3283*W3283*Y3283</f>
        <v>6.47635716</v>
      </c>
    </row>
    <row r="3285">
      <c r="A3285" t="str">
        <f>A3265</f>
        <v>Lantai 2</v>
      </c>
      <c r="B3285">
        <f>B3265</f>
        <v>22</v>
      </c>
      <c r="C3285" t="str">
        <v>Sengkang Tumpuan</v>
      </c>
      <c r="D3285">
        <f>VLOOKUP(D3265,'Detail Balok'!$C$10:$AU$140,31,FALSE)</f>
        <v>0</v>
      </c>
      <c r="E3285" t="str">
        <v>D</v>
      </c>
      <c r="F3285">
        <f>VLOOKUP(D3265,'Detail Balok'!$C$10:$AU$140,33,FALSE)</f>
        <v>10</v>
      </c>
      <c r="G3285" t="str">
        <v>-</v>
      </c>
      <c r="H3285">
        <f>VLOOKUP(D3265,'Detail Balok'!$C$10:$AU$140,35,FALSE)</f>
        <v>100</v>
      </c>
      <c r="J3285">
        <f>(IF(D3285=0,(2*(D3266+G3266))-(F$5*8),IF(D3285=3,(2*(D3266+G3266))-(F$5*8)+(G3266-2*F$5),IF(D3285=4,(2*(D3266+G3266))-(F$5*8)+2*(G3266-2*F$5)))))/1000</f>
        <v>0.88</v>
      </c>
      <c r="K3285" t="str">
        <v>+</v>
      </c>
      <c r="L3285">
        <f>IF(D3285=0,2*MAX(6*F3285,75),(D3285-1)*2*MAX(6*F3285,75))/1000</f>
        <v>0.15</v>
      </c>
      <c r="M3285" t="str">
        <v>=</v>
      </c>
      <c r="N3285">
        <f>J3285+L3285</f>
        <v>1.03</v>
      </c>
      <c r="T3285" t="str">
        <v>x</v>
      </c>
      <c r="U3285">
        <f>0.006165*F3285^2</f>
        <v>0.6165</v>
      </c>
      <c r="V3285" t="str">
        <v>x</v>
      </c>
      <c r="W3285">
        <f>IF(D3268&gt;4*G3266,ROUND(MAX(D3268/4,2*G3266)/H3285,0)+1,ROUND(D3268/H3285,0)+1)</f>
        <v>9</v>
      </c>
      <c r="X3285" t="str">
        <v>x</v>
      </c>
      <c r="Y3285">
        <f>D3271</f>
        <v>1</v>
      </c>
      <c r="Z3285" t="str">
        <v>=</v>
      </c>
      <c r="AA3285">
        <f>N3285*U3285*W3285*Y3285</f>
        <v>5.714955000000001</v>
      </c>
    </row>
    <row r="3286">
      <c r="A3286" t="str">
        <f>A3265</f>
        <v>Lantai 2</v>
      </c>
      <c r="B3286">
        <f>B3265</f>
        <v>22</v>
      </c>
      <c r="C3286" t="str">
        <v>Sengkang Lapangan</v>
      </c>
      <c r="D3286">
        <f>VLOOKUP(D3265,'Detail Balok'!$C$10:$AU$140,36,FALSE)</f>
        <v>0</v>
      </c>
      <c r="E3286" t="str">
        <v>D</v>
      </c>
      <c r="F3286">
        <f>VLOOKUP(D3265,'Detail Balok'!$C$10:$AU$140,38,FALSE)</f>
        <v>10</v>
      </c>
      <c r="G3286" t="str">
        <v>-</v>
      </c>
      <c r="H3286">
        <f>VLOOKUP(D3265,'Detail Balok'!$C$10:$AU$140,40,FALSE)</f>
        <v>200</v>
      </c>
      <c r="J3286">
        <f>(IF(D3286=0,(2*(D3266+G3266))-(F$5*8),IF(D3286=3,(2*(D3266+G3266))-(F$5*8)+(G3266-2*F$5),IF(D3286=4,(2*(D3266+G3266))-(F$5*8)+2*(G3266-2*F$5)))))/1000</f>
        <v>0.88</v>
      </c>
      <c r="K3286" t="str">
        <v>+</v>
      </c>
      <c r="L3286">
        <f>IF(D3286=0,2*MAX(6*F3286,75),(D3286-1)*2*MAX(6*F3286,75))/1000</f>
        <v>0.15</v>
      </c>
      <c r="M3286" t="str">
        <v>=</v>
      </c>
      <c r="N3286">
        <f>J3286+L3286</f>
        <v>1.03</v>
      </c>
      <c r="T3286" t="str">
        <v>x</v>
      </c>
      <c r="U3286">
        <f>0.006165*F3286^2</f>
        <v>0.6165</v>
      </c>
      <c r="V3286" t="str">
        <v>x</v>
      </c>
      <c r="W3286">
        <f>IF(D3268-MAX(D3268/4,2*G3266)*2&gt;0,ROUND((D3268-MAX(D3268/4,2*G3266)*2)/H3286,0),0)</f>
        <v>1</v>
      </c>
      <c r="X3286" t="str">
        <v>x</v>
      </c>
      <c r="Y3286">
        <f>D3271</f>
        <v>1</v>
      </c>
      <c r="Z3286" t="str">
        <v>=</v>
      </c>
      <c r="AA3286">
        <f>N3286*U3286*W3286*Y3286</f>
        <v>0.6349950000000001</v>
      </c>
    </row>
    <row r="3287">
      <c r="A3287" t="str">
        <f>A3265</f>
        <v>Lantai 2</v>
      </c>
      <c r="B3287">
        <f>B3265</f>
        <v>22</v>
      </c>
      <c r="C3287" t="str">
        <v>Sengkang Tumpuan</v>
      </c>
      <c r="D3287">
        <f>VLOOKUP(D3265,'Detail Balok'!$C$10:$AU$140,41,FALSE)</f>
        <v>0</v>
      </c>
      <c r="E3287" t="str">
        <v>D</v>
      </c>
      <c r="F3287">
        <f>VLOOKUP(D3265,'Detail Balok'!$C$10:$AU$140,43,FALSE)</f>
        <v>10</v>
      </c>
      <c r="G3287" t="str">
        <v>-</v>
      </c>
      <c r="H3287">
        <f>VLOOKUP(D3265,'Detail Balok'!$C$10:$AU$140,45,FALSE)</f>
        <v>100</v>
      </c>
      <c r="J3287">
        <f>(IF(D3287=0,(2*(D3266+G3266))-(F$5*8),IF(D3287=3,(2*(D3266+G3266))-(F$5*8)+(G3266-2*F$5),IF(D3287=4,(2*(D3266+G3266))-(F$5*8)+2*(G3266-2*F$5)))))/1000</f>
        <v>0.88</v>
      </c>
      <c r="K3287" t="str">
        <v>+</v>
      </c>
      <c r="L3287">
        <f>IF(D3287=0,2*MAX(6*F3287,75),(D3287-1)*2*MAX(6*F3287,75))/1000</f>
        <v>0.15</v>
      </c>
      <c r="M3287" t="str">
        <v>=</v>
      </c>
      <c r="N3287">
        <f>J3287+L3287</f>
        <v>1.03</v>
      </c>
      <c r="T3287" t="str">
        <v>x</v>
      </c>
      <c r="U3287">
        <f>0.006165*F3287^2</f>
        <v>0.6165</v>
      </c>
      <c r="V3287" t="str">
        <v>x</v>
      </c>
      <c r="W3287">
        <f>IF(D3268&gt;4*G3266,ROUND(MAX(D3268/4,2*G3266)/H3287,0)+1,0)</f>
        <v>9</v>
      </c>
      <c r="X3287" t="str">
        <v>x</v>
      </c>
      <c r="Y3287">
        <f>D3271</f>
        <v>1</v>
      </c>
      <c r="Z3287" t="str">
        <v>=</v>
      </c>
      <c r="AA3287">
        <f>N3287*U3287*W3287*Y3287</f>
        <v>5.714955000000001</v>
      </c>
    </row>
    <row r="3289">
      <c r="A3289" t="str">
        <f>A3265</f>
        <v>Lantai 2</v>
      </c>
      <c r="B3289">
        <f>B3265</f>
        <v>22</v>
      </c>
      <c r="C3289" t="str">
        <v>Kait Horizontal Tump.</v>
      </c>
      <c r="D3289">
        <f>VLOOKUP(D3265,'Detail Balok'!$C$10:$BJ$140,46,FALSE)</f>
        <v>0</v>
      </c>
      <c r="E3289" t="str">
        <v>D</v>
      </c>
      <c r="F3289">
        <f>VLOOKUP(D3265,'Detail Balok'!$C$10:$BJ$140,48,FALSE)</f>
        <v>0</v>
      </c>
      <c r="G3289" t="str">
        <v>-</v>
      </c>
      <c r="H3289">
        <f>VLOOKUP(D3265,'Detail Balok'!$C$10:$BJ$140,50,FALSE)</f>
        <v>100</v>
      </c>
      <c r="J3289">
        <f>(D3266-2*F$5)/1000</f>
        <v>0.12</v>
      </c>
      <c r="K3289" t="str">
        <v>+</v>
      </c>
      <c r="L3289">
        <f>IF(D3289=0,2*MAX(6*F3289,75),(D3289-1)*2*MAX(6*F3289,75))/1000</f>
        <v>0.15</v>
      </c>
      <c r="M3289" t="str">
        <v>=</v>
      </c>
      <c r="N3289">
        <f>J3289+L3289</f>
        <v>0.27</v>
      </c>
      <c r="T3289" t="str">
        <v>x</v>
      </c>
      <c r="U3289">
        <f>0.006165*F3289^2</f>
        <v>0</v>
      </c>
      <c r="V3289" t="str">
        <v>x</v>
      </c>
      <c r="W3289">
        <f>W3285</f>
        <v>9</v>
      </c>
      <c r="X3289" t="str">
        <v>x</v>
      </c>
      <c r="Y3289">
        <f>D3275</f>
        <v>3</v>
      </c>
      <c r="Z3289" t="str">
        <v>=</v>
      </c>
      <c r="AA3289">
        <f>N3289*U3289*W3289*Y3289</f>
        <v>0</v>
      </c>
    </row>
    <row r="3290">
      <c r="A3290" t="str">
        <f>A3265</f>
        <v>Lantai 2</v>
      </c>
      <c r="B3290">
        <f>B3265</f>
        <v>22</v>
      </c>
      <c r="C3290" t="str">
        <v>Kait Horizontal Lap.</v>
      </c>
      <c r="D3290">
        <f>VLOOKUP(D3265,'Detail Balok'!$C$10:$BJ$140,51,FALSE)</f>
        <v>0</v>
      </c>
      <c r="E3290" t="str">
        <v>D</v>
      </c>
      <c r="F3290">
        <f>VLOOKUP(D3265,'Detail Balok'!$C$10:$BJ$140,53,FALSE)</f>
        <v>0</v>
      </c>
      <c r="G3290" t="str">
        <v>-</v>
      </c>
      <c r="H3290">
        <f>VLOOKUP(D3265,'Detail Balok'!$C$10:$BJ$140,55,FALSE)</f>
        <v>100</v>
      </c>
      <c r="J3290">
        <f>(D3266-2*F$5)/1000</f>
        <v>0.12</v>
      </c>
      <c r="K3290" t="str">
        <v>+</v>
      </c>
      <c r="L3290">
        <f>IF(D3290=0,2*MAX(6*F3290,75),(D3290-1)*2*MAX(6*F3290,75))/1000</f>
        <v>0.15</v>
      </c>
      <c r="M3290" t="str">
        <v>=</v>
      </c>
      <c r="N3290">
        <f>J3290+L3290</f>
        <v>0.27</v>
      </c>
      <c r="T3290" t="str">
        <v>x</v>
      </c>
      <c r="U3290">
        <f>0.006165*F3290^2</f>
        <v>0</v>
      </c>
      <c r="V3290" t="str">
        <v>x</v>
      </c>
      <c r="W3290">
        <f>W3286</f>
        <v>1</v>
      </c>
      <c r="X3290" t="str">
        <v>x</v>
      </c>
      <c r="Y3290">
        <f>D3275</f>
        <v>3</v>
      </c>
      <c r="Z3290" t="str">
        <v>=</v>
      </c>
      <c r="AA3290">
        <f>N3290*U3290*W3290*Y3290</f>
        <v>0</v>
      </c>
    </row>
    <row r="3291">
      <c r="A3291" t="str">
        <f>A3265</f>
        <v>Lantai 2</v>
      </c>
      <c r="B3291">
        <f>B3265</f>
        <v>22</v>
      </c>
      <c r="C3291" t="str">
        <v>Kait Horizontal Tump.</v>
      </c>
      <c r="D3291">
        <f>VLOOKUP(D3265,'Detail Balok'!$C$10:$BJ$140,56,FALSE)</f>
        <v>0</v>
      </c>
      <c r="E3291" t="str">
        <v>D</v>
      </c>
      <c r="F3291">
        <f>VLOOKUP(D3265,'Detail Balok'!$C$10:$BJ$140,58,FALSE)</f>
        <v>0</v>
      </c>
      <c r="G3291" t="str">
        <v>-</v>
      </c>
      <c r="H3291">
        <f>VLOOKUP(D3265,'Detail Balok'!$C$10:$BJ$140,60,FALSE)</f>
        <v>100</v>
      </c>
      <c r="J3291">
        <f>(D3266-2*F$5)/1000</f>
        <v>0.12</v>
      </c>
      <c r="K3291" t="str">
        <v>+</v>
      </c>
      <c r="L3291">
        <f>IF(D3291=0,2*MAX(6*F3291,75),(D3291-1)*2*MAX(6*F3291,75))/1000</f>
        <v>0.15</v>
      </c>
      <c r="M3291" t="str">
        <v>=</v>
      </c>
      <c r="N3291">
        <f>J3291+L3291</f>
        <v>0.27</v>
      </c>
      <c r="T3291" t="str">
        <v>x</v>
      </c>
      <c r="U3291">
        <f>0.006165*F3291^2</f>
        <v>0</v>
      </c>
      <c r="V3291" t="str">
        <v>x</v>
      </c>
      <c r="W3291">
        <f>W3287</f>
        <v>9</v>
      </c>
      <c r="X3291" t="str">
        <v>x</v>
      </c>
      <c r="Y3291">
        <f>D3275</f>
        <v>3</v>
      </c>
      <c r="Z3291" t="str">
        <v>=</v>
      </c>
      <c r="AA3291">
        <f>N3291*U3291*W3291*Y3291</f>
        <v>0</v>
      </c>
    </row>
    <row r="3295">
      <c r="A3295" t="str">
        <f>A3265</f>
        <v>Lantai 2</v>
      </c>
      <c r="B3295">
        <f>B3265+1</f>
        <v>23</v>
      </c>
      <c r="C3295" t="str">
        <f>CONCATENATE(A3295," no. ",B3295)</f>
        <v>Lantai 2 no. 23</v>
      </c>
      <c r="D3295" t="str">
        <f>VLOOKUP(C3295,'Data Panjang Balok'!$C$9:$N$254,2,FALSE)</f>
        <v>CL24-1</v>
      </c>
    </row>
    <row r="3296">
      <c r="C3296" t="str">
        <v>Dimensi</v>
      </c>
      <c r="D3296">
        <f>VLOOKUP(D3295,'Detail Balok'!$C$10:$AU$140,2,FALSE)</f>
        <v>200</v>
      </c>
      <c r="F3296" t="str">
        <v>x</v>
      </c>
      <c r="G3296">
        <f>VLOOKUP(D3295,'Detail Balok'!$C$10:$AU$140,3,FALSE)</f>
        <v>400</v>
      </c>
    </row>
    <row r="3297">
      <c r="C3297" t="str">
        <v>Panjang as ke as</v>
      </c>
      <c r="D3297">
        <f>VLOOKUP(C3295,'Data Panjang Balok'!$C$9:$N$254,4,FALSE)</f>
        <v>3010</v>
      </c>
    </row>
    <row r="3298">
      <c r="C3298" t="str">
        <v>Panjang netto</v>
      </c>
      <c r="D3298">
        <f>VLOOKUP(C3295,'Data Panjang Balok'!$C$9:$N$254,7,FALSE)</f>
        <v>3010</v>
      </c>
    </row>
    <row r="3299">
      <c r="C3299" t="str">
        <v>Kolom / balok kiri</v>
      </c>
      <c r="D3299">
        <f>VLOOKUP(C3295,'Data Panjang Balok'!$C$9:$N$254,9,FALSE)</f>
        <v>0</v>
      </c>
    </row>
    <row r="3300">
      <c r="C3300" t="str">
        <v>Kolom / balok kanan</v>
      </c>
      <c r="D3300">
        <f>VLOOKUP(C3295,'Data Panjang Balok'!$C$9:$N$254,10,FALSE)</f>
        <v>0</v>
      </c>
    </row>
    <row r="3301">
      <c r="C3301" t="str">
        <v>Jumlah</v>
      </c>
      <c r="D3301">
        <f>VLOOKUP(C3295,'Data Panjang Balok'!$C$9:$N$254,3,FALSE)</f>
        <v>1</v>
      </c>
    </row>
    <row r="3302">
      <c r="A3302" t="str">
        <f>A3295</f>
        <v>Lantai 2</v>
      </c>
      <c r="B3302">
        <f>B3295</f>
        <v>23</v>
      </c>
      <c r="C3302" t="str">
        <v>Tul Atas Tumpuan</v>
      </c>
      <c r="D3302">
        <f>VLOOKUP(D3295,'Detail Balok'!$C$10:$AU$140,4,FALSE)</f>
        <v>3</v>
      </c>
      <c r="E3302" t="str">
        <v>D</v>
      </c>
      <c r="F3302">
        <f>VLOOKUP(D3295,'Detail Balok'!$C$10:$AU$140,6,FALSE)</f>
        <v>16</v>
      </c>
      <c r="I3302" t="str">
        <v>(</v>
      </c>
      <c r="J3302">
        <f>+D3297/4/1000</f>
        <v>0.7525</v>
      </c>
      <c r="K3302" t="str">
        <v>+</v>
      </c>
      <c r="L3302">
        <f>MAX(VLOOKUP(F3302,N$6:P$15,3,FALSE)/1000,2/3*D3299/1000)+F$16*F3302/1000</f>
        <v>0.192</v>
      </c>
      <c r="M3302" t="str">
        <v>=</v>
      </c>
      <c r="N3302">
        <f>J3302+L3302</f>
        <v>0.9444999999999999</v>
      </c>
      <c r="O3302" t="str">
        <v>+</v>
      </c>
      <c r="P3302">
        <f>D3302-D3303</f>
        <v>0</v>
      </c>
      <c r="Q3302" t="str">
        <v>x</v>
      </c>
      <c r="R3302">
        <f>IF(P3302&gt;0,$F$18*F3302/1000,0)</f>
        <v>0</v>
      </c>
      <c r="S3302" t="str">
        <v>)</v>
      </c>
      <c r="T3302" t="str">
        <v>x</v>
      </c>
      <c r="U3302">
        <f>0.006165*F3302^2</f>
        <v>1.57824</v>
      </c>
      <c r="X3302" t="str">
        <v>x</v>
      </c>
      <c r="Y3302">
        <f>D3301</f>
        <v>1</v>
      </c>
      <c r="Z3302" t="str">
        <v>=</v>
      </c>
      <c r="AA3302">
        <f>IF(AA3305=0,(D3302*N3302+P3302*R3302)*U3302*Y3302,0)</f>
        <v>0</v>
      </c>
    </row>
    <row r="3303">
      <c r="A3303" t="str">
        <f>A3295</f>
        <v>Lantai 2</v>
      </c>
      <c r="B3303">
        <f>B3295</f>
        <v>23</v>
      </c>
      <c r="C3303" t="str">
        <v>Tul Atas Lapangan</v>
      </c>
      <c r="D3303">
        <f>VLOOKUP(D3295,'Detail Balok'!$C$10:$AU$140,7,FALSE)</f>
        <v>3</v>
      </c>
      <c r="E3303" t="str">
        <v>D</v>
      </c>
      <c r="F3303">
        <f>VLOOKUP(D3295,'Detail Balok'!$C$10:$AU$140,9,FALSE)</f>
        <v>16</v>
      </c>
      <c r="I3303" t="str">
        <v>(</v>
      </c>
      <c r="J3303">
        <f>+D3297/2/1000</f>
        <v>1.505</v>
      </c>
      <c r="K3303" t="str">
        <v>+</v>
      </c>
      <c r="M3303" t="str">
        <v>=</v>
      </c>
      <c r="N3303">
        <f>J3303+L3303</f>
        <v>1.505</v>
      </c>
      <c r="O3303" t="str">
        <v>+</v>
      </c>
      <c r="P3303">
        <f>MAX(D3303-D3302,D3303-D3304)</f>
        <v>0</v>
      </c>
      <c r="Q3303" t="str">
        <v>x</v>
      </c>
      <c r="R3303">
        <f>IF(P3303&gt;0,2*(1-2*$F$19-1/2)*D3298/1000,0)</f>
        <v>0</v>
      </c>
      <c r="S3303" t="str">
        <v>)</v>
      </c>
      <c r="T3303" t="str">
        <v>x</v>
      </c>
      <c r="U3303">
        <f>0.006165*F3303^2</f>
        <v>1.57824</v>
      </c>
      <c r="X3303" t="str">
        <v>x</v>
      </c>
      <c r="Y3303">
        <f>D3301</f>
        <v>1</v>
      </c>
      <c r="Z3303" t="str">
        <v>=</v>
      </c>
      <c r="AA3303">
        <f>IF(AA3305=0,(D3303*N3303+P3303*R3303)*U3303*Y3303,0)</f>
        <v>0</v>
      </c>
    </row>
    <row r="3304">
      <c r="A3304" t="str">
        <f>A3295</f>
        <v>Lantai 2</v>
      </c>
      <c r="B3304">
        <f>B3295</f>
        <v>23</v>
      </c>
      <c r="C3304" t="str">
        <v>Tul Atas Tumpuan</v>
      </c>
      <c r="D3304">
        <f>VLOOKUP(D3295,'Detail Balok'!$C$10:$AU$140,10,FALSE)</f>
        <v>3</v>
      </c>
      <c r="E3304" t="str">
        <v>D</v>
      </c>
      <c r="F3304">
        <f>VLOOKUP(D3295,'Detail Balok'!$C$10:$AU$140,12,FALSE)</f>
        <v>16</v>
      </c>
      <c r="I3304" t="str">
        <v>(</v>
      </c>
      <c r="J3304">
        <f>+D3297/4/1000</f>
        <v>0.7525</v>
      </c>
      <c r="K3304" t="str">
        <v>+</v>
      </c>
      <c r="L3304">
        <f>MAX(VLOOKUP(F3304,N$6:P$15,3,FALSE)/1000,2/3*D3299/1000)+F$16*F3304/1000</f>
        <v>0.192</v>
      </c>
      <c r="M3304" t="str">
        <v>=</v>
      </c>
      <c r="N3304">
        <f>J3304+L3304</f>
        <v>0.9444999999999999</v>
      </c>
      <c r="O3304" t="str">
        <v>+</v>
      </c>
      <c r="P3304">
        <f>D3304-D3303</f>
        <v>0</v>
      </c>
      <c r="Q3304" t="str">
        <v>x</v>
      </c>
      <c r="R3304">
        <f>IF(P3304&gt;0,$F$18*F3304/1000,0)</f>
        <v>0</v>
      </c>
      <c r="S3304" t="str">
        <v>)</v>
      </c>
      <c r="T3304" t="str">
        <v>x</v>
      </c>
      <c r="U3304">
        <f>0.006165*F3304^2</f>
        <v>1.57824</v>
      </c>
      <c r="X3304" t="str">
        <v>x</v>
      </c>
      <c r="Y3304">
        <f>D3301</f>
        <v>1</v>
      </c>
      <c r="Z3304" t="str">
        <v>=</v>
      </c>
      <c r="AA3304">
        <f>IF(AA3305=0,(D3304*N3304+P3304*R3304)*U3304*Y3304,0)</f>
        <v>0</v>
      </c>
    </row>
    <row r="3305">
      <c r="A3305" t="str">
        <f>A3295</f>
        <v>Lantai 2</v>
      </c>
      <c r="B3305">
        <f>B3295</f>
        <v>23</v>
      </c>
      <c r="D3305">
        <f>IF(AND(D3302=D3303,D3303=D3304,D3302=D3304),D3302,0)</f>
        <v>3</v>
      </c>
      <c r="E3305" t="str">
        <v>D</v>
      </c>
      <c r="F3305">
        <f>IF(AND(F3302=F3303,F3302=F3304,F3303=F3304),F3302,0)</f>
        <v>16</v>
      </c>
      <c r="L3305" t="str">
        <v>Total panjang per balok</v>
      </c>
      <c r="M3305" t="str">
        <v>=</v>
      </c>
      <c r="N3305">
        <f>IF(AND(D3302=D3303,D3302=D3304,D3303=D3304,F3302=F3303,F3302=F3304,F3303=F3304),SUM(N3302:N3304),0)</f>
        <v>3.3939999999999992</v>
      </c>
      <c r="O3305" t="str">
        <v>+</v>
      </c>
      <c r="P3305">
        <f>IF(N3305&gt;12,ROUNDDOWN(N3305/12,0),0)</f>
        <v>0</v>
      </c>
      <c r="Q3305" t="str">
        <v>x</v>
      </c>
      <c r="R3305">
        <f>IF(P3305&gt;0,MAX(VLOOKUP(F3305,$D$6:$G$15,3,FALSE),600),0)/1000</f>
        <v>0</v>
      </c>
      <c r="T3305" t="str">
        <v>x</v>
      </c>
      <c r="U3305">
        <f>U3304</f>
        <v>1.57824</v>
      </c>
      <c r="V3305" t="str">
        <v>x</v>
      </c>
      <c r="W3305">
        <f>D3305</f>
        <v>3</v>
      </c>
      <c r="X3305" t="str">
        <v>x</v>
      </c>
      <c r="Y3305">
        <f>Y3304</f>
        <v>1</v>
      </c>
      <c r="Z3305" t="str">
        <v>=</v>
      </c>
      <c r="AA3305">
        <f>(N3305+P3305*R3305/1000)*U3305*W3305*Y3305</f>
        <v>16.069639679999998</v>
      </c>
    </row>
    <row r="3307">
      <c r="A3307" t="str">
        <f>A3295</f>
        <v>Lantai 2</v>
      </c>
      <c r="B3307">
        <f>B3295</f>
        <v>23</v>
      </c>
      <c r="C3307" t="str">
        <v>Tul Peminggang</v>
      </c>
      <c r="D3307">
        <f>VLOOKUP(D3295,'Detail Balok'!$C$10:$AU$140,13,FALSE)</f>
        <v>0</v>
      </c>
      <c r="E3307" t="str">
        <v>D</v>
      </c>
      <c r="F3307">
        <f>VLOOKUP(D3295,'Detail Balok'!$C$10:$AU$140,15,FALSE)</f>
        <v>8</v>
      </c>
      <c r="J3307">
        <f>+D3297/1000</f>
        <v>3.01</v>
      </c>
      <c r="K3307" t="str">
        <v>+</v>
      </c>
      <c r="L3307">
        <f>2*$F$16*F3307/1000</f>
        <v>0.192</v>
      </c>
      <c r="M3307" t="str">
        <v>=</v>
      </c>
      <c r="N3307">
        <f>J3307+L3307</f>
        <v>3.202</v>
      </c>
      <c r="O3307" t="str">
        <v>+</v>
      </c>
      <c r="P3307">
        <f>IF(N3307&gt;12,ROUNDDOWN(N3307/12,0),0)</f>
        <v>0</v>
      </c>
      <c r="Q3307" t="str">
        <v>x</v>
      </c>
      <c r="R3307">
        <f>IF(P3307&gt;0,MAX(VLOOKUP(F3307,$D$6:$G$15,3,FALSE),600),0)/1000</f>
        <v>0</v>
      </c>
      <c r="T3307" t="str">
        <v>x</v>
      </c>
      <c r="U3307">
        <f>0.006165*F3307^2</f>
        <v>0.39456</v>
      </c>
      <c r="V3307" t="str">
        <v>x</v>
      </c>
      <c r="W3307">
        <f>+D3307</f>
        <v>0</v>
      </c>
      <c r="X3307" t="str">
        <v>x</v>
      </c>
      <c r="Y3307">
        <f>D3301</f>
        <v>1</v>
      </c>
      <c r="Z3307" t="str">
        <v>=</v>
      </c>
      <c r="AA3307">
        <f>(N3307+P3307*R3307/1000)*U3307*W3307*Y3307</f>
        <v>0</v>
      </c>
    </row>
    <row r="3310">
      <c r="A3310" t="str">
        <f>A3295</f>
        <v>Lantai 2</v>
      </c>
      <c r="B3310">
        <f>B3295</f>
        <v>23</v>
      </c>
      <c r="C3310" t="str">
        <v>Tul Bawah Tumpuan</v>
      </c>
      <c r="D3310">
        <f>VLOOKUP(D3295,'Detail Balok'!$C$10:$AU$140,22,FALSE)</f>
        <v>3</v>
      </c>
      <c r="E3310" t="str">
        <v>D</v>
      </c>
      <c r="F3310">
        <f>VLOOKUP(D3295,'Detail Balok'!$C$10:$AU$140,24,FALSE)</f>
        <v>16</v>
      </c>
      <c r="I3310" t="str">
        <v>(</v>
      </c>
      <c r="J3310">
        <f>+J3302</f>
        <v>0.7525</v>
      </c>
      <c r="K3310" t="str">
        <v>+</v>
      </c>
      <c r="L3310">
        <f>MAX(VLOOKUP(F3310,N$6:P$15,3,FALSE)/1000,2/3*D3300/1000)+F$16*F3310/1000</f>
        <v>0.192</v>
      </c>
      <c r="M3310" t="str">
        <v>=</v>
      </c>
      <c r="N3310">
        <f>J3310+L3310</f>
        <v>0.9444999999999999</v>
      </c>
      <c r="O3310" t="str">
        <v>+</v>
      </c>
      <c r="P3310">
        <f>D3310-D3311</f>
        <v>0</v>
      </c>
      <c r="Q3310" t="str">
        <v>x</v>
      </c>
      <c r="R3310">
        <f>IF(P3310&gt;0,$F$18*F3310/1000,0)</f>
        <v>0</v>
      </c>
      <c r="S3310" t="str">
        <v>)</v>
      </c>
      <c r="T3310" t="str">
        <v>x</v>
      </c>
      <c r="U3310">
        <f>0.006165*F3310^2</f>
        <v>1.57824</v>
      </c>
      <c r="X3310" t="str">
        <v>x</v>
      </c>
      <c r="Y3310">
        <f>D3301</f>
        <v>1</v>
      </c>
      <c r="Z3310" t="str">
        <v>=</v>
      </c>
      <c r="AA3310">
        <f>IF(AA3313=0,(D3310*N3310+P3310*R3310)*U3310*Y3310,0)</f>
        <v>0</v>
      </c>
    </row>
    <row r="3311">
      <c r="A3311" t="str">
        <f>A3295</f>
        <v>Lantai 2</v>
      </c>
      <c r="B3311">
        <f>B3295</f>
        <v>23</v>
      </c>
      <c r="C3311" t="str">
        <v>Tul Bawah Lapangan</v>
      </c>
      <c r="D3311">
        <f>VLOOKUP(D3295,'Detail Balok'!$C$10:$AU$140,25,FALSE)</f>
        <v>3</v>
      </c>
      <c r="E3311" t="str">
        <v>D</v>
      </c>
      <c r="F3311">
        <f>VLOOKUP(D3295,'Detail Balok'!$C$10:$AU$140,27,FALSE)</f>
        <v>16</v>
      </c>
      <c r="I3311" t="str">
        <v>(</v>
      </c>
      <c r="J3311">
        <f>+J3303</f>
        <v>1.505</v>
      </c>
      <c r="K3311" t="str">
        <v>+</v>
      </c>
      <c r="M3311" t="str">
        <v>=</v>
      </c>
      <c r="N3311">
        <f>J3311+L3311</f>
        <v>1.505</v>
      </c>
      <c r="O3311" t="str">
        <v>+</v>
      </c>
      <c r="P3311">
        <f>MAX(D3311-D3310,D3311-D3312)</f>
        <v>0</v>
      </c>
      <c r="Q3311" t="str">
        <v>x</v>
      </c>
      <c r="R3311">
        <f>IF(P3311&gt;0,2*(1-2*$F$19-1/2)*D3298/1000,0)</f>
        <v>0</v>
      </c>
      <c r="S3311" t="str">
        <v>)</v>
      </c>
      <c r="T3311" t="str">
        <v>x</v>
      </c>
      <c r="U3311">
        <f>0.006165*F3311^2</f>
        <v>1.57824</v>
      </c>
      <c r="X3311" t="str">
        <v>x</v>
      </c>
      <c r="Y3311">
        <f>D3301</f>
        <v>1</v>
      </c>
      <c r="Z3311" t="str">
        <v>=</v>
      </c>
      <c r="AA3311">
        <f>IF(AA3313=0,(D3311*N3311+P3311*R3311)*U3311*Y3311,0)</f>
        <v>0</v>
      </c>
    </row>
    <row r="3312">
      <c r="A3312" t="str">
        <f>A3295</f>
        <v>Lantai 2</v>
      </c>
      <c r="B3312">
        <f>B3295</f>
        <v>23</v>
      </c>
      <c r="C3312" t="str">
        <v>Tul Bawah Tumpuan</v>
      </c>
      <c r="D3312">
        <f>VLOOKUP(D3295,'Detail Balok'!$C$10:$AU$140,28,FALSE)</f>
        <v>3</v>
      </c>
      <c r="E3312" t="str">
        <v>D</v>
      </c>
      <c r="F3312">
        <f>VLOOKUP(D3295,'Detail Balok'!$C$10:$AU$140,30,FALSE)</f>
        <v>16</v>
      </c>
      <c r="I3312" t="str">
        <v>(</v>
      </c>
      <c r="J3312">
        <f>+J3304</f>
        <v>0.7525</v>
      </c>
      <c r="K3312" t="str">
        <v>+</v>
      </c>
      <c r="L3312">
        <f>MAX(VLOOKUP(F3312,N$6:P$15,3,FALSE)/1000,2/3*D3300/1000)+F$16*F3312/1000</f>
        <v>0.192</v>
      </c>
      <c r="M3312" t="str">
        <v>=</v>
      </c>
      <c r="N3312">
        <f>J3312+L3312</f>
        <v>0.9444999999999999</v>
      </c>
      <c r="O3312" t="str">
        <v>+</v>
      </c>
      <c r="P3312">
        <f>D3312-D3311</f>
        <v>0</v>
      </c>
      <c r="Q3312" t="str">
        <v>x</v>
      </c>
      <c r="R3312">
        <f>IF(P3312&gt;0,$F$18*F3312/1000,0)</f>
        <v>0</v>
      </c>
      <c r="S3312" t="str">
        <v>)</v>
      </c>
      <c r="T3312" t="str">
        <v>x</v>
      </c>
      <c r="U3312">
        <f>0.006165*F3312^2</f>
        <v>1.57824</v>
      </c>
      <c r="X3312" t="str">
        <v>x</v>
      </c>
      <c r="Y3312">
        <f>D3301</f>
        <v>1</v>
      </c>
      <c r="Z3312" t="str">
        <v>=</v>
      </c>
      <c r="AA3312">
        <f>IF(AA3313=0,(D3312*N3312+P3312*R3312)*U3312*Y3312,0)</f>
        <v>0</v>
      </c>
    </row>
    <row r="3313">
      <c r="A3313" t="str">
        <f>A3295</f>
        <v>Lantai 2</v>
      </c>
      <c r="B3313">
        <f>B3295</f>
        <v>23</v>
      </c>
      <c r="D3313">
        <f>IF(AND(D3310=D3311,D3311=D3312,D3310=D3312),D3310,0)</f>
        <v>3</v>
      </c>
      <c r="E3313" t="str">
        <v>D</v>
      </c>
      <c r="F3313">
        <f>IF(AND(F3310=F3311,F3310=F3312,F3311=F3312),F3310,0)</f>
        <v>16</v>
      </c>
      <c r="L3313" t="str">
        <v>Total panjang per balok</v>
      </c>
      <c r="M3313" t="str">
        <v>=</v>
      </c>
      <c r="N3313">
        <f>IF(AND(D3310=D3311,D3310=D3312,D3311=D3312,F3310=F3311,F3310=F3312,F3311=F3312),SUM(N3310:N3312),0)</f>
        <v>3.3939999999999992</v>
      </c>
      <c r="O3313" t="str">
        <v>+</v>
      </c>
      <c r="P3313">
        <f>IF(N3313&gt;12,ROUNDDOWN(N3313/12,0),0)</f>
        <v>0</v>
      </c>
      <c r="Q3313" t="str">
        <v>x</v>
      </c>
      <c r="R3313">
        <f>IF(P3313&gt;0,MAX(VLOOKUP(F3313,$D$6:$G$15,3,FALSE),600),0)/1000</f>
        <v>0</v>
      </c>
      <c r="T3313" t="str">
        <v>x</v>
      </c>
      <c r="U3313">
        <f>U3312</f>
        <v>1.57824</v>
      </c>
      <c r="V3313" t="str">
        <v>x</v>
      </c>
      <c r="W3313">
        <f>D3313</f>
        <v>3</v>
      </c>
      <c r="X3313" t="str">
        <v>x</v>
      </c>
      <c r="Y3313">
        <f>Y3312</f>
        <v>1</v>
      </c>
      <c r="Z3313" t="str">
        <v>=</v>
      </c>
      <c r="AA3313">
        <f>(N3313+P3313*R3313/1000)*U3313*W3313*Y3313</f>
        <v>16.069639679999998</v>
      </c>
    </row>
    <row r="3315">
      <c r="A3315" t="str">
        <f>A3295</f>
        <v>Lantai 2</v>
      </c>
      <c r="B3315">
        <f>B3295</f>
        <v>23</v>
      </c>
      <c r="C3315" t="str">
        <v>Sengkang Tumpuan</v>
      </c>
      <c r="D3315">
        <f>VLOOKUP(D3295,'Detail Balok'!$C$10:$AU$140,31,FALSE)</f>
        <v>0</v>
      </c>
      <c r="E3315" t="str">
        <v>D</v>
      </c>
      <c r="F3315">
        <f>VLOOKUP(D3295,'Detail Balok'!$C$10:$AU$140,33,FALSE)</f>
        <v>10</v>
      </c>
      <c r="G3315" t="str">
        <v>-</v>
      </c>
      <c r="H3315">
        <f>VLOOKUP(D3295,'Detail Balok'!$C$10:$AU$140,35,FALSE)</f>
        <v>100</v>
      </c>
      <c r="J3315">
        <f>(IF(D3315=0,(2*(D3296+G3296))-(F$5*8),IF(D3315=3,(2*(D3296+G3296))-(F$5*8)+(G3296-2*F$5),IF(D3315=4,(2*(D3296+G3296))-(F$5*8)+2*(G3296-2*F$5)))))/1000</f>
        <v>0.88</v>
      </c>
      <c r="K3315" t="str">
        <v>+</v>
      </c>
      <c r="L3315">
        <f>IF(D3315=0,2*MAX(6*F3315,75),(D3315-1)*2*MAX(6*F3315,75))/1000</f>
        <v>0.15</v>
      </c>
      <c r="M3315" t="str">
        <v>=</v>
      </c>
      <c r="N3315">
        <f>J3315+L3315</f>
        <v>1.03</v>
      </c>
      <c r="T3315" t="str">
        <v>x</v>
      </c>
      <c r="U3315">
        <f>0.006165*F3315^2</f>
        <v>0.6165</v>
      </c>
      <c r="V3315" t="str">
        <v>x</v>
      </c>
      <c r="W3315">
        <f>IF(D3298&gt;4*G3296,ROUND(MAX(D3298/4,2*G3296)/H3315,0)+1,ROUND(D3298/H3315,0)+1)</f>
        <v>9</v>
      </c>
      <c r="X3315" t="str">
        <v>x</v>
      </c>
      <c r="Y3315">
        <f>D3301</f>
        <v>1</v>
      </c>
      <c r="Z3315" t="str">
        <v>=</v>
      </c>
      <c r="AA3315">
        <f>N3315*U3315*W3315*Y3315</f>
        <v>5.714955000000001</v>
      </c>
    </row>
    <row r="3316">
      <c r="A3316" t="str">
        <f>A3295</f>
        <v>Lantai 2</v>
      </c>
      <c r="B3316">
        <f>B3295</f>
        <v>23</v>
      </c>
      <c r="C3316" t="str">
        <v>Sengkang Lapangan</v>
      </c>
      <c r="D3316">
        <f>VLOOKUP(D3295,'Detail Balok'!$C$10:$AU$140,36,FALSE)</f>
        <v>0</v>
      </c>
      <c r="E3316" t="str">
        <v>D</v>
      </c>
      <c r="F3316">
        <f>VLOOKUP(D3295,'Detail Balok'!$C$10:$AU$140,38,FALSE)</f>
        <v>10</v>
      </c>
      <c r="G3316" t="str">
        <v>-</v>
      </c>
      <c r="H3316">
        <f>VLOOKUP(D3295,'Detail Balok'!$C$10:$AU$140,40,FALSE)</f>
        <v>100</v>
      </c>
      <c r="J3316">
        <f>(IF(D3316=0,(2*(D3296+G3296))-(F$5*8),IF(D3316=3,(2*(D3296+G3296))-(F$5*8)+(G3296-2*F$5),IF(D3316=4,(2*(D3296+G3296))-(F$5*8)+2*(G3296-2*F$5)))))/1000</f>
        <v>0.88</v>
      </c>
      <c r="K3316" t="str">
        <v>+</v>
      </c>
      <c r="L3316">
        <f>IF(D3316=0,2*MAX(6*F3316,75),(D3316-1)*2*MAX(6*F3316,75))/1000</f>
        <v>0.15</v>
      </c>
      <c r="M3316" t="str">
        <v>=</v>
      </c>
      <c r="N3316">
        <f>J3316+L3316</f>
        <v>1.03</v>
      </c>
      <c r="T3316" t="str">
        <v>x</v>
      </c>
      <c r="U3316">
        <f>0.006165*F3316^2</f>
        <v>0.6165</v>
      </c>
      <c r="V3316" t="str">
        <v>x</v>
      </c>
      <c r="W3316">
        <f>IF(D3298-MAX(D3298/4,2*G3296)*2&gt;0,ROUND((D3298-MAX(D3298/4,2*G3296)*2)/H3316,0),0)</f>
        <v>14</v>
      </c>
      <c r="X3316" t="str">
        <v>x</v>
      </c>
      <c r="Y3316">
        <f>D3301</f>
        <v>1</v>
      </c>
      <c r="Z3316" t="str">
        <v>=</v>
      </c>
      <c r="AA3316">
        <f>N3316*U3316*W3316*Y3316</f>
        <v>8.889930000000001</v>
      </c>
    </row>
    <row r="3317">
      <c r="A3317" t="str">
        <f>A3295</f>
        <v>Lantai 2</v>
      </c>
      <c r="B3317">
        <f>B3295</f>
        <v>23</v>
      </c>
      <c r="C3317" t="str">
        <v>Sengkang Tumpuan</v>
      </c>
      <c r="D3317">
        <f>VLOOKUP(D3295,'Detail Balok'!$C$10:$AU$140,41,FALSE)</f>
        <v>0</v>
      </c>
      <c r="E3317" t="str">
        <v>D</v>
      </c>
      <c r="F3317">
        <f>VLOOKUP(D3295,'Detail Balok'!$C$10:$AU$140,43,FALSE)</f>
        <v>10</v>
      </c>
      <c r="G3317" t="str">
        <v>-</v>
      </c>
      <c r="H3317">
        <f>VLOOKUP(D3295,'Detail Balok'!$C$10:$AU$140,45,FALSE)</f>
        <v>100</v>
      </c>
      <c r="J3317">
        <f>(IF(D3317=0,(2*(D3296+G3296))-(F$5*8),IF(D3317=3,(2*(D3296+G3296))-(F$5*8)+(G3296-2*F$5),IF(D3317=4,(2*(D3296+G3296))-(F$5*8)+2*(G3296-2*F$5)))))/1000</f>
        <v>0.88</v>
      </c>
      <c r="K3317" t="str">
        <v>+</v>
      </c>
      <c r="L3317">
        <f>IF(D3317=0,2*MAX(6*F3317,75),(D3317-1)*2*MAX(6*F3317,75))/1000</f>
        <v>0.15</v>
      </c>
      <c r="M3317" t="str">
        <v>=</v>
      </c>
      <c r="N3317">
        <f>J3317+L3317</f>
        <v>1.03</v>
      </c>
      <c r="T3317" t="str">
        <v>x</v>
      </c>
      <c r="U3317">
        <f>0.006165*F3317^2</f>
        <v>0.6165</v>
      </c>
      <c r="V3317" t="str">
        <v>x</v>
      </c>
      <c r="W3317">
        <f>IF(D3298&gt;4*G3296,ROUND(MAX(D3298/4,2*G3296)/H3317,0)+1,0)</f>
        <v>9</v>
      </c>
      <c r="X3317" t="str">
        <v>x</v>
      </c>
      <c r="Y3317">
        <f>D3301</f>
        <v>1</v>
      </c>
      <c r="Z3317" t="str">
        <v>=</v>
      </c>
      <c r="AA3317">
        <f>N3317*U3317*W3317*Y3317</f>
        <v>5.714955000000001</v>
      </c>
    </row>
    <row r="3319">
      <c r="A3319" t="str">
        <f>A3295</f>
        <v>Lantai 2</v>
      </c>
      <c r="B3319">
        <f>B3295</f>
        <v>23</v>
      </c>
      <c r="C3319" t="str">
        <v>Kait Horizontal Tump.</v>
      </c>
      <c r="D3319">
        <f>VLOOKUP(D3295,'Detail Balok'!$C$10:$BJ$140,46,FALSE)</f>
        <v>0</v>
      </c>
      <c r="E3319" t="str">
        <v>D</v>
      </c>
      <c r="F3319">
        <f>VLOOKUP(D3295,'Detail Balok'!$C$10:$BJ$140,48,FALSE)</f>
        <v>0</v>
      </c>
      <c r="G3319" t="str">
        <v>-</v>
      </c>
      <c r="H3319">
        <f>VLOOKUP(D3295,'Detail Balok'!$C$10:$BJ$140,50,FALSE)</f>
        <v>100</v>
      </c>
      <c r="J3319">
        <f>(D3296-2*F$5)/1000</f>
        <v>0.12</v>
      </c>
      <c r="K3319" t="str">
        <v>+</v>
      </c>
      <c r="L3319">
        <f>IF(D3319=0,2*MAX(6*F3319,75),(D3319-1)*2*MAX(6*F3319,75))/1000</f>
        <v>0.15</v>
      </c>
      <c r="M3319" t="str">
        <v>=</v>
      </c>
      <c r="N3319">
        <f>J3319+L3319</f>
        <v>0.27</v>
      </c>
      <c r="T3319" t="str">
        <v>x</v>
      </c>
      <c r="U3319">
        <f>0.006165*F3319^2</f>
        <v>0</v>
      </c>
      <c r="V3319" t="str">
        <v>x</v>
      </c>
      <c r="W3319">
        <f>W3315</f>
        <v>9</v>
      </c>
      <c r="X3319" t="str">
        <v>x</v>
      </c>
      <c r="Y3319">
        <f>D3305</f>
        <v>3</v>
      </c>
      <c r="Z3319" t="str">
        <v>=</v>
      </c>
      <c r="AA3319">
        <f>N3319*U3319*W3319*Y3319</f>
        <v>0</v>
      </c>
    </row>
    <row r="3320">
      <c r="A3320" t="str">
        <f>A3295</f>
        <v>Lantai 2</v>
      </c>
      <c r="B3320">
        <f>B3295</f>
        <v>23</v>
      </c>
      <c r="C3320" t="str">
        <v>Kait Horizontal Lap.</v>
      </c>
      <c r="D3320">
        <f>VLOOKUP(D3295,'Detail Balok'!$C$10:$BJ$140,51,FALSE)</f>
        <v>0</v>
      </c>
      <c r="E3320" t="str">
        <v>D</v>
      </c>
      <c r="F3320">
        <f>VLOOKUP(D3295,'Detail Balok'!$C$10:$BJ$140,53,FALSE)</f>
        <v>0</v>
      </c>
      <c r="G3320" t="str">
        <v>-</v>
      </c>
      <c r="H3320">
        <f>VLOOKUP(D3295,'Detail Balok'!$C$10:$BJ$140,55,FALSE)</f>
        <v>100</v>
      </c>
      <c r="J3320">
        <f>(D3296-2*F$5)/1000</f>
        <v>0.12</v>
      </c>
      <c r="K3320" t="str">
        <v>+</v>
      </c>
      <c r="L3320">
        <f>IF(D3320=0,2*MAX(6*F3320,75),(D3320-1)*2*MAX(6*F3320,75))/1000</f>
        <v>0.15</v>
      </c>
      <c r="M3320" t="str">
        <v>=</v>
      </c>
      <c r="N3320">
        <f>J3320+L3320</f>
        <v>0.27</v>
      </c>
      <c r="T3320" t="str">
        <v>x</v>
      </c>
      <c r="U3320">
        <f>0.006165*F3320^2</f>
        <v>0</v>
      </c>
      <c r="V3320" t="str">
        <v>x</v>
      </c>
      <c r="W3320">
        <f>W3316</f>
        <v>14</v>
      </c>
      <c r="X3320" t="str">
        <v>x</v>
      </c>
      <c r="Y3320">
        <f>D3305</f>
        <v>3</v>
      </c>
      <c r="Z3320" t="str">
        <v>=</v>
      </c>
      <c r="AA3320">
        <f>N3320*U3320*W3320*Y3320</f>
        <v>0</v>
      </c>
    </row>
    <row r="3321">
      <c r="A3321" t="str">
        <f>A3295</f>
        <v>Lantai 2</v>
      </c>
      <c r="B3321">
        <f>B3295</f>
        <v>23</v>
      </c>
      <c r="C3321" t="str">
        <v>Kait Horizontal Tump.</v>
      </c>
      <c r="D3321">
        <f>VLOOKUP(D3295,'Detail Balok'!$C$10:$BJ$140,56,FALSE)</f>
        <v>0</v>
      </c>
      <c r="E3321" t="str">
        <v>D</v>
      </c>
      <c r="F3321">
        <f>VLOOKUP(D3295,'Detail Balok'!$C$10:$BJ$140,58,FALSE)</f>
        <v>0</v>
      </c>
      <c r="G3321" t="str">
        <v>-</v>
      </c>
      <c r="H3321">
        <f>VLOOKUP(D3295,'Detail Balok'!$C$10:$BJ$140,60,FALSE)</f>
        <v>100</v>
      </c>
      <c r="J3321">
        <f>(D3296-2*F$5)/1000</f>
        <v>0.12</v>
      </c>
      <c r="K3321" t="str">
        <v>+</v>
      </c>
      <c r="L3321">
        <f>IF(D3321=0,2*MAX(6*F3321,75),(D3321-1)*2*MAX(6*F3321,75))/1000</f>
        <v>0.15</v>
      </c>
      <c r="M3321" t="str">
        <v>=</v>
      </c>
      <c r="N3321">
        <f>J3321+L3321</f>
        <v>0.27</v>
      </c>
      <c r="T3321" t="str">
        <v>x</v>
      </c>
      <c r="U3321">
        <f>0.006165*F3321^2</f>
        <v>0</v>
      </c>
      <c r="V3321" t="str">
        <v>x</v>
      </c>
      <c r="W3321">
        <f>W3317</f>
        <v>9</v>
      </c>
      <c r="X3321" t="str">
        <v>x</v>
      </c>
      <c r="Y3321">
        <f>D3305</f>
        <v>3</v>
      </c>
      <c r="Z3321" t="str">
        <v>=</v>
      </c>
      <c r="AA3321">
        <f>N3321*U3321*W3321*Y3321</f>
        <v>0</v>
      </c>
    </row>
    <row r="3325">
      <c r="A3325" t="str">
        <f>A3295</f>
        <v>Lantai 2</v>
      </c>
      <c r="B3325">
        <f>B3295+1</f>
        <v>24</v>
      </c>
      <c r="C3325" t="str">
        <f>CONCATENATE(A3325," no. ",B3325)</f>
        <v>Lantai 2 no. 24</v>
      </c>
      <c r="D3325" t="str">
        <f>VLOOKUP(C3325,'Data Panjang Balok'!$C$9:$N$254,2,FALSE)</f>
        <v>B24-1</v>
      </c>
    </row>
    <row r="3326">
      <c r="C3326" t="str">
        <v>Dimensi</v>
      </c>
      <c r="D3326">
        <f>VLOOKUP(D3325,'Detail Balok'!$C$10:$AU$140,2,FALSE)</f>
        <v>200</v>
      </c>
      <c r="F3326" t="str">
        <v>x</v>
      </c>
      <c r="G3326">
        <f>VLOOKUP(D3325,'Detail Balok'!$C$10:$AU$140,3,FALSE)</f>
        <v>400</v>
      </c>
    </row>
    <row r="3327">
      <c r="C3327" t="str">
        <v>Panjang as ke as</v>
      </c>
      <c r="D3327">
        <f>VLOOKUP(C3325,'Data Panjang Balok'!$C$9:$N$254,4,FALSE)</f>
        <v>2800</v>
      </c>
    </row>
    <row r="3328">
      <c r="C3328" t="str">
        <v>Panjang netto</v>
      </c>
      <c r="D3328">
        <f>VLOOKUP(C3325,'Data Panjang Balok'!$C$9:$N$254,7,FALSE)</f>
        <v>2800</v>
      </c>
    </row>
    <row r="3329">
      <c r="C3329" t="str">
        <v>Kolom / balok kiri</v>
      </c>
      <c r="D3329">
        <f>VLOOKUP(C3325,'Data Panjang Balok'!$C$9:$N$254,9,FALSE)</f>
        <v>0</v>
      </c>
    </row>
    <row r="3330">
      <c r="C3330" t="str">
        <v>Kolom / balok kanan</v>
      </c>
      <c r="D3330">
        <f>VLOOKUP(C3325,'Data Panjang Balok'!$C$9:$N$254,10,FALSE)</f>
        <v>0</v>
      </c>
    </row>
    <row r="3331">
      <c r="C3331" t="str">
        <v>Jumlah</v>
      </c>
      <c r="D3331">
        <f>VLOOKUP(C3325,'Data Panjang Balok'!$C$9:$N$254,3,FALSE)</f>
        <v>1</v>
      </c>
    </row>
    <row r="3332">
      <c r="A3332" t="str">
        <f>A3325</f>
        <v>Lantai 2</v>
      </c>
      <c r="B3332">
        <f>B3325</f>
        <v>24</v>
      </c>
      <c r="C3332" t="str">
        <v>Tul Atas Tumpuan</v>
      </c>
      <c r="D3332">
        <f>VLOOKUP(D3325,'Detail Balok'!$C$10:$AU$140,4,FALSE)</f>
        <v>3</v>
      </c>
      <c r="E3332" t="str">
        <v>D</v>
      </c>
      <c r="F3332">
        <f>VLOOKUP(D3325,'Detail Balok'!$C$10:$AU$140,6,FALSE)</f>
        <v>13</v>
      </c>
      <c r="I3332" t="str">
        <v>(</v>
      </c>
      <c r="J3332">
        <f>+D3327/4/1000</f>
        <v>0.7</v>
      </c>
      <c r="K3332" t="str">
        <v>+</v>
      </c>
      <c r="L3332">
        <f>MAX(VLOOKUP(F3332,N$6:P$15,3,FALSE)/1000,2/3*D3329/1000)+F$16*F3332/1000</f>
        <v>0.156</v>
      </c>
      <c r="M3332" t="str">
        <v>=</v>
      </c>
      <c r="N3332">
        <f>J3332+L3332</f>
        <v>0.856</v>
      </c>
      <c r="O3332" t="str">
        <v>+</v>
      </c>
      <c r="P3332">
        <f>D3332-D3333</f>
        <v>0</v>
      </c>
      <c r="Q3332" t="str">
        <v>x</v>
      </c>
      <c r="R3332">
        <f>IF(P3332&gt;0,$F$18*F3332/1000,0)</f>
        <v>0</v>
      </c>
      <c r="S3332" t="str">
        <v>)</v>
      </c>
      <c r="T3332" t="str">
        <v>x</v>
      </c>
      <c r="U3332">
        <f>0.006165*F3332^2</f>
        <v>1.041885</v>
      </c>
      <c r="X3332" t="str">
        <v>x</v>
      </c>
      <c r="Y3332">
        <f>D3331</f>
        <v>1</v>
      </c>
      <c r="Z3332" t="str">
        <v>=</v>
      </c>
      <c r="AA3332">
        <f>IF(AA3335=0,(D3332*N3332+P3332*R3332)*U3332*Y3332,0)</f>
        <v>0</v>
      </c>
    </row>
    <row r="3333">
      <c r="A3333" t="str">
        <f>A3325</f>
        <v>Lantai 2</v>
      </c>
      <c r="B3333">
        <f>B3325</f>
        <v>24</v>
      </c>
      <c r="C3333" t="str">
        <v>Tul Atas Lapangan</v>
      </c>
      <c r="D3333">
        <f>VLOOKUP(D3325,'Detail Balok'!$C$10:$AU$140,7,FALSE)</f>
        <v>3</v>
      </c>
      <c r="E3333" t="str">
        <v>D</v>
      </c>
      <c r="F3333">
        <f>VLOOKUP(D3325,'Detail Balok'!$C$10:$AU$140,9,FALSE)</f>
        <v>13</v>
      </c>
      <c r="I3333" t="str">
        <v>(</v>
      </c>
      <c r="J3333">
        <f>+D3327/2/1000</f>
        <v>1.4</v>
      </c>
      <c r="K3333" t="str">
        <v>+</v>
      </c>
      <c r="M3333" t="str">
        <v>=</v>
      </c>
      <c r="N3333">
        <f>J3333+L3333</f>
        <v>1.4</v>
      </c>
      <c r="O3333" t="str">
        <v>+</v>
      </c>
      <c r="P3333">
        <f>MAX(D3333-D3332,D3333-D3334)</f>
        <v>0</v>
      </c>
      <c r="Q3333" t="str">
        <v>x</v>
      </c>
      <c r="R3333">
        <f>IF(P3333&gt;0,2*(1-2*$F$19-1/2)*D3328/1000,0)</f>
        <v>0</v>
      </c>
      <c r="S3333" t="str">
        <v>)</v>
      </c>
      <c r="T3333" t="str">
        <v>x</v>
      </c>
      <c r="U3333">
        <f>0.006165*F3333^2</f>
        <v>1.041885</v>
      </c>
      <c r="X3333" t="str">
        <v>x</v>
      </c>
      <c r="Y3333">
        <f>D3331</f>
        <v>1</v>
      </c>
      <c r="Z3333" t="str">
        <v>=</v>
      </c>
      <c r="AA3333">
        <f>IF(AA3335=0,(D3333*N3333+P3333*R3333)*U3333*Y3333,0)</f>
        <v>0</v>
      </c>
    </row>
    <row r="3334">
      <c r="A3334" t="str">
        <f>A3325</f>
        <v>Lantai 2</v>
      </c>
      <c r="B3334">
        <f>B3325</f>
        <v>24</v>
      </c>
      <c r="C3334" t="str">
        <v>Tul Atas Tumpuan</v>
      </c>
      <c r="D3334">
        <f>VLOOKUP(D3325,'Detail Balok'!$C$10:$AU$140,10,FALSE)</f>
        <v>3</v>
      </c>
      <c r="E3334" t="str">
        <v>D</v>
      </c>
      <c r="F3334">
        <f>VLOOKUP(D3325,'Detail Balok'!$C$10:$AU$140,12,FALSE)</f>
        <v>13</v>
      </c>
      <c r="I3334" t="str">
        <v>(</v>
      </c>
      <c r="J3334">
        <f>+D3327/4/1000</f>
        <v>0.7</v>
      </c>
      <c r="K3334" t="str">
        <v>+</v>
      </c>
      <c r="L3334">
        <f>MAX(VLOOKUP(F3334,N$6:P$15,3,FALSE)/1000,2/3*D3329/1000)+F$16*F3334/1000</f>
        <v>0.156</v>
      </c>
      <c r="M3334" t="str">
        <v>=</v>
      </c>
      <c r="N3334">
        <f>J3334+L3334</f>
        <v>0.856</v>
      </c>
      <c r="O3334" t="str">
        <v>+</v>
      </c>
      <c r="P3334">
        <f>D3334-D3333</f>
        <v>0</v>
      </c>
      <c r="Q3334" t="str">
        <v>x</v>
      </c>
      <c r="R3334">
        <f>IF(P3334&gt;0,$F$18*F3334/1000,0)</f>
        <v>0</v>
      </c>
      <c r="S3334" t="str">
        <v>)</v>
      </c>
      <c r="T3334" t="str">
        <v>x</v>
      </c>
      <c r="U3334">
        <f>0.006165*F3334^2</f>
        <v>1.041885</v>
      </c>
      <c r="X3334" t="str">
        <v>x</v>
      </c>
      <c r="Y3334">
        <f>D3331</f>
        <v>1</v>
      </c>
      <c r="Z3334" t="str">
        <v>=</v>
      </c>
      <c r="AA3334">
        <f>IF(AA3335=0,(D3334*N3334+P3334*R3334)*U3334*Y3334,0)</f>
        <v>0</v>
      </c>
    </row>
    <row r="3335">
      <c r="A3335" t="str">
        <f>A3325</f>
        <v>Lantai 2</v>
      </c>
      <c r="B3335">
        <f>B3325</f>
        <v>24</v>
      </c>
      <c r="D3335">
        <f>IF(AND(D3332=D3333,D3333=D3334,D3332=D3334),D3332,0)</f>
        <v>3</v>
      </c>
      <c r="E3335" t="str">
        <v>D</v>
      </c>
      <c r="F3335">
        <f>IF(AND(F3332=F3333,F3332=F3334,F3333=F3334),F3332,0)</f>
        <v>13</v>
      </c>
      <c r="L3335" t="str">
        <v>Total panjang per balok</v>
      </c>
      <c r="M3335" t="str">
        <v>=</v>
      </c>
      <c r="N3335">
        <f>IF(AND(D3332=D3333,D3332=D3334,D3333=D3334,F3332=F3333,F3332=F3334,F3333=F3334),SUM(N3332:N3334),0)</f>
        <v>3.1119999999999997</v>
      </c>
      <c r="O3335" t="str">
        <v>+</v>
      </c>
      <c r="P3335">
        <f>IF(N3335&gt;12,ROUNDDOWN(N3335/12,0),0)</f>
        <v>0</v>
      </c>
      <c r="Q3335" t="str">
        <v>x</v>
      </c>
      <c r="R3335">
        <f>IF(P3335&gt;0,MAX(VLOOKUP(F3335,$D$6:$G$15,3,FALSE),600),0)/1000</f>
        <v>0</v>
      </c>
      <c r="T3335" t="str">
        <v>x</v>
      </c>
      <c r="U3335">
        <f>U3334</f>
        <v>1.041885</v>
      </c>
      <c r="V3335" t="str">
        <v>x</v>
      </c>
      <c r="W3335">
        <f>D3335</f>
        <v>3</v>
      </c>
      <c r="X3335" t="str">
        <v>x</v>
      </c>
      <c r="Y3335">
        <f>Y3334</f>
        <v>1</v>
      </c>
      <c r="Z3335" t="str">
        <v>=</v>
      </c>
      <c r="AA3335">
        <f>(N3335+P3335*R3335/1000)*U3335*W3335*Y3335</f>
        <v>9.727038359999998</v>
      </c>
    </row>
    <row r="3337">
      <c r="A3337" t="str">
        <f>A3325</f>
        <v>Lantai 2</v>
      </c>
      <c r="B3337">
        <f>B3325</f>
        <v>24</v>
      </c>
      <c r="C3337" t="str">
        <v>Tul Peminggang</v>
      </c>
      <c r="D3337">
        <f>VLOOKUP(D3325,'Detail Balok'!$C$10:$AU$140,13,FALSE)</f>
        <v>0</v>
      </c>
      <c r="E3337" t="str">
        <v>D</v>
      </c>
      <c r="F3337">
        <f>VLOOKUP(D3325,'Detail Balok'!$C$10:$AU$140,15,FALSE)</f>
        <v>8</v>
      </c>
      <c r="J3337">
        <f>+D3327/1000</f>
        <v>2.8</v>
      </c>
      <c r="K3337" t="str">
        <v>+</v>
      </c>
      <c r="L3337">
        <f>2*$F$16*F3337/1000</f>
        <v>0.192</v>
      </c>
      <c r="M3337" t="str">
        <v>=</v>
      </c>
      <c r="N3337">
        <f>J3337+L3337</f>
        <v>2.992</v>
      </c>
      <c r="O3337" t="str">
        <v>+</v>
      </c>
      <c r="P3337">
        <f>IF(N3337&gt;12,ROUNDDOWN(N3337/12,0),0)</f>
        <v>0</v>
      </c>
      <c r="Q3337" t="str">
        <v>x</v>
      </c>
      <c r="R3337">
        <f>IF(P3337&gt;0,MAX(VLOOKUP(F3337,$D$6:$G$15,3,FALSE),600),0)/1000</f>
        <v>0</v>
      </c>
      <c r="T3337" t="str">
        <v>x</v>
      </c>
      <c r="U3337">
        <f>0.006165*F3337^2</f>
        <v>0.39456</v>
      </c>
      <c r="V3337" t="str">
        <v>x</v>
      </c>
      <c r="W3337">
        <f>+D3337</f>
        <v>0</v>
      </c>
      <c r="X3337" t="str">
        <v>x</v>
      </c>
      <c r="Y3337">
        <f>D3331</f>
        <v>1</v>
      </c>
      <c r="Z3337" t="str">
        <v>=</v>
      </c>
      <c r="AA3337">
        <f>(N3337+P3337*R3337/1000)*U3337*W3337*Y3337</f>
        <v>0</v>
      </c>
    </row>
    <row r="3340">
      <c r="A3340" t="str">
        <f>A3325</f>
        <v>Lantai 2</v>
      </c>
      <c r="B3340">
        <f>B3325</f>
        <v>24</v>
      </c>
      <c r="C3340" t="str">
        <v>Tul Bawah Tumpuan</v>
      </c>
      <c r="D3340">
        <f>VLOOKUP(D3325,'Detail Balok'!$C$10:$AU$140,22,FALSE)</f>
        <v>3</v>
      </c>
      <c r="E3340" t="str">
        <v>D</v>
      </c>
      <c r="F3340">
        <f>VLOOKUP(D3325,'Detail Balok'!$C$10:$AU$140,24,FALSE)</f>
        <v>13</v>
      </c>
      <c r="I3340" t="str">
        <v>(</v>
      </c>
      <c r="J3340">
        <f>+J3332</f>
        <v>0.7</v>
      </c>
      <c r="K3340" t="str">
        <v>+</v>
      </c>
      <c r="L3340">
        <f>MAX(VLOOKUP(F3340,N$6:P$15,3,FALSE)/1000,2/3*D3330/1000)+F$16*F3340/1000</f>
        <v>0.156</v>
      </c>
      <c r="M3340" t="str">
        <v>=</v>
      </c>
      <c r="N3340">
        <f>J3340+L3340</f>
        <v>0.856</v>
      </c>
      <c r="O3340" t="str">
        <v>+</v>
      </c>
      <c r="P3340">
        <f>D3340-D3341</f>
        <v>0</v>
      </c>
      <c r="Q3340" t="str">
        <v>x</v>
      </c>
      <c r="R3340">
        <f>IF(P3340&gt;0,$F$18*F3340/1000,0)</f>
        <v>0</v>
      </c>
      <c r="S3340" t="str">
        <v>)</v>
      </c>
      <c r="T3340" t="str">
        <v>x</v>
      </c>
      <c r="U3340">
        <f>0.006165*F3340^2</f>
        <v>1.041885</v>
      </c>
      <c r="X3340" t="str">
        <v>x</v>
      </c>
      <c r="Y3340">
        <f>D3331</f>
        <v>1</v>
      </c>
      <c r="Z3340" t="str">
        <v>=</v>
      </c>
      <c r="AA3340">
        <f>IF(AA3343=0,(D3340*N3340+P3340*R3340)*U3340*Y3340,0)</f>
        <v>0</v>
      </c>
    </row>
    <row r="3341">
      <c r="A3341" t="str">
        <f>A3325</f>
        <v>Lantai 2</v>
      </c>
      <c r="B3341">
        <f>B3325</f>
        <v>24</v>
      </c>
      <c r="C3341" t="str">
        <v>Tul Bawah Lapangan</v>
      </c>
      <c r="D3341">
        <f>VLOOKUP(D3325,'Detail Balok'!$C$10:$AU$140,25,FALSE)</f>
        <v>3</v>
      </c>
      <c r="E3341" t="str">
        <v>D</v>
      </c>
      <c r="F3341">
        <f>VLOOKUP(D3325,'Detail Balok'!$C$10:$AU$140,27,FALSE)</f>
        <v>13</v>
      </c>
      <c r="I3341" t="str">
        <v>(</v>
      </c>
      <c r="J3341">
        <f>+J3333</f>
        <v>1.4</v>
      </c>
      <c r="K3341" t="str">
        <v>+</v>
      </c>
      <c r="M3341" t="str">
        <v>=</v>
      </c>
      <c r="N3341">
        <f>J3341+L3341</f>
        <v>1.4</v>
      </c>
      <c r="O3341" t="str">
        <v>+</v>
      </c>
      <c r="P3341">
        <f>MAX(D3341-D3340,D3341-D3342)</f>
        <v>0</v>
      </c>
      <c r="Q3341" t="str">
        <v>x</v>
      </c>
      <c r="R3341">
        <f>IF(P3341&gt;0,2*(1-2*$F$19-1/2)*D3328/1000,0)</f>
        <v>0</v>
      </c>
      <c r="S3341" t="str">
        <v>)</v>
      </c>
      <c r="T3341" t="str">
        <v>x</v>
      </c>
      <c r="U3341">
        <f>0.006165*F3341^2</f>
        <v>1.041885</v>
      </c>
      <c r="X3341" t="str">
        <v>x</v>
      </c>
      <c r="Y3341">
        <f>D3331</f>
        <v>1</v>
      </c>
      <c r="Z3341" t="str">
        <v>=</v>
      </c>
      <c r="AA3341">
        <f>IF(AA3343=0,(D3341*N3341+P3341*R3341)*U3341*Y3341,0)</f>
        <v>0</v>
      </c>
    </row>
    <row r="3342">
      <c r="A3342" t="str">
        <f>A3325</f>
        <v>Lantai 2</v>
      </c>
      <c r="B3342">
        <f>B3325</f>
        <v>24</v>
      </c>
      <c r="C3342" t="str">
        <v>Tul Bawah Tumpuan</v>
      </c>
      <c r="D3342">
        <f>VLOOKUP(D3325,'Detail Balok'!$C$10:$AU$140,28,FALSE)</f>
        <v>3</v>
      </c>
      <c r="E3342" t="str">
        <v>D</v>
      </c>
      <c r="F3342">
        <f>VLOOKUP(D3325,'Detail Balok'!$C$10:$AU$140,30,FALSE)</f>
        <v>13</v>
      </c>
      <c r="I3342" t="str">
        <v>(</v>
      </c>
      <c r="J3342">
        <f>+J3334</f>
        <v>0.7</v>
      </c>
      <c r="K3342" t="str">
        <v>+</v>
      </c>
      <c r="L3342">
        <f>MAX(VLOOKUP(F3342,N$6:P$15,3,FALSE)/1000,2/3*D3330/1000)+F$16*F3342/1000</f>
        <v>0.156</v>
      </c>
      <c r="M3342" t="str">
        <v>=</v>
      </c>
      <c r="N3342">
        <f>J3342+L3342</f>
        <v>0.856</v>
      </c>
      <c r="O3342" t="str">
        <v>+</v>
      </c>
      <c r="P3342">
        <f>D3342-D3341</f>
        <v>0</v>
      </c>
      <c r="Q3342" t="str">
        <v>x</v>
      </c>
      <c r="R3342">
        <f>IF(P3342&gt;0,$F$18*F3342/1000,0)</f>
        <v>0</v>
      </c>
      <c r="S3342" t="str">
        <v>)</v>
      </c>
      <c r="T3342" t="str">
        <v>x</v>
      </c>
      <c r="U3342">
        <f>0.006165*F3342^2</f>
        <v>1.041885</v>
      </c>
      <c r="X3342" t="str">
        <v>x</v>
      </c>
      <c r="Y3342">
        <f>D3331</f>
        <v>1</v>
      </c>
      <c r="Z3342" t="str">
        <v>=</v>
      </c>
      <c r="AA3342">
        <f>IF(AA3343=0,(D3342*N3342+P3342*R3342)*U3342*Y3342,0)</f>
        <v>0</v>
      </c>
    </row>
    <row r="3343">
      <c r="A3343" t="str">
        <f>A3325</f>
        <v>Lantai 2</v>
      </c>
      <c r="B3343">
        <f>B3325</f>
        <v>24</v>
      </c>
      <c r="D3343">
        <f>IF(AND(D3340=D3341,D3341=D3342,D3340=D3342),D3340,0)</f>
        <v>3</v>
      </c>
      <c r="E3343" t="str">
        <v>D</v>
      </c>
      <c r="F3343">
        <f>IF(AND(F3340=F3341,F3340=F3342,F3341=F3342),F3340,0)</f>
        <v>13</v>
      </c>
      <c r="L3343" t="str">
        <v>Total panjang per balok</v>
      </c>
      <c r="M3343" t="str">
        <v>=</v>
      </c>
      <c r="N3343">
        <f>IF(AND(D3340=D3341,D3340=D3342,D3341=D3342,F3340=F3341,F3340=F3342,F3341=F3342),SUM(N3340:N3342),0)</f>
        <v>3.1119999999999997</v>
      </c>
      <c r="O3343" t="str">
        <v>+</v>
      </c>
      <c r="P3343">
        <f>IF(N3343&gt;12,ROUNDDOWN(N3343/12,0),0)</f>
        <v>0</v>
      </c>
      <c r="Q3343" t="str">
        <v>x</v>
      </c>
      <c r="R3343">
        <f>IF(P3343&gt;0,MAX(VLOOKUP(F3343,$D$6:$G$15,3,FALSE),600),0)/1000</f>
        <v>0</v>
      </c>
      <c r="T3343" t="str">
        <v>x</v>
      </c>
      <c r="U3343">
        <f>U3342</f>
        <v>1.041885</v>
      </c>
      <c r="V3343" t="str">
        <v>x</v>
      </c>
      <c r="W3343">
        <f>D3343</f>
        <v>3</v>
      </c>
      <c r="X3343" t="str">
        <v>x</v>
      </c>
      <c r="Y3343">
        <f>Y3342</f>
        <v>1</v>
      </c>
      <c r="Z3343" t="str">
        <v>=</v>
      </c>
      <c r="AA3343">
        <f>(N3343+P3343*R3343/1000)*U3343*W3343*Y3343</f>
        <v>9.727038359999998</v>
      </c>
    </row>
    <row r="3345">
      <c r="A3345" t="str">
        <f>A3325</f>
        <v>Lantai 2</v>
      </c>
      <c r="B3345">
        <f>B3325</f>
        <v>24</v>
      </c>
      <c r="C3345" t="str">
        <v>Sengkang Tumpuan</v>
      </c>
      <c r="D3345">
        <f>VLOOKUP(D3325,'Detail Balok'!$C$10:$AU$140,31,FALSE)</f>
        <v>0</v>
      </c>
      <c r="E3345" t="str">
        <v>D</v>
      </c>
      <c r="F3345">
        <f>VLOOKUP(D3325,'Detail Balok'!$C$10:$AU$140,33,FALSE)</f>
        <v>10</v>
      </c>
      <c r="G3345" t="str">
        <v>-</v>
      </c>
      <c r="H3345">
        <f>VLOOKUP(D3325,'Detail Balok'!$C$10:$AU$140,35,FALSE)</f>
        <v>100</v>
      </c>
      <c r="J3345">
        <f>(IF(D3345=0,(2*(D3326+G3326))-(F$5*8),IF(D3345=3,(2*(D3326+G3326))-(F$5*8)+(G3326-2*F$5),IF(D3345=4,(2*(D3326+G3326))-(F$5*8)+2*(G3326-2*F$5)))))/1000</f>
        <v>0.88</v>
      </c>
      <c r="K3345" t="str">
        <v>+</v>
      </c>
      <c r="L3345">
        <f>IF(D3345=0,2*MAX(6*F3345,75),(D3345-1)*2*MAX(6*F3345,75))/1000</f>
        <v>0.15</v>
      </c>
      <c r="M3345" t="str">
        <v>=</v>
      </c>
      <c r="N3345">
        <f>J3345+L3345</f>
        <v>1.03</v>
      </c>
      <c r="T3345" t="str">
        <v>x</v>
      </c>
      <c r="U3345">
        <f>0.006165*F3345^2</f>
        <v>0.6165</v>
      </c>
      <c r="V3345" t="str">
        <v>x</v>
      </c>
      <c r="W3345">
        <f>IF(D3328&gt;4*G3326,ROUND(MAX(D3328/4,2*G3326)/H3345,0)+1,ROUND(D3328/H3345,0)+1)</f>
        <v>9</v>
      </c>
      <c r="X3345" t="str">
        <v>x</v>
      </c>
      <c r="Y3345">
        <f>D3331</f>
        <v>1</v>
      </c>
      <c r="Z3345" t="str">
        <v>=</v>
      </c>
      <c r="AA3345">
        <f>N3345*U3345*W3345*Y3345</f>
        <v>5.714955000000001</v>
      </c>
    </row>
    <row r="3346">
      <c r="A3346" t="str">
        <f>A3325</f>
        <v>Lantai 2</v>
      </c>
      <c r="B3346">
        <f>B3325</f>
        <v>24</v>
      </c>
      <c r="C3346" t="str">
        <v>Sengkang Lapangan</v>
      </c>
      <c r="D3346">
        <f>VLOOKUP(D3325,'Detail Balok'!$C$10:$AU$140,36,FALSE)</f>
        <v>0</v>
      </c>
      <c r="E3346" t="str">
        <v>D</v>
      </c>
      <c r="F3346">
        <f>VLOOKUP(D3325,'Detail Balok'!$C$10:$AU$140,38,FALSE)</f>
        <v>10</v>
      </c>
      <c r="G3346" t="str">
        <v>-</v>
      </c>
      <c r="H3346">
        <f>VLOOKUP(D3325,'Detail Balok'!$C$10:$AU$140,40,FALSE)</f>
        <v>200</v>
      </c>
      <c r="J3346">
        <f>(IF(D3346=0,(2*(D3326+G3326))-(F$5*8),IF(D3346=3,(2*(D3326+G3326))-(F$5*8)+(G3326-2*F$5),IF(D3346=4,(2*(D3326+G3326))-(F$5*8)+2*(G3326-2*F$5)))))/1000</f>
        <v>0.88</v>
      </c>
      <c r="K3346" t="str">
        <v>+</v>
      </c>
      <c r="L3346">
        <f>IF(D3346=0,2*MAX(6*F3346,75),(D3346-1)*2*MAX(6*F3346,75))/1000</f>
        <v>0.15</v>
      </c>
      <c r="M3346" t="str">
        <v>=</v>
      </c>
      <c r="N3346">
        <f>J3346+L3346</f>
        <v>1.03</v>
      </c>
      <c r="T3346" t="str">
        <v>x</v>
      </c>
      <c r="U3346">
        <f>0.006165*F3346^2</f>
        <v>0.6165</v>
      </c>
      <c r="V3346" t="str">
        <v>x</v>
      </c>
      <c r="W3346">
        <f>IF(D3328-MAX(D3328/4,2*G3326)*2&gt;0,ROUND((D3328-MAX(D3328/4,2*G3326)*2)/H3346,0),0)</f>
        <v>6</v>
      </c>
      <c r="X3346" t="str">
        <v>x</v>
      </c>
      <c r="Y3346">
        <f>D3331</f>
        <v>1</v>
      </c>
      <c r="Z3346" t="str">
        <v>=</v>
      </c>
      <c r="AA3346">
        <f>N3346*U3346*W3346*Y3346</f>
        <v>3.8099700000000007</v>
      </c>
    </row>
    <row r="3347">
      <c r="A3347" t="str">
        <f>A3325</f>
        <v>Lantai 2</v>
      </c>
      <c r="B3347">
        <f>B3325</f>
        <v>24</v>
      </c>
      <c r="C3347" t="str">
        <v>Sengkang Tumpuan</v>
      </c>
      <c r="D3347">
        <f>VLOOKUP(D3325,'Detail Balok'!$C$10:$AU$140,41,FALSE)</f>
        <v>0</v>
      </c>
      <c r="E3347" t="str">
        <v>D</v>
      </c>
      <c r="F3347">
        <f>VLOOKUP(D3325,'Detail Balok'!$C$10:$AU$140,43,FALSE)</f>
        <v>10</v>
      </c>
      <c r="G3347" t="str">
        <v>-</v>
      </c>
      <c r="H3347">
        <f>VLOOKUP(D3325,'Detail Balok'!$C$10:$AU$140,45,FALSE)</f>
        <v>100</v>
      </c>
      <c r="J3347">
        <f>(IF(D3347=0,(2*(D3326+G3326))-(F$5*8),IF(D3347=3,(2*(D3326+G3326))-(F$5*8)+(G3326-2*F$5),IF(D3347=4,(2*(D3326+G3326))-(F$5*8)+2*(G3326-2*F$5)))))/1000</f>
        <v>0.88</v>
      </c>
      <c r="K3347" t="str">
        <v>+</v>
      </c>
      <c r="L3347">
        <f>IF(D3347=0,2*MAX(6*F3347,75),(D3347-1)*2*MAX(6*F3347,75))/1000</f>
        <v>0.15</v>
      </c>
      <c r="M3347" t="str">
        <v>=</v>
      </c>
      <c r="N3347">
        <f>J3347+L3347</f>
        <v>1.03</v>
      </c>
      <c r="T3347" t="str">
        <v>x</v>
      </c>
      <c r="U3347">
        <f>0.006165*F3347^2</f>
        <v>0.6165</v>
      </c>
      <c r="V3347" t="str">
        <v>x</v>
      </c>
      <c r="W3347">
        <f>IF(D3328&gt;4*G3326,ROUND(MAX(D3328/4,2*G3326)/H3347,0)+1,0)</f>
        <v>9</v>
      </c>
      <c r="X3347" t="str">
        <v>x</v>
      </c>
      <c r="Y3347">
        <f>D3331</f>
        <v>1</v>
      </c>
      <c r="Z3347" t="str">
        <v>=</v>
      </c>
      <c r="AA3347">
        <f>N3347*U3347*W3347*Y3347</f>
        <v>5.714955000000001</v>
      </c>
    </row>
    <row r="3349">
      <c r="A3349" t="str">
        <f>A3325</f>
        <v>Lantai 2</v>
      </c>
      <c r="B3349">
        <f>B3325</f>
        <v>24</v>
      </c>
      <c r="C3349" t="str">
        <v>Kait Horizontal Tump.</v>
      </c>
      <c r="D3349">
        <f>VLOOKUP(D3325,'Detail Balok'!$C$10:$BJ$140,46,FALSE)</f>
        <v>0</v>
      </c>
      <c r="E3349" t="str">
        <v>D</v>
      </c>
      <c r="F3349">
        <f>VLOOKUP(D3325,'Detail Balok'!$C$10:$BJ$140,48,FALSE)</f>
        <v>0</v>
      </c>
      <c r="G3349" t="str">
        <v>-</v>
      </c>
      <c r="H3349">
        <f>VLOOKUP(D3325,'Detail Balok'!$C$10:$BJ$140,50,FALSE)</f>
        <v>100</v>
      </c>
      <c r="J3349">
        <f>(D3326-2*F$5)/1000</f>
        <v>0.12</v>
      </c>
      <c r="K3349" t="str">
        <v>+</v>
      </c>
      <c r="L3349">
        <f>IF(D3349=0,2*MAX(6*F3349,75),(D3349-1)*2*MAX(6*F3349,75))/1000</f>
        <v>0.15</v>
      </c>
      <c r="M3349" t="str">
        <v>=</v>
      </c>
      <c r="N3349">
        <f>J3349+L3349</f>
        <v>0.27</v>
      </c>
      <c r="T3349" t="str">
        <v>x</v>
      </c>
      <c r="U3349">
        <f>0.006165*F3349^2</f>
        <v>0</v>
      </c>
      <c r="V3349" t="str">
        <v>x</v>
      </c>
      <c r="W3349">
        <f>W3345</f>
        <v>9</v>
      </c>
      <c r="X3349" t="str">
        <v>x</v>
      </c>
      <c r="Y3349">
        <f>D3335</f>
        <v>3</v>
      </c>
      <c r="Z3349" t="str">
        <v>=</v>
      </c>
      <c r="AA3349">
        <f>N3349*U3349*W3349*Y3349</f>
        <v>0</v>
      </c>
    </row>
    <row r="3350">
      <c r="A3350" t="str">
        <f>A3325</f>
        <v>Lantai 2</v>
      </c>
      <c r="B3350">
        <f>B3325</f>
        <v>24</v>
      </c>
      <c r="C3350" t="str">
        <v>Kait Horizontal Lap.</v>
      </c>
      <c r="D3350">
        <f>VLOOKUP(D3325,'Detail Balok'!$C$10:$BJ$140,51,FALSE)</f>
        <v>0</v>
      </c>
      <c r="E3350" t="str">
        <v>D</v>
      </c>
      <c r="F3350">
        <f>VLOOKUP(D3325,'Detail Balok'!$C$10:$BJ$140,53,FALSE)</f>
        <v>0</v>
      </c>
      <c r="G3350" t="str">
        <v>-</v>
      </c>
      <c r="H3350">
        <f>VLOOKUP(D3325,'Detail Balok'!$C$10:$BJ$140,55,FALSE)</f>
        <v>100</v>
      </c>
      <c r="J3350">
        <f>(D3326-2*F$5)/1000</f>
        <v>0.12</v>
      </c>
      <c r="K3350" t="str">
        <v>+</v>
      </c>
      <c r="L3350">
        <f>IF(D3350=0,2*MAX(6*F3350,75),(D3350-1)*2*MAX(6*F3350,75))/1000</f>
        <v>0.15</v>
      </c>
      <c r="M3350" t="str">
        <v>=</v>
      </c>
      <c r="N3350">
        <f>J3350+L3350</f>
        <v>0.27</v>
      </c>
      <c r="T3350" t="str">
        <v>x</v>
      </c>
      <c r="U3350">
        <f>0.006165*F3350^2</f>
        <v>0</v>
      </c>
      <c r="V3350" t="str">
        <v>x</v>
      </c>
      <c r="W3350">
        <f>W3346</f>
        <v>6</v>
      </c>
      <c r="X3350" t="str">
        <v>x</v>
      </c>
      <c r="Y3350">
        <f>D3335</f>
        <v>3</v>
      </c>
      <c r="Z3350" t="str">
        <v>=</v>
      </c>
      <c r="AA3350">
        <f>N3350*U3350*W3350*Y3350</f>
        <v>0</v>
      </c>
    </row>
    <row r="3351">
      <c r="A3351" t="str">
        <f>A3325</f>
        <v>Lantai 2</v>
      </c>
      <c r="B3351">
        <f>B3325</f>
        <v>24</v>
      </c>
      <c r="C3351" t="str">
        <v>Kait Horizontal Tump.</v>
      </c>
      <c r="D3351">
        <f>VLOOKUP(D3325,'Detail Balok'!$C$10:$BJ$140,56,FALSE)</f>
        <v>0</v>
      </c>
      <c r="E3351" t="str">
        <v>D</v>
      </c>
      <c r="F3351">
        <f>VLOOKUP(D3325,'Detail Balok'!$C$10:$BJ$140,58,FALSE)</f>
        <v>0</v>
      </c>
      <c r="G3351" t="str">
        <v>-</v>
      </c>
      <c r="H3351">
        <f>VLOOKUP(D3325,'Detail Balok'!$C$10:$BJ$140,60,FALSE)</f>
        <v>100</v>
      </c>
      <c r="J3351">
        <f>(D3326-2*F$5)/1000</f>
        <v>0.12</v>
      </c>
      <c r="K3351" t="str">
        <v>+</v>
      </c>
      <c r="L3351">
        <f>IF(D3351=0,2*MAX(6*F3351,75),(D3351-1)*2*MAX(6*F3351,75))/1000</f>
        <v>0.15</v>
      </c>
      <c r="M3351" t="str">
        <v>=</v>
      </c>
      <c r="N3351">
        <f>J3351+L3351</f>
        <v>0.27</v>
      </c>
      <c r="T3351" t="str">
        <v>x</v>
      </c>
      <c r="U3351">
        <f>0.006165*F3351^2</f>
        <v>0</v>
      </c>
      <c r="V3351" t="str">
        <v>x</v>
      </c>
      <c r="W3351">
        <f>W3347</f>
        <v>9</v>
      </c>
      <c r="X3351" t="str">
        <v>x</v>
      </c>
      <c r="Y3351">
        <f>D3335</f>
        <v>3</v>
      </c>
      <c r="Z3351" t="str">
        <v>=</v>
      </c>
      <c r="AA3351">
        <f>N3351*U3351*W3351*Y3351</f>
        <v>0</v>
      </c>
    </row>
    <row r="3355">
      <c r="A3355" t="str">
        <f>A3325</f>
        <v>Lantai 2</v>
      </c>
      <c r="B3355">
        <f>B3325+1</f>
        <v>25</v>
      </c>
      <c r="C3355" t="str">
        <f>CONCATENATE(A3355," no. ",B3355)</f>
        <v>Lantai 2 no. 25</v>
      </c>
      <c r="D3355" t="str">
        <f>VLOOKUP(C3355,'Data Panjang Balok'!$C$9:$N$254,2,FALSE)</f>
        <v>B24-1</v>
      </c>
    </row>
    <row r="3356">
      <c r="C3356" t="str">
        <v>Dimensi</v>
      </c>
      <c r="D3356">
        <f>VLOOKUP(D3355,'Detail Balok'!$C$10:$AU$140,2,FALSE)</f>
        <v>200</v>
      </c>
      <c r="F3356" t="str">
        <v>x</v>
      </c>
      <c r="G3356">
        <f>VLOOKUP(D3355,'Detail Balok'!$C$10:$AU$140,3,FALSE)</f>
        <v>400</v>
      </c>
    </row>
    <row r="3357">
      <c r="C3357" t="str">
        <v>Panjang as ke as</v>
      </c>
      <c r="D3357">
        <f>VLOOKUP(C3355,'Data Panjang Balok'!$C$9:$N$254,4,FALSE)</f>
        <v>5150</v>
      </c>
    </row>
    <row r="3358">
      <c r="C3358" t="str">
        <v>Panjang netto</v>
      </c>
      <c r="D3358">
        <f>VLOOKUP(C3355,'Data Panjang Balok'!$C$9:$N$254,7,FALSE)</f>
        <v>5150</v>
      </c>
    </row>
    <row r="3359">
      <c r="C3359" t="str">
        <v>Kolom / balok kiri</v>
      </c>
      <c r="D3359">
        <f>VLOOKUP(C3355,'Data Panjang Balok'!$C$9:$N$254,9,FALSE)</f>
        <v>0</v>
      </c>
    </row>
    <row r="3360">
      <c r="C3360" t="str">
        <v>Kolom / balok kanan</v>
      </c>
      <c r="D3360">
        <f>VLOOKUP(C3355,'Data Panjang Balok'!$C$9:$N$254,10,FALSE)</f>
        <v>0</v>
      </c>
    </row>
    <row r="3361">
      <c r="C3361" t="str">
        <v>Jumlah</v>
      </c>
      <c r="D3361">
        <f>VLOOKUP(C3355,'Data Panjang Balok'!$C$9:$N$254,3,FALSE)</f>
        <v>1</v>
      </c>
    </row>
    <row r="3362">
      <c r="A3362" t="str">
        <f>A3355</f>
        <v>Lantai 2</v>
      </c>
      <c r="B3362">
        <f>B3355</f>
        <v>25</v>
      </c>
      <c r="C3362" t="str">
        <v>Tul Atas Tumpuan</v>
      </c>
      <c r="D3362">
        <f>VLOOKUP(D3355,'Detail Balok'!$C$10:$AU$140,4,FALSE)</f>
        <v>3</v>
      </c>
      <c r="E3362" t="str">
        <v>D</v>
      </c>
      <c r="F3362">
        <f>VLOOKUP(D3355,'Detail Balok'!$C$10:$AU$140,6,FALSE)</f>
        <v>13</v>
      </c>
      <c r="I3362" t="str">
        <v>(</v>
      </c>
      <c r="J3362">
        <f>+D3357/4/1000</f>
        <v>1.2875</v>
      </c>
      <c r="K3362" t="str">
        <v>+</v>
      </c>
      <c r="L3362">
        <f>MAX(VLOOKUP(F3362,N$6:P$15,3,FALSE)/1000,2/3*D3359/1000)+F$16*F3362/1000</f>
        <v>0.156</v>
      </c>
      <c r="M3362" t="str">
        <v>=</v>
      </c>
      <c r="N3362">
        <f>J3362+L3362</f>
        <v>1.4435</v>
      </c>
      <c r="O3362" t="str">
        <v>+</v>
      </c>
      <c r="P3362">
        <f>D3362-D3363</f>
        <v>0</v>
      </c>
      <c r="Q3362" t="str">
        <v>x</v>
      </c>
      <c r="R3362">
        <f>IF(P3362&gt;0,$F$18*F3362/1000,0)</f>
        <v>0</v>
      </c>
      <c r="S3362" t="str">
        <v>)</v>
      </c>
      <c r="T3362" t="str">
        <v>x</v>
      </c>
      <c r="U3362">
        <f>0.006165*F3362^2</f>
        <v>1.041885</v>
      </c>
      <c r="X3362" t="str">
        <v>x</v>
      </c>
      <c r="Y3362">
        <f>D3361</f>
        <v>1</v>
      </c>
      <c r="Z3362" t="str">
        <v>=</v>
      </c>
      <c r="AA3362">
        <f>IF(AA3365=0,(D3362*N3362+P3362*R3362)*U3362*Y3362,0)</f>
        <v>0</v>
      </c>
    </row>
    <row r="3363">
      <c r="A3363" t="str">
        <f>A3355</f>
        <v>Lantai 2</v>
      </c>
      <c r="B3363">
        <f>B3355</f>
        <v>25</v>
      </c>
      <c r="C3363" t="str">
        <v>Tul Atas Lapangan</v>
      </c>
      <c r="D3363">
        <f>VLOOKUP(D3355,'Detail Balok'!$C$10:$AU$140,7,FALSE)</f>
        <v>3</v>
      </c>
      <c r="E3363" t="str">
        <v>D</v>
      </c>
      <c r="F3363">
        <f>VLOOKUP(D3355,'Detail Balok'!$C$10:$AU$140,9,FALSE)</f>
        <v>13</v>
      </c>
      <c r="I3363" t="str">
        <v>(</v>
      </c>
      <c r="J3363">
        <f>+D3357/2/1000</f>
        <v>2.575</v>
      </c>
      <c r="K3363" t="str">
        <v>+</v>
      </c>
      <c r="M3363" t="str">
        <v>=</v>
      </c>
      <c r="N3363">
        <f>J3363+L3363</f>
        <v>2.575</v>
      </c>
      <c r="O3363" t="str">
        <v>+</v>
      </c>
      <c r="P3363">
        <f>MAX(D3363-D3362,D3363-D3364)</f>
        <v>0</v>
      </c>
      <c r="Q3363" t="str">
        <v>x</v>
      </c>
      <c r="R3363">
        <f>IF(P3363&gt;0,2*(1-2*$F$19-1/2)*D3358/1000,0)</f>
        <v>0</v>
      </c>
      <c r="S3363" t="str">
        <v>)</v>
      </c>
      <c r="T3363" t="str">
        <v>x</v>
      </c>
      <c r="U3363">
        <f>0.006165*F3363^2</f>
        <v>1.041885</v>
      </c>
      <c r="X3363" t="str">
        <v>x</v>
      </c>
      <c r="Y3363">
        <f>D3361</f>
        <v>1</v>
      </c>
      <c r="Z3363" t="str">
        <v>=</v>
      </c>
      <c r="AA3363">
        <f>IF(AA3365=0,(D3363*N3363+P3363*R3363)*U3363*Y3363,0)</f>
        <v>0</v>
      </c>
    </row>
    <row r="3364">
      <c r="A3364" t="str">
        <f>A3355</f>
        <v>Lantai 2</v>
      </c>
      <c r="B3364">
        <f>B3355</f>
        <v>25</v>
      </c>
      <c r="C3364" t="str">
        <v>Tul Atas Tumpuan</v>
      </c>
      <c r="D3364">
        <f>VLOOKUP(D3355,'Detail Balok'!$C$10:$AU$140,10,FALSE)</f>
        <v>3</v>
      </c>
      <c r="E3364" t="str">
        <v>D</v>
      </c>
      <c r="F3364">
        <f>VLOOKUP(D3355,'Detail Balok'!$C$10:$AU$140,12,FALSE)</f>
        <v>13</v>
      </c>
      <c r="I3364" t="str">
        <v>(</v>
      </c>
      <c r="J3364">
        <f>+D3357/4/1000</f>
        <v>1.2875</v>
      </c>
      <c r="K3364" t="str">
        <v>+</v>
      </c>
      <c r="L3364">
        <f>MAX(VLOOKUP(F3364,N$6:P$15,3,FALSE)/1000,2/3*D3359/1000)+F$16*F3364/1000</f>
        <v>0.156</v>
      </c>
      <c r="M3364" t="str">
        <v>=</v>
      </c>
      <c r="N3364">
        <f>J3364+L3364</f>
        <v>1.4435</v>
      </c>
      <c r="O3364" t="str">
        <v>+</v>
      </c>
      <c r="P3364">
        <f>D3364-D3363</f>
        <v>0</v>
      </c>
      <c r="Q3364" t="str">
        <v>x</v>
      </c>
      <c r="R3364">
        <f>IF(P3364&gt;0,$F$18*F3364/1000,0)</f>
        <v>0</v>
      </c>
      <c r="S3364" t="str">
        <v>)</v>
      </c>
      <c r="T3364" t="str">
        <v>x</v>
      </c>
      <c r="U3364">
        <f>0.006165*F3364^2</f>
        <v>1.041885</v>
      </c>
      <c r="X3364" t="str">
        <v>x</v>
      </c>
      <c r="Y3364">
        <f>D3361</f>
        <v>1</v>
      </c>
      <c r="Z3364" t="str">
        <v>=</v>
      </c>
      <c r="AA3364">
        <f>IF(AA3365=0,(D3364*N3364+P3364*R3364)*U3364*Y3364,0)</f>
        <v>0</v>
      </c>
    </row>
    <row r="3365">
      <c r="A3365" t="str">
        <f>A3355</f>
        <v>Lantai 2</v>
      </c>
      <c r="B3365">
        <f>B3355</f>
        <v>25</v>
      </c>
      <c r="D3365">
        <f>IF(AND(D3362=D3363,D3363=D3364,D3362=D3364),D3362,0)</f>
        <v>3</v>
      </c>
      <c r="E3365" t="str">
        <v>D</v>
      </c>
      <c r="F3365">
        <f>IF(AND(F3362=F3363,F3362=F3364,F3363=F3364),F3362,0)</f>
        <v>13</v>
      </c>
      <c r="L3365" t="str">
        <v>Total panjang per balok</v>
      </c>
      <c r="M3365" t="str">
        <v>=</v>
      </c>
      <c r="N3365">
        <f>IF(AND(D3362=D3363,D3362=D3364,D3363=D3364,F3362=F3363,F3362=F3364,F3363=F3364),SUM(N3362:N3364),0)</f>
        <v>5.462000000000001</v>
      </c>
      <c r="O3365" t="str">
        <v>+</v>
      </c>
      <c r="P3365">
        <f>IF(N3365&gt;12,ROUNDDOWN(N3365/12,0),0)</f>
        <v>0</v>
      </c>
      <c r="Q3365" t="str">
        <v>x</v>
      </c>
      <c r="R3365">
        <f>IF(P3365&gt;0,MAX(VLOOKUP(F3365,$D$6:$G$15,3,FALSE),600),0)/1000</f>
        <v>0</v>
      </c>
      <c r="T3365" t="str">
        <v>x</v>
      </c>
      <c r="U3365">
        <f>U3364</f>
        <v>1.041885</v>
      </c>
      <c r="V3365" t="str">
        <v>x</v>
      </c>
      <c r="W3365">
        <f>D3365</f>
        <v>3</v>
      </c>
      <c r="X3365" t="str">
        <v>x</v>
      </c>
      <c r="Y3365">
        <f>Y3364</f>
        <v>1</v>
      </c>
      <c r="Z3365" t="str">
        <v>=</v>
      </c>
      <c r="AA3365">
        <f>(N3365+P3365*R3365/1000)*U3365*W3365*Y3365</f>
        <v>17.072327610000002</v>
      </c>
    </row>
    <row r="3367">
      <c r="A3367" t="str">
        <f>A3355</f>
        <v>Lantai 2</v>
      </c>
      <c r="B3367">
        <f>B3355</f>
        <v>25</v>
      </c>
      <c r="C3367" t="str">
        <v>Tul Peminggang</v>
      </c>
      <c r="D3367">
        <f>VLOOKUP(D3355,'Detail Balok'!$C$10:$AU$140,13,FALSE)</f>
        <v>0</v>
      </c>
      <c r="E3367" t="str">
        <v>D</v>
      </c>
      <c r="F3367">
        <f>VLOOKUP(D3355,'Detail Balok'!$C$10:$AU$140,15,FALSE)</f>
        <v>8</v>
      </c>
      <c r="J3367">
        <f>+D3357/1000</f>
        <v>5.15</v>
      </c>
      <c r="K3367" t="str">
        <v>+</v>
      </c>
      <c r="L3367">
        <f>2*$F$16*F3367/1000</f>
        <v>0.192</v>
      </c>
      <c r="M3367" t="str">
        <v>=</v>
      </c>
      <c r="N3367">
        <f>J3367+L3367</f>
        <v>5.3420000000000005</v>
      </c>
      <c r="O3367" t="str">
        <v>+</v>
      </c>
      <c r="P3367">
        <f>IF(N3367&gt;12,ROUNDDOWN(N3367/12,0),0)</f>
        <v>0</v>
      </c>
      <c r="Q3367" t="str">
        <v>x</v>
      </c>
      <c r="R3367">
        <f>IF(P3367&gt;0,MAX(VLOOKUP(F3367,$D$6:$G$15,3,FALSE),600),0)/1000</f>
        <v>0</v>
      </c>
      <c r="T3367" t="str">
        <v>x</v>
      </c>
      <c r="U3367">
        <f>0.006165*F3367^2</f>
        <v>0.39456</v>
      </c>
      <c r="V3367" t="str">
        <v>x</v>
      </c>
      <c r="W3367">
        <f>+D3367</f>
        <v>0</v>
      </c>
      <c r="X3367" t="str">
        <v>x</v>
      </c>
      <c r="Y3367">
        <f>D3361</f>
        <v>1</v>
      </c>
      <c r="Z3367" t="str">
        <v>=</v>
      </c>
      <c r="AA3367">
        <f>(N3367+P3367*R3367/1000)*U3367*W3367*Y3367</f>
        <v>0</v>
      </c>
    </row>
    <row r="3370">
      <c r="A3370" t="str">
        <f>A3355</f>
        <v>Lantai 2</v>
      </c>
      <c r="B3370">
        <f>B3355</f>
        <v>25</v>
      </c>
      <c r="C3370" t="str">
        <v>Tul Bawah Tumpuan</v>
      </c>
      <c r="D3370">
        <f>VLOOKUP(D3355,'Detail Balok'!$C$10:$AU$140,22,FALSE)</f>
        <v>3</v>
      </c>
      <c r="E3370" t="str">
        <v>D</v>
      </c>
      <c r="F3370">
        <f>VLOOKUP(D3355,'Detail Balok'!$C$10:$AU$140,24,FALSE)</f>
        <v>13</v>
      </c>
      <c r="I3370" t="str">
        <v>(</v>
      </c>
      <c r="J3370">
        <f>+J3362</f>
        <v>1.2875</v>
      </c>
      <c r="K3370" t="str">
        <v>+</v>
      </c>
      <c r="L3370">
        <f>MAX(VLOOKUP(F3370,N$6:P$15,3,FALSE)/1000,2/3*D3360/1000)+F$16*F3370/1000</f>
        <v>0.156</v>
      </c>
      <c r="M3370" t="str">
        <v>=</v>
      </c>
      <c r="N3370">
        <f>J3370+L3370</f>
        <v>1.4435</v>
      </c>
      <c r="O3370" t="str">
        <v>+</v>
      </c>
      <c r="P3370">
        <f>D3370-D3371</f>
        <v>0</v>
      </c>
      <c r="Q3370" t="str">
        <v>x</v>
      </c>
      <c r="R3370">
        <f>IF(P3370&gt;0,$F$18*F3370/1000,0)</f>
        <v>0</v>
      </c>
      <c r="S3370" t="str">
        <v>)</v>
      </c>
      <c r="T3370" t="str">
        <v>x</v>
      </c>
      <c r="U3370">
        <f>0.006165*F3370^2</f>
        <v>1.041885</v>
      </c>
      <c r="X3370" t="str">
        <v>x</v>
      </c>
      <c r="Y3370">
        <f>D3361</f>
        <v>1</v>
      </c>
      <c r="Z3370" t="str">
        <v>=</v>
      </c>
      <c r="AA3370">
        <f>IF(AA3373=0,(D3370*N3370+P3370*R3370)*U3370*Y3370,0)</f>
        <v>0</v>
      </c>
    </row>
    <row r="3371">
      <c r="A3371" t="str">
        <f>A3355</f>
        <v>Lantai 2</v>
      </c>
      <c r="B3371">
        <f>B3355</f>
        <v>25</v>
      </c>
      <c r="C3371" t="str">
        <v>Tul Bawah Lapangan</v>
      </c>
      <c r="D3371">
        <f>VLOOKUP(D3355,'Detail Balok'!$C$10:$AU$140,25,FALSE)</f>
        <v>3</v>
      </c>
      <c r="E3371" t="str">
        <v>D</v>
      </c>
      <c r="F3371">
        <f>VLOOKUP(D3355,'Detail Balok'!$C$10:$AU$140,27,FALSE)</f>
        <v>13</v>
      </c>
      <c r="I3371" t="str">
        <v>(</v>
      </c>
      <c r="J3371">
        <f>+J3363</f>
        <v>2.575</v>
      </c>
      <c r="K3371" t="str">
        <v>+</v>
      </c>
      <c r="M3371" t="str">
        <v>=</v>
      </c>
      <c r="N3371">
        <f>J3371+L3371</f>
        <v>2.575</v>
      </c>
      <c r="O3371" t="str">
        <v>+</v>
      </c>
      <c r="P3371">
        <f>MAX(D3371-D3370,D3371-D3372)</f>
        <v>0</v>
      </c>
      <c r="Q3371" t="str">
        <v>x</v>
      </c>
      <c r="R3371">
        <f>IF(P3371&gt;0,2*(1-2*$F$19-1/2)*D3358/1000,0)</f>
        <v>0</v>
      </c>
      <c r="S3371" t="str">
        <v>)</v>
      </c>
      <c r="T3371" t="str">
        <v>x</v>
      </c>
      <c r="U3371">
        <f>0.006165*F3371^2</f>
        <v>1.041885</v>
      </c>
      <c r="X3371" t="str">
        <v>x</v>
      </c>
      <c r="Y3371">
        <f>D3361</f>
        <v>1</v>
      </c>
      <c r="Z3371" t="str">
        <v>=</v>
      </c>
      <c r="AA3371">
        <f>IF(AA3373=0,(D3371*N3371+P3371*R3371)*U3371*Y3371,0)</f>
        <v>0</v>
      </c>
    </row>
    <row r="3372">
      <c r="A3372" t="str">
        <f>A3355</f>
        <v>Lantai 2</v>
      </c>
      <c r="B3372">
        <f>B3355</f>
        <v>25</v>
      </c>
      <c r="C3372" t="str">
        <v>Tul Bawah Tumpuan</v>
      </c>
      <c r="D3372">
        <f>VLOOKUP(D3355,'Detail Balok'!$C$10:$AU$140,28,FALSE)</f>
        <v>3</v>
      </c>
      <c r="E3372" t="str">
        <v>D</v>
      </c>
      <c r="F3372">
        <f>VLOOKUP(D3355,'Detail Balok'!$C$10:$AU$140,30,FALSE)</f>
        <v>13</v>
      </c>
      <c r="I3372" t="str">
        <v>(</v>
      </c>
      <c r="J3372">
        <f>+J3364</f>
        <v>1.2875</v>
      </c>
      <c r="K3372" t="str">
        <v>+</v>
      </c>
      <c r="L3372">
        <f>MAX(VLOOKUP(F3372,N$6:P$15,3,FALSE)/1000,2/3*D3360/1000)+F$16*F3372/1000</f>
        <v>0.156</v>
      </c>
      <c r="M3372" t="str">
        <v>=</v>
      </c>
      <c r="N3372">
        <f>J3372+L3372</f>
        <v>1.4435</v>
      </c>
      <c r="O3372" t="str">
        <v>+</v>
      </c>
      <c r="P3372">
        <f>D3372-D3371</f>
        <v>0</v>
      </c>
      <c r="Q3372" t="str">
        <v>x</v>
      </c>
      <c r="R3372">
        <f>IF(P3372&gt;0,$F$18*F3372/1000,0)</f>
        <v>0</v>
      </c>
      <c r="S3372" t="str">
        <v>)</v>
      </c>
      <c r="T3372" t="str">
        <v>x</v>
      </c>
      <c r="U3372">
        <f>0.006165*F3372^2</f>
        <v>1.041885</v>
      </c>
      <c r="X3372" t="str">
        <v>x</v>
      </c>
      <c r="Y3372">
        <f>D3361</f>
        <v>1</v>
      </c>
      <c r="Z3372" t="str">
        <v>=</v>
      </c>
      <c r="AA3372">
        <f>IF(AA3373=0,(D3372*N3372+P3372*R3372)*U3372*Y3372,0)</f>
        <v>0</v>
      </c>
    </row>
    <row r="3373">
      <c r="A3373" t="str">
        <f>A3355</f>
        <v>Lantai 2</v>
      </c>
      <c r="B3373">
        <f>B3355</f>
        <v>25</v>
      </c>
      <c r="D3373">
        <f>IF(AND(D3370=D3371,D3371=D3372,D3370=D3372),D3370,0)</f>
        <v>3</v>
      </c>
      <c r="E3373" t="str">
        <v>D</v>
      </c>
      <c r="F3373">
        <f>IF(AND(F3370=F3371,F3370=F3372,F3371=F3372),F3370,0)</f>
        <v>13</v>
      </c>
      <c r="L3373" t="str">
        <v>Total panjang per balok</v>
      </c>
      <c r="M3373" t="str">
        <v>=</v>
      </c>
      <c r="N3373">
        <f>IF(AND(D3370=D3371,D3370=D3372,D3371=D3372,F3370=F3371,F3370=F3372,F3371=F3372),SUM(N3370:N3372),0)</f>
        <v>5.462000000000001</v>
      </c>
      <c r="O3373" t="str">
        <v>+</v>
      </c>
      <c r="P3373">
        <f>IF(N3373&gt;12,ROUNDDOWN(N3373/12,0),0)</f>
        <v>0</v>
      </c>
      <c r="Q3373" t="str">
        <v>x</v>
      </c>
      <c r="R3373">
        <f>IF(P3373&gt;0,MAX(VLOOKUP(F3373,$D$6:$G$15,3,FALSE),600),0)/1000</f>
        <v>0</v>
      </c>
      <c r="T3373" t="str">
        <v>x</v>
      </c>
      <c r="U3373">
        <f>U3372</f>
        <v>1.041885</v>
      </c>
      <c r="V3373" t="str">
        <v>x</v>
      </c>
      <c r="W3373">
        <f>D3373</f>
        <v>3</v>
      </c>
      <c r="X3373" t="str">
        <v>x</v>
      </c>
      <c r="Y3373">
        <f>Y3372</f>
        <v>1</v>
      </c>
      <c r="Z3373" t="str">
        <v>=</v>
      </c>
      <c r="AA3373">
        <f>(N3373+P3373*R3373/1000)*U3373*W3373*Y3373</f>
        <v>17.072327610000002</v>
      </c>
    </row>
    <row r="3375">
      <c r="A3375" t="str">
        <f>A3355</f>
        <v>Lantai 2</v>
      </c>
      <c r="B3375">
        <f>B3355</f>
        <v>25</v>
      </c>
      <c r="C3375" t="str">
        <v>Sengkang Tumpuan</v>
      </c>
      <c r="D3375">
        <f>VLOOKUP(D3355,'Detail Balok'!$C$10:$AU$140,31,FALSE)</f>
        <v>0</v>
      </c>
      <c r="E3375" t="str">
        <v>D</v>
      </c>
      <c r="F3375">
        <f>VLOOKUP(D3355,'Detail Balok'!$C$10:$AU$140,33,FALSE)</f>
        <v>10</v>
      </c>
      <c r="G3375" t="str">
        <v>-</v>
      </c>
      <c r="H3375">
        <f>VLOOKUP(D3355,'Detail Balok'!$C$10:$AU$140,35,FALSE)</f>
        <v>100</v>
      </c>
      <c r="J3375">
        <f>(IF(D3375=0,(2*(D3356+G3356))-(F$5*8),IF(D3375=3,(2*(D3356+G3356))-(F$5*8)+(G3356-2*F$5),IF(D3375=4,(2*(D3356+G3356))-(F$5*8)+2*(G3356-2*F$5)))))/1000</f>
        <v>0.88</v>
      </c>
      <c r="K3375" t="str">
        <v>+</v>
      </c>
      <c r="L3375">
        <f>IF(D3375=0,2*MAX(6*F3375,75),(D3375-1)*2*MAX(6*F3375,75))/1000</f>
        <v>0.15</v>
      </c>
      <c r="M3375" t="str">
        <v>=</v>
      </c>
      <c r="N3375">
        <f>J3375+L3375</f>
        <v>1.03</v>
      </c>
      <c r="T3375" t="str">
        <v>x</v>
      </c>
      <c r="U3375">
        <f>0.006165*F3375^2</f>
        <v>0.6165</v>
      </c>
      <c r="V3375" t="str">
        <v>x</v>
      </c>
      <c r="W3375">
        <f>IF(D3358&gt;4*G3356,ROUND(MAX(D3358/4,2*G3356)/H3375,0)+1,ROUND(D3358/H3375,0)+1)</f>
        <v>14</v>
      </c>
      <c r="X3375" t="str">
        <v>x</v>
      </c>
      <c r="Y3375">
        <f>D3361</f>
        <v>1</v>
      </c>
      <c r="Z3375" t="str">
        <v>=</v>
      </c>
      <c r="AA3375">
        <f>N3375*U3375*W3375*Y3375</f>
        <v>8.889930000000001</v>
      </c>
    </row>
    <row r="3376">
      <c r="A3376" t="str">
        <f>A3355</f>
        <v>Lantai 2</v>
      </c>
      <c r="B3376">
        <f>B3355</f>
        <v>25</v>
      </c>
      <c r="C3376" t="str">
        <v>Sengkang Lapangan</v>
      </c>
      <c r="D3376">
        <f>VLOOKUP(D3355,'Detail Balok'!$C$10:$AU$140,36,FALSE)</f>
        <v>0</v>
      </c>
      <c r="E3376" t="str">
        <v>D</v>
      </c>
      <c r="F3376">
        <f>VLOOKUP(D3355,'Detail Balok'!$C$10:$AU$140,38,FALSE)</f>
        <v>10</v>
      </c>
      <c r="G3376" t="str">
        <v>-</v>
      </c>
      <c r="H3376">
        <f>VLOOKUP(D3355,'Detail Balok'!$C$10:$AU$140,40,FALSE)</f>
        <v>200</v>
      </c>
      <c r="J3376">
        <f>(IF(D3376=0,(2*(D3356+G3356))-(F$5*8),IF(D3376=3,(2*(D3356+G3356))-(F$5*8)+(G3356-2*F$5),IF(D3376=4,(2*(D3356+G3356))-(F$5*8)+2*(G3356-2*F$5)))))/1000</f>
        <v>0.88</v>
      </c>
      <c r="K3376" t="str">
        <v>+</v>
      </c>
      <c r="L3376">
        <f>IF(D3376=0,2*MAX(6*F3376,75),(D3376-1)*2*MAX(6*F3376,75))/1000</f>
        <v>0.15</v>
      </c>
      <c r="M3376" t="str">
        <v>=</v>
      </c>
      <c r="N3376">
        <f>J3376+L3376</f>
        <v>1.03</v>
      </c>
      <c r="T3376" t="str">
        <v>x</v>
      </c>
      <c r="U3376">
        <f>0.006165*F3376^2</f>
        <v>0.6165</v>
      </c>
      <c r="V3376" t="str">
        <v>x</v>
      </c>
      <c r="W3376">
        <f>IF(D3358-MAX(D3358/4,2*G3356)*2&gt;0,ROUND((D3358-MAX(D3358/4,2*G3356)*2)/H3376,0),0)</f>
        <v>13</v>
      </c>
      <c r="X3376" t="str">
        <v>x</v>
      </c>
      <c r="Y3376">
        <f>D3361</f>
        <v>1</v>
      </c>
      <c r="Z3376" t="str">
        <v>=</v>
      </c>
      <c r="AA3376">
        <f>N3376*U3376*W3376*Y3376</f>
        <v>8.254935000000001</v>
      </c>
    </row>
    <row r="3377">
      <c r="A3377" t="str">
        <f>A3355</f>
        <v>Lantai 2</v>
      </c>
      <c r="B3377">
        <f>B3355</f>
        <v>25</v>
      </c>
      <c r="C3377" t="str">
        <v>Sengkang Tumpuan</v>
      </c>
      <c r="D3377">
        <f>VLOOKUP(D3355,'Detail Balok'!$C$10:$AU$140,41,FALSE)</f>
        <v>0</v>
      </c>
      <c r="E3377" t="str">
        <v>D</v>
      </c>
      <c r="F3377">
        <f>VLOOKUP(D3355,'Detail Balok'!$C$10:$AU$140,43,FALSE)</f>
        <v>10</v>
      </c>
      <c r="G3377" t="str">
        <v>-</v>
      </c>
      <c r="H3377">
        <f>VLOOKUP(D3355,'Detail Balok'!$C$10:$AU$140,45,FALSE)</f>
        <v>100</v>
      </c>
      <c r="J3377">
        <f>(IF(D3377=0,(2*(D3356+G3356))-(F$5*8),IF(D3377=3,(2*(D3356+G3356))-(F$5*8)+(G3356-2*F$5),IF(D3377=4,(2*(D3356+G3356))-(F$5*8)+2*(G3356-2*F$5)))))/1000</f>
        <v>0.88</v>
      </c>
      <c r="K3377" t="str">
        <v>+</v>
      </c>
      <c r="L3377">
        <f>IF(D3377=0,2*MAX(6*F3377,75),(D3377-1)*2*MAX(6*F3377,75))/1000</f>
        <v>0.15</v>
      </c>
      <c r="M3377" t="str">
        <v>=</v>
      </c>
      <c r="N3377">
        <f>J3377+L3377</f>
        <v>1.03</v>
      </c>
      <c r="T3377" t="str">
        <v>x</v>
      </c>
      <c r="U3377">
        <f>0.006165*F3377^2</f>
        <v>0.6165</v>
      </c>
      <c r="V3377" t="str">
        <v>x</v>
      </c>
      <c r="W3377">
        <f>IF(D3358&gt;4*G3356,ROUND(MAX(D3358/4,2*G3356)/H3377,0)+1,0)</f>
        <v>14</v>
      </c>
      <c r="X3377" t="str">
        <v>x</v>
      </c>
      <c r="Y3377">
        <f>D3361</f>
        <v>1</v>
      </c>
      <c r="Z3377" t="str">
        <v>=</v>
      </c>
      <c r="AA3377">
        <f>N3377*U3377*W3377*Y3377</f>
        <v>8.889930000000001</v>
      </c>
    </row>
    <row r="3379">
      <c r="A3379" t="str">
        <f>A3355</f>
        <v>Lantai 2</v>
      </c>
      <c r="B3379">
        <f>B3355</f>
        <v>25</v>
      </c>
      <c r="C3379" t="str">
        <v>Kait Horizontal Tump.</v>
      </c>
      <c r="D3379">
        <f>VLOOKUP(D3355,'Detail Balok'!$C$10:$BJ$140,46,FALSE)</f>
        <v>0</v>
      </c>
      <c r="E3379" t="str">
        <v>D</v>
      </c>
      <c r="F3379">
        <f>VLOOKUP(D3355,'Detail Balok'!$C$10:$BJ$140,48,FALSE)</f>
        <v>0</v>
      </c>
      <c r="G3379" t="str">
        <v>-</v>
      </c>
      <c r="H3379">
        <f>VLOOKUP(D3355,'Detail Balok'!$C$10:$BJ$140,50,FALSE)</f>
        <v>100</v>
      </c>
      <c r="J3379">
        <f>(D3356-2*F$5)/1000</f>
        <v>0.12</v>
      </c>
      <c r="K3379" t="str">
        <v>+</v>
      </c>
      <c r="L3379">
        <f>IF(D3379=0,2*MAX(6*F3379,75),(D3379-1)*2*MAX(6*F3379,75))/1000</f>
        <v>0.15</v>
      </c>
      <c r="M3379" t="str">
        <v>=</v>
      </c>
      <c r="N3379">
        <f>J3379+L3379</f>
        <v>0.27</v>
      </c>
      <c r="T3379" t="str">
        <v>x</v>
      </c>
      <c r="U3379">
        <f>0.006165*F3379^2</f>
        <v>0</v>
      </c>
      <c r="V3379" t="str">
        <v>x</v>
      </c>
      <c r="W3379">
        <f>W3375</f>
        <v>14</v>
      </c>
      <c r="X3379" t="str">
        <v>x</v>
      </c>
      <c r="Y3379">
        <f>D3365</f>
        <v>3</v>
      </c>
      <c r="Z3379" t="str">
        <v>=</v>
      </c>
      <c r="AA3379">
        <f>N3379*U3379*W3379*Y3379</f>
        <v>0</v>
      </c>
    </row>
    <row r="3380">
      <c r="A3380" t="str">
        <f>A3355</f>
        <v>Lantai 2</v>
      </c>
      <c r="B3380">
        <f>B3355</f>
        <v>25</v>
      </c>
      <c r="C3380" t="str">
        <v>Kait Horizontal Lap.</v>
      </c>
      <c r="D3380">
        <f>VLOOKUP(D3355,'Detail Balok'!$C$10:$BJ$140,51,FALSE)</f>
        <v>0</v>
      </c>
      <c r="E3380" t="str">
        <v>D</v>
      </c>
      <c r="F3380">
        <f>VLOOKUP(D3355,'Detail Balok'!$C$10:$BJ$140,53,FALSE)</f>
        <v>0</v>
      </c>
      <c r="G3380" t="str">
        <v>-</v>
      </c>
      <c r="H3380">
        <f>VLOOKUP(D3355,'Detail Balok'!$C$10:$BJ$140,55,FALSE)</f>
        <v>100</v>
      </c>
      <c r="J3380">
        <f>(D3356-2*F$5)/1000</f>
        <v>0.12</v>
      </c>
      <c r="K3380" t="str">
        <v>+</v>
      </c>
      <c r="L3380">
        <f>IF(D3380=0,2*MAX(6*F3380,75),(D3380-1)*2*MAX(6*F3380,75))/1000</f>
        <v>0.15</v>
      </c>
      <c r="M3380" t="str">
        <v>=</v>
      </c>
      <c r="N3380">
        <f>J3380+L3380</f>
        <v>0.27</v>
      </c>
      <c r="T3380" t="str">
        <v>x</v>
      </c>
      <c r="U3380">
        <f>0.006165*F3380^2</f>
        <v>0</v>
      </c>
      <c r="V3380" t="str">
        <v>x</v>
      </c>
      <c r="W3380">
        <f>W3376</f>
        <v>13</v>
      </c>
      <c r="X3380" t="str">
        <v>x</v>
      </c>
      <c r="Y3380">
        <f>D3365</f>
        <v>3</v>
      </c>
      <c r="Z3380" t="str">
        <v>=</v>
      </c>
      <c r="AA3380">
        <f>N3380*U3380*W3380*Y3380</f>
        <v>0</v>
      </c>
    </row>
    <row r="3381">
      <c r="A3381" t="str">
        <f>A3355</f>
        <v>Lantai 2</v>
      </c>
      <c r="B3381">
        <f>B3355</f>
        <v>25</v>
      </c>
      <c r="C3381" t="str">
        <v>Kait Horizontal Tump.</v>
      </c>
      <c r="D3381">
        <f>VLOOKUP(D3355,'Detail Balok'!$C$10:$BJ$140,56,FALSE)</f>
        <v>0</v>
      </c>
      <c r="E3381" t="str">
        <v>D</v>
      </c>
      <c r="F3381">
        <f>VLOOKUP(D3355,'Detail Balok'!$C$10:$BJ$140,58,FALSE)</f>
        <v>0</v>
      </c>
      <c r="G3381" t="str">
        <v>-</v>
      </c>
      <c r="H3381">
        <f>VLOOKUP(D3355,'Detail Balok'!$C$10:$BJ$140,60,FALSE)</f>
        <v>100</v>
      </c>
      <c r="J3381">
        <f>(D3356-2*F$5)/1000</f>
        <v>0.12</v>
      </c>
      <c r="K3381" t="str">
        <v>+</v>
      </c>
      <c r="L3381">
        <f>IF(D3381=0,2*MAX(6*F3381,75),(D3381-1)*2*MAX(6*F3381,75))/1000</f>
        <v>0.15</v>
      </c>
      <c r="M3381" t="str">
        <v>=</v>
      </c>
      <c r="N3381">
        <f>J3381+L3381</f>
        <v>0.27</v>
      </c>
      <c r="T3381" t="str">
        <v>x</v>
      </c>
      <c r="U3381">
        <f>0.006165*F3381^2</f>
        <v>0</v>
      </c>
      <c r="V3381" t="str">
        <v>x</v>
      </c>
      <c r="W3381">
        <f>W3377</f>
        <v>14</v>
      </c>
      <c r="X3381" t="str">
        <v>x</v>
      </c>
      <c r="Y3381">
        <f>D3365</f>
        <v>3</v>
      </c>
      <c r="Z3381" t="str">
        <v>=</v>
      </c>
      <c r="AA3381">
        <f>N3381*U3381*W3381*Y3381</f>
        <v>0</v>
      </c>
    </row>
    <row r="3385">
      <c r="A3385" t="str">
        <f>A3355</f>
        <v>Lantai 2</v>
      </c>
      <c r="B3385">
        <f>B3355+1</f>
        <v>26</v>
      </c>
      <c r="C3385" t="str">
        <f>CONCATENATE(A3385," no. ",B3385)</f>
        <v>Lantai 2 no. 26</v>
      </c>
      <c r="D3385" t="str">
        <f>VLOOKUP(C3385,'Data Panjang Balok'!$C$9:$N$254,2,FALSE)</f>
        <v>B26-1</v>
      </c>
    </row>
    <row r="3386">
      <c r="C3386" t="str">
        <v>Dimensi</v>
      </c>
      <c r="D3386">
        <f>VLOOKUP(D3385,'Detail Balok'!$C$10:$AU$140,2,FALSE)</f>
        <v>200</v>
      </c>
      <c r="F3386" t="str">
        <v>x</v>
      </c>
      <c r="G3386">
        <f>VLOOKUP(D3385,'Detail Balok'!$C$10:$AU$140,3,FALSE)</f>
        <v>600</v>
      </c>
    </row>
    <row r="3387">
      <c r="C3387" t="str">
        <v>Panjang as ke as</v>
      </c>
      <c r="D3387">
        <f>VLOOKUP(C3385,'Data Panjang Balok'!$C$9:$N$254,4,FALSE)</f>
        <v>6150</v>
      </c>
    </row>
    <row r="3388">
      <c r="C3388" t="str">
        <v>Panjang netto</v>
      </c>
      <c r="D3388">
        <f>VLOOKUP(C3385,'Data Panjang Balok'!$C$9:$N$254,7,FALSE)</f>
        <v>6150</v>
      </c>
    </row>
    <row r="3389">
      <c r="C3389" t="str">
        <v>Kolom / balok kiri</v>
      </c>
      <c r="D3389">
        <f>VLOOKUP(C3385,'Data Panjang Balok'!$C$9:$N$254,9,FALSE)</f>
        <v>0</v>
      </c>
    </row>
    <row r="3390">
      <c r="C3390" t="str">
        <v>Kolom / balok kanan</v>
      </c>
      <c r="D3390">
        <f>VLOOKUP(C3385,'Data Panjang Balok'!$C$9:$N$254,10,FALSE)</f>
        <v>0</v>
      </c>
    </row>
    <row r="3391">
      <c r="C3391" t="str">
        <v>Jumlah</v>
      </c>
      <c r="D3391">
        <f>VLOOKUP(C3385,'Data Panjang Balok'!$C$9:$N$254,3,FALSE)</f>
        <v>1</v>
      </c>
    </row>
    <row r="3392">
      <c r="A3392" t="str">
        <f>A3385</f>
        <v>Lantai 2</v>
      </c>
      <c r="B3392">
        <f>B3385</f>
        <v>26</v>
      </c>
      <c r="C3392" t="str">
        <v>Tul Atas Tumpuan</v>
      </c>
      <c r="D3392">
        <f>VLOOKUP(D3385,'Detail Balok'!$C$10:$AU$140,4,FALSE)</f>
        <v>4</v>
      </c>
      <c r="E3392" t="str">
        <v>D</v>
      </c>
      <c r="F3392">
        <f>VLOOKUP(D3385,'Detail Balok'!$C$10:$AU$140,6,FALSE)</f>
        <v>16</v>
      </c>
      <c r="I3392" t="str">
        <v>(</v>
      </c>
      <c r="J3392">
        <f>+D3387/4/1000</f>
        <v>1.5375</v>
      </c>
      <c r="K3392" t="str">
        <v>+</v>
      </c>
      <c r="L3392">
        <f>MAX(VLOOKUP(F3392,N$6:P$15,3,FALSE)/1000,2/3*D3389/1000)+F$16*F3392/1000</f>
        <v>0.192</v>
      </c>
      <c r="M3392" t="str">
        <v>=</v>
      </c>
      <c r="N3392">
        <f>J3392+L3392</f>
        <v>1.7295</v>
      </c>
      <c r="O3392" t="str">
        <v>+</v>
      </c>
      <c r="P3392">
        <f>D3392-D3393</f>
        <v>1</v>
      </c>
      <c r="Q3392" t="str">
        <v>x</v>
      </c>
      <c r="R3392">
        <f>IF(P3392&gt;0,$F$18*F3392/1000,0)</f>
        <v>0.24</v>
      </c>
      <c r="S3392" t="str">
        <v>)</v>
      </c>
      <c r="T3392" t="str">
        <v>x</v>
      </c>
      <c r="U3392">
        <f>0.006165*F3392^2</f>
        <v>1.57824</v>
      </c>
      <c r="X3392" t="str">
        <v>x</v>
      </c>
      <c r="Y3392">
        <f>D3391</f>
        <v>1</v>
      </c>
      <c r="Z3392" t="str">
        <v>=</v>
      </c>
      <c r="AA3392">
        <f>IF(AA3395=0,(D3392*N3392+P3392*R3392)*U3392*Y3392,0)</f>
        <v>11.297041920000002</v>
      </c>
    </row>
    <row r="3393">
      <c r="A3393" t="str">
        <f>A3385</f>
        <v>Lantai 2</v>
      </c>
      <c r="B3393">
        <f>B3385</f>
        <v>26</v>
      </c>
      <c r="C3393" t="str">
        <v>Tul Atas Lapangan</v>
      </c>
      <c r="D3393">
        <f>VLOOKUP(D3385,'Detail Balok'!$C$10:$AU$140,7,FALSE)</f>
        <v>3</v>
      </c>
      <c r="E3393" t="str">
        <v>D</v>
      </c>
      <c r="F3393">
        <f>VLOOKUP(D3385,'Detail Balok'!$C$10:$AU$140,9,FALSE)</f>
        <v>16</v>
      </c>
      <c r="I3393" t="str">
        <v>(</v>
      </c>
      <c r="J3393">
        <f>+D3387/2/1000</f>
        <v>3.075</v>
      </c>
      <c r="K3393" t="str">
        <v>+</v>
      </c>
      <c r="M3393" t="str">
        <v>=</v>
      </c>
      <c r="N3393">
        <f>J3393+L3393</f>
        <v>3.075</v>
      </c>
      <c r="O3393" t="str">
        <v>+</v>
      </c>
      <c r="P3393">
        <f>MAX(D3393-D3392,D3393-D3394)</f>
        <v>-1</v>
      </c>
      <c r="Q3393" t="str">
        <v>x</v>
      </c>
      <c r="R3393">
        <f>IF(P3393&gt;0,2*(1-2*$F$19-1/2)*D3388/1000,0)</f>
        <v>0</v>
      </c>
      <c r="S3393" t="str">
        <v>)</v>
      </c>
      <c r="T3393" t="str">
        <v>x</v>
      </c>
      <c r="U3393">
        <f>0.006165*F3393^2</f>
        <v>1.57824</v>
      </c>
      <c r="X3393" t="str">
        <v>x</v>
      </c>
      <c r="Y3393">
        <f>D3391</f>
        <v>1</v>
      </c>
      <c r="Z3393" t="str">
        <v>=</v>
      </c>
      <c r="AA3393">
        <f>IF(AA3395=0,(D3393*N3393+P3393*R3393)*U3393*Y3393,0)</f>
        <v>14.559264000000002</v>
      </c>
    </row>
    <row r="3394">
      <c r="A3394" t="str">
        <f>A3385</f>
        <v>Lantai 2</v>
      </c>
      <c r="B3394">
        <f>B3385</f>
        <v>26</v>
      </c>
      <c r="C3394" t="str">
        <v>Tul Atas Tumpuan</v>
      </c>
      <c r="D3394">
        <f>VLOOKUP(D3385,'Detail Balok'!$C$10:$AU$140,10,FALSE)</f>
        <v>4</v>
      </c>
      <c r="E3394" t="str">
        <v>D</v>
      </c>
      <c r="F3394">
        <f>VLOOKUP(D3385,'Detail Balok'!$C$10:$AU$140,12,FALSE)</f>
        <v>16</v>
      </c>
      <c r="I3394" t="str">
        <v>(</v>
      </c>
      <c r="J3394">
        <f>+D3387/4/1000</f>
        <v>1.5375</v>
      </c>
      <c r="K3394" t="str">
        <v>+</v>
      </c>
      <c r="L3394">
        <f>MAX(VLOOKUP(F3394,N$6:P$15,3,FALSE)/1000,2/3*D3389/1000)+F$16*F3394/1000</f>
        <v>0.192</v>
      </c>
      <c r="M3394" t="str">
        <v>=</v>
      </c>
      <c r="N3394">
        <f>J3394+L3394</f>
        <v>1.7295</v>
      </c>
      <c r="O3394" t="str">
        <v>+</v>
      </c>
      <c r="P3394">
        <f>D3394-D3393</f>
        <v>1</v>
      </c>
      <c r="Q3394" t="str">
        <v>x</v>
      </c>
      <c r="R3394">
        <f>IF(P3394&gt;0,$F$18*F3394/1000,0)</f>
        <v>0.24</v>
      </c>
      <c r="S3394" t="str">
        <v>)</v>
      </c>
      <c r="T3394" t="str">
        <v>x</v>
      </c>
      <c r="U3394">
        <f>0.006165*F3394^2</f>
        <v>1.57824</v>
      </c>
      <c r="X3394" t="str">
        <v>x</v>
      </c>
      <c r="Y3394">
        <f>D3391</f>
        <v>1</v>
      </c>
      <c r="Z3394" t="str">
        <v>=</v>
      </c>
      <c r="AA3394">
        <f>IF(AA3395=0,(D3394*N3394+P3394*R3394)*U3394*Y3394,0)</f>
        <v>11.297041920000002</v>
      </c>
    </row>
    <row r="3395">
      <c r="A3395" t="str">
        <f>A3385</f>
        <v>Lantai 2</v>
      </c>
      <c r="B3395">
        <f>B3385</f>
        <v>26</v>
      </c>
      <c r="D3395">
        <f>IF(AND(D3392=D3393,D3393=D3394,D3392=D3394),D3392,0)</f>
        <v>0</v>
      </c>
      <c r="E3395" t="str">
        <v>D</v>
      </c>
      <c r="F3395">
        <f>IF(AND(F3392=F3393,F3392=F3394,F3393=F3394),F3392,0)</f>
        <v>16</v>
      </c>
      <c r="L3395" t="str">
        <v>Total panjang per balok</v>
      </c>
      <c r="M3395" t="str">
        <v>=</v>
      </c>
      <c r="N3395">
        <f>IF(AND(D3392=D3393,D3392=D3394,D3393=D3394,F3392=F3393,F3392=F3394,F3393=F3394),SUM(N3392:N3394),0)</f>
        <v>0</v>
      </c>
      <c r="O3395" t="str">
        <v>+</v>
      </c>
      <c r="P3395">
        <f>IF(N3395&gt;12,ROUNDDOWN(N3395/12,0),0)</f>
        <v>0</v>
      </c>
      <c r="Q3395" t="str">
        <v>x</v>
      </c>
      <c r="R3395">
        <f>IF(P3395&gt;0,MAX(VLOOKUP(F3395,$D$6:$G$15,3,FALSE),600),0)/1000</f>
        <v>0</v>
      </c>
      <c r="T3395" t="str">
        <v>x</v>
      </c>
      <c r="U3395">
        <f>U3394</f>
        <v>1.57824</v>
      </c>
      <c r="V3395" t="str">
        <v>x</v>
      </c>
      <c r="W3395">
        <f>D3395</f>
        <v>0</v>
      </c>
      <c r="X3395" t="str">
        <v>x</v>
      </c>
      <c r="Y3395">
        <f>Y3394</f>
        <v>1</v>
      </c>
      <c r="Z3395" t="str">
        <v>=</v>
      </c>
      <c r="AA3395">
        <f>(N3395+P3395*R3395/1000)*U3395*W3395*Y3395</f>
        <v>0</v>
      </c>
    </row>
    <row r="3397">
      <c r="A3397" t="str">
        <f>A3385</f>
        <v>Lantai 2</v>
      </c>
      <c r="B3397">
        <f>B3385</f>
        <v>26</v>
      </c>
      <c r="C3397" t="str">
        <v>Tul Peminggang</v>
      </c>
      <c r="D3397">
        <f>VLOOKUP(D3385,'Detail Balok'!$C$10:$AU$140,13,FALSE)</f>
        <v>2</v>
      </c>
      <c r="E3397" t="str">
        <v>D</v>
      </c>
      <c r="F3397">
        <f>VLOOKUP(D3385,'Detail Balok'!$C$10:$AU$140,15,FALSE)</f>
        <v>10</v>
      </c>
      <c r="J3397">
        <f>+D3387/1000</f>
        <v>6.15</v>
      </c>
      <c r="K3397" t="str">
        <v>+</v>
      </c>
      <c r="L3397">
        <f>2*$F$16*F3397/1000</f>
        <v>0.24</v>
      </c>
      <c r="M3397" t="str">
        <v>=</v>
      </c>
      <c r="N3397">
        <f>J3397+L3397</f>
        <v>6.390000000000001</v>
      </c>
      <c r="O3397" t="str">
        <v>+</v>
      </c>
      <c r="P3397">
        <f>IF(N3397&gt;12,ROUNDDOWN(N3397/12,0),0)</f>
        <v>0</v>
      </c>
      <c r="Q3397" t="str">
        <v>x</v>
      </c>
      <c r="R3397">
        <f>IF(P3397&gt;0,MAX(VLOOKUP(F3397,$D$6:$G$15,3,FALSE),600),0)/1000</f>
        <v>0</v>
      </c>
      <c r="T3397" t="str">
        <v>x</v>
      </c>
      <c r="U3397">
        <f>0.006165*F3397^2</f>
        <v>0.6165</v>
      </c>
      <c r="V3397" t="str">
        <v>x</v>
      </c>
      <c r="W3397">
        <f>+D3397</f>
        <v>2</v>
      </c>
      <c r="X3397" t="str">
        <v>x</v>
      </c>
      <c r="Y3397">
        <f>D3391</f>
        <v>1</v>
      </c>
      <c r="Z3397" t="str">
        <v>=</v>
      </c>
      <c r="AA3397">
        <f>(N3397+P3397*R3397/1000)*U3397*W3397*Y3397</f>
        <v>7.878870000000001</v>
      </c>
    </row>
    <row r="3400">
      <c r="A3400" t="str">
        <f>A3385</f>
        <v>Lantai 2</v>
      </c>
      <c r="B3400">
        <f>B3385</f>
        <v>26</v>
      </c>
      <c r="C3400" t="str">
        <v>Tul Bawah Tumpuan</v>
      </c>
      <c r="D3400">
        <f>VLOOKUP(D3385,'Detail Balok'!$C$10:$AU$140,22,FALSE)</f>
        <v>3</v>
      </c>
      <c r="E3400" t="str">
        <v>D</v>
      </c>
      <c r="F3400">
        <f>VLOOKUP(D3385,'Detail Balok'!$C$10:$AU$140,24,FALSE)</f>
        <v>16</v>
      </c>
      <c r="I3400" t="str">
        <v>(</v>
      </c>
      <c r="J3400">
        <f>+J3392</f>
        <v>1.5375</v>
      </c>
      <c r="K3400" t="str">
        <v>+</v>
      </c>
      <c r="L3400">
        <f>MAX(VLOOKUP(F3400,N$6:P$15,3,FALSE)/1000,2/3*D3390/1000)+F$16*F3400/1000</f>
        <v>0.192</v>
      </c>
      <c r="M3400" t="str">
        <v>=</v>
      </c>
      <c r="N3400">
        <f>J3400+L3400</f>
        <v>1.7295</v>
      </c>
      <c r="O3400" t="str">
        <v>+</v>
      </c>
      <c r="P3400">
        <f>D3400-D3401</f>
        <v>-1</v>
      </c>
      <c r="Q3400" t="str">
        <v>x</v>
      </c>
      <c r="R3400">
        <f>IF(P3400&gt;0,$F$18*F3400/1000,0)</f>
        <v>0</v>
      </c>
      <c r="S3400" t="str">
        <v>)</v>
      </c>
      <c r="T3400" t="str">
        <v>x</v>
      </c>
      <c r="U3400">
        <f>0.006165*F3400^2</f>
        <v>1.57824</v>
      </c>
      <c r="X3400" t="str">
        <v>x</v>
      </c>
      <c r="Y3400">
        <f>D3391</f>
        <v>1</v>
      </c>
      <c r="Z3400" t="str">
        <v>=</v>
      </c>
      <c r="AA3400">
        <f>IF(AA3403=0,(D3400*N3400+P3400*R3400)*U3400*Y3400,0)</f>
        <v>8.18869824</v>
      </c>
    </row>
    <row r="3401">
      <c r="A3401" t="str">
        <f>A3385</f>
        <v>Lantai 2</v>
      </c>
      <c r="B3401">
        <f>B3385</f>
        <v>26</v>
      </c>
      <c r="C3401" t="str">
        <v>Tul Bawah Lapangan</v>
      </c>
      <c r="D3401">
        <f>VLOOKUP(D3385,'Detail Balok'!$C$10:$AU$140,25,FALSE)</f>
        <v>4</v>
      </c>
      <c r="E3401" t="str">
        <v>D</v>
      </c>
      <c r="F3401">
        <f>VLOOKUP(D3385,'Detail Balok'!$C$10:$AU$140,27,FALSE)</f>
        <v>16</v>
      </c>
      <c r="I3401" t="str">
        <v>(</v>
      </c>
      <c r="J3401">
        <f>+J3393</f>
        <v>3.075</v>
      </c>
      <c r="K3401" t="str">
        <v>+</v>
      </c>
      <c r="M3401" t="str">
        <v>=</v>
      </c>
      <c r="N3401">
        <f>J3401+L3401</f>
        <v>3.075</v>
      </c>
      <c r="O3401" t="str">
        <v>+</v>
      </c>
      <c r="P3401">
        <f>MAX(D3401-D3400,D3401-D3402)</f>
        <v>1</v>
      </c>
      <c r="Q3401" t="str">
        <v>x</v>
      </c>
      <c r="R3401">
        <f>IF(P3401&gt;0,2*(1-2*$F$19-1/2)*D3388/1000,0)</f>
        <v>1.2299999999999998</v>
      </c>
      <c r="S3401" t="str">
        <v>)</v>
      </c>
      <c r="T3401" t="str">
        <v>x</v>
      </c>
      <c r="U3401">
        <f>0.006165*F3401^2</f>
        <v>1.57824</v>
      </c>
      <c r="X3401" t="str">
        <v>x</v>
      </c>
      <c r="Y3401">
        <f>D3391</f>
        <v>1</v>
      </c>
      <c r="Z3401" t="str">
        <v>=</v>
      </c>
      <c r="AA3401">
        <f>IF(AA3403=0,(D3401*N3401+P3401*R3401)*U3401*Y3401,0)</f>
        <v>21.353587200000003</v>
      </c>
    </row>
    <row r="3402">
      <c r="A3402" t="str">
        <f>A3385</f>
        <v>Lantai 2</v>
      </c>
      <c r="B3402">
        <f>B3385</f>
        <v>26</v>
      </c>
      <c r="C3402" t="str">
        <v>Tul Bawah Tumpuan</v>
      </c>
      <c r="D3402">
        <f>VLOOKUP(D3385,'Detail Balok'!$C$10:$AU$140,28,FALSE)</f>
        <v>3</v>
      </c>
      <c r="E3402" t="str">
        <v>D</v>
      </c>
      <c r="F3402">
        <f>VLOOKUP(D3385,'Detail Balok'!$C$10:$AU$140,30,FALSE)</f>
        <v>16</v>
      </c>
      <c r="I3402" t="str">
        <v>(</v>
      </c>
      <c r="J3402">
        <f>+J3394</f>
        <v>1.5375</v>
      </c>
      <c r="K3402" t="str">
        <v>+</v>
      </c>
      <c r="L3402">
        <f>MAX(VLOOKUP(F3402,N$6:P$15,3,FALSE)/1000,2/3*D3390/1000)+F$16*F3402/1000</f>
        <v>0.192</v>
      </c>
      <c r="M3402" t="str">
        <v>=</v>
      </c>
      <c r="N3402">
        <f>J3402+L3402</f>
        <v>1.7295</v>
      </c>
      <c r="O3402" t="str">
        <v>+</v>
      </c>
      <c r="P3402">
        <f>D3402-D3401</f>
        <v>-1</v>
      </c>
      <c r="Q3402" t="str">
        <v>x</v>
      </c>
      <c r="R3402">
        <f>IF(P3402&gt;0,$F$18*F3402/1000,0)</f>
        <v>0</v>
      </c>
      <c r="S3402" t="str">
        <v>)</v>
      </c>
      <c r="T3402" t="str">
        <v>x</v>
      </c>
      <c r="U3402">
        <f>0.006165*F3402^2</f>
        <v>1.57824</v>
      </c>
      <c r="X3402" t="str">
        <v>x</v>
      </c>
      <c r="Y3402">
        <f>D3391</f>
        <v>1</v>
      </c>
      <c r="Z3402" t="str">
        <v>=</v>
      </c>
      <c r="AA3402">
        <f>IF(AA3403=0,(D3402*N3402+P3402*R3402)*U3402*Y3402,0)</f>
        <v>8.18869824</v>
      </c>
    </row>
    <row r="3403">
      <c r="A3403" t="str">
        <f>A3385</f>
        <v>Lantai 2</v>
      </c>
      <c r="B3403">
        <f>B3385</f>
        <v>26</v>
      </c>
      <c r="D3403">
        <f>IF(AND(D3400=D3401,D3401=D3402,D3400=D3402),D3400,0)</f>
        <v>0</v>
      </c>
      <c r="E3403" t="str">
        <v>D</v>
      </c>
      <c r="F3403">
        <f>IF(AND(F3400=F3401,F3400=F3402,F3401=F3402),F3400,0)</f>
        <v>16</v>
      </c>
      <c r="L3403" t="str">
        <v>Total panjang per balok</v>
      </c>
      <c r="M3403" t="str">
        <v>=</v>
      </c>
      <c r="N3403">
        <f>IF(AND(D3400=D3401,D3400=D3402,D3401=D3402,F3400=F3401,F3400=F3402,F3401=F3402),SUM(N3400:N3402),0)</f>
        <v>0</v>
      </c>
      <c r="O3403" t="str">
        <v>+</v>
      </c>
      <c r="P3403">
        <f>IF(N3403&gt;12,ROUNDDOWN(N3403/12,0),0)</f>
        <v>0</v>
      </c>
      <c r="Q3403" t="str">
        <v>x</v>
      </c>
      <c r="R3403">
        <f>IF(P3403&gt;0,MAX(VLOOKUP(F3403,$D$6:$G$15,3,FALSE),600),0)/1000</f>
        <v>0</v>
      </c>
      <c r="T3403" t="str">
        <v>x</v>
      </c>
      <c r="U3403">
        <f>U3402</f>
        <v>1.57824</v>
      </c>
      <c r="V3403" t="str">
        <v>x</v>
      </c>
      <c r="W3403">
        <f>D3403</f>
        <v>0</v>
      </c>
      <c r="X3403" t="str">
        <v>x</v>
      </c>
      <c r="Y3403">
        <f>Y3402</f>
        <v>1</v>
      </c>
      <c r="Z3403" t="str">
        <v>=</v>
      </c>
      <c r="AA3403">
        <f>(N3403+P3403*R3403/1000)*U3403*W3403*Y3403</f>
        <v>0</v>
      </c>
    </row>
    <row r="3405">
      <c r="A3405" t="str">
        <f>A3385</f>
        <v>Lantai 2</v>
      </c>
      <c r="B3405">
        <f>B3385</f>
        <v>26</v>
      </c>
      <c r="C3405" t="str">
        <v>Sengkang Tumpuan</v>
      </c>
      <c r="D3405">
        <f>VLOOKUP(D3385,'Detail Balok'!$C$10:$AU$140,31,FALSE)</f>
        <v>0</v>
      </c>
      <c r="E3405" t="str">
        <v>D</v>
      </c>
      <c r="F3405">
        <f>VLOOKUP(D3385,'Detail Balok'!$C$10:$AU$140,33,FALSE)</f>
        <v>10</v>
      </c>
      <c r="G3405" t="str">
        <v>-</v>
      </c>
      <c r="H3405">
        <f>VLOOKUP(D3385,'Detail Balok'!$C$10:$AU$140,35,FALSE)</f>
        <v>100</v>
      </c>
      <c r="J3405">
        <f>(IF(D3405=0,(2*(D3386+G3386))-(F$5*8),IF(D3405=3,(2*(D3386+G3386))-(F$5*8)+(G3386-2*F$5),IF(D3405=4,(2*(D3386+G3386))-(F$5*8)+2*(G3386-2*F$5)))))/1000</f>
        <v>1.28</v>
      </c>
      <c r="K3405" t="str">
        <v>+</v>
      </c>
      <c r="L3405">
        <f>IF(D3405=0,2*MAX(6*F3405,75),(D3405-1)*2*MAX(6*F3405,75))/1000</f>
        <v>0.15</v>
      </c>
      <c r="M3405" t="str">
        <v>=</v>
      </c>
      <c r="N3405">
        <f>J3405+L3405</f>
        <v>1.43</v>
      </c>
      <c r="T3405" t="str">
        <v>x</v>
      </c>
      <c r="U3405">
        <f>0.006165*F3405^2</f>
        <v>0.6165</v>
      </c>
      <c r="V3405" t="str">
        <v>x</v>
      </c>
      <c r="W3405">
        <f>IF(D3388&gt;4*G3386,ROUND(MAX(D3388/4,2*G3386)/H3405,0)+1,ROUND(D3388/H3405,0)+1)</f>
        <v>16</v>
      </c>
      <c r="X3405" t="str">
        <v>x</v>
      </c>
      <c r="Y3405">
        <f>D3391</f>
        <v>1</v>
      </c>
      <c r="Z3405" t="str">
        <v>=</v>
      </c>
      <c r="AA3405">
        <f>N3405*U3405*W3405*Y3405</f>
        <v>14.10552</v>
      </c>
    </row>
    <row r="3406">
      <c r="A3406" t="str">
        <f>A3385</f>
        <v>Lantai 2</v>
      </c>
      <c r="B3406">
        <f>B3385</f>
        <v>26</v>
      </c>
      <c r="C3406" t="str">
        <v>Sengkang Lapangan</v>
      </c>
      <c r="D3406">
        <f>VLOOKUP(D3385,'Detail Balok'!$C$10:$AU$140,36,FALSE)</f>
        <v>0</v>
      </c>
      <c r="E3406" t="str">
        <v>D</v>
      </c>
      <c r="F3406">
        <f>VLOOKUP(D3385,'Detail Balok'!$C$10:$AU$140,38,FALSE)</f>
        <v>10</v>
      </c>
      <c r="G3406" t="str">
        <v>-</v>
      </c>
      <c r="H3406">
        <f>VLOOKUP(D3385,'Detail Balok'!$C$10:$AU$140,40,FALSE)</f>
        <v>150</v>
      </c>
      <c r="J3406">
        <f>(IF(D3406=0,(2*(D3386+G3386))-(F$5*8),IF(D3406=3,(2*(D3386+G3386))-(F$5*8)+(G3386-2*F$5),IF(D3406=4,(2*(D3386+G3386))-(F$5*8)+2*(G3386-2*F$5)))))/1000</f>
        <v>1.28</v>
      </c>
      <c r="K3406" t="str">
        <v>+</v>
      </c>
      <c r="L3406">
        <f>IF(D3406=0,2*MAX(6*F3406,75),(D3406-1)*2*MAX(6*F3406,75))/1000</f>
        <v>0.15</v>
      </c>
      <c r="M3406" t="str">
        <v>=</v>
      </c>
      <c r="N3406">
        <f>J3406+L3406</f>
        <v>1.43</v>
      </c>
      <c r="T3406" t="str">
        <v>x</v>
      </c>
      <c r="U3406">
        <f>0.006165*F3406^2</f>
        <v>0.6165</v>
      </c>
      <c r="V3406" t="str">
        <v>x</v>
      </c>
      <c r="W3406">
        <f>IF(D3388-MAX(D3388/4,2*G3386)*2&gt;0,ROUND((D3388-MAX(D3388/4,2*G3386)*2)/H3406,0),0)</f>
        <v>21</v>
      </c>
      <c r="X3406" t="str">
        <v>x</v>
      </c>
      <c r="Y3406">
        <f>D3391</f>
        <v>1</v>
      </c>
      <c r="Z3406" t="str">
        <v>=</v>
      </c>
      <c r="AA3406">
        <f>N3406*U3406*W3406*Y3406</f>
        <v>18.513495</v>
      </c>
    </row>
    <row r="3407">
      <c r="A3407" t="str">
        <f>A3385</f>
        <v>Lantai 2</v>
      </c>
      <c r="B3407">
        <f>B3385</f>
        <v>26</v>
      </c>
      <c r="C3407" t="str">
        <v>Sengkang Tumpuan</v>
      </c>
      <c r="D3407">
        <f>VLOOKUP(D3385,'Detail Balok'!$C$10:$AU$140,41,FALSE)</f>
        <v>0</v>
      </c>
      <c r="E3407" t="str">
        <v>D</v>
      </c>
      <c r="F3407">
        <f>VLOOKUP(D3385,'Detail Balok'!$C$10:$AU$140,43,FALSE)</f>
        <v>10</v>
      </c>
      <c r="G3407" t="str">
        <v>-</v>
      </c>
      <c r="H3407">
        <f>VLOOKUP(D3385,'Detail Balok'!$C$10:$AU$140,45,FALSE)</f>
        <v>100</v>
      </c>
      <c r="J3407">
        <f>(IF(D3407=0,(2*(D3386+G3386))-(F$5*8),IF(D3407=3,(2*(D3386+G3386))-(F$5*8)+(G3386-2*F$5),IF(D3407=4,(2*(D3386+G3386))-(F$5*8)+2*(G3386-2*F$5)))))/1000</f>
        <v>1.28</v>
      </c>
      <c r="K3407" t="str">
        <v>+</v>
      </c>
      <c r="L3407">
        <f>IF(D3407=0,2*MAX(6*F3407,75),(D3407-1)*2*MAX(6*F3407,75))/1000</f>
        <v>0.15</v>
      </c>
      <c r="M3407" t="str">
        <v>=</v>
      </c>
      <c r="N3407">
        <f>J3407+L3407</f>
        <v>1.43</v>
      </c>
      <c r="T3407" t="str">
        <v>x</v>
      </c>
      <c r="U3407">
        <f>0.006165*F3407^2</f>
        <v>0.6165</v>
      </c>
      <c r="V3407" t="str">
        <v>x</v>
      </c>
      <c r="W3407">
        <f>IF(D3388&gt;4*G3386,ROUND(MAX(D3388/4,2*G3386)/H3407,0)+1,0)</f>
        <v>16</v>
      </c>
      <c r="X3407" t="str">
        <v>x</v>
      </c>
      <c r="Y3407">
        <f>D3391</f>
        <v>1</v>
      </c>
      <c r="Z3407" t="str">
        <v>=</v>
      </c>
      <c r="AA3407">
        <f>N3407*U3407*W3407*Y3407</f>
        <v>14.10552</v>
      </c>
    </row>
    <row r="3409">
      <c r="A3409" t="str">
        <f>A3385</f>
        <v>Lantai 2</v>
      </c>
      <c r="B3409">
        <f>B3385</f>
        <v>26</v>
      </c>
      <c r="C3409" t="str">
        <v>Kait Horizontal Tump.</v>
      </c>
      <c r="D3409">
        <f>VLOOKUP(D3385,'Detail Balok'!$C$10:$BJ$140,46,FALSE)</f>
        <v>0</v>
      </c>
      <c r="E3409" t="str">
        <v>D</v>
      </c>
      <c r="F3409">
        <f>VLOOKUP(D3385,'Detail Balok'!$C$10:$BJ$140,48,FALSE)</f>
        <v>0</v>
      </c>
      <c r="G3409" t="str">
        <v>-</v>
      </c>
      <c r="H3409">
        <f>VLOOKUP(D3385,'Detail Balok'!$C$10:$BJ$140,50,FALSE)</f>
        <v>100</v>
      </c>
      <c r="J3409">
        <f>(D3386-2*F$5)/1000</f>
        <v>0.12</v>
      </c>
      <c r="K3409" t="str">
        <v>+</v>
      </c>
      <c r="L3409">
        <f>IF(D3409=0,2*MAX(6*F3409,75),(D3409-1)*2*MAX(6*F3409,75))/1000</f>
        <v>0.15</v>
      </c>
      <c r="M3409" t="str">
        <v>=</v>
      </c>
      <c r="N3409">
        <f>J3409+L3409</f>
        <v>0.27</v>
      </c>
      <c r="T3409" t="str">
        <v>x</v>
      </c>
      <c r="U3409">
        <f>0.006165*F3409^2</f>
        <v>0</v>
      </c>
      <c r="V3409" t="str">
        <v>x</v>
      </c>
      <c r="W3409">
        <f>W3405</f>
        <v>16</v>
      </c>
      <c r="X3409" t="str">
        <v>x</v>
      </c>
      <c r="Y3409">
        <f>D3395</f>
        <v>0</v>
      </c>
      <c r="Z3409" t="str">
        <v>=</v>
      </c>
      <c r="AA3409">
        <f>N3409*U3409*W3409*Y3409</f>
        <v>0</v>
      </c>
    </row>
    <row r="3410">
      <c r="A3410" t="str">
        <f>A3385</f>
        <v>Lantai 2</v>
      </c>
      <c r="B3410">
        <f>B3385</f>
        <v>26</v>
      </c>
      <c r="C3410" t="str">
        <v>Kait Horizontal Lap.</v>
      </c>
      <c r="D3410">
        <f>VLOOKUP(D3385,'Detail Balok'!$C$10:$BJ$140,51,FALSE)</f>
        <v>0</v>
      </c>
      <c r="E3410" t="str">
        <v>D</v>
      </c>
      <c r="F3410">
        <f>VLOOKUP(D3385,'Detail Balok'!$C$10:$BJ$140,53,FALSE)</f>
        <v>0</v>
      </c>
      <c r="G3410" t="str">
        <v>-</v>
      </c>
      <c r="H3410">
        <f>VLOOKUP(D3385,'Detail Balok'!$C$10:$BJ$140,55,FALSE)</f>
        <v>100</v>
      </c>
      <c r="J3410">
        <f>(D3386-2*F$5)/1000</f>
        <v>0.12</v>
      </c>
      <c r="K3410" t="str">
        <v>+</v>
      </c>
      <c r="L3410">
        <f>IF(D3410=0,2*MAX(6*F3410,75),(D3410-1)*2*MAX(6*F3410,75))/1000</f>
        <v>0.15</v>
      </c>
      <c r="M3410" t="str">
        <v>=</v>
      </c>
      <c r="N3410">
        <f>J3410+L3410</f>
        <v>0.27</v>
      </c>
      <c r="T3410" t="str">
        <v>x</v>
      </c>
      <c r="U3410">
        <f>0.006165*F3410^2</f>
        <v>0</v>
      </c>
      <c r="V3410" t="str">
        <v>x</v>
      </c>
      <c r="W3410">
        <f>W3406</f>
        <v>21</v>
      </c>
      <c r="X3410" t="str">
        <v>x</v>
      </c>
      <c r="Y3410">
        <f>D3395</f>
        <v>0</v>
      </c>
      <c r="Z3410" t="str">
        <v>=</v>
      </c>
      <c r="AA3410">
        <f>N3410*U3410*W3410*Y3410</f>
        <v>0</v>
      </c>
    </row>
    <row r="3411">
      <c r="A3411" t="str">
        <f>A3385</f>
        <v>Lantai 2</v>
      </c>
      <c r="B3411">
        <f>B3385</f>
        <v>26</v>
      </c>
      <c r="C3411" t="str">
        <v>Kait Horizontal Tump.</v>
      </c>
      <c r="D3411">
        <f>VLOOKUP(D3385,'Detail Balok'!$C$10:$BJ$140,56,FALSE)</f>
        <v>0</v>
      </c>
      <c r="E3411" t="str">
        <v>D</v>
      </c>
      <c r="F3411">
        <f>VLOOKUP(D3385,'Detail Balok'!$C$10:$BJ$140,58,FALSE)</f>
        <v>0</v>
      </c>
      <c r="G3411" t="str">
        <v>-</v>
      </c>
      <c r="H3411">
        <f>VLOOKUP(D3385,'Detail Balok'!$C$10:$BJ$140,60,FALSE)</f>
        <v>100</v>
      </c>
      <c r="J3411">
        <f>(D3386-2*F$5)/1000</f>
        <v>0.12</v>
      </c>
      <c r="K3411" t="str">
        <v>+</v>
      </c>
      <c r="L3411">
        <f>IF(D3411=0,2*MAX(6*F3411,75),(D3411-1)*2*MAX(6*F3411,75))/1000</f>
        <v>0.15</v>
      </c>
      <c r="M3411" t="str">
        <v>=</v>
      </c>
      <c r="N3411">
        <f>J3411+L3411</f>
        <v>0.27</v>
      </c>
      <c r="T3411" t="str">
        <v>x</v>
      </c>
      <c r="U3411">
        <f>0.006165*F3411^2</f>
        <v>0</v>
      </c>
      <c r="V3411" t="str">
        <v>x</v>
      </c>
      <c r="W3411">
        <f>W3407</f>
        <v>16</v>
      </c>
      <c r="X3411" t="str">
        <v>x</v>
      </c>
      <c r="Y3411">
        <f>D3395</f>
        <v>0</v>
      </c>
      <c r="Z3411" t="str">
        <v>=</v>
      </c>
      <c r="AA3411">
        <f>N3411*U3411*W3411*Y3411</f>
        <v>0</v>
      </c>
    </row>
    <row r="3415">
      <c r="A3415" t="str">
        <f>A3385</f>
        <v>Lantai 2</v>
      </c>
      <c r="B3415">
        <f>B3385+1</f>
        <v>27</v>
      </c>
      <c r="C3415" t="str">
        <f>CONCATENATE(A3415," no. ",B3415)</f>
        <v>Lantai 2 no. 27</v>
      </c>
      <c r="D3415" t="str">
        <f>VLOOKUP(C3415,'Data Panjang Balok'!$C$9:$N$254,2,FALSE)</f>
        <v>B24-1</v>
      </c>
    </row>
    <row r="3416">
      <c r="C3416" t="str">
        <v>Dimensi</v>
      </c>
      <c r="D3416">
        <f>VLOOKUP(D3415,'Detail Balok'!$C$10:$AU$140,2,FALSE)</f>
        <v>200</v>
      </c>
      <c r="F3416" t="str">
        <v>x</v>
      </c>
      <c r="G3416">
        <f>VLOOKUP(D3415,'Detail Balok'!$C$10:$AU$140,3,FALSE)</f>
        <v>400</v>
      </c>
    </row>
    <row r="3417">
      <c r="C3417" t="str">
        <v>Panjang as ke as</v>
      </c>
      <c r="D3417">
        <f>VLOOKUP(C3415,'Data Panjang Balok'!$C$9:$N$254,4,FALSE)</f>
        <v>5050</v>
      </c>
    </row>
    <row r="3418">
      <c r="C3418" t="str">
        <v>Panjang netto</v>
      </c>
      <c r="D3418">
        <f>VLOOKUP(C3415,'Data Panjang Balok'!$C$9:$N$254,7,FALSE)</f>
        <v>5050</v>
      </c>
    </row>
    <row r="3419">
      <c r="C3419" t="str">
        <v>Kolom / balok kiri</v>
      </c>
      <c r="D3419">
        <f>VLOOKUP(C3415,'Data Panjang Balok'!$C$9:$N$254,9,FALSE)</f>
        <v>0</v>
      </c>
    </row>
    <row r="3420">
      <c r="C3420" t="str">
        <v>Kolom / balok kanan</v>
      </c>
      <c r="D3420">
        <f>VLOOKUP(C3415,'Data Panjang Balok'!$C$9:$N$254,10,FALSE)</f>
        <v>0</v>
      </c>
    </row>
    <row r="3421">
      <c r="C3421" t="str">
        <v>Jumlah</v>
      </c>
      <c r="D3421">
        <f>VLOOKUP(C3415,'Data Panjang Balok'!$C$9:$N$254,3,FALSE)</f>
        <v>1</v>
      </c>
    </row>
    <row r="3422">
      <c r="A3422" t="str">
        <f>A3415</f>
        <v>Lantai 2</v>
      </c>
      <c r="B3422">
        <f>B3415</f>
        <v>27</v>
      </c>
      <c r="C3422" t="str">
        <v>Tul Atas Tumpuan</v>
      </c>
      <c r="D3422">
        <f>VLOOKUP(D3415,'Detail Balok'!$C$10:$AU$140,4,FALSE)</f>
        <v>3</v>
      </c>
      <c r="E3422" t="str">
        <v>D</v>
      </c>
      <c r="F3422">
        <f>VLOOKUP(D3415,'Detail Balok'!$C$10:$AU$140,6,FALSE)</f>
        <v>13</v>
      </c>
      <c r="I3422" t="str">
        <v>(</v>
      </c>
      <c r="J3422">
        <f>+D3417/4/1000</f>
        <v>1.2625</v>
      </c>
      <c r="K3422" t="str">
        <v>+</v>
      </c>
      <c r="L3422">
        <f>MAX(VLOOKUP(F3422,N$6:P$15,3,FALSE)/1000,2/3*D3419/1000)+F$16*F3422/1000</f>
        <v>0.156</v>
      </c>
      <c r="M3422" t="str">
        <v>=</v>
      </c>
      <c r="N3422">
        <f>J3422+L3422</f>
        <v>1.4184999999999999</v>
      </c>
      <c r="O3422" t="str">
        <v>+</v>
      </c>
      <c r="P3422">
        <f>D3422-D3423</f>
        <v>0</v>
      </c>
      <c r="Q3422" t="str">
        <v>x</v>
      </c>
      <c r="R3422">
        <f>IF(P3422&gt;0,$F$18*F3422/1000,0)</f>
        <v>0</v>
      </c>
      <c r="S3422" t="str">
        <v>)</v>
      </c>
      <c r="T3422" t="str">
        <v>x</v>
      </c>
      <c r="U3422">
        <f>0.006165*F3422^2</f>
        <v>1.041885</v>
      </c>
      <c r="X3422" t="str">
        <v>x</v>
      </c>
      <c r="Y3422">
        <f>D3421</f>
        <v>1</v>
      </c>
      <c r="Z3422" t="str">
        <v>=</v>
      </c>
      <c r="AA3422">
        <f>IF(AA3425=0,(D3422*N3422+P3422*R3422)*U3422*Y3422,0)</f>
        <v>0</v>
      </c>
    </row>
    <row r="3423">
      <c r="A3423" t="str">
        <f>A3415</f>
        <v>Lantai 2</v>
      </c>
      <c r="B3423">
        <f>B3415</f>
        <v>27</v>
      </c>
      <c r="C3423" t="str">
        <v>Tul Atas Lapangan</v>
      </c>
      <c r="D3423">
        <f>VLOOKUP(D3415,'Detail Balok'!$C$10:$AU$140,7,FALSE)</f>
        <v>3</v>
      </c>
      <c r="E3423" t="str">
        <v>D</v>
      </c>
      <c r="F3423">
        <f>VLOOKUP(D3415,'Detail Balok'!$C$10:$AU$140,9,FALSE)</f>
        <v>13</v>
      </c>
      <c r="I3423" t="str">
        <v>(</v>
      </c>
      <c r="J3423">
        <f>+D3417/2/1000</f>
        <v>2.525</v>
      </c>
      <c r="K3423" t="str">
        <v>+</v>
      </c>
      <c r="M3423" t="str">
        <v>=</v>
      </c>
      <c r="N3423">
        <f>J3423+L3423</f>
        <v>2.525</v>
      </c>
      <c r="O3423" t="str">
        <v>+</v>
      </c>
      <c r="P3423">
        <f>MAX(D3423-D3422,D3423-D3424)</f>
        <v>0</v>
      </c>
      <c r="Q3423" t="str">
        <v>x</v>
      </c>
      <c r="R3423">
        <f>IF(P3423&gt;0,2*(1-2*$F$19-1/2)*D3418/1000,0)</f>
        <v>0</v>
      </c>
      <c r="S3423" t="str">
        <v>)</v>
      </c>
      <c r="T3423" t="str">
        <v>x</v>
      </c>
      <c r="U3423">
        <f>0.006165*F3423^2</f>
        <v>1.041885</v>
      </c>
      <c r="X3423" t="str">
        <v>x</v>
      </c>
      <c r="Y3423">
        <f>D3421</f>
        <v>1</v>
      </c>
      <c r="Z3423" t="str">
        <v>=</v>
      </c>
      <c r="AA3423">
        <f>IF(AA3425=0,(D3423*N3423+P3423*R3423)*U3423*Y3423,0)</f>
        <v>0</v>
      </c>
    </row>
    <row r="3424">
      <c r="A3424" t="str">
        <f>A3415</f>
        <v>Lantai 2</v>
      </c>
      <c r="B3424">
        <f>B3415</f>
        <v>27</v>
      </c>
      <c r="C3424" t="str">
        <v>Tul Atas Tumpuan</v>
      </c>
      <c r="D3424">
        <f>VLOOKUP(D3415,'Detail Balok'!$C$10:$AU$140,10,FALSE)</f>
        <v>3</v>
      </c>
      <c r="E3424" t="str">
        <v>D</v>
      </c>
      <c r="F3424">
        <f>VLOOKUP(D3415,'Detail Balok'!$C$10:$AU$140,12,FALSE)</f>
        <v>13</v>
      </c>
      <c r="I3424" t="str">
        <v>(</v>
      </c>
      <c r="J3424">
        <f>+D3417/4/1000</f>
        <v>1.2625</v>
      </c>
      <c r="K3424" t="str">
        <v>+</v>
      </c>
      <c r="L3424">
        <f>MAX(VLOOKUP(F3424,N$6:P$15,3,FALSE)/1000,2/3*D3419/1000)+F$16*F3424/1000</f>
        <v>0.156</v>
      </c>
      <c r="M3424" t="str">
        <v>=</v>
      </c>
      <c r="N3424">
        <f>J3424+L3424</f>
        <v>1.4184999999999999</v>
      </c>
      <c r="O3424" t="str">
        <v>+</v>
      </c>
      <c r="P3424">
        <f>D3424-D3423</f>
        <v>0</v>
      </c>
      <c r="Q3424" t="str">
        <v>x</v>
      </c>
      <c r="R3424">
        <f>IF(P3424&gt;0,$F$18*F3424/1000,0)</f>
        <v>0</v>
      </c>
      <c r="S3424" t="str">
        <v>)</v>
      </c>
      <c r="T3424" t="str">
        <v>x</v>
      </c>
      <c r="U3424">
        <f>0.006165*F3424^2</f>
        <v>1.041885</v>
      </c>
      <c r="X3424" t="str">
        <v>x</v>
      </c>
      <c r="Y3424">
        <f>D3421</f>
        <v>1</v>
      </c>
      <c r="Z3424" t="str">
        <v>=</v>
      </c>
      <c r="AA3424">
        <f>IF(AA3425=0,(D3424*N3424+P3424*R3424)*U3424*Y3424,0)</f>
        <v>0</v>
      </c>
    </row>
    <row r="3425">
      <c r="A3425" t="str">
        <f>A3415</f>
        <v>Lantai 2</v>
      </c>
      <c r="B3425">
        <f>B3415</f>
        <v>27</v>
      </c>
      <c r="D3425">
        <f>IF(AND(D3422=D3423,D3423=D3424,D3422=D3424),D3422,0)</f>
        <v>3</v>
      </c>
      <c r="E3425" t="str">
        <v>D</v>
      </c>
      <c r="F3425">
        <f>IF(AND(F3422=F3423,F3422=F3424,F3423=F3424),F3422,0)</f>
        <v>13</v>
      </c>
      <c r="L3425" t="str">
        <v>Total panjang per balok</v>
      </c>
      <c r="M3425" t="str">
        <v>=</v>
      </c>
      <c r="N3425">
        <f>IF(AND(D3422=D3423,D3422=D3424,D3423=D3424,F3422=F3423,F3422=F3424,F3423=F3424),SUM(N3422:N3424),0)</f>
        <v>5.362</v>
      </c>
      <c r="O3425" t="str">
        <v>+</v>
      </c>
      <c r="P3425">
        <f>IF(N3425&gt;12,ROUNDDOWN(N3425/12,0),0)</f>
        <v>0</v>
      </c>
      <c r="Q3425" t="str">
        <v>x</v>
      </c>
      <c r="R3425">
        <f>IF(P3425&gt;0,MAX(VLOOKUP(F3425,$D$6:$G$15,3,FALSE),600),0)/1000</f>
        <v>0</v>
      </c>
      <c r="T3425" t="str">
        <v>x</v>
      </c>
      <c r="U3425">
        <f>U3424</f>
        <v>1.041885</v>
      </c>
      <c r="V3425" t="str">
        <v>x</v>
      </c>
      <c r="W3425">
        <f>D3425</f>
        <v>3</v>
      </c>
      <c r="X3425" t="str">
        <v>x</v>
      </c>
      <c r="Y3425">
        <f>Y3424</f>
        <v>1</v>
      </c>
      <c r="Z3425" t="str">
        <v>=</v>
      </c>
      <c r="AA3425">
        <f>(N3425+P3425*R3425/1000)*U3425*W3425*Y3425</f>
        <v>16.75976211</v>
      </c>
    </row>
    <row r="3427">
      <c r="A3427" t="str">
        <f>A3415</f>
        <v>Lantai 2</v>
      </c>
      <c r="B3427">
        <f>B3415</f>
        <v>27</v>
      </c>
      <c r="C3427" t="str">
        <v>Tul Peminggang</v>
      </c>
      <c r="D3427">
        <f>VLOOKUP(D3415,'Detail Balok'!$C$10:$AU$140,13,FALSE)</f>
        <v>0</v>
      </c>
      <c r="E3427" t="str">
        <v>D</v>
      </c>
      <c r="F3427">
        <f>VLOOKUP(D3415,'Detail Balok'!$C$10:$AU$140,15,FALSE)</f>
        <v>8</v>
      </c>
      <c r="J3427">
        <f>+D3417/1000</f>
        <v>5.05</v>
      </c>
      <c r="K3427" t="str">
        <v>+</v>
      </c>
      <c r="L3427">
        <f>2*$F$16*F3427/1000</f>
        <v>0.192</v>
      </c>
      <c r="M3427" t="str">
        <v>=</v>
      </c>
      <c r="N3427">
        <f>J3427+L3427</f>
        <v>5.242</v>
      </c>
      <c r="O3427" t="str">
        <v>+</v>
      </c>
      <c r="P3427">
        <f>IF(N3427&gt;12,ROUNDDOWN(N3427/12,0),0)</f>
        <v>0</v>
      </c>
      <c r="Q3427" t="str">
        <v>x</v>
      </c>
      <c r="R3427">
        <f>IF(P3427&gt;0,MAX(VLOOKUP(F3427,$D$6:$G$15,3,FALSE),600),0)/1000</f>
        <v>0</v>
      </c>
      <c r="T3427" t="str">
        <v>x</v>
      </c>
      <c r="U3427">
        <f>0.006165*F3427^2</f>
        <v>0.39456</v>
      </c>
      <c r="V3427" t="str">
        <v>x</v>
      </c>
      <c r="W3427">
        <f>+D3427</f>
        <v>0</v>
      </c>
      <c r="X3427" t="str">
        <v>x</v>
      </c>
      <c r="Y3427">
        <f>D3421</f>
        <v>1</v>
      </c>
      <c r="Z3427" t="str">
        <v>=</v>
      </c>
      <c r="AA3427">
        <f>(N3427+P3427*R3427/1000)*U3427*W3427*Y3427</f>
        <v>0</v>
      </c>
    </row>
    <row r="3430">
      <c r="A3430" t="str">
        <f>A3415</f>
        <v>Lantai 2</v>
      </c>
      <c r="B3430">
        <f>B3415</f>
        <v>27</v>
      </c>
      <c r="C3430" t="str">
        <v>Tul Bawah Tumpuan</v>
      </c>
      <c r="D3430">
        <f>VLOOKUP(D3415,'Detail Balok'!$C$10:$AU$140,22,FALSE)</f>
        <v>3</v>
      </c>
      <c r="E3430" t="str">
        <v>D</v>
      </c>
      <c r="F3430">
        <f>VLOOKUP(D3415,'Detail Balok'!$C$10:$AU$140,24,FALSE)</f>
        <v>13</v>
      </c>
      <c r="I3430" t="str">
        <v>(</v>
      </c>
      <c r="J3430">
        <f>+J3422</f>
        <v>1.2625</v>
      </c>
      <c r="K3430" t="str">
        <v>+</v>
      </c>
      <c r="L3430">
        <f>MAX(VLOOKUP(F3430,N$6:P$15,3,FALSE)/1000,2/3*D3420/1000)+F$16*F3430/1000</f>
        <v>0.156</v>
      </c>
      <c r="M3430" t="str">
        <v>=</v>
      </c>
      <c r="N3430">
        <f>J3430+L3430</f>
        <v>1.4184999999999999</v>
      </c>
      <c r="O3430" t="str">
        <v>+</v>
      </c>
      <c r="P3430">
        <f>D3430-D3431</f>
        <v>0</v>
      </c>
      <c r="Q3430" t="str">
        <v>x</v>
      </c>
      <c r="R3430">
        <f>IF(P3430&gt;0,$F$18*F3430/1000,0)</f>
        <v>0</v>
      </c>
      <c r="S3430" t="str">
        <v>)</v>
      </c>
      <c r="T3430" t="str">
        <v>x</v>
      </c>
      <c r="U3430">
        <f>0.006165*F3430^2</f>
        <v>1.041885</v>
      </c>
      <c r="X3430" t="str">
        <v>x</v>
      </c>
      <c r="Y3430">
        <f>D3421</f>
        <v>1</v>
      </c>
      <c r="Z3430" t="str">
        <v>=</v>
      </c>
      <c r="AA3430">
        <f>IF(AA3433=0,(D3430*N3430+P3430*R3430)*U3430*Y3430,0)</f>
        <v>0</v>
      </c>
    </row>
    <row r="3431">
      <c r="A3431" t="str">
        <f>A3415</f>
        <v>Lantai 2</v>
      </c>
      <c r="B3431">
        <f>B3415</f>
        <v>27</v>
      </c>
      <c r="C3431" t="str">
        <v>Tul Bawah Lapangan</v>
      </c>
      <c r="D3431">
        <f>VLOOKUP(D3415,'Detail Balok'!$C$10:$AU$140,25,FALSE)</f>
        <v>3</v>
      </c>
      <c r="E3431" t="str">
        <v>D</v>
      </c>
      <c r="F3431">
        <f>VLOOKUP(D3415,'Detail Balok'!$C$10:$AU$140,27,FALSE)</f>
        <v>13</v>
      </c>
      <c r="I3431" t="str">
        <v>(</v>
      </c>
      <c r="J3431">
        <f>+J3423</f>
        <v>2.525</v>
      </c>
      <c r="K3431" t="str">
        <v>+</v>
      </c>
      <c r="M3431" t="str">
        <v>=</v>
      </c>
      <c r="N3431">
        <f>J3431+L3431</f>
        <v>2.525</v>
      </c>
      <c r="O3431" t="str">
        <v>+</v>
      </c>
      <c r="P3431">
        <f>MAX(D3431-D3430,D3431-D3432)</f>
        <v>0</v>
      </c>
      <c r="Q3431" t="str">
        <v>x</v>
      </c>
      <c r="R3431">
        <f>IF(P3431&gt;0,2*(1-2*$F$19-1/2)*D3418/1000,0)</f>
        <v>0</v>
      </c>
      <c r="S3431" t="str">
        <v>)</v>
      </c>
      <c r="T3431" t="str">
        <v>x</v>
      </c>
      <c r="U3431">
        <f>0.006165*F3431^2</f>
        <v>1.041885</v>
      </c>
      <c r="X3431" t="str">
        <v>x</v>
      </c>
      <c r="Y3431">
        <f>D3421</f>
        <v>1</v>
      </c>
      <c r="Z3431" t="str">
        <v>=</v>
      </c>
      <c r="AA3431">
        <f>IF(AA3433=0,(D3431*N3431+P3431*R3431)*U3431*Y3431,0)</f>
        <v>0</v>
      </c>
    </row>
    <row r="3432">
      <c r="A3432" t="str">
        <f>A3415</f>
        <v>Lantai 2</v>
      </c>
      <c r="B3432">
        <f>B3415</f>
        <v>27</v>
      </c>
      <c r="C3432" t="str">
        <v>Tul Bawah Tumpuan</v>
      </c>
      <c r="D3432">
        <f>VLOOKUP(D3415,'Detail Balok'!$C$10:$AU$140,28,FALSE)</f>
        <v>3</v>
      </c>
      <c r="E3432" t="str">
        <v>D</v>
      </c>
      <c r="F3432">
        <f>VLOOKUP(D3415,'Detail Balok'!$C$10:$AU$140,30,FALSE)</f>
        <v>13</v>
      </c>
      <c r="I3432" t="str">
        <v>(</v>
      </c>
      <c r="J3432">
        <f>+J3424</f>
        <v>1.2625</v>
      </c>
      <c r="K3432" t="str">
        <v>+</v>
      </c>
      <c r="L3432">
        <f>MAX(VLOOKUP(F3432,N$6:P$15,3,FALSE)/1000,2/3*D3420/1000)+F$16*F3432/1000</f>
        <v>0.156</v>
      </c>
      <c r="M3432" t="str">
        <v>=</v>
      </c>
      <c r="N3432">
        <f>J3432+L3432</f>
        <v>1.4184999999999999</v>
      </c>
      <c r="O3432" t="str">
        <v>+</v>
      </c>
      <c r="P3432">
        <f>D3432-D3431</f>
        <v>0</v>
      </c>
      <c r="Q3432" t="str">
        <v>x</v>
      </c>
      <c r="R3432">
        <f>IF(P3432&gt;0,$F$18*F3432/1000,0)</f>
        <v>0</v>
      </c>
      <c r="S3432" t="str">
        <v>)</v>
      </c>
      <c r="T3432" t="str">
        <v>x</v>
      </c>
      <c r="U3432">
        <f>0.006165*F3432^2</f>
        <v>1.041885</v>
      </c>
      <c r="X3432" t="str">
        <v>x</v>
      </c>
      <c r="Y3432">
        <f>D3421</f>
        <v>1</v>
      </c>
      <c r="Z3432" t="str">
        <v>=</v>
      </c>
      <c r="AA3432">
        <f>IF(AA3433=0,(D3432*N3432+P3432*R3432)*U3432*Y3432,0)</f>
        <v>0</v>
      </c>
    </row>
    <row r="3433">
      <c r="A3433" t="str">
        <f>A3415</f>
        <v>Lantai 2</v>
      </c>
      <c r="B3433">
        <f>B3415</f>
        <v>27</v>
      </c>
      <c r="D3433">
        <f>IF(AND(D3430=D3431,D3431=D3432,D3430=D3432),D3430,0)</f>
        <v>3</v>
      </c>
      <c r="E3433" t="str">
        <v>D</v>
      </c>
      <c r="F3433">
        <f>IF(AND(F3430=F3431,F3430=F3432,F3431=F3432),F3430,0)</f>
        <v>13</v>
      </c>
      <c r="L3433" t="str">
        <v>Total panjang per balok</v>
      </c>
      <c r="M3433" t="str">
        <v>=</v>
      </c>
      <c r="N3433">
        <f>IF(AND(D3430=D3431,D3430=D3432,D3431=D3432,F3430=F3431,F3430=F3432,F3431=F3432),SUM(N3430:N3432),0)</f>
        <v>5.362</v>
      </c>
      <c r="O3433" t="str">
        <v>+</v>
      </c>
      <c r="P3433">
        <f>IF(N3433&gt;12,ROUNDDOWN(N3433/12,0),0)</f>
        <v>0</v>
      </c>
      <c r="Q3433" t="str">
        <v>x</v>
      </c>
      <c r="R3433">
        <f>IF(P3433&gt;0,MAX(VLOOKUP(F3433,$D$6:$G$15,3,FALSE),600),0)/1000</f>
        <v>0</v>
      </c>
      <c r="T3433" t="str">
        <v>x</v>
      </c>
      <c r="U3433">
        <f>U3432</f>
        <v>1.041885</v>
      </c>
      <c r="V3433" t="str">
        <v>x</v>
      </c>
      <c r="W3433">
        <f>D3433</f>
        <v>3</v>
      </c>
      <c r="X3433" t="str">
        <v>x</v>
      </c>
      <c r="Y3433">
        <f>Y3432</f>
        <v>1</v>
      </c>
      <c r="Z3433" t="str">
        <v>=</v>
      </c>
      <c r="AA3433">
        <f>(N3433+P3433*R3433/1000)*U3433*W3433*Y3433</f>
        <v>16.75976211</v>
      </c>
    </row>
    <row r="3435">
      <c r="A3435" t="str">
        <f>A3415</f>
        <v>Lantai 2</v>
      </c>
      <c r="B3435">
        <f>B3415</f>
        <v>27</v>
      </c>
      <c r="C3435" t="str">
        <v>Sengkang Tumpuan</v>
      </c>
      <c r="D3435">
        <f>VLOOKUP(D3415,'Detail Balok'!$C$10:$AU$140,31,FALSE)</f>
        <v>0</v>
      </c>
      <c r="E3435" t="str">
        <v>D</v>
      </c>
      <c r="F3435">
        <f>VLOOKUP(D3415,'Detail Balok'!$C$10:$AU$140,33,FALSE)</f>
        <v>10</v>
      </c>
      <c r="G3435" t="str">
        <v>-</v>
      </c>
      <c r="H3435">
        <f>VLOOKUP(D3415,'Detail Balok'!$C$10:$AU$140,35,FALSE)</f>
        <v>100</v>
      </c>
      <c r="J3435">
        <f>(IF(D3435=0,(2*(D3416+G3416))-(F$5*8),IF(D3435=3,(2*(D3416+G3416))-(F$5*8)+(G3416-2*F$5),IF(D3435=4,(2*(D3416+G3416))-(F$5*8)+2*(G3416-2*F$5)))))/1000</f>
        <v>0.88</v>
      </c>
      <c r="K3435" t="str">
        <v>+</v>
      </c>
      <c r="L3435">
        <f>IF(D3435=0,2*MAX(6*F3435,75),(D3435-1)*2*MAX(6*F3435,75))/1000</f>
        <v>0.15</v>
      </c>
      <c r="M3435" t="str">
        <v>=</v>
      </c>
      <c r="N3435">
        <f>J3435+L3435</f>
        <v>1.03</v>
      </c>
      <c r="T3435" t="str">
        <v>x</v>
      </c>
      <c r="U3435">
        <f>0.006165*F3435^2</f>
        <v>0.6165</v>
      </c>
      <c r="V3435" t="str">
        <v>x</v>
      </c>
      <c r="W3435">
        <f>IF(D3418&gt;4*G3416,ROUND(MAX(D3418/4,2*G3416)/H3435,0)+1,ROUND(D3418/H3435,0)+1)</f>
        <v>14</v>
      </c>
      <c r="X3435" t="str">
        <v>x</v>
      </c>
      <c r="Y3435">
        <f>D3421</f>
        <v>1</v>
      </c>
      <c r="Z3435" t="str">
        <v>=</v>
      </c>
      <c r="AA3435">
        <f>N3435*U3435*W3435*Y3435</f>
        <v>8.889930000000001</v>
      </c>
    </row>
    <row r="3436">
      <c r="A3436" t="str">
        <f>A3415</f>
        <v>Lantai 2</v>
      </c>
      <c r="B3436">
        <f>B3415</f>
        <v>27</v>
      </c>
      <c r="C3436" t="str">
        <v>Sengkang Lapangan</v>
      </c>
      <c r="D3436">
        <f>VLOOKUP(D3415,'Detail Balok'!$C$10:$AU$140,36,FALSE)</f>
        <v>0</v>
      </c>
      <c r="E3436" t="str">
        <v>D</v>
      </c>
      <c r="F3436">
        <f>VLOOKUP(D3415,'Detail Balok'!$C$10:$AU$140,38,FALSE)</f>
        <v>10</v>
      </c>
      <c r="G3436" t="str">
        <v>-</v>
      </c>
      <c r="H3436">
        <f>VLOOKUP(D3415,'Detail Balok'!$C$10:$AU$140,40,FALSE)</f>
        <v>200</v>
      </c>
      <c r="J3436">
        <f>(IF(D3436=0,(2*(D3416+G3416))-(F$5*8),IF(D3436=3,(2*(D3416+G3416))-(F$5*8)+(G3416-2*F$5),IF(D3436=4,(2*(D3416+G3416))-(F$5*8)+2*(G3416-2*F$5)))))/1000</f>
        <v>0.88</v>
      </c>
      <c r="K3436" t="str">
        <v>+</v>
      </c>
      <c r="L3436">
        <f>IF(D3436=0,2*MAX(6*F3436,75),(D3436-1)*2*MAX(6*F3436,75))/1000</f>
        <v>0.15</v>
      </c>
      <c r="M3436" t="str">
        <v>=</v>
      </c>
      <c r="N3436">
        <f>J3436+L3436</f>
        <v>1.03</v>
      </c>
      <c r="T3436" t="str">
        <v>x</v>
      </c>
      <c r="U3436">
        <f>0.006165*F3436^2</f>
        <v>0.6165</v>
      </c>
      <c r="V3436" t="str">
        <v>x</v>
      </c>
      <c r="W3436">
        <f>IF(D3418-MAX(D3418/4,2*G3416)*2&gt;0,ROUND((D3418-MAX(D3418/4,2*G3416)*2)/H3436,0),0)</f>
        <v>13</v>
      </c>
      <c r="X3436" t="str">
        <v>x</v>
      </c>
      <c r="Y3436">
        <f>D3421</f>
        <v>1</v>
      </c>
      <c r="Z3436" t="str">
        <v>=</v>
      </c>
      <c r="AA3436">
        <f>N3436*U3436*W3436*Y3436</f>
        <v>8.254935000000001</v>
      </c>
    </row>
    <row r="3437">
      <c r="A3437" t="str">
        <f>A3415</f>
        <v>Lantai 2</v>
      </c>
      <c r="B3437">
        <f>B3415</f>
        <v>27</v>
      </c>
      <c r="C3437" t="str">
        <v>Sengkang Tumpuan</v>
      </c>
      <c r="D3437">
        <f>VLOOKUP(D3415,'Detail Balok'!$C$10:$AU$140,41,FALSE)</f>
        <v>0</v>
      </c>
      <c r="E3437" t="str">
        <v>D</v>
      </c>
      <c r="F3437">
        <f>VLOOKUP(D3415,'Detail Balok'!$C$10:$AU$140,43,FALSE)</f>
        <v>10</v>
      </c>
      <c r="G3437" t="str">
        <v>-</v>
      </c>
      <c r="H3437">
        <f>VLOOKUP(D3415,'Detail Balok'!$C$10:$AU$140,45,FALSE)</f>
        <v>100</v>
      </c>
      <c r="J3437">
        <f>(IF(D3437=0,(2*(D3416+G3416))-(F$5*8),IF(D3437=3,(2*(D3416+G3416))-(F$5*8)+(G3416-2*F$5),IF(D3437=4,(2*(D3416+G3416))-(F$5*8)+2*(G3416-2*F$5)))))/1000</f>
        <v>0.88</v>
      </c>
      <c r="K3437" t="str">
        <v>+</v>
      </c>
      <c r="L3437">
        <f>IF(D3437=0,2*MAX(6*F3437,75),(D3437-1)*2*MAX(6*F3437,75))/1000</f>
        <v>0.15</v>
      </c>
      <c r="M3437" t="str">
        <v>=</v>
      </c>
      <c r="N3437">
        <f>J3437+L3437</f>
        <v>1.03</v>
      </c>
      <c r="T3437" t="str">
        <v>x</v>
      </c>
      <c r="U3437">
        <f>0.006165*F3437^2</f>
        <v>0.6165</v>
      </c>
      <c r="V3437" t="str">
        <v>x</v>
      </c>
      <c r="W3437">
        <f>IF(D3418&gt;4*G3416,ROUND(MAX(D3418/4,2*G3416)/H3437,0)+1,0)</f>
        <v>14</v>
      </c>
      <c r="X3437" t="str">
        <v>x</v>
      </c>
      <c r="Y3437">
        <f>D3421</f>
        <v>1</v>
      </c>
      <c r="Z3437" t="str">
        <v>=</v>
      </c>
      <c r="AA3437">
        <f>N3437*U3437*W3437*Y3437</f>
        <v>8.889930000000001</v>
      </c>
    </row>
    <row r="3439">
      <c r="A3439" t="str">
        <f>A3415</f>
        <v>Lantai 2</v>
      </c>
      <c r="B3439">
        <f>B3415</f>
        <v>27</v>
      </c>
      <c r="C3439" t="str">
        <v>Kait Horizontal Tump.</v>
      </c>
      <c r="D3439">
        <f>VLOOKUP(D3415,'Detail Balok'!$C$10:$BJ$140,46,FALSE)</f>
        <v>0</v>
      </c>
      <c r="E3439" t="str">
        <v>D</v>
      </c>
      <c r="F3439">
        <f>VLOOKUP(D3415,'Detail Balok'!$C$10:$BJ$140,48,FALSE)</f>
        <v>0</v>
      </c>
      <c r="G3439" t="str">
        <v>-</v>
      </c>
      <c r="H3439">
        <f>VLOOKUP(D3415,'Detail Balok'!$C$10:$BJ$140,50,FALSE)</f>
        <v>100</v>
      </c>
      <c r="J3439">
        <f>(D3416-2*F$5)/1000</f>
        <v>0.12</v>
      </c>
      <c r="K3439" t="str">
        <v>+</v>
      </c>
      <c r="L3439">
        <f>IF(D3439=0,2*MAX(6*F3439,75),(D3439-1)*2*MAX(6*F3439,75))/1000</f>
        <v>0.15</v>
      </c>
      <c r="M3439" t="str">
        <v>=</v>
      </c>
      <c r="N3439">
        <f>J3439+L3439</f>
        <v>0.27</v>
      </c>
      <c r="T3439" t="str">
        <v>x</v>
      </c>
      <c r="U3439">
        <f>0.006165*F3439^2</f>
        <v>0</v>
      </c>
      <c r="V3439" t="str">
        <v>x</v>
      </c>
      <c r="W3439">
        <f>W3435</f>
        <v>14</v>
      </c>
      <c r="X3439" t="str">
        <v>x</v>
      </c>
      <c r="Y3439">
        <f>D3425</f>
        <v>3</v>
      </c>
      <c r="Z3439" t="str">
        <v>=</v>
      </c>
      <c r="AA3439">
        <f>N3439*U3439*W3439*Y3439</f>
        <v>0</v>
      </c>
    </row>
    <row r="3440">
      <c r="A3440" t="str">
        <f>A3415</f>
        <v>Lantai 2</v>
      </c>
      <c r="B3440">
        <f>B3415</f>
        <v>27</v>
      </c>
      <c r="C3440" t="str">
        <v>Kait Horizontal Lap.</v>
      </c>
      <c r="D3440">
        <f>VLOOKUP(D3415,'Detail Balok'!$C$10:$BJ$140,51,FALSE)</f>
        <v>0</v>
      </c>
      <c r="E3440" t="str">
        <v>D</v>
      </c>
      <c r="F3440">
        <f>VLOOKUP(D3415,'Detail Balok'!$C$10:$BJ$140,53,FALSE)</f>
        <v>0</v>
      </c>
      <c r="G3440" t="str">
        <v>-</v>
      </c>
      <c r="H3440">
        <f>VLOOKUP(D3415,'Detail Balok'!$C$10:$BJ$140,55,FALSE)</f>
        <v>100</v>
      </c>
      <c r="J3440">
        <f>(D3416-2*F$5)/1000</f>
        <v>0.12</v>
      </c>
      <c r="K3440" t="str">
        <v>+</v>
      </c>
      <c r="L3440">
        <f>IF(D3440=0,2*MAX(6*F3440,75),(D3440-1)*2*MAX(6*F3440,75))/1000</f>
        <v>0.15</v>
      </c>
      <c r="M3440" t="str">
        <v>=</v>
      </c>
      <c r="N3440">
        <f>J3440+L3440</f>
        <v>0.27</v>
      </c>
      <c r="T3440" t="str">
        <v>x</v>
      </c>
      <c r="U3440">
        <f>0.006165*F3440^2</f>
        <v>0</v>
      </c>
      <c r="V3440" t="str">
        <v>x</v>
      </c>
      <c r="W3440">
        <f>W3436</f>
        <v>13</v>
      </c>
      <c r="X3440" t="str">
        <v>x</v>
      </c>
      <c r="Y3440">
        <f>D3425</f>
        <v>3</v>
      </c>
      <c r="Z3440" t="str">
        <v>=</v>
      </c>
      <c r="AA3440">
        <f>N3440*U3440*W3440*Y3440</f>
        <v>0</v>
      </c>
    </row>
    <row r="3441">
      <c r="A3441" t="str">
        <f>A3415</f>
        <v>Lantai 2</v>
      </c>
      <c r="B3441">
        <f>B3415</f>
        <v>27</v>
      </c>
      <c r="C3441" t="str">
        <v>Kait Horizontal Tump.</v>
      </c>
      <c r="D3441">
        <f>VLOOKUP(D3415,'Detail Balok'!$C$10:$BJ$140,56,FALSE)</f>
        <v>0</v>
      </c>
      <c r="E3441" t="str">
        <v>D</v>
      </c>
      <c r="F3441">
        <f>VLOOKUP(D3415,'Detail Balok'!$C$10:$BJ$140,58,FALSE)</f>
        <v>0</v>
      </c>
      <c r="G3441" t="str">
        <v>-</v>
      </c>
      <c r="H3441">
        <f>VLOOKUP(D3415,'Detail Balok'!$C$10:$BJ$140,60,FALSE)</f>
        <v>100</v>
      </c>
      <c r="J3441">
        <f>(D3416-2*F$5)/1000</f>
        <v>0.12</v>
      </c>
      <c r="K3441" t="str">
        <v>+</v>
      </c>
      <c r="L3441">
        <f>IF(D3441=0,2*MAX(6*F3441,75),(D3441-1)*2*MAX(6*F3441,75))/1000</f>
        <v>0.15</v>
      </c>
      <c r="M3441" t="str">
        <v>=</v>
      </c>
      <c r="N3441">
        <f>J3441+L3441</f>
        <v>0.27</v>
      </c>
      <c r="T3441" t="str">
        <v>x</v>
      </c>
      <c r="U3441">
        <f>0.006165*F3441^2</f>
        <v>0</v>
      </c>
      <c r="V3441" t="str">
        <v>x</v>
      </c>
      <c r="W3441">
        <f>W3437</f>
        <v>14</v>
      </c>
      <c r="X3441" t="str">
        <v>x</v>
      </c>
      <c r="Y3441">
        <f>D3425</f>
        <v>3</v>
      </c>
      <c r="Z3441" t="str">
        <v>=</v>
      </c>
      <c r="AA3441">
        <f>N3441*U3441*W3441*Y3441</f>
        <v>0</v>
      </c>
    </row>
    <row r="3445">
      <c r="A3445" t="str">
        <f>A3415</f>
        <v>Lantai 2</v>
      </c>
      <c r="B3445">
        <f>B3415+1</f>
        <v>28</v>
      </c>
      <c r="C3445" t="str">
        <f>CONCATENATE(A3445," no. ",B3445)</f>
        <v>Lantai 2 no. 28</v>
      </c>
      <c r="D3445" t="str">
        <f>VLOOKUP(C3445,'Data Panjang Balok'!$C$9:$N$254,2,FALSE)</f>
        <v>B24-1</v>
      </c>
    </row>
    <row r="3446">
      <c r="C3446" t="str">
        <v>Dimensi</v>
      </c>
      <c r="D3446">
        <f>VLOOKUP(D3445,'Detail Balok'!$C$10:$AU$140,2,FALSE)</f>
        <v>200</v>
      </c>
      <c r="F3446" t="str">
        <v>x</v>
      </c>
      <c r="G3446">
        <f>VLOOKUP(D3445,'Detail Balok'!$C$10:$AU$140,3,FALSE)</f>
        <v>400</v>
      </c>
    </row>
    <row r="3447">
      <c r="C3447" t="str">
        <v>Panjang as ke as</v>
      </c>
      <c r="D3447">
        <f>VLOOKUP(C3445,'Data Panjang Balok'!$C$9:$N$254,4,FALSE)</f>
        <v>5050</v>
      </c>
    </row>
    <row r="3448">
      <c r="C3448" t="str">
        <v>Panjang netto</v>
      </c>
      <c r="D3448">
        <f>VLOOKUP(C3445,'Data Panjang Balok'!$C$9:$N$254,7,FALSE)</f>
        <v>5050</v>
      </c>
    </row>
    <row r="3449">
      <c r="C3449" t="str">
        <v>Kolom / balok kiri</v>
      </c>
      <c r="D3449">
        <f>VLOOKUP(C3445,'Data Panjang Balok'!$C$9:$N$254,9,FALSE)</f>
        <v>0</v>
      </c>
    </row>
    <row r="3450">
      <c r="C3450" t="str">
        <v>Kolom / balok kanan</v>
      </c>
      <c r="D3450">
        <f>VLOOKUP(C3445,'Data Panjang Balok'!$C$9:$N$254,10,FALSE)</f>
        <v>0</v>
      </c>
    </row>
    <row r="3451">
      <c r="C3451" t="str">
        <v>Jumlah</v>
      </c>
      <c r="D3451">
        <f>VLOOKUP(C3445,'Data Panjang Balok'!$C$9:$N$254,3,FALSE)</f>
        <v>1</v>
      </c>
    </row>
    <row r="3452">
      <c r="A3452" t="str">
        <f>A3445</f>
        <v>Lantai 2</v>
      </c>
      <c r="B3452">
        <f>B3445</f>
        <v>28</v>
      </c>
      <c r="C3452" t="str">
        <v>Tul Atas Tumpuan</v>
      </c>
      <c r="D3452">
        <f>VLOOKUP(D3445,'Detail Balok'!$C$10:$AU$140,4,FALSE)</f>
        <v>3</v>
      </c>
      <c r="E3452" t="str">
        <v>D</v>
      </c>
      <c r="F3452">
        <f>VLOOKUP(D3445,'Detail Balok'!$C$10:$AU$140,6,FALSE)</f>
        <v>13</v>
      </c>
      <c r="I3452" t="str">
        <v>(</v>
      </c>
      <c r="J3452">
        <f>+D3447/4/1000</f>
        <v>1.2625</v>
      </c>
      <c r="K3452" t="str">
        <v>+</v>
      </c>
      <c r="L3452">
        <f>MAX(VLOOKUP(F3452,N$6:P$15,3,FALSE)/1000,2/3*D3449/1000)+F$16*F3452/1000</f>
        <v>0.156</v>
      </c>
      <c r="M3452" t="str">
        <v>=</v>
      </c>
      <c r="N3452">
        <f>J3452+L3452</f>
        <v>1.4184999999999999</v>
      </c>
      <c r="O3452" t="str">
        <v>+</v>
      </c>
      <c r="P3452">
        <f>D3452-D3453</f>
        <v>0</v>
      </c>
      <c r="Q3452" t="str">
        <v>x</v>
      </c>
      <c r="R3452">
        <f>IF(P3452&gt;0,$F$18*F3452/1000,0)</f>
        <v>0</v>
      </c>
      <c r="S3452" t="str">
        <v>)</v>
      </c>
      <c r="T3452" t="str">
        <v>x</v>
      </c>
      <c r="U3452">
        <f>0.006165*F3452^2</f>
        <v>1.041885</v>
      </c>
      <c r="X3452" t="str">
        <v>x</v>
      </c>
      <c r="Y3452">
        <f>D3451</f>
        <v>1</v>
      </c>
      <c r="Z3452" t="str">
        <v>=</v>
      </c>
      <c r="AA3452">
        <f>IF(AA3455=0,(D3452*N3452+P3452*R3452)*U3452*Y3452,0)</f>
        <v>0</v>
      </c>
    </row>
    <row r="3453">
      <c r="A3453" t="str">
        <f>A3445</f>
        <v>Lantai 2</v>
      </c>
      <c r="B3453">
        <f>B3445</f>
        <v>28</v>
      </c>
      <c r="C3453" t="str">
        <v>Tul Atas Lapangan</v>
      </c>
      <c r="D3453">
        <f>VLOOKUP(D3445,'Detail Balok'!$C$10:$AU$140,7,FALSE)</f>
        <v>3</v>
      </c>
      <c r="E3453" t="str">
        <v>D</v>
      </c>
      <c r="F3453">
        <f>VLOOKUP(D3445,'Detail Balok'!$C$10:$AU$140,9,FALSE)</f>
        <v>13</v>
      </c>
      <c r="I3453" t="str">
        <v>(</v>
      </c>
      <c r="J3453">
        <f>+D3447/2/1000</f>
        <v>2.525</v>
      </c>
      <c r="K3453" t="str">
        <v>+</v>
      </c>
      <c r="M3453" t="str">
        <v>=</v>
      </c>
      <c r="N3453">
        <f>J3453+L3453</f>
        <v>2.525</v>
      </c>
      <c r="O3453" t="str">
        <v>+</v>
      </c>
      <c r="P3453">
        <f>MAX(D3453-D3452,D3453-D3454)</f>
        <v>0</v>
      </c>
      <c r="Q3453" t="str">
        <v>x</v>
      </c>
      <c r="R3453">
        <f>IF(P3453&gt;0,2*(1-2*$F$19-1/2)*D3448/1000,0)</f>
        <v>0</v>
      </c>
      <c r="S3453" t="str">
        <v>)</v>
      </c>
      <c r="T3453" t="str">
        <v>x</v>
      </c>
      <c r="U3453">
        <f>0.006165*F3453^2</f>
        <v>1.041885</v>
      </c>
      <c r="X3453" t="str">
        <v>x</v>
      </c>
      <c r="Y3453">
        <f>D3451</f>
        <v>1</v>
      </c>
      <c r="Z3453" t="str">
        <v>=</v>
      </c>
      <c r="AA3453">
        <f>IF(AA3455=0,(D3453*N3453+P3453*R3453)*U3453*Y3453,0)</f>
        <v>0</v>
      </c>
    </row>
    <row r="3454">
      <c r="A3454" t="str">
        <f>A3445</f>
        <v>Lantai 2</v>
      </c>
      <c r="B3454">
        <f>B3445</f>
        <v>28</v>
      </c>
      <c r="C3454" t="str">
        <v>Tul Atas Tumpuan</v>
      </c>
      <c r="D3454">
        <f>VLOOKUP(D3445,'Detail Balok'!$C$10:$AU$140,10,FALSE)</f>
        <v>3</v>
      </c>
      <c r="E3454" t="str">
        <v>D</v>
      </c>
      <c r="F3454">
        <f>VLOOKUP(D3445,'Detail Balok'!$C$10:$AU$140,12,FALSE)</f>
        <v>13</v>
      </c>
      <c r="I3454" t="str">
        <v>(</v>
      </c>
      <c r="J3454">
        <f>+D3447/4/1000</f>
        <v>1.2625</v>
      </c>
      <c r="K3454" t="str">
        <v>+</v>
      </c>
      <c r="L3454">
        <f>MAX(VLOOKUP(F3454,N$6:P$15,3,FALSE)/1000,2/3*D3449/1000)+F$16*F3454/1000</f>
        <v>0.156</v>
      </c>
      <c r="M3454" t="str">
        <v>=</v>
      </c>
      <c r="N3454">
        <f>J3454+L3454</f>
        <v>1.4184999999999999</v>
      </c>
      <c r="O3454" t="str">
        <v>+</v>
      </c>
      <c r="P3454">
        <f>D3454-D3453</f>
        <v>0</v>
      </c>
      <c r="Q3454" t="str">
        <v>x</v>
      </c>
      <c r="R3454">
        <f>IF(P3454&gt;0,$F$18*F3454/1000,0)</f>
        <v>0</v>
      </c>
      <c r="S3454" t="str">
        <v>)</v>
      </c>
      <c r="T3454" t="str">
        <v>x</v>
      </c>
      <c r="U3454">
        <f>0.006165*F3454^2</f>
        <v>1.041885</v>
      </c>
      <c r="X3454" t="str">
        <v>x</v>
      </c>
      <c r="Y3454">
        <f>D3451</f>
        <v>1</v>
      </c>
      <c r="Z3454" t="str">
        <v>=</v>
      </c>
      <c r="AA3454">
        <f>IF(AA3455=0,(D3454*N3454+P3454*R3454)*U3454*Y3454,0)</f>
        <v>0</v>
      </c>
    </row>
    <row r="3455">
      <c r="A3455" t="str">
        <f>A3445</f>
        <v>Lantai 2</v>
      </c>
      <c r="B3455">
        <f>B3445</f>
        <v>28</v>
      </c>
      <c r="D3455">
        <f>IF(AND(D3452=D3453,D3453=D3454,D3452=D3454),D3452,0)</f>
        <v>3</v>
      </c>
      <c r="E3455" t="str">
        <v>D</v>
      </c>
      <c r="F3455">
        <f>IF(AND(F3452=F3453,F3452=F3454,F3453=F3454),F3452,0)</f>
        <v>13</v>
      </c>
      <c r="L3455" t="str">
        <v>Total panjang per balok</v>
      </c>
      <c r="M3455" t="str">
        <v>=</v>
      </c>
      <c r="N3455">
        <f>IF(AND(D3452=D3453,D3452=D3454,D3453=D3454,F3452=F3453,F3452=F3454,F3453=F3454),SUM(N3452:N3454),0)</f>
        <v>5.362</v>
      </c>
      <c r="O3455" t="str">
        <v>+</v>
      </c>
      <c r="P3455">
        <f>IF(N3455&gt;12,ROUNDDOWN(N3455/12,0),0)</f>
        <v>0</v>
      </c>
      <c r="Q3455" t="str">
        <v>x</v>
      </c>
      <c r="R3455">
        <f>IF(P3455&gt;0,MAX(VLOOKUP(F3455,$D$6:$G$15,3,FALSE),600),0)/1000</f>
        <v>0</v>
      </c>
      <c r="T3455" t="str">
        <v>x</v>
      </c>
      <c r="U3455">
        <f>U3454</f>
        <v>1.041885</v>
      </c>
      <c r="V3455" t="str">
        <v>x</v>
      </c>
      <c r="W3455">
        <f>D3455</f>
        <v>3</v>
      </c>
      <c r="X3455" t="str">
        <v>x</v>
      </c>
      <c r="Y3455">
        <f>Y3454</f>
        <v>1</v>
      </c>
      <c r="Z3455" t="str">
        <v>=</v>
      </c>
      <c r="AA3455">
        <f>(N3455+P3455*R3455/1000)*U3455*W3455*Y3455</f>
        <v>16.75976211</v>
      </c>
    </row>
    <row r="3457">
      <c r="A3457" t="str">
        <f>A3445</f>
        <v>Lantai 2</v>
      </c>
      <c r="B3457">
        <f>B3445</f>
        <v>28</v>
      </c>
      <c r="C3457" t="str">
        <v>Tul Peminggang</v>
      </c>
      <c r="D3457">
        <f>VLOOKUP(D3445,'Detail Balok'!$C$10:$AU$140,13,FALSE)</f>
        <v>0</v>
      </c>
      <c r="E3457" t="str">
        <v>D</v>
      </c>
      <c r="F3457">
        <f>VLOOKUP(D3445,'Detail Balok'!$C$10:$AU$140,15,FALSE)</f>
        <v>8</v>
      </c>
      <c r="J3457">
        <f>+D3447/1000</f>
        <v>5.05</v>
      </c>
      <c r="K3457" t="str">
        <v>+</v>
      </c>
      <c r="L3457">
        <f>2*$F$16*F3457/1000</f>
        <v>0.192</v>
      </c>
      <c r="M3457" t="str">
        <v>=</v>
      </c>
      <c r="N3457">
        <f>J3457+L3457</f>
        <v>5.242</v>
      </c>
      <c r="O3457" t="str">
        <v>+</v>
      </c>
      <c r="P3457">
        <f>IF(N3457&gt;12,ROUNDDOWN(N3457/12,0),0)</f>
        <v>0</v>
      </c>
      <c r="Q3457" t="str">
        <v>x</v>
      </c>
      <c r="R3457">
        <f>IF(P3457&gt;0,MAX(VLOOKUP(F3457,$D$6:$G$15,3,FALSE),600),0)/1000</f>
        <v>0</v>
      </c>
      <c r="T3457" t="str">
        <v>x</v>
      </c>
      <c r="U3457">
        <f>0.006165*F3457^2</f>
        <v>0.39456</v>
      </c>
      <c r="V3457" t="str">
        <v>x</v>
      </c>
      <c r="W3457">
        <f>+D3457</f>
        <v>0</v>
      </c>
      <c r="X3457" t="str">
        <v>x</v>
      </c>
      <c r="Y3457">
        <f>D3451</f>
        <v>1</v>
      </c>
      <c r="Z3457" t="str">
        <v>=</v>
      </c>
      <c r="AA3457">
        <f>(N3457+P3457*R3457/1000)*U3457*W3457*Y3457</f>
        <v>0</v>
      </c>
    </row>
    <row r="3460">
      <c r="A3460" t="str">
        <f>A3445</f>
        <v>Lantai 2</v>
      </c>
      <c r="B3460">
        <f>B3445</f>
        <v>28</v>
      </c>
      <c r="C3460" t="str">
        <v>Tul Bawah Tumpuan</v>
      </c>
      <c r="D3460">
        <f>VLOOKUP(D3445,'Detail Balok'!$C$10:$AU$140,22,FALSE)</f>
        <v>3</v>
      </c>
      <c r="E3460" t="str">
        <v>D</v>
      </c>
      <c r="F3460">
        <f>VLOOKUP(D3445,'Detail Balok'!$C$10:$AU$140,24,FALSE)</f>
        <v>13</v>
      </c>
      <c r="I3460" t="str">
        <v>(</v>
      </c>
      <c r="J3460">
        <f>+J3452</f>
        <v>1.2625</v>
      </c>
      <c r="K3460" t="str">
        <v>+</v>
      </c>
      <c r="L3460">
        <f>MAX(VLOOKUP(F3460,N$6:P$15,3,FALSE)/1000,2/3*D3450/1000)+F$16*F3460/1000</f>
        <v>0.156</v>
      </c>
      <c r="M3460" t="str">
        <v>=</v>
      </c>
      <c r="N3460">
        <f>J3460+L3460</f>
        <v>1.4184999999999999</v>
      </c>
      <c r="O3460" t="str">
        <v>+</v>
      </c>
      <c r="P3460">
        <f>D3460-D3461</f>
        <v>0</v>
      </c>
      <c r="Q3460" t="str">
        <v>x</v>
      </c>
      <c r="R3460">
        <f>IF(P3460&gt;0,$F$18*F3460/1000,0)</f>
        <v>0</v>
      </c>
      <c r="S3460" t="str">
        <v>)</v>
      </c>
      <c r="T3460" t="str">
        <v>x</v>
      </c>
      <c r="U3460">
        <f>0.006165*F3460^2</f>
        <v>1.041885</v>
      </c>
      <c r="X3460" t="str">
        <v>x</v>
      </c>
      <c r="Y3460">
        <f>D3451</f>
        <v>1</v>
      </c>
      <c r="Z3460" t="str">
        <v>=</v>
      </c>
      <c r="AA3460">
        <f>IF(AA3463=0,(D3460*N3460+P3460*R3460)*U3460*Y3460,0)</f>
        <v>0</v>
      </c>
    </row>
    <row r="3461">
      <c r="A3461" t="str">
        <f>A3445</f>
        <v>Lantai 2</v>
      </c>
      <c r="B3461">
        <f>B3445</f>
        <v>28</v>
      </c>
      <c r="C3461" t="str">
        <v>Tul Bawah Lapangan</v>
      </c>
      <c r="D3461">
        <f>VLOOKUP(D3445,'Detail Balok'!$C$10:$AU$140,25,FALSE)</f>
        <v>3</v>
      </c>
      <c r="E3461" t="str">
        <v>D</v>
      </c>
      <c r="F3461">
        <f>VLOOKUP(D3445,'Detail Balok'!$C$10:$AU$140,27,FALSE)</f>
        <v>13</v>
      </c>
      <c r="I3461" t="str">
        <v>(</v>
      </c>
      <c r="J3461">
        <f>+J3453</f>
        <v>2.525</v>
      </c>
      <c r="K3461" t="str">
        <v>+</v>
      </c>
      <c r="M3461" t="str">
        <v>=</v>
      </c>
      <c r="N3461">
        <f>J3461+L3461</f>
        <v>2.525</v>
      </c>
      <c r="O3461" t="str">
        <v>+</v>
      </c>
      <c r="P3461">
        <f>MAX(D3461-D3460,D3461-D3462)</f>
        <v>0</v>
      </c>
      <c r="Q3461" t="str">
        <v>x</v>
      </c>
      <c r="R3461">
        <f>IF(P3461&gt;0,2*(1-2*$F$19-1/2)*D3448/1000,0)</f>
        <v>0</v>
      </c>
      <c r="S3461" t="str">
        <v>)</v>
      </c>
      <c r="T3461" t="str">
        <v>x</v>
      </c>
      <c r="U3461">
        <f>0.006165*F3461^2</f>
        <v>1.041885</v>
      </c>
      <c r="X3461" t="str">
        <v>x</v>
      </c>
      <c r="Y3461">
        <f>D3451</f>
        <v>1</v>
      </c>
      <c r="Z3461" t="str">
        <v>=</v>
      </c>
      <c r="AA3461">
        <f>IF(AA3463=0,(D3461*N3461+P3461*R3461)*U3461*Y3461,0)</f>
        <v>0</v>
      </c>
    </row>
    <row r="3462">
      <c r="A3462" t="str">
        <f>A3445</f>
        <v>Lantai 2</v>
      </c>
      <c r="B3462">
        <f>B3445</f>
        <v>28</v>
      </c>
      <c r="C3462" t="str">
        <v>Tul Bawah Tumpuan</v>
      </c>
      <c r="D3462">
        <f>VLOOKUP(D3445,'Detail Balok'!$C$10:$AU$140,28,FALSE)</f>
        <v>3</v>
      </c>
      <c r="E3462" t="str">
        <v>D</v>
      </c>
      <c r="F3462">
        <f>VLOOKUP(D3445,'Detail Balok'!$C$10:$AU$140,30,FALSE)</f>
        <v>13</v>
      </c>
      <c r="I3462" t="str">
        <v>(</v>
      </c>
      <c r="J3462">
        <f>+J3454</f>
        <v>1.2625</v>
      </c>
      <c r="K3462" t="str">
        <v>+</v>
      </c>
      <c r="L3462">
        <f>MAX(VLOOKUP(F3462,N$6:P$15,3,FALSE)/1000,2/3*D3450/1000)+F$16*F3462/1000</f>
        <v>0.156</v>
      </c>
      <c r="M3462" t="str">
        <v>=</v>
      </c>
      <c r="N3462">
        <f>J3462+L3462</f>
        <v>1.4184999999999999</v>
      </c>
      <c r="O3462" t="str">
        <v>+</v>
      </c>
      <c r="P3462">
        <f>D3462-D3461</f>
        <v>0</v>
      </c>
      <c r="Q3462" t="str">
        <v>x</v>
      </c>
      <c r="R3462">
        <f>IF(P3462&gt;0,$F$18*F3462/1000,0)</f>
        <v>0</v>
      </c>
      <c r="S3462" t="str">
        <v>)</v>
      </c>
      <c r="T3462" t="str">
        <v>x</v>
      </c>
      <c r="U3462">
        <f>0.006165*F3462^2</f>
        <v>1.041885</v>
      </c>
      <c r="X3462" t="str">
        <v>x</v>
      </c>
      <c r="Y3462">
        <f>D3451</f>
        <v>1</v>
      </c>
      <c r="Z3462" t="str">
        <v>=</v>
      </c>
      <c r="AA3462">
        <f>IF(AA3463=0,(D3462*N3462+P3462*R3462)*U3462*Y3462,0)</f>
        <v>0</v>
      </c>
    </row>
    <row r="3463">
      <c r="A3463" t="str">
        <f>A3445</f>
        <v>Lantai 2</v>
      </c>
      <c r="B3463">
        <f>B3445</f>
        <v>28</v>
      </c>
      <c r="D3463">
        <f>IF(AND(D3460=D3461,D3461=D3462,D3460=D3462),D3460,0)</f>
        <v>3</v>
      </c>
      <c r="E3463" t="str">
        <v>D</v>
      </c>
      <c r="F3463">
        <f>IF(AND(F3460=F3461,F3460=F3462,F3461=F3462),F3460,0)</f>
        <v>13</v>
      </c>
      <c r="L3463" t="str">
        <v>Total panjang per balok</v>
      </c>
      <c r="M3463" t="str">
        <v>=</v>
      </c>
      <c r="N3463">
        <f>IF(AND(D3460=D3461,D3460=D3462,D3461=D3462,F3460=F3461,F3460=F3462,F3461=F3462),SUM(N3460:N3462),0)</f>
        <v>5.362</v>
      </c>
      <c r="O3463" t="str">
        <v>+</v>
      </c>
      <c r="P3463">
        <f>IF(N3463&gt;12,ROUNDDOWN(N3463/12,0),0)</f>
        <v>0</v>
      </c>
      <c r="Q3463" t="str">
        <v>x</v>
      </c>
      <c r="R3463">
        <f>IF(P3463&gt;0,MAX(VLOOKUP(F3463,$D$6:$G$15,3,FALSE),600),0)/1000</f>
        <v>0</v>
      </c>
      <c r="T3463" t="str">
        <v>x</v>
      </c>
      <c r="U3463">
        <f>U3462</f>
        <v>1.041885</v>
      </c>
      <c r="V3463" t="str">
        <v>x</v>
      </c>
      <c r="W3463">
        <f>D3463</f>
        <v>3</v>
      </c>
      <c r="X3463" t="str">
        <v>x</v>
      </c>
      <c r="Y3463">
        <f>Y3462</f>
        <v>1</v>
      </c>
      <c r="Z3463" t="str">
        <v>=</v>
      </c>
      <c r="AA3463">
        <f>(N3463+P3463*R3463/1000)*U3463*W3463*Y3463</f>
        <v>16.75976211</v>
      </c>
    </row>
    <row r="3465">
      <c r="A3465" t="str">
        <f>A3445</f>
        <v>Lantai 2</v>
      </c>
      <c r="B3465">
        <f>B3445</f>
        <v>28</v>
      </c>
      <c r="C3465" t="str">
        <v>Sengkang Tumpuan</v>
      </c>
      <c r="D3465">
        <f>VLOOKUP(D3445,'Detail Balok'!$C$10:$AU$140,31,FALSE)</f>
        <v>0</v>
      </c>
      <c r="E3465" t="str">
        <v>D</v>
      </c>
      <c r="F3465">
        <f>VLOOKUP(D3445,'Detail Balok'!$C$10:$AU$140,33,FALSE)</f>
        <v>10</v>
      </c>
      <c r="G3465" t="str">
        <v>-</v>
      </c>
      <c r="H3465">
        <f>VLOOKUP(D3445,'Detail Balok'!$C$10:$AU$140,35,FALSE)</f>
        <v>100</v>
      </c>
      <c r="J3465">
        <f>(IF(D3465=0,(2*(D3446+G3446))-(F$5*8),IF(D3465=3,(2*(D3446+G3446))-(F$5*8)+(G3446-2*F$5),IF(D3465=4,(2*(D3446+G3446))-(F$5*8)+2*(G3446-2*F$5)))))/1000</f>
        <v>0.88</v>
      </c>
      <c r="K3465" t="str">
        <v>+</v>
      </c>
      <c r="L3465">
        <f>IF(D3465=0,2*MAX(6*F3465,75),(D3465-1)*2*MAX(6*F3465,75))/1000</f>
        <v>0.15</v>
      </c>
      <c r="M3465" t="str">
        <v>=</v>
      </c>
      <c r="N3465">
        <f>J3465+L3465</f>
        <v>1.03</v>
      </c>
      <c r="T3465" t="str">
        <v>x</v>
      </c>
      <c r="U3465">
        <f>0.006165*F3465^2</f>
        <v>0.6165</v>
      </c>
      <c r="V3465" t="str">
        <v>x</v>
      </c>
      <c r="W3465">
        <f>IF(D3448&gt;4*G3446,ROUND(MAX(D3448/4,2*G3446)/H3465,0)+1,ROUND(D3448/H3465,0)+1)</f>
        <v>14</v>
      </c>
      <c r="X3465" t="str">
        <v>x</v>
      </c>
      <c r="Y3465">
        <f>D3451</f>
        <v>1</v>
      </c>
      <c r="Z3465" t="str">
        <v>=</v>
      </c>
      <c r="AA3465">
        <f>N3465*U3465*W3465*Y3465</f>
        <v>8.889930000000001</v>
      </c>
    </row>
    <row r="3466">
      <c r="A3466" t="str">
        <f>A3445</f>
        <v>Lantai 2</v>
      </c>
      <c r="B3466">
        <f>B3445</f>
        <v>28</v>
      </c>
      <c r="C3466" t="str">
        <v>Sengkang Lapangan</v>
      </c>
      <c r="D3466">
        <f>VLOOKUP(D3445,'Detail Balok'!$C$10:$AU$140,36,FALSE)</f>
        <v>0</v>
      </c>
      <c r="E3466" t="str">
        <v>D</v>
      </c>
      <c r="F3466">
        <f>VLOOKUP(D3445,'Detail Balok'!$C$10:$AU$140,38,FALSE)</f>
        <v>10</v>
      </c>
      <c r="G3466" t="str">
        <v>-</v>
      </c>
      <c r="H3466">
        <f>VLOOKUP(D3445,'Detail Balok'!$C$10:$AU$140,40,FALSE)</f>
        <v>200</v>
      </c>
      <c r="J3466">
        <f>(IF(D3466=0,(2*(D3446+G3446))-(F$5*8),IF(D3466=3,(2*(D3446+G3446))-(F$5*8)+(G3446-2*F$5),IF(D3466=4,(2*(D3446+G3446))-(F$5*8)+2*(G3446-2*F$5)))))/1000</f>
        <v>0.88</v>
      </c>
      <c r="K3466" t="str">
        <v>+</v>
      </c>
      <c r="L3466">
        <f>IF(D3466=0,2*MAX(6*F3466,75),(D3466-1)*2*MAX(6*F3466,75))/1000</f>
        <v>0.15</v>
      </c>
      <c r="M3466" t="str">
        <v>=</v>
      </c>
      <c r="N3466">
        <f>J3466+L3466</f>
        <v>1.03</v>
      </c>
      <c r="T3466" t="str">
        <v>x</v>
      </c>
      <c r="U3466">
        <f>0.006165*F3466^2</f>
        <v>0.6165</v>
      </c>
      <c r="V3466" t="str">
        <v>x</v>
      </c>
      <c r="W3466">
        <f>IF(D3448-MAX(D3448/4,2*G3446)*2&gt;0,ROUND((D3448-MAX(D3448/4,2*G3446)*2)/H3466,0),0)</f>
        <v>13</v>
      </c>
      <c r="X3466" t="str">
        <v>x</v>
      </c>
      <c r="Y3466">
        <f>D3451</f>
        <v>1</v>
      </c>
      <c r="Z3466" t="str">
        <v>=</v>
      </c>
      <c r="AA3466">
        <f>N3466*U3466*W3466*Y3466</f>
        <v>8.254935000000001</v>
      </c>
    </row>
    <row r="3467">
      <c r="A3467" t="str">
        <f>A3445</f>
        <v>Lantai 2</v>
      </c>
      <c r="B3467">
        <f>B3445</f>
        <v>28</v>
      </c>
      <c r="C3467" t="str">
        <v>Sengkang Tumpuan</v>
      </c>
      <c r="D3467">
        <f>VLOOKUP(D3445,'Detail Balok'!$C$10:$AU$140,41,FALSE)</f>
        <v>0</v>
      </c>
      <c r="E3467" t="str">
        <v>D</v>
      </c>
      <c r="F3467">
        <f>VLOOKUP(D3445,'Detail Balok'!$C$10:$AU$140,43,FALSE)</f>
        <v>10</v>
      </c>
      <c r="G3467" t="str">
        <v>-</v>
      </c>
      <c r="H3467">
        <f>VLOOKUP(D3445,'Detail Balok'!$C$10:$AU$140,45,FALSE)</f>
        <v>100</v>
      </c>
      <c r="J3467">
        <f>(IF(D3467=0,(2*(D3446+G3446))-(F$5*8),IF(D3467=3,(2*(D3446+G3446))-(F$5*8)+(G3446-2*F$5),IF(D3467=4,(2*(D3446+G3446))-(F$5*8)+2*(G3446-2*F$5)))))/1000</f>
        <v>0.88</v>
      </c>
      <c r="K3467" t="str">
        <v>+</v>
      </c>
      <c r="L3467">
        <f>IF(D3467=0,2*MAX(6*F3467,75),(D3467-1)*2*MAX(6*F3467,75))/1000</f>
        <v>0.15</v>
      </c>
      <c r="M3467" t="str">
        <v>=</v>
      </c>
      <c r="N3467">
        <f>J3467+L3467</f>
        <v>1.03</v>
      </c>
      <c r="T3467" t="str">
        <v>x</v>
      </c>
      <c r="U3467">
        <f>0.006165*F3467^2</f>
        <v>0.6165</v>
      </c>
      <c r="V3467" t="str">
        <v>x</v>
      </c>
      <c r="W3467">
        <f>IF(D3448&gt;4*G3446,ROUND(MAX(D3448/4,2*G3446)/H3467,0)+1,0)</f>
        <v>14</v>
      </c>
      <c r="X3467" t="str">
        <v>x</v>
      </c>
      <c r="Y3467">
        <f>D3451</f>
        <v>1</v>
      </c>
      <c r="Z3467" t="str">
        <v>=</v>
      </c>
      <c r="AA3467">
        <f>N3467*U3467*W3467*Y3467</f>
        <v>8.889930000000001</v>
      </c>
    </row>
    <row r="3469">
      <c r="A3469" t="str">
        <f>A3445</f>
        <v>Lantai 2</v>
      </c>
      <c r="B3469">
        <f>B3445</f>
        <v>28</v>
      </c>
      <c r="C3469" t="str">
        <v>Kait Horizontal Tump.</v>
      </c>
      <c r="D3469">
        <f>VLOOKUP(D3445,'Detail Balok'!$C$10:$BJ$140,46,FALSE)</f>
        <v>0</v>
      </c>
      <c r="E3469" t="str">
        <v>D</v>
      </c>
      <c r="F3469">
        <f>VLOOKUP(D3445,'Detail Balok'!$C$10:$BJ$140,48,FALSE)</f>
        <v>0</v>
      </c>
      <c r="G3469" t="str">
        <v>-</v>
      </c>
      <c r="H3469">
        <f>VLOOKUP(D3445,'Detail Balok'!$C$10:$BJ$140,50,FALSE)</f>
        <v>100</v>
      </c>
      <c r="J3469">
        <f>(D3446-2*F$5)/1000</f>
        <v>0.12</v>
      </c>
      <c r="K3469" t="str">
        <v>+</v>
      </c>
      <c r="L3469">
        <f>IF(D3469=0,2*MAX(6*F3469,75),(D3469-1)*2*MAX(6*F3469,75))/1000</f>
        <v>0.15</v>
      </c>
      <c r="M3469" t="str">
        <v>=</v>
      </c>
      <c r="N3469">
        <f>J3469+L3469</f>
        <v>0.27</v>
      </c>
      <c r="T3469" t="str">
        <v>x</v>
      </c>
      <c r="U3469">
        <f>0.006165*F3469^2</f>
        <v>0</v>
      </c>
      <c r="V3469" t="str">
        <v>x</v>
      </c>
      <c r="W3469">
        <f>W3465</f>
        <v>14</v>
      </c>
      <c r="X3469" t="str">
        <v>x</v>
      </c>
      <c r="Y3469">
        <f>D3455</f>
        <v>3</v>
      </c>
      <c r="Z3469" t="str">
        <v>=</v>
      </c>
      <c r="AA3469">
        <f>N3469*U3469*W3469*Y3469</f>
        <v>0</v>
      </c>
    </row>
    <row r="3470">
      <c r="A3470" t="str">
        <f>A3445</f>
        <v>Lantai 2</v>
      </c>
      <c r="B3470">
        <f>B3445</f>
        <v>28</v>
      </c>
      <c r="C3470" t="str">
        <v>Kait Horizontal Lap.</v>
      </c>
      <c r="D3470">
        <f>VLOOKUP(D3445,'Detail Balok'!$C$10:$BJ$140,51,FALSE)</f>
        <v>0</v>
      </c>
      <c r="E3470" t="str">
        <v>D</v>
      </c>
      <c r="F3470">
        <f>VLOOKUP(D3445,'Detail Balok'!$C$10:$BJ$140,53,FALSE)</f>
        <v>0</v>
      </c>
      <c r="G3470" t="str">
        <v>-</v>
      </c>
      <c r="H3470">
        <f>VLOOKUP(D3445,'Detail Balok'!$C$10:$BJ$140,55,FALSE)</f>
        <v>100</v>
      </c>
      <c r="J3470">
        <f>(D3446-2*F$5)/1000</f>
        <v>0.12</v>
      </c>
      <c r="K3470" t="str">
        <v>+</v>
      </c>
      <c r="L3470">
        <f>IF(D3470=0,2*MAX(6*F3470,75),(D3470-1)*2*MAX(6*F3470,75))/1000</f>
        <v>0.15</v>
      </c>
      <c r="M3470" t="str">
        <v>=</v>
      </c>
      <c r="N3470">
        <f>J3470+L3470</f>
        <v>0.27</v>
      </c>
      <c r="T3470" t="str">
        <v>x</v>
      </c>
      <c r="U3470">
        <f>0.006165*F3470^2</f>
        <v>0</v>
      </c>
      <c r="V3470" t="str">
        <v>x</v>
      </c>
      <c r="W3470">
        <f>W3466</f>
        <v>13</v>
      </c>
      <c r="X3470" t="str">
        <v>x</v>
      </c>
      <c r="Y3470">
        <f>D3455</f>
        <v>3</v>
      </c>
      <c r="Z3470" t="str">
        <v>=</v>
      </c>
      <c r="AA3470">
        <f>N3470*U3470*W3470*Y3470</f>
        <v>0</v>
      </c>
    </row>
    <row r="3471">
      <c r="A3471" t="str">
        <f>A3445</f>
        <v>Lantai 2</v>
      </c>
      <c r="B3471">
        <f>B3445</f>
        <v>28</v>
      </c>
      <c r="C3471" t="str">
        <v>Kait Horizontal Tump.</v>
      </c>
      <c r="D3471">
        <f>VLOOKUP(D3445,'Detail Balok'!$C$10:$BJ$140,56,FALSE)</f>
        <v>0</v>
      </c>
      <c r="E3471" t="str">
        <v>D</v>
      </c>
      <c r="F3471">
        <f>VLOOKUP(D3445,'Detail Balok'!$C$10:$BJ$140,58,FALSE)</f>
        <v>0</v>
      </c>
      <c r="G3471" t="str">
        <v>-</v>
      </c>
      <c r="H3471">
        <f>VLOOKUP(D3445,'Detail Balok'!$C$10:$BJ$140,60,FALSE)</f>
        <v>100</v>
      </c>
      <c r="J3471">
        <f>(D3446-2*F$5)/1000</f>
        <v>0.12</v>
      </c>
      <c r="K3471" t="str">
        <v>+</v>
      </c>
      <c r="L3471">
        <f>IF(D3471=0,2*MAX(6*F3471,75),(D3471-1)*2*MAX(6*F3471,75))/1000</f>
        <v>0.15</v>
      </c>
      <c r="M3471" t="str">
        <v>=</v>
      </c>
      <c r="N3471">
        <f>J3471+L3471</f>
        <v>0.27</v>
      </c>
      <c r="T3471" t="str">
        <v>x</v>
      </c>
      <c r="U3471">
        <f>0.006165*F3471^2</f>
        <v>0</v>
      </c>
      <c r="V3471" t="str">
        <v>x</v>
      </c>
      <c r="W3471">
        <f>W3467</f>
        <v>14</v>
      </c>
      <c r="X3471" t="str">
        <v>x</v>
      </c>
      <c r="Y3471">
        <f>D3455</f>
        <v>3</v>
      </c>
      <c r="Z3471" t="str">
        <v>=</v>
      </c>
      <c r="AA3471">
        <f>N3471*U3471*W3471*Y3471</f>
        <v>0</v>
      </c>
    </row>
    <row r="3475">
      <c r="A3475" t="str">
        <f>A3445</f>
        <v>Lantai 2</v>
      </c>
      <c r="B3475">
        <f>B3445+1</f>
        <v>29</v>
      </c>
      <c r="C3475" t="str">
        <f>CONCATENATE(A3475," no. ",B3475)</f>
        <v>Lantai 2 no. 29</v>
      </c>
      <c r="D3475" t="str">
        <f>VLOOKUP(C3475,'Data Panjang Balok'!$C$9:$N$254,2,FALSE)</f>
        <v>B23-1</v>
      </c>
    </row>
    <row r="3476">
      <c r="C3476" t="str">
        <v>Dimensi</v>
      </c>
      <c r="D3476">
        <f>VLOOKUP(D3475,'Detail Balok'!$C$10:$AU$140,2,FALSE)</f>
        <v>200</v>
      </c>
      <c r="F3476" t="str">
        <v>x</v>
      </c>
      <c r="G3476">
        <f>VLOOKUP(D3475,'Detail Balok'!$C$10:$AU$140,3,FALSE)</f>
        <v>300</v>
      </c>
    </row>
    <row r="3477">
      <c r="C3477" t="str">
        <v>Panjang as ke as</v>
      </c>
      <c r="D3477">
        <f>VLOOKUP(C3475,'Data Panjang Balok'!$C$9:$N$254,4,FALSE)</f>
        <v>3075</v>
      </c>
    </row>
    <row r="3478">
      <c r="C3478" t="str">
        <v>Panjang netto</v>
      </c>
      <c r="D3478">
        <f>VLOOKUP(C3475,'Data Panjang Balok'!$C$9:$N$254,7,FALSE)</f>
        <v>3075</v>
      </c>
    </row>
    <row r="3479">
      <c r="C3479" t="str">
        <v>Kolom / balok kiri</v>
      </c>
      <c r="D3479">
        <f>VLOOKUP(C3475,'Data Panjang Balok'!$C$9:$N$254,9,FALSE)</f>
        <v>0</v>
      </c>
    </row>
    <row r="3480">
      <c r="C3480" t="str">
        <v>Kolom / balok kanan</v>
      </c>
      <c r="D3480">
        <f>VLOOKUP(C3475,'Data Panjang Balok'!$C$9:$N$254,10,FALSE)</f>
        <v>0</v>
      </c>
    </row>
    <row r="3481">
      <c r="C3481" t="str">
        <v>Jumlah</v>
      </c>
      <c r="D3481">
        <f>VLOOKUP(C3475,'Data Panjang Balok'!$C$9:$N$254,3,FALSE)</f>
        <v>1</v>
      </c>
    </row>
    <row r="3482">
      <c r="A3482" t="str">
        <f>A3475</f>
        <v>Lantai 2</v>
      </c>
      <c r="B3482">
        <f>B3475</f>
        <v>29</v>
      </c>
      <c r="C3482" t="str">
        <v>Tul Atas Tumpuan</v>
      </c>
      <c r="D3482">
        <f>VLOOKUP(D3475,'Detail Balok'!$C$10:$AU$140,4,FALSE)</f>
        <v>3</v>
      </c>
      <c r="E3482" t="str">
        <v>D</v>
      </c>
      <c r="F3482">
        <f>VLOOKUP(D3475,'Detail Balok'!$C$10:$AU$140,6,FALSE)</f>
        <v>13</v>
      </c>
      <c r="I3482" t="str">
        <v>(</v>
      </c>
      <c r="J3482">
        <f>+D3477/4/1000</f>
        <v>0.76875</v>
      </c>
      <c r="K3482" t="str">
        <v>+</v>
      </c>
      <c r="L3482">
        <f>MAX(VLOOKUP(F3482,N$6:P$15,3,FALSE)/1000,2/3*D3479/1000)+F$16*F3482/1000</f>
        <v>0.156</v>
      </c>
      <c r="M3482" t="str">
        <v>=</v>
      </c>
      <c r="N3482">
        <f>J3482+L3482</f>
        <v>0.9247500000000001</v>
      </c>
      <c r="O3482" t="str">
        <v>+</v>
      </c>
      <c r="P3482">
        <f>D3482-D3483</f>
        <v>0</v>
      </c>
      <c r="Q3482" t="str">
        <v>x</v>
      </c>
      <c r="R3482">
        <f>IF(P3482&gt;0,$F$18*F3482/1000,0)</f>
        <v>0</v>
      </c>
      <c r="S3482" t="str">
        <v>)</v>
      </c>
      <c r="T3482" t="str">
        <v>x</v>
      </c>
      <c r="U3482">
        <f>0.006165*F3482^2</f>
        <v>1.041885</v>
      </c>
      <c r="X3482" t="str">
        <v>x</v>
      </c>
      <c r="Y3482">
        <f>D3481</f>
        <v>1</v>
      </c>
      <c r="Z3482" t="str">
        <v>=</v>
      </c>
      <c r="AA3482">
        <f>IF(AA3485=0,(D3482*N3482+P3482*R3482)*U3482*Y3482,0)</f>
        <v>0</v>
      </c>
    </row>
    <row r="3483">
      <c r="A3483" t="str">
        <f>A3475</f>
        <v>Lantai 2</v>
      </c>
      <c r="B3483">
        <f>B3475</f>
        <v>29</v>
      </c>
      <c r="C3483" t="str">
        <v>Tul Atas Lapangan</v>
      </c>
      <c r="D3483">
        <f>VLOOKUP(D3475,'Detail Balok'!$C$10:$AU$140,7,FALSE)</f>
        <v>3</v>
      </c>
      <c r="E3483" t="str">
        <v>D</v>
      </c>
      <c r="F3483">
        <f>VLOOKUP(D3475,'Detail Balok'!$C$10:$AU$140,9,FALSE)</f>
        <v>13</v>
      </c>
      <c r="I3483" t="str">
        <v>(</v>
      </c>
      <c r="J3483">
        <f>+D3477/2/1000</f>
        <v>1.5375</v>
      </c>
      <c r="K3483" t="str">
        <v>+</v>
      </c>
      <c r="M3483" t="str">
        <v>=</v>
      </c>
      <c r="N3483">
        <f>J3483+L3483</f>
        <v>1.5375</v>
      </c>
      <c r="O3483" t="str">
        <v>+</v>
      </c>
      <c r="P3483">
        <f>MAX(D3483-D3482,D3483-D3484)</f>
        <v>0</v>
      </c>
      <c r="Q3483" t="str">
        <v>x</v>
      </c>
      <c r="R3483">
        <f>IF(P3483&gt;0,2*(1-2*$F$19-1/2)*D3478/1000,0)</f>
        <v>0</v>
      </c>
      <c r="S3483" t="str">
        <v>)</v>
      </c>
      <c r="T3483" t="str">
        <v>x</v>
      </c>
      <c r="U3483">
        <f>0.006165*F3483^2</f>
        <v>1.041885</v>
      </c>
      <c r="X3483" t="str">
        <v>x</v>
      </c>
      <c r="Y3483">
        <f>D3481</f>
        <v>1</v>
      </c>
      <c r="Z3483" t="str">
        <v>=</v>
      </c>
      <c r="AA3483">
        <f>IF(AA3485=0,(D3483*N3483+P3483*R3483)*U3483*Y3483,0)</f>
        <v>0</v>
      </c>
    </row>
    <row r="3484">
      <c r="A3484" t="str">
        <f>A3475</f>
        <v>Lantai 2</v>
      </c>
      <c r="B3484">
        <f>B3475</f>
        <v>29</v>
      </c>
      <c r="C3484" t="str">
        <v>Tul Atas Tumpuan</v>
      </c>
      <c r="D3484">
        <f>VLOOKUP(D3475,'Detail Balok'!$C$10:$AU$140,10,FALSE)</f>
        <v>3</v>
      </c>
      <c r="E3484" t="str">
        <v>D</v>
      </c>
      <c r="F3484">
        <f>VLOOKUP(D3475,'Detail Balok'!$C$10:$AU$140,12,FALSE)</f>
        <v>13</v>
      </c>
      <c r="I3484" t="str">
        <v>(</v>
      </c>
      <c r="J3484">
        <f>+D3477/4/1000</f>
        <v>0.76875</v>
      </c>
      <c r="K3484" t="str">
        <v>+</v>
      </c>
      <c r="L3484">
        <f>MAX(VLOOKUP(F3484,N$6:P$15,3,FALSE)/1000,2/3*D3479/1000)+F$16*F3484/1000</f>
        <v>0.156</v>
      </c>
      <c r="M3484" t="str">
        <v>=</v>
      </c>
      <c r="N3484">
        <f>J3484+L3484</f>
        <v>0.9247500000000001</v>
      </c>
      <c r="O3484" t="str">
        <v>+</v>
      </c>
      <c r="P3484">
        <f>D3484-D3483</f>
        <v>0</v>
      </c>
      <c r="Q3484" t="str">
        <v>x</v>
      </c>
      <c r="R3484">
        <f>IF(P3484&gt;0,$F$18*F3484/1000,0)</f>
        <v>0</v>
      </c>
      <c r="S3484" t="str">
        <v>)</v>
      </c>
      <c r="T3484" t="str">
        <v>x</v>
      </c>
      <c r="U3484">
        <f>0.006165*F3484^2</f>
        <v>1.041885</v>
      </c>
      <c r="X3484" t="str">
        <v>x</v>
      </c>
      <c r="Y3484">
        <f>D3481</f>
        <v>1</v>
      </c>
      <c r="Z3484" t="str">
        <v>=</v>
      </c>
      <c r="AA3484">
        <f>IF(AA3485=0,(D3484*N3484+P3484*R3484)*U3484*Y3484,0)</f>
        <v>0</v>
      </c>
    </row>
    <row r="3485">
      <c r="A3485" t="str">
        <f>A3475</f>
        <v>Lantai 2</v>
      </c>
      <c r="B3485">
        <f>B3475</f>
        <v>29</v>
      </c>
      <c r="D3485">
        <f>IF(AND(D3482=D3483,D3483=D3484,D3482=D3484),D3482,0)</f>
        <v>3</v>
      </c>
      <c r="E3485" t="str">
        <v>D</v>
      </c>
      <c r="F3485">
        <f>IF(AND(F3482=F3483,F3482=F3484,F3483=F3484),F3482,0)</f>
        <v>13</v>
      </c>
      <c r="L3485" t="str">
        <v>Total panjang per balok</v>
      </c>
      <c r="M3485" t="str">
        <v>=</v>
      </c>
      <c r="N3485">
        <f>IF(AND(D3482=D3483,D3482=D3484,D3483=D3484,F3482=F3483,F3482=F3484,F3483=F3484),SUM(N3482:N3484),0)</f>
        <v>3.387</v>
      </c>
      <c r="O3485" t="str">
        <v>+</v>
      </c>
      <c r="P3485">
        <f>IF(N3485&gt;12,ROUNDDOWN(N3485/12,0),0)</f>
        <v>0</v>
      </c>
      <c r="Q3485" t="str">
        <v>x</v>
      </c>
      <c r="R3485">
        <f>IF(P3485&gt;0,MAX(VLOOKUP(F3485,$D$6:$G$15,3,FALSE),600),0)/1000</f>
        <v>0</v>
      </c>
      <c r="T3485" t="str">
        <v>x</v>
      </c>
      <c r="U3485">
        <f>U3484</f>
        <v>1.041885</v>
      </c>
      <c r="V3485" t="str">
        <v>x</v>
      </c>
      <c r="W3485">
        <f>D3485</f>
        <v>3</v>
      </c>
      <c r="X3485" t="str">
        <v>x</v>
      </c>
      <c r="Y3485">
        <f>Y3484</f>
        <v>1</v>
      </c>
      <c r="Z3485" t="str">
        <v>=</v>
      </c>
      <c r="AA3485">
        <f>(N3485+P3485*R3485/1000)*U3485*W3485*Y3485</f>
        <v>10.586593484999998</v>
      </c>
    </row>
    <row r="3487">
      <c r="A3487" t="str">
        <f>A3475</f>
        <v>Lantai 2</v>
      </c>
      <c r="B3487">
        <f>B3475</f>
        <v>29</v>
      </c>
      <c r="C3487" t="str">
        <v>Tul Peminggang</v>
      </c>
      <c r="D3487">
        <f>VLOOKUP(D3475,'Detail Balok'!$C$10:$AU$140,13,FALSE)</f>
        <v>0</v>
      </c>
      <c r="E3487" t="str">
        <v>D</v>
      </c>
      <c r="F3487">
        <f>VLOOKUP(D3475,'Detail Balok'!$C$10:$AU$140,15,FALSE)</f>
        <v>8</v>
      </c>
      <c r="J3487">
        <f>+D3477/1000</f>
        <v>3.075</v>
      </c>
      <c r="K3487" t="str">
        <v>+</v>
      </c>
      <c r="L3487">
        <f>2*$F$16*F3487/1000</f>
        <v>0.192</v>
      </c>
      <c r="M3487" t="str">
        <v>=</v>
      </c>
      <c r="N3487">
        <f>J3487+L3487</f>
        <v>3.2670000000000003</v>
      </c>
      <c r="O3487" t="str">
        <v>+</v>
      </c>
      <c r="P3487">
        <f>IF(N3487&gt;12,ROUNDDOWN(N3487/12,0),0)</f>
        <v>0</v>
      </c>
      <c r="Q3487" t="str">
        <v>x</v>
      </c>
      <c r="R3487">
        <f>IF(P3487&gt;0,MAX(VLOOKUP(F3487,$D$6:$G$15,3,FALSE),600),0)/1000</f>
        <v>0</v>
      </c>
      <c r="T3487" t="str">
        <v>x</v>
      </c>
      <c r="U3487">
        <f>0.006165*F3487^2</f>
        <v>0.39456</v>
      </c>
      <c r="V3487" t="str">
        <v>x</v>
      </c>
      <c r="W3487">
        <f>+D3487</f>
        <v>0</v>
      </c>
      <c r="X3487" t="str">
        <v>x</v>
      </c>
      <c r="Y3487">
        <f>D3481</f>
        <v>1</v>
      </c>
      <c r="Z3487" t="str">
        <v>=</v>
      </c>
      <c r="AA3487">
        <f>(N3487+P3487*R3487/1000)*U3487*W3487*Y3487</f>
        <v>0</v>
      </c>
    </row>
    <row r="3490">
      <c r="A3490" t="str">
        <f>A3475</f>
        <v>Lantai 2</v>
      </c>
      <c r="B3490">
        <f>B3475</f>
        <v>29</v>
      </c>
      <c r="C3490" t="str">
        <v>Tul Bawah Tumpuan</v>
      </c>
      <c r="D3490">
        <f>VLOOKUP(D3475,'Detail Balok'!$C$10:$AU$140,22,FALSE)</f>
        <v>3</v>
      </c>
      <c r="E3490" t="str">
        <v>D</v>
      </c>
      <c r="F3490">
        <f>VLOOKUP(D3475,'Detail Balok'!$C$10:$AU$140,24,FALSE)</f>
        <v>13</v>
      </c>
      <c r="I3490" t="str">
        <v>(</v>
      </c>
      <c r="J3490">
        <f>+J3482</f>
        <v>0.76875</v>
      </c>
      <c r="K3490" t="str">
        <v>+</v>
      </c>
      <c r="L3490">
        <f>MAX(VLOOKUP(F3490,N$6:P$15,3,FALSE)/1000,2/3*D3480/1000)+F$16*F3490/1000</f>
        <v>0.156</v>
      </c>
      <c r="M3490" t="str">
        <v>=</v>
      </c>
      <c r="N3490">
        <f>J3490+L3490</f>
        <v>0.9247500000000001</v>
      </c>
      <c r="O3490" t="str">
        <v>+</v>
      </c>
      <c r="P3490">
        <f>D3490-D3491</f>
        <v>0</v>
      </c>
      <c r="Q3490" t="str">
        <v>x</v>
      </c>
      <c r="R3490">
        <f>IF(P3490&gt;0,$F$18*F3490/1000,0)</f>
        <v>0</v>
      </c>
      <c r="S3490" t="str">
        <v>)</v>
      </c>
      <c r="T3490" t="str">
        <v>x</v>
      </c>
      <c r="U3490">
        <f>0.006165*F3490^2</f>
        <v>1.041885</v>
      </c>
      <c r="X3490" t="str">
        <v>x</v>
      </c>
      <c r="Y3490">
        <f>D3481</f>
        <v>1</v>
      </c>
      <c r="Z3490" t="str">
        <v>=</v>
      </c>
      <c r="AA3490">
        <f>IF(AA3493=0,(D3490*N3490+P3490*R3490)*U3490*Y3490,0)</f>
        <v>0</v>
      </c>
    </row>
    <row r="3491">
      <c r="A3491" t="str">
        <f>A3475</f>
        <v>Lantai 2</v>
      </c>
      <c r="B3491">
        <f>B3475</f>
        <v>29</v>
      </c>
      <c r="C3491" t="str">
        <v>Tul Bawah Lapangan</v>
      </c>
      <c r="D3491">
        <f>VLOOKUP(D3475,'Detail Balok'!$C$10:$AU$140,25,FALSE)</f>
        <v>3</v>
      </c>
      <c r="E3491" t="str">
        <v>D</v>
      </c>
      <c r="F3491">
        <f>VLOOKUP(D3475,'Detail Balok'!$C$10:$AU$140,27,FALSE)</f>
        <v>13</v>
      </c>
      <c r="I3491" t="str">
        <v>(</v>
      </c>
      <c r="J3491">
        <f>+J3483</f>
        <v>1.5375</v>
      </c>
      <c r="K3491" t="str">
        <v>+</v>
      </c>
      <c r="M3491" t="str">
        <v>=</v>
      </c>
      <c r="N3491">
        <f>J3491+L3491</f>
        <v>1.5375</v>
      </c>
      <c r="O3491" t="str">
        <v>+</v>
      </c>
      <c r="P3491">
        <f>MAX(D3491-D3490,D3491-D3492)</f>
        <v>0</v>
      </c>
      <c r="Q3491" t="str">
        <v>x</v>
      </c>
      <c r="R3491">
        <f>IF(P3491&gt;0,2*(1-2*$F$19-1/2)*D3478/1000,0)</f>
        <v>0</v>
      </c>
      <c r="S3491" t="str">
        <v>)</v>
      </c>
      <c r="T3491" t="str">
        <v>x</v>
      </c>
      <c r="U3491">
        <f>0.006165*F3491^2</f>
        <v>1.041885</v>
      </c>
      <c r="X3491" t="str">
        <v>x</v>
      </c>
      <c r="Y3491">
        <f>D3481</f>
        <v>1</v>
      </c>
      <c r="Z3491" t="str">
        <v>=</v>
      </c>
      <c r="AA3491">
        <f>IF(AA3493=0,(D3491*N3491+P3491*R3491)*U3491*Y3491,0)</f>
        <v>0</v>
      </c>
    </row>
    <row r="3492">
      <c r="A3492" t="str">
        <f>A3475</f>
        <v>Lantai 2</v>
      </c>
      <c r="B3492">
        <f>B3475</f>
        <v>29</v>
      </c>
      <c r="C3492" t="str">
        <v>Tul Bawah Tumpuan</v>
      </c>
      <c r="D3492">
        <f>VLOOKUP(D3475,'Detail Balok'!$C$10:$AU$140,28,FALSE)</f>
        <v>3</v>
      </c>
      <c r="E3492" t="str">
        <v>D</v>
      </c>
      <c r="F3492">
        <f>VLOOKUP(D3475,'Detail Balok'!$C$10:$AU$140,30,FALSE)</f>
        <v>13</v>
      </c>
      <c r="I3492" t="str">
        <v>(</v>
      </c>
      <c r="J3492">
        <f>+J3484</f>
        <v>0.76875</v>
      </c>
      <c r="K3492" t="str">
        <v>+</v>
      </c>
      <c r="L3492">
        <f>MAX(VLOOKUP(F3492,N$6:P$15,3,FALSE)/1000,2/3*D3480/1000)+F$16*F3492/1000</f>
        <v>0.156</v>
      </c>
      <c r="M3492" t="str">
        <v>=</v>
      </c>
      <c r="N3492">
        <f>J3492+L3492</f>
        <v>0.9247500000000001</v>
      </c>
      <c r="O3492" t="str">
        <v>+</v>
      </c>
      <c r="P3492">
        <f>D3492-D3491</f>
        <v>0</v>
      </c>
      <c r="Q3492" t="str">
        <v>x</v>
      </c>
      <c r="R3492">
        <f>IF(P3492&gt;0,$F$18*F3492/1000,0)</f>
        <v>0</v>
      </c>
      <c r="S3492" t="str">
        <v>)</v>
      </c>
      <c r="T3492" t="str">
        <v>x</v>
      </c>
      <c r="U3492">
        <f>0.006165*F3492^2</f>
        <v>1.041885</v>
      </c>
      <c r="X3492" t="str">
        <v>x</v>
      </c>
      <c r="Y3492">
        <f>D3481</f>
        <v>1</v>
      </c>
      <c r="Z3492" t="str">
        <v>=</v>
      </c>
      <c r="AA3492">
        <f>IF(AA3493=0,(D3492*N3492+P3492*R3492)*U3492*Y3492,0)</f>
        <v>0</v>
      </c>
    </row>
    <row r="3493">
      <c r="A3493" t="str">
        <f>A3475</f>
        <v>Lantai 2</v>
      </c>
      <c r="B3493">
        <f>B3475</f>
        <v>29</v>
      </c>
      <c r="D3493">
        <f>IF(AND(D3490=D3491,D3491=D3492,D3490=D3492),D3490,0)</f>
        <v>3</v>
      </c>
      <c r="E3493" t="str">
        <v>D</v>
      </c>
      <c r="F3493">
        <f>IF(AND(F3490=F3491,F3490=F3492,F3491=F3492),F3490,0)</f>
        <v>13</v>
      </c>
      <c r="L3493" t="str">
        <v>Total panjang per balok</v>
      </c>
      <c r="M3493" t="str">
        <v>=</v>
      </c>
      <c r="N3493">
        <f>IF(AND(D3490=D3491,D3490=D3492,D3491=D3492,F3490=F3491,F3490=F3492,F3491=F3492),SUM(N3490:N3492),0)</f>
        <v>3.387</v>
      </c>
      <c r="O3493" t="str">
        <v>+</v>
      </c>
      <c r="P3493">
        <f>IF(N3493&gt;12,ROUNDDOWN(N3493/12,0),0)</f>
        <v>0</v>
      </c>
      <c r="Q3493" t="str">
        <v>x</v>
      </c>
      <c r="R3493">
        <f>IF(P3493&gt;0,MAX(VLOOKUP(F3493,$D$6:$G$15,3,FALSE),600),0)/1000</f>
        <v>0</v>
      </c>
      <c r="T3493" t="str">
        <v>x</v>
      </c>
      <c r="U3493">
        <f>U3492</f>
        <v>1.041885</v>
      </c>
      <c r="V3493" t="str">
        <v>x</v>
      </c>
      <c r="W3493">
        <f>D3493</f>
        <v>3</v>
      </c>
      <c r="X3493" t="str">
        <v>x</v>
      </c>
      <c r="Y3493">
        <f>Y3492</f>
        <v>1</v>
      </c>
      <c r="Z3493" t="str">
        <v>=</v>
      </c>
      <c r="AA3493">
        <f>(N3493+P3493*R3493/1000)*U3493*W3493*Y3493</f>
        <v>10.586593484999998</v>
      </c>
    </row>
    <row r="3495">
      <c r="A3495" t="str">
        <f>A3475</f>
        <v>Lantai 2</v>
      </c>
      <c r="B3495">
        <f>B3475</f>
        <v>29</v>
      </c>
      <c r="C3495" t="str">
        <v>Sengkang Tumpuan</v>
      </c>
      <c r="D3495">
        <f>VLOOKUP(D3475,'Detail Balok'!$C$10:$AU$140,31,FALSE)</f>
        <v>0</v>
      </c>
      <c r="E3495" t="str">
        <v>D</v>
      </c>
      <c r="F3495">
        <f>VLOOKUP(D3475,'Detail Balok'!$C$10:$AU$140,33,FALSE)</f>
        <v>10</v>
      </c>
      <c r="G3495" t="str">
        <v>-</v>
      </c>
      <c r="H3495">
        <f>VLOOKUP(D3475,'Detail Balok'!$C$10:$AU$140,35,FALSE)</f>
        <v>100</v>
      </c>
      <c r="J3495">
        <f>(IF(D3495=0,(2*(D3476+G3476))-(F$5*8),IF(D3495=3,(2*(D3476+G3476))-(F$5*8)+(G3476-2*F$5),IF(D3495=4,(2*(D3476+G3476))-(F$5*8)+2*(G3476-2*F$5)))))/1000</f>
        <v>0.68</v>
      </c>
      <c r="K3495" t="str">
        <v>+</v>
      </c>
      <c r="L3495">
        <f>IF(D3495=0,2*MAX(6*F3495,75),(D3495-1)*2*MAX(6*F3495,75))/1000</f>
        <v>0.15</v>
      </c>
      <c r="M3495" t="str">
        <v>=</v>
      </c>
      <c r="N3495">
        <f>J3495+L3495</f>
        <v>0.8300000000000001</v>
      </c>
      <c r="T3495" t="str">
        <v>x</v>
      </c>
      <c r="U3495">
        <f>0.006165*F3495^2</f>
        <v>0.6165</v>
      </c>
      <c r="V3495" t="str">
        <v>x</v>
      </c>
      <c r="W3495">
        <f>IF(D3478&gt;4*G3476,ROUND(MAX(D3478/4,2*G3476)/H3495,0)+1,ROUND(D3478/H3495,0)+1)</f>
        <v>9</v>
      </c>
      <c r="X3495" t="str">
        <v>x</v>
      </c>
      <c r="Y3495">
        <f>D3481</f>
        <v>1</v>
      </c>
      <c r="Z3495" t="str">
        <v>=</v>
      </c>
      <c r="AA3495">
        <f>N3495*U3495*W3495*Y3495</f>
        <v>4.605255000000001</v>
      </c>
    </row>
    <row r="3496">
      <c r="A3496" t="str">
        <f>A3475</f>
        <v>Lantai 2</v>
      </c>
      <c r="B3496">
        <f>B3475</f>
        <v>29</v>
      </c>
      <c r="C3496" t="str">
        <v>Sengkang Lapangan</v>
      </c>
      <c r="D3496">
        <f>VLOOKUP(D3475,'Detail Balok'!$C$10:$AU$140,36,FALSE)</f>
        <v>0</v>
      </c>
      <c r="E3496" t="str">
        <v>D</v>
      </c>
      <c r="F3496">
        <f>VLOOKUP(D3475,'Detail Balok'!$C$10:$AU$140,38,FALSE)</f>
        <v>10</v>
      </c>
      <c r="G3496" t="str">
        <v>-</v>
      </c>
      <c r="H3496">
        <f>VLOOKUP(D3475,'Detail Balok'!$C$10:$AU$140,40,FALSE)</f>
        <v>200</v>
      </c>
      <c r="J3496">
        <f>(IF(D3496=0,(2*(D3476+G3476))-(F$5*8),IF(D3496=3,(2*(D3476+G3476))-(F$5*8)+(G3476-2*F$5),IF(D3496=4,(2*(D3476+G3476))-(F$5*8)+2*(G3476-2*F$5)))))/1000</f>
        <v>0.68</v>
      </c>
      <c r="K3496" t="str">
        <v>+</v>
      </c>
      <c r="L3496">
        <f>IF(D3496=0,2*MAX(6*F3496,75),(D3496-1)*2*MAX(6*F3496,75))/1000</f>
        <v>0.15</v>
      </c>
      <c r="M3496" t="str">
        <v>=</v>
      </c>
      <c r="N3496">
        <f>J3496+L3496</f>
        <v>0.8300000000000001</v>
      </c>
      <c r="T3496" t="str">
        <v>x</v>
      </c>
      <c r="U3496">
        <f>0.006165*F3496^2</f>
        <v>0.6165</v>
      </c>
      <c r="V3496" t="str">
        <v>x</v>
      </c>
      <c r="W3496">
        <f>IF(D3478-MAX(D3478/4,2*G3476)*2&gt;0,ROUND((D3478-MAX(D3478/4,2*G3476)*2)/H3496,0),0)</f>
        <v>8</v>
      </c>
      <c r="X3496" t="str">
        <v>x</v>
      </c>
      <c r="Y3496">
        <f>D3481</f>
        <v>1</v>
      </c>
      <c r="Z3496" t="str">
        <v>=</v>
      </c>
      <c r="AA3496">
        <f>N3496*U3496*W3496*Y3496</f>
        <v>4.093560000000001</v>
      </c>
    </row>
    <row r="3497">
      <c r="A3497" t="str">
        <f>A3475</f>
        <v>Lantai 2</v>
      </c>
      <c r="B3497">
        <f>B3475</f>
        <v>29</v>
      </c>
      <c r="C3497" t="str">
        <v>Sengkang Tumpuan</v>
      </c>
      <c r="D3497">
        <f>VLOOKUP(D3475,'Detail Balok'!$C$10:$AU$140,41,FALSE)</f>
        <v>0</v>
      </c>
      <c r="E3497" t="str">
        <v>D</v>
      </c>
      <c r="F3497">
        <f>VLOOKUP(D3475,'Detail Balok'!$C$10:$AU$140,43,FALSE)</f>
        <v>10</v>
      </c>
      <c r="G3497" t="str">
        <v>-</v>
      </c>
      <c r="H3497">
        <f>VLOOKUP(D3475,'Detail Balok'!$C$10:$AU$140,45,FALSE)</f>
        <v>100</v>
      </c>
      <c r="J3497">
        <f>(IF(D3497=0,(2*(D3476+G3476))-(F$5*8),IF(D3497=3,(2*(D3476+G3476))-(F$5*8)+(G3476-2*F$5),IF(D3497=4,(2*(D3476+G3476))-(F$5*8)+2*(G3476-2*F$5)))))/1000</f>
        <v>0.68</v>
      </c>
      <c r="K3497" t="str">
        <v>+</v>
      </c>
      <c r="L3497">
        <f>IF(D3497=0,2*MAX(6*F3497,75),(D3497-1)*2*MAX(6*F3497,75))/1000</f>
        <v>0.15</v>
      </c>
      <c r="M3497" t="str">
        <v>=</v>
      </c>
      <c r="N3497">
        <f>J3497+L3497</f>
        <v>0.8300000000000001</v>
      </c>
      <c r="T3497" t="str">
        <v>x</v>
      </c>
      <c r="U3497">
        <f>0.006165*F3497^2</f>
        <v>0.6165</v>
      </c>
      <c r="V3497" t="str">
        <v>x</v>
      </c>
      <c r="W3497">
        <f>IF(D3478&gt;4*G3476,ROUND(MAX(D3478/4,2*G3476)/H3497,0)+1,0)</f>
        <v>9</v>
      </c>
      <c r="X3497" t="str">
        <v>x</v>
      </c>
      <c r="Y3497">
        <f>D3481</f>
        <v>1</v>
      </c>
      <c r="Z3497" t="str">
        <v>=</v>
      </c>
      <c r="AA3497">
        <f>N3497*U3497*W3497*Y3497</f>
        <v>4.605255000000001</v>
      </c>
    </row>
    <row r="3499">
      <c r="A3499" t="str">
        <f>A3475</f>
        <v>Lantai 2</v>
      </c>
      <c r="B3499">
        <f>B3475</f>
        <v>29</v>
      </c>
      <c r="C3499" t="str">
        <v>Kait Horizontal Tump.</v>
      </c>
      <c r="D3499">
        <f>VLOOKUP(D3475,'Detail Balok'!$C$10:$BJ$140,46,FALSE)</f>
        <v>0</v>
      </c>
      <c r="E3499" t="str">
        <v>D</v>
      </c>
      <c r="F3499">
        <f>VLOOKUP(D3475,'Detail Balok'!$C$10:$BJ$140,48,FALSE)</f>
        <v>0</v>
      </c>
      <c r="G3499" t="str">
        <v>-</v>
      </c>
      <c r="H3499">
        <f>VLOOKUP(D3475,'Detail Balok'!$C$10:$BJ$140,50,FALSE)</f>
        <v>100</v>
      </c>
      <c r="J3499">
        <f>(D3476-2*F$5)/1000</f>
        <v>0.12</v>
      </c>
      <c r="K3499" t="str">
        <v>+</v>
      </c>
      <c r="L3499">
        <f>IF(D3499=0,2*MAX(6*F3499,75),(D3499-1)*2*MAX(6*F3499,75))/1000</f>
        <v>0.15</v>
      </c>
      <c r="M3499" t="str">
        <v>=</v>
      </c>
      <c r="N3499">
        <f>J3499+L3499</f>
        <v>0.27</v>
      </c>
      <c r="T3499" t="str">
        <v>x</v>
      </c>
      <c r="U3499">
        <f>0.006165*F3499^2</f>
        <v>0</v>
      </c>
      <c r="V3499" t="str">
        <v>x</v>
      </c>
      <c r="W3499">
        <f>W3495</f>
        <v>9</v>
      </c>
      <c r="X3499" t="str">
        <v>x</v>
      </c>
      <c r="Y3499">
        <f>D3485</f>
        <v>3</v>
      </c>
      <c r="Z3499" t="str">
        <v>=</v>
      </c>
      <c r="AA3499">
        <f>N3499*U3499*W3499*Y3499</f>
        <v>0</v>
      </c>
    </row>
    <row r="3500">
      <c r="A3500" t="str">
        <f>A3475</f>
        <v>Lantai 2</v>
      </c>
      <c r="B3500">
        <f>B3475</f>
        <v>29</v>
      </c>
      <c r="C3500" t="str">
        <v>Kait Horizontal Lap.</v>
      </c>
      <c r="D3500">
        <f>VLOOKUP(D3475,'Detail Balok'!$C$10:$BJ$140,51,FALSE)</f>
        <v>0</v>
      </c>
      <c r="E3500" t="str">
        <v>D</v>
      </c>
      <c r="F3500">
        <f>VLOOKUP(D3475,'Detail Balok'!$C$10:$BJ$140,53,FALSE)</f>
        <v>0</v>
      </c>
      <c r="G3500" t="str">
        <v>-</v>
      </c>
      <c r="H3500">
        <f>VLOOKUP(D3475,'Detail Balok'!$C$10:$BJ$140,55,FALSE)</f>
        <v>100</v>
      </c>
      <c r="J3500">
        <f>(D3476-2*F$5)/1000</f>
        <v>0.12</v>
      </c>
      <c r="K3500" t="str">
        <v>+</v>
      </c>
      <c r="L3500">
        <f>IF(D3500=0,2*MAX(6*F3500,75),(D3500-1)*2*MAX(6*F3500,75))/1000</f>
        <v>0.15</v>
      </c>
      <c r="M3500" t="str">
        <v>=</v>
      </c>
      <c r="N3500">
        <f>J3500+L3500</f>
        <v>0.27</v>
      </c>
      <c r="T3500" t="str">
        <v>x</v>
      </c>
      <c r="U3500">
        <f>0.006165*F3500^2</f>
        <v>0</v>
      </c>
      <c r="V3500" t="str">
        <v>x</v>
      </c>
      <c r="W3500">
        <f>W3496</f>
        <v>8</v>
      </c>
      <c r="X3500" t="str">
        <v>x</v>
      </c>
      <c r="Y3500">
        <f>D3485</f>
        <v>3</v>
      </c>
      <c r="Z3500" t="str">
        <v>=</v>
      </c>
      <c r="AA3500">
        <f>N3500*U3500*W3500*Y3500</f>
        <v>0</v>
      </c>
    </row>
    <row r="3501">
      <c r="A3501" t="str">
        <f>A3475</f>
        <v>Lantai 2</v>
      </c>
      <c r="B3501">
        <f>B3475</f>
        <v>29</v>
      </c>
      <c r="C3501" t="str">
        <v>Kait Horizontal Tump.</v>
      </c>
      <c r="D3501">
        <f>VLOOKUP(D3475,'Detail Balok'!$C$10:$BJ$140,56,FALSE)</f>
        <v>0</v>
      </c>
      <c r="E3501" t="str">
        <v>D</v>
      </c>
      <c r="F3501">
        <f>VLOOKUP(D3475,'Detail Balok'!$C$10:$BJ$140,58,FALSE)</f>
        <v>0</v>
      </c>
      <c r="G3501" t="str">
        <v>-</v>
      </c>
      <c r="H3501">
        <f>VLOOKUP(D3475,'Detail Balok'!$C$10:$BJ$140,60,FALSE)</f>
        <v>100</v>
      </c>
      <c r="J3501">
        <f>(D3476-2*F$5)/1000</f>
        <v>0.12</v>
      </c>
      <c r="K3501" t="str">
        <v>+</v>
      </c>
      <c r="L3501">
        <f>IF(D3501=0,2*MAX(6*F3501,75),(D3501-1)*2*MAX(6*F3501,75))/1000</f>
        <v>0.15</v>
      </c>
      <c r="M3501" t="str">
        <v>=</v>
      </c>
      <c r="N3501">
        <f>J3501+L3501</f>
        <v>0.27</v>
      </c>
      <c r="T3501" t="str">
        <v>x</v>
      </c>
      <c r="U3501">
        <f>0.006165*F3501^2</f>
        <v>0</v>
      </c>
      <c r="V3501" t="str">
        <v>x</v>
      </c>
      <c r="W3501">
        <f>W3497</f>
        <v>9</v>
      </c>
      <c r="X3501" t="str">
        <v>x</v>
      </c>
      <c r="Y3501">
        <f>D3485</f>
        <v>3</v>
      </c>
      <c r="Z3501" t="str">
        <v>=</v>
      </c>
      <c r="AA3501">
        <f>N3501*U3501*W3501*Y3501</f>
        <v>0</v>
      </c>
    </row>
    <row r="3505">
      <c r="A3505" t="str">
        <f>A3475</f>
        <v>Lantai 2</v>
      </c>
      <c r="B3505">
        <f>B3475+1</f>
        <v>30</v>
      </c>
      <c r="C3505" t="str">
        <f>CONCATENATE(A3505," no. ",B3505)</f>
        <v>Lantai 2 no. 30</v>
      </c>
      <c r="D3505" t="str">
        <f>VLOOKUP(C3505,'Data Panjang Balok'!$C$9:$N$254,2,FALSE)</f>
        <v>B36-1</v>
      </c>
    </row>
    <row r="3506">
      <c r="C3506" t="str">
        <v>Dimensi</v>
      </c>
      <c r="D3506">
        <f>VLOOKUP(D3505,'Detail Balok'!$C$10:$AU$140,2,FALSE)</f>
        <v>300</v>
      </c>
      <c r="F3506" t="str">
        <v>x</v>
      </c>
      <c r="G3506">
        <f>VLOOKUP(D3505,'Detail Balok'!$C$10:$AU$140,3,FALSE)</f>
        <v>600</v>
      </c>
    </row>
    <row r="3507">
      <c r="C3507" t="str">
        <v>Panjang as ke as</v>
      </c>
      <c r="D3507">
        <f>VLOOKUP(C3505,'Data Panjang Balok'!$C$9:$N$254,4,FALSE)</f>
        <v>5585</v>
      </c>
    </row>
    <row r="3508">
      <c r="C3508" t="str">
        <v>Panjang netto</v>
      </c>
      <c r="D3508">
        <f>VLOOKUP(C3505,'Data Panjang Balok'!$C$9:$N$254,7,FALSE)</f>
        <v>5585</v>
      </c>
    </row>
    <row r="3509">
      <c r="C3509" t="str">
        <v>Kolom / balok kiri</v>
      </c>
      <c r="D3509">
        <f>VLOOKUP(C3505,'Data Panjang Balok'!$C$9:$N$254,9,FALSE)</f>
        <v>0</v>
      </c>
    </row>
    <row r="3510">
      <c r="C3510" t="str">
        <v>Kolom / balok kanan</v>
      </c>
      <c r="D3510">
        <f>VLOOKUP(C3505,'Data Panjang Balok'!$C$9:$N$254,10,FALSE)</f>
        <v>0</v>
      </c>
    </row>
    <row r="3511">
      <c r="C3511" t="str">
        <v>Jumlah</v>
      </c>
      <c r="D3511">
        <f>VLOOKUP(C3505,'Data Panjang Balok'!$C$9:$N$254,3,FALSE)</f>
        <v>1</v>
      </c>
    </row>
    <row r="3512">
      <c r="A3512" t="str">
        <f>A3505</f>
        <v>Lantai 2</v>
      </c>
      <c r="B3512">
        <f>B3505</f>
        <v>30</v>
      </c>
      <c r="C3512" t="str">
        <v>Tul Atas Tumpuan</v>
      </c>
      <c r="D3512">
        <f>VLOOKUP(D3505,'Detail Balok'!$C$10:$AU$140,4,FALSE)</f>
        <v>5</v>
      </c>
      <c r="E3512" t="str">
        <v>D</v>
      </c>
      <c r="F3512">
        <f>VLOOKUP(D3505,'Detail Balok'!$C$10:$AU$140,6,FALSE)</f>
        <v>16</v>
      </c>
      <c r="I3512" t="str">
        <v>(</v>
      </c>
      <c r="J3512">
        <f>+D3507/4/1000</f>
        <v>1.39625</v>
      </c>
      <c r="K3512" t="str">
        <v>+</v>
      </c>
      <c r="L3512">
        <f>MAX(VLOOKUP(F3512,N$6:P$15,3,FALSE)/1000,2/3*D3509/1000)+F$16*F3512/1000</f>
        <v>0.192</v>
      </c>
      <c r="M3512" t="str">
        <v>=</v>
      </c>
      <c r="N3512">
        <f>J3512+L3512</f>
        <v>1.58825</v>
      </c>
      <c r="O3512" t="str">
        <v>+</v>
      </c>
      <c r="P3512">
        <f>D3512-D3513</f>
        <v>0</v>
      </c>
      <c r="Q3512" t="str">
        <v>x</v>
      </c>
      <c r="R3512">
        <f>IF(P3512&gt;0,$F$18*F3512/1000,0)</f>
        <v>0</v>
      </c>
      <c r="S3512" t="str">
        <v>)</v>
      </c>
      <c r="T3512" t="str">
        <v>x</v>
      </c>
      <c r="U3512">
        <f>0.006165*F3512^2</f>
        <v>1.57824</v>
      </c>
      <c r="X3512" t="str">
        <v>x</v>
      </c>
      <c r="Y3512">
        <f>D3511</f>
        <v>1</v>
      </c>
      <c r="Z3512" t="str">
        <v>=</v>
      </c>
      <c r="AA3512">
        <f>IF(AA3515=0,(D3512*N3512+P3512*R3512)*U3512*Y3512,0)</f>
        <v>0</v>
      </c>
    </row>
    <row r="3513">
      <c r="A3513" t="str">
        <f>A3505</f>
        <v>Lantai 2</v>
      </c>
      <c r="B3513">
        <f>B3505</f>
        <v>30</v>
      </c>
      <c r="C3513" t="str">
        <v>Tul Atas Lapangan</v>
      </c>
      <c r="D3513">
        <f>VLOOKUP(D3505,'Detail Balok'!$C$10:$AU$140,7,FALSE)</f>
        <v>5</v>
      </c>
      <c r="E3513" t="str">
        <v>D</v>
      </c>
      <c r="F3513">
        <f>VLOOKUP(D3505,'Detail Balok'!$C$10:$AU$140,9,FALSE)</f>
        <v>16</v>
      </c>
      <c r="I3513" t="str">
        <v>(</v>
      </c>
      <c r="J3513">
        <f>+D3507/2/1000</f>
        <v>2.7925</v>
      </c>
      <c r="K3513" t="str">
        <v>+</v>
      </c>
      <c r="M3513" t="str">
        <v>=</v>
      </c>
      <c r="N3513">
        <f>J3513+L3513</f>
        <v>2.7925</v>
      </c>
      <c r="O3513" t="str">
        <v>+</v>
      </c>
      <c r="P3513">
        <f>MAX(D3513-D3512,D3513-D3514)</f>
        <v>0</v>
      </c>
      <c r="Q3513" t="str">
        <v>x</v>
      </c>
      <c r="R3513">
        <f>IF(P3513&gt;0,2*(1-2*$F$19-1/2)*D3508/1000,0)</f>
        <v>0</v>
      </c>
      <c r="S3513" t="str">
        <v>)</v>
      </c>
      <c r="T3513" t="str">
        <v>x</v>
      </c>
      <c r="U3513">
        <f>0.006165*F3513^2</f>
        <v>1.57824</v>
      </c>
      <c r="X3513" t="str">
        <v>x</v>
      </c>
      <c r="Y3513">
        <f>D3511</f>
        <v>1</v>
      </c>
      <c r="Z3513" t="str">
        <v>=</v>
      </c>
      <c r="AA3513">
        <f>IF(AA3515=0,(D3513*N3513+P3513*R3513)*U3513*Y3513,0)</f>
        <v>0</v>
      </c>
    </row>
    <row r="3514">
      <c r="A3514" t="str">
        <f>A3505</f>
        <v>Lantai 2</v>
      </c>
      <c r="B3514">
        <f>B3505</f>
        <v>30</v>
      </c>
      <c r="C3514" t="str">
        <v>Tul Atas Tumpuan</v>
      </c>
      <c r="D3514">
        <f>VLOOKUP(D3505,'Detail Balok'!$C$10:$AU$140,10,FALSE)</f>
        <v>5</v>
      </c>
      <c r="E3514" t="str">
        <v>D</v>
      </c>
      <c r="F3514">
        <f>VLOOKUP(D3505,'Detail Balok'!$C$10:$AU$140,12,FALSE)</f>
        <v>16</v>
      </c>
      <c r="I3514" t="str">
        <v>(</v>
      </c>
      <c r="J3514">
        <f>+D3507/4/1000</f>
        <v>1.39625</v>
      </c>
      <c r="K3514" t="str">
        <v>+</v>
      </c>
      <c r="L3514">
        <f>MAX(VLOOKUP(F3514,N$6:P$15,3,FALSE)/1000,2/3*D3509/1000)+F$16*F3514/1000</f>
        <v>0.192</v>
      </c>
      <c r="M3514" t="str">
        <v>=</v>
      </c>
      <c r="N3514">
        <f>J3514+L3514</f>
        <v>1.58825</v>
      </c>
      <c r="O3514" t="str">
        <v>+</v>
      </c>
      <c r="P3514">
        <f>D3514-D3513</f>
        <v>0</v>
      </c>
      <c r="Q3514" t="str">
        <v>x</v>
      </c>
      <c r="R3514">
        <f>IF(P3514&gt;0,$F$18*F3514/1000,0)</f>
        <v>0</v>
      </c>
      <c r="S3514" t="str">
        <v>)</v>
      </c>
      <c r="T3514" t="str">
        <v>x</v>
      </c>
      <c r="U3514">
        <f>0.006165*F3514^2</f>
        <v>1.57824</v>
      </c>
      <c r="X3514" t="str">
        <v>x</v>
      </c>
      <c r="Y3514">
        <f>D3511</f>
        <v>1</v>
      </c>
      <c r="Z3514" t="str">
        <v>=</v>
      </c>
      <c r="AA3514">
        <f>IF(AA3515=0,(D3514*N3514+P3514*R3514)*U3514*Y3514,0)</f>
        <v>0</v>
      </c>
    </row>
    <row r="3515">
      <c r="A3515" t="str">
        <f>A3505</f>
        <v>Lantai 2</v>
      </c>
      <c r="B3515">
        <f>B3505</f>
        <v>30</v>
      </c>
      <c r="D3515">
        <f>IF(AND(D3512=D3513,D3513=D3514,D3512=D3514),D3512,0)</f>
        <v>5</v>
      </c>
      <c r="E3515" t="str">
        <v>D</v>
      </c>
      <c r="F3515">
        <f>IF(AND(F3512=F3513,F3512=F3514,F3513=F3514),F3512,0)</f>
        <v>16</v>
      </c>
      <c r="L3515" t="str">
        <v>Total panjang per balok</v>
      </c>
      <c r="M3515" t="str">
        <v>=</v>
      </c>
      <c r="N3515">
        <f>IF(AND(D3512=D3513,D3512=D3514,D3513=D3514,F3512=F3513,F3512=F3514,F3513=F3514),SUM(N3512:N3514),0)</f>
        <v>5.968999999999999</v>
      </c>
      <c r="O3515" t="str">
        <v>+</v>
      </c>
      <c r="P3515">
        <f>IF(N3515&gt;12,ROUNDDOWN(N3515/12,0),0)</f>
        <v>0</v>
      </c>
      <c r="Q3515" t="str">
        <v>x</v>
      </c>
      <c r="R3515">
        <f>IF(P3515&gt;0,MAX(VLOOKUP(F3515,$D$6:$G$15,3,FALSE),600),0)/1000</f>
        <v>0</v>
      </c>
      <c r="T3515" t="str">
        <v>x</v>
      </c>
      <c r="U3515">
        <f>U3514</f>
        <v>1.57824</v>
      </c>
      <c r="V3515" t="str">
        <v>x</v>
      </c>
      <c r="W3515">
        <f>D3515</f>
        <v>5</v>
      </c>
      <c r="X3515" t="str">
        <v>x</v>
      </c>
      <c r="Y3515">
        <f>Y3514</f>
        <v>1</v>
      </c>
      <c r="Z3515" t="str">
        <v>=</v>
      </c>
      <c r="AA3515">
        <f>(N3515+P3515*R3515/1000)*U3515*W3515*Y3515</f>
        <v>47.1025728</v>
      </c>
    </row>
    <row r="3517">
      <c r="A3517" t="str">
        <f>A3505</f>
        <v>Lantai 2</v>
      </c>
      <c r="B3517">
        <f>B3505</f>
        <v>30</v>
      </c>
      <c r="C3517" t="str">
        <v>Tul Peminggang</v>
      </c>
      <c r="D3517">
        <f>VLOOKUP(D3505,'Detail Balok'!$C$10:$AU$140,13,FALSE)</f>
        <v>2</v>
      </c>
      <c r="E3517" t="str">
        <v>D</v>
      </c>
      <c r="F3517">
        <f>VLOOKUP(D3505,'Detail Balok'!$C$10:$AU$140,15,FALSE)</f>
        <v>10</v>
      </c>
      <c r="J3517">
        <f>+D3507/1000</f>
        <v>5.585</v>
      </c>
      <c r="K3517" t="str">
        <v>+</v>
      </c>
      <c r="L3517">
        <f>2*$F$16*F3517/1000</f>
        <v>0.24</v>
      </c>
      <c r="M3517" t="str">
        <v>=</v>
      </c>
      <c r="N3517">
        <f>J3517+L3517</f>
        <v>5.825</v>
      </c>
      <c r="O3517" t="str">
        <v>+</v>
      </c>
      <c r="P3517">
        <f>IF(N3517&gt;12,ROUNDDOWN(N3517/12,0),0)</f>
        <v>0</v>
      </c>
      <c r="Q3517" t="str">
        <v>x</v>
      </c>
      <c r="R3517">
        <f>IF(P3517&gt;0,MAX(VLOOKUP(F3517,$D$6:$G$15,3,FALSE),600),0)/1000</f>
        <v>0</v>
      </c>
      <c r="T3517" t="str">
        <v>x</v>
      </c>
      <c r="U3517">
        <f>0.006165*F3517^2</f>
        <v>0.6165</v>
      </c>
      <c r="V3517" t="str">
        <v>x</v>
      </c>
      <c r="W3517">
        <f>+D3517</f>
        <v>2</v>
      </c>
      <c r="X3517" t="str">
        <v>x</v>
      </c>
      <c r="Y3517">
        <f>D3511</f>
        <v>1</v>
      </c>
      <c r="Z3517" t="str">
        <v>=</v>
      </c>
      <c r="AA3517">
        <f>(N3517+P3517*R3517/1000)*U3517*W3517*Y3517</f>
        <v>7.182225000000001</v>
      </c>
    </row>
    <row r="3520">
      <c r="A3520" t="str">
        <f>A3505</f>
        <v>Lantai 2</v>
      </c>
      <c r="B3520">
        <f>B3505</f>
        <v>30</v>
      </c>
      <c r="C3520" t="str">
        <v>Tul Bawah Tumpuan</v>
      </c>
      <c r="D3520">
        <f>VLOOKUP(D3505,'Detail Balok'!$C$10:$AU$140,22,FALSE)</f>
        <v>5</v>
      </c>
      <c r="E3520" t="str">
        <v>D</v>
      </c>
      <c r="F3520">
        <f>VLOOKUP(D3505,'Detail Balok'!$C$10:$AU$140,24,FALSE)</f>
        <v>16</v>
      </c>
      <c r="I3520" t="str">
        <v>(</v>
      </c>
      <c r="J3520">
        <f>+J3512</f>
        <v>1.39625</v>
      </c>
      <c r="K3520" t="str">
        <v>+</v>
      </c>
      <c r="L3520">
        <f>MAX(VLOOKUP(F3520,N$6:P$15,3,FALSE)/1000,2/3*D3510/1000)+F$16*F3520/1000</f>
        <v>0.192</v>
      </c>
      <c r="M3520" t="str">
        <v>=</v>
      </c>
      <c r="N3520">
        <f>J3520+L3520</f>
        <v>1.58825</v>
      </c>
      <c r="O3520" t="str">
        <v>+</v>
      </c>
      <c r="P3520">
        <f>D3520-D3521</f>
        <v>0</v>
      </c>
      <c r="Q3520" t="str">
        <v>x</v>
      </c>
      <c r="R3520">
        <f>IF(P3520&gt;0,$F$18*F3520/1000,0)</f>
        <v>0</v>
      </c>
      <c r="S3520" t="str">
        <v>)</v>
      </c>
      <c r="T3520" t="str">
        <v>x</v>
      </c>
      <c r="U3520">
        <f>0.006165*F3520^2</f>
        <v>1.57824</v>
      </c>
      <c r="X3520" t="str">
        <v>x</v>
      </c>
      <c r="Y3520">
        <f>D3511</f>
        <v>1</v>
      </c>
      <c r="Z3520" t="str">
        <v>=</v>
      </c>
      <c r="AA3520">
        <f>IF(AA3523=0,(D3520*N3520+P3520*R3520)*U3520*Y3520,0)</f>
        <v>0</v>
      </c>
    </row>
    <row r="3521">
      <c r="A3521" t="str">
        <f>A3505</f>
        <v>Lantai 2</v>
      </c>
      <c r="B3521">
        <f>B3505</f>
        <v>30</v>
      </c>
      <c r="C3521" t="str">
        <v>Tul Bawah Lapangan</v>
      </c>
      <c r="D3521">
        <f>VLOOKUP(D3505,'Detail Balok'!$C$10:$AU$140,25,FALSE)</f>
        <v>5</v>
      </c>
      <c r="E3521" t="str">
        <v>D</v>
      </c>
      <c r="F3521">
        <f>VLOOKUP(D3505,'Detail Balok'!$C$10:$AU$140,27,FALSE)</f>
        <v>16</v>
      </c>
      <c r="I3521" t="str">
        <v>(</v>
      </c>
      <c r="J3521">
        <f>+J3513</f>
        <v>2.7925</v>
      </c>
      <c r="K3521" t="str">
        <v>+</v>
      </c>
      <c r="M3521" t="str">
        <v>=</v>
      </c>
      <c r="N3521">
        <f>J3521+L3521</f>
        <v>2.7925</v>
      </c>
      <c r="O3521" t="str">
        <v>+</v>
      </c>
      <c r="P3521">
        <f>MAX(D3521-D3520,D3521-D3522)</f>
        <v>0</v>
      </c>
      <c r="Q3521" t="str">
        <v>x</v>
      </c>
      <c r="R3521">
        <f>IF(P3521&gt;0,2*(1-2*$F$19-1/2)*D3508/1000,0)</f>
        <v>0</v>
      </c>
      <c r="S3521" t="str">
        <v>)</v>
      </c>
      <c r="T3521" t="str">
        <v>x</v>
      </c>
      <c r="U3521">
        <f>0.006165*F3521^2</f>
        <v>1.57824</v>
      </c>
      <c r="X3521" t="str">
        <v>x</v>
      </c>
      <c r="Y3521">
        <f>D3511</f>
        <v>1</v>
      </c>
      <c r="Z3521" t="str">
        <v>=</v>
      </c>
      <c r="AA3521">
        <f>IF(AA3523=0,(D3521*N3521+P3521*R3521)*U3521*Y3521,0)</f>
        <v>0</v>
      </c>
    </row>
    <row r="3522">
      <c r="A3522" t="str">
        <f>A3505</f>
        <v>Lantai 2</v>
      </c>
      <c r="B3522">
        <f>B3505</f>
        <v>30</v>
      </c>
      <c r="C3522" t="str">
        <v>Tul Bawah Tumpuan</v>
      </c>
      <c r="D3522">
        <f>VLOOKUP(D3505,'Detail Balok'!$C$10:$AU$140,28,FALSE)</f>
        <v>5</v>
      </c>
      <c r="E3522" t="str">
        <v>D</v>
      </c>
      <c r="F3522">
        <f>VLOOKUP(D3505,'Detail Balok'!$C$10:$AU$140,30,FALSE)</f>
        <v>16</v>
      </c>
      <c r="I3522" t="str">
        <v>(</v>
      </c>
      <c r="J3522">
        <f>+J3514</f>
        <v>1.39625</v>
      </c>
      <c r="K3522" t="str">
        <v>+</v>
      </c>
      <c r="L3522">
        <f>MAX(VLOOKUP(F3522,N$6:P$15,3,FALSE)/1000,2/3*D3510/1000)+F$16*F3522/1000</f>
        <v>0.192</v>
      </c>
      <c r="M3522" t="str">
        <v>=</v>
      </c>
      <c r="N3522">
        <f>J3522+L3522</f>
        <v>1.58825</v>
      </c>
      <c r="O3522" t="str">
        <v>+</v>
      </c>
      <c r="P3522">
        <f>D3522-D3521</f>
        <v>0</v>
      </c>
      <c r="Q3522" t="str">
        <v>x</v>
      </c>
      <c r="R3522">
        <f>IF(P3522&gt;0,$F$18*F3522/1000,0)</f>
        <v>0</v>
      </c>
      <c r="S3522" t="str">
        <v>)</v>
      </c>
      <c r="T3522" t="str">
        <v>x</v>
      </c>
      <c r="U3522">
        <f>0.006165*F3522^2</f>
        <v>1.57824</v>
      </c>
      <c r="X3522" t="str">
        <v>x</v>
      </c>
      <c r="Y3522">
        <f>D3511</f>
        <v>1</v>
      </c>
      <c r="Z3522" t="str">
        <v>=</v>
      </c>
      <c r="AA3522">
        <f>IF(AA3523=0,(D3522*N3522+P3522*R3522)*U3522*Y3522,0)</f>
        <v>0</v>
      </c>
    </row>
    <row r="3523">
      <c r="A3523" t="str">
        <f>A3505</f>
        <v>Lantai 2</v>
      </c>
      <c r="B3523">
        <f>B3505</f>
        <v>30</v>
      </c>
      <c r="D3523">
        <f>IF(AND(D3520=D3521,D3521=D3522,D3520=D3522),D3520,0)</f>
        <v>5</v>
      </c>
      <c r="E3523" t="str">
        <v>D</v>
      </c>
      <c r="F3523">
        <f>IF(AND(F3520=F3521,F3520=F3522,F3521=F3522),F3520,0)</f>
        <v>16</v>
      </c>
      <c r="L3523" t="str">
        <v>Total panjang per balok</v>
      </c>
      <c r="M3523" t="str">
        <v>=</v>
      </c>
      <c r="N3523">
        <f>IF(AND(D3520=D3521,D3520=D3522,D3521=D3522,F3520=F3521,F3520=F3522,F3521=F3522),SUM(N3520:N3522),0)</f>
        <v>5.968999999999999</v>
      </c>
      <c r="O3523" t="str">
        <v>+</v>
      </c>
      <c r="P3523">
        <f>IF(N3523&gt;12,ROUNDDOWN(N3523/12,0),0)</f>
        <v>0</v>
      </c>
      <c r="Q3523" t="str">
        <v>x</v>
      </c>
      <c r="R3523">
        <f>IF(P3523&gt;0,MAX(VLOOKUP(F3523,$D$6:$G$15,3,FALSE),600),0)/1000</f>
        <v>0</v>
      </c>
      <c r="T3523" t="str">
        <v>x</v>
      </c>
      <c r="U3523">
        <f>U3522</f>
        <v>1.57824</v>
      </c>
      <c r="V3523" t="str">
        <v>x</v>
      </c>
      <c r="W3523">
        <f>D3523</f>
        <v>5</v>
      </c>
      <c r="X3523" t="str">
        <v>x</v>
      </c>
      <c r="Y3523">
        <f>Y3522</f>
        <v>1</v>
      </c>
      <c r="Z3523" t="str">
        <v>=</v>
      </c>
      <c r="AA3523">
        <f>(N3523+P3523*R3523/1000)*U3523*W3523*Y3523</f>
        <v>47.1025728</v>
      </c>
    </row>
    <row r="3525">
      <c r="A3525" t="str">
        <f>A3505</f>
        <v>Lantai 2</v>
      </c>
      <c r="B3525">
        <f>B3505</f>
        <v>30</v>
      </c>
      <c r="C3525" t="str">
        <v>Sengkang Tumpuan</v>
      </c>
      <c r="D3525">
        <f>VLOOKUP(D3505,'Detail Balok'!$C$10:$AU$140,31,FALSE)</f>
        <v>0</v>
      </c>
      <c r="E3525" t="str">
        <v>D</v>
      </c>
      <c r="F3525">
        <f>VLOOKUP(D3505,'Detail Balok'!$C$10:$AU$140,33,FALSE)</f>
        <v>10</v>
      </c>
      <c r="G3525" t="str">
        <v>-</v>
      </c>
      <c r="H3525">
        <f>VLOOKUP(D3505,'Detail Balok'!$C$10:$AU$140,35,FALSE)</f>
        <v>100</v>
      </c>
      <c r="J3525">
        <f>(IF(D3525=0,(2*(D3506+G3506))-(F$5*8),IF(D3525=3,(2*(D3506+G3506))-(F$5*8)+(G3506-2*F$5),IF(D3525=4,(2*(D3506+G3506))-(F$5*8)+2*(G3506-2*F$5)))))/1000</f>
        <v>1.48</v>
      </c>
      <c r="K3525" t="str">
        <v>+</v>
      </c>
      <c r="L3525">
        <f>IF(D3525=0,2*MAX(6*F3525,75),(D3525-1)*2*MAX(6*F3525,75))/1000</f>
        <v>0.15</v>
      </c>
      <c r="M3525" t="str">
        <v>=</v>
      </c>
      <c r="N3525">
        <f>J3525+L3525</f>
        <v>1.63</v>
      </c>
      <c r="T3525" t="str">
        <v>x</v>
      </c>
      <c r="U3525">
        <f>0.006165*F3525^2</f>
        <v>0.6165</v>
      </c>
      <c r="V3525" t="str">
        <v>x</v>
      </c>
      <c r="W3525">
        <f>IF(D3508&gt;4*G3506,ROUND(MAX(D3508/4,2*G3506)/H3525,0)+1,ROUND(D3508/H3525,0)+1)</f>
        <v>15</v>
      </c>
      <c r="X3525" t="str">
        <v>x</v>
      </c>
      <c r="Y3525">
        <f>D3511</f>
        <v>1</v>
      </c>
      <c r="Z3525" t="str">
        <v>=</v>
      </c>
      <c r="AA3525">
        <f>N3525*U3525*W3525*Y3525</f>
        <v>15.073425000000002</v>
      </c>
    </row>
    <row r="3526">
      <c r="A3526" t="str">
        <f>A3505</f>
        <v>Lantai 2</v>
      </c>
      <c r="B3526">
        <f>B3505</f>
        <v>30</v>
      </c>
      <c r="C3526" t="str">
        <v>Sengkang Lapangan</v>
      </c>
      <c r="D3526">
        <f>VLOOKUP(D3505,'Detail Balok'!$C$10:$AU$140,36,FALSE)</f>
        <v>0</v>
      </c>
      <c r="E3526" t="str">
        <v>D</v>
      </c>
      <c r="F3526">
        <f>VLOOKUP(D3505,'Detail Balok'!$C$10:$AU$140,38,FALSE)</f>
        <v>10</v>
      </c>
      <c r="G3526" t="str">
        <v>-</v>
      </c>
      <c r="H3526">
        <f>VLOOKUP(D3505,'Detail Balok'!$C$10:$AU$140,40,FALSE)</f>
        <v>150</v>
      </c>
      <c r="J3526">
        <f>(IF(D3526=0,(2*(D3506+G3506))-(F$5*8),IF(D3526=3,(2*(D3506+G3506))-(F$5*8)+(G3506-2*F$5),IF(D3526=4,(2*(D3506+G3506))-(F$5*8)+2*(G3506-2*F$5)))))/1000</f>
        <v>1.48</v>
      </c>
      <c r="K3526" t="str">
        <v>+</v>
      </c>
      <c r="L3526">
        <f>IF(D3526=0,2*MAX(6*F3526,75),(D3526-1)*2*MAX(6*F3526,75))/1000</f>
        <v>0.15</v>
      </c>
      <c r="M3526" t="str">
        <v>=</v>
      </c>
      <c r="N3526">
        <f>J3526+L3526</f>
        <v>1.63</v>
      </c>
      <c r="T3526" t="str">
        <v>x</v>
      </c>
      <c r="U3526">
        <f>0.006165*F3526^2</f>
        <v>0.6165</v>
      </c>
      <c r="V3526" t="str">
        <v>x</v>
      </c>
      <c r="W3526">
        <f>IF(D3508-MAX(D3508/4,2*G3506)*2&gt;0,ROUND((D3508-MAX(D3508/4,2*G3506)*2)/H3526,0),0)</f>
        <v>19</v>
      </c>
      <c r="X3526" t="str">
        <v>x</v>
      </c>
      <c r="Y3526">
        <f>D3511</f>
        <v>1</v>
      </c>
      <c r="Z3526" t="str">
        <v>=</v>
      </c>
      <c r="AA3526">
        <f>N3526*U3526*W3526*Y3526</f>
        <v>19.093005</v>
      </c>
    </row>
    <row r="3527">
      <c r="A3527" t="str">
        <f>A3505</f>
        <v>Lantai 2</v>
      </c>
      <c r="B3527">
        <f>B3505</f>
        <v>30</v>
      </c>
      <c r="C3527" t="str">
        <v>Sengkang Tumpuan</v>
      </c>
      <c r="D3527">
        <f>VLOOKUP(D3505,'Detail Balok'!$C$10:$AU$140,41,FALSE)</f>
        <v>0</v>
      </c>
      <c r="E3527" t="str">
        <v>D</v>
      </c>
      <c r="F3527">
        <f>VLOOKUP(D3505,'Detail Balok'!$C$10:$AU$140,43,FALSE)</f>
        <v>10</v>
      </c>
      <c r="G3527" t="str">
        <v>-</v>
      </c>
      <c r="H3527">
        <f>VLOOKUP(D3505,'Detail Balok'!$C$10:$AU$140,45,FALSE)</f>
        <v>100</v>
      </c>
      <c r="J3527">
        <f>(IF(D3527=0,(2*(D3506+G3506))-(F$5*8),IF(D3527=3,(2*(D3506+G3506))-(F$5*8)+(G3506-2*F$5),IF(D3527=4,(2*(D3506+G3506))-(F$5*8)+2*(G3506-2*F$5)))))/1000</f>
        <v>1.48</v>
      </c>
      <c r="K3527" t="str">
        <v>+</v>
      </c>
      <c r="L3527">
        <f>IF(D3527=0,2*MAX(6*F3527,75),(D3527-1)*2*MAX(6*F3527,75))/1000</f>
        <v>0.15</v>
      </c>
      <c r="M3527" t="str">
        <v>=</v>
      </c>
      <c r="N3527">
        <f>J3527+L3527</f>
        <v>1.63</v>
      </c>
      <c r="T3527" t="str">
        <v>x</v>
      </c>
      <c r="U3527">
        <f>0.006165*F3527^2</f>
        <v>0.6165</v>
      </c>
      <c r="V3527" t="str">
        <v>x</v>
      </c>
      <c r="W3527">
        <f>IF(D3508&gt;4*G3506,ROUND(MAX(D3508/4,2*G3506)/H3527,0)+1,0)</f>
        <v>15</v>
      </c>
      <c r="X3527" t="str">
        <v>x</v>
      </c>
      <c r="Y3527">
        <f>D3511</f>
        <v>1</v>
      </c>
      <c r="Z3527" t="str">
        <v>=</v>
      </c>
      <c r="AA3527">
        <f>N3527*U3527*W3527*Y3527</f>
        <v>15.073425000000002</v>
      </c>
    </row>
    <row r="3529">
      <c r="A3529" t="str">
        <f>A3505</f>
        <v>Lantai 2</v>
      </c>
      <c r="B3529">
        <f>B3505</f>
        <v>30</v>
      </c>
      <c r="C3529" t="str">
        <v>Kait Horizontal Tump.</v>
      </c>
      <c r="D3529">
        <f>VLOOKUP(D3505,'Detail Balok'!$C$10:$BJ$140,46,FALSE)</f>
        <v>0</v>
      </c>
      <c r="E3529" t="str">
        <v>D</v>
      </c>
      <c r="F3529">
        <f>VLOOKUP(D3505,'Detail Balok'!$C$10:$BJ$140,48,FALSE)</f>
        <v>0</v>
      </c>
      <c r="G3529" t="str">
        <v>-</v>
      </c>
      <c r="H3529">
        <f>VLOOKUP(D3505,'Detail Balok'!$C$10:$BJ$140,50,FALSE)</f>
        <v>100</v>
      </c>
      <c r="J3529">
        <f>(D3506-2*F$5)/1000</f>
        <v>0.22</v>
      </c>
      <c r="K3529" t="str">
        <v>+</v>
      </c>
      <c r="L3529">
        <f>IF(D3529=0,2*MAX(6*F3529,75),(D3529-1)*2*MAX(6*F3529,75))/1000</f>
        <v>0.15</v>
      </c>
      <c r="M3529" t="str">
        <v>=</v>
      </c>
      <c r="N3529">
        <f>J3529+L3529</f>
        <v>0.37</v>
      </c>
      <c r="T3529" t="str">
        <v>x</v>
      </c>
      <c r="U3529">
        <f>0.006165*F3529^2</f>
        <v>0</v>
      </c>
      <c r="V3529" t="str">
        <v>x</v>
      </c>
      <c r="W3529">
        <f>W3525</f>
        <v>15</v>
      </c>
      <c r="X3529" t="str">
        <v>x</v>
      </c>
      <c r="Y3529">
        <f>D3515</f>
        <v>5</v>
      </c>
      <c r="Z3529" t="str">
        <v>=</v>
      </c>
      <c r="AA3529">
        <f>N3529*U3529*W3529*Y3529</f>
        <v>0</v>
      </c>
    </row>
    <row r="3530">
      <c r="A3530" t="str">
        <f>A3505</f>
        <v>Lantai 2</v>
      </c>
      <c r="B3530">
        <f>B3505</f>
        <v>30</v>
      </c>
      <c r="C3530" t="str">
        <v>Kait Horizontal Lap.</v>
      </c>
      <c r="D3530">
        <f>VLOOKUP(D3505,'Detail Balok'!$C$10:$BJ$140,51,FALSE)</f>
        <v>0</v>
      </c>
      <c r="E3530" t="str">
        <v>D</v>
      </c>
      <c r="F3530">
        <f>VLOOKUP(D3505,'Detail Balok'!$C$10:$BJ$140,53,FALSE)</f>
        <v>0</v>
      </c>
      <c r="G3530" t="str">
        <v>-</v>
      </c>
      <c r="H3530">
        <f>VLOOKUP(D3505,'Detail Balok'!$C$10:$BJ$140,55,FALSE)</f>
        <v>100</v>
      </c>
      <c r="J3530">
        <f>(D3506-2*F$5)/1000</f>
        <v>0.22</v>
      </c>
      <c r="K3530" t="str">
        <v>+</v>
      </c>
      <c r="L3530">
        <f>IF(D3530=0,2*MAX(6*F3530,75),(D3530-1)*2*MAX(6*F3530,75))/1000</f>
        <v>0.15</v>
      </c>
      <c r="M3530" t="str">
        <v>=</v>
      </c>
      <c r="N3530">
        <f>J3530+L3530</f>
        <v>0.37</v>
      </c>
      <c r="T3530" t="str">
        <v>x</v>
      </c>
      <c r="U3530">
        <f>0.006165*F3530^2</f>
        <v>0</v>
      </c>
      <c r="V3530" t="str">
        <v>x</v>
      </c>
      <c r="W3530">
        <f>W3526</f>
        <v>19</v>
      </c>
      <c r="X3530" t="str">
        <v>x</v>
      </c>
      <c r="Y3530">
        <f>D3515</f>
        <v>5</v>
      </c>
      <c r="Z3530" t="str">
        <v>=</v>
      </c>
      <c r="AA3530">
        <f>N3530*U3530*W3530*Y3530</f>
        <v>0</v>
      </c>
    </row>
    <row r="3531">
      <c r="A3531" t="str">
        <f>A3505</f>
        <v>Lantai 2</v>
      </c>
      <c r="B3531">
        <f>B3505</f>
        <v>30</v>
      </c>
      <c r="C3531" t="str">
        <v>Kait Horizontal Tump.</v>
      </c>
      <c r="D3531">
        <f>VLOOKUP(D3505,'Detail Balok'!$C$10:$BJ$140,56,FALSE)</f>
        <v>0</v>
      </c>
      <c r="E3531" t="str">
        <v>D</v>
      </c>
      <c r="F3531">
        <f>VLOOKUP(D3505,'Detail Balok'!$C$10:$BJ$140,58,FALSE)</f>
        <v>0</v>
      </c>
      <c r="G3531" t="str">
        <v>-</v>
      </c>
      <c r="H3531">
        <f>VLOOKUP(D3505,'Detail Balok'!$C$10:$BJ$140,60,FALSE)</f>
        <v>100</v>
      </c>
      <c r="J3531">
        <f>(D3506-2*F$5)/1000</f>
        <v>0.22</v>
      </c>
      <c r="K3531" t="str">
        <v>+</v>
      </c>
      <c r="L3531">
        <f>IF(D3531=0,2*MAX(6*F3531,75),(D3531-1)*2*MAX(6*F3531,75))/1000</f>
        <v>0.15</v>
      </c>
      <c r="M3531" t="str">
        <v>=</v>
      </c>
      <c r="N3531">
        <f>J3531+L3531</f>
        <v>0.37</v>
      </c>
      <c r="T3531" t="str">
        <v>x</v>
      </c>
      <c r="U3531">
        <f>0.006165*F3531^2</f>
        <v>0</v>
      </c>
      <c r="V3531" t="str">
        <v>x</v>
      </c>
      <c r="W3531">
        <f>W3527</f>
        <v>15</v>
      </c>
      <c r="X3531" t="str">
        <v>x</v>
      </c>
      <c r="Y3531">
        <f>D3515</f>
        <v>5</v>
      </c>
      <c r="Z3531" t="str">
        <v>=</v>
      </c>
      <c r="AA3531">
        <f>N3531*U3531*W3531*Y3531</f>
        <v>0</v>
      </c>
    </row>
    <row r="3535">
      <c r="A3535" t="str">
        <f>A3505</f>
        <v>Lantai 2</v>
      </c>
      <c r="B3535">
        <f>B3505+1</f>
        <v>31</v>
      </c>
      <c r="C3535" t="str">
        <f>CONCATENATE(A3535," no. ",B3535)</f>
        <v>Lantai 2 no. 31</v>
      </c>
      <c r="D3535" t="str">
        <f>VLOOKUP(C3535,'Data Panjang Balok'!$C$9:$N$254,2,FALSE)</f>
        <v>B23-1</v>
      </c>
    </row>
    <row r="3536">
      <c r="C3536" t="str">
        <v>Dimensi</v>
      </c>
      <c r="D3536">
        <f>VLOOKUP(D3535,'Detail Balok'!$C$10:$AU$140,2,FALSE)</f>
        <v>200</v>
      </c>
      <c r="F3536" t="str">
        <v>x</v>
      </c>
      <c r="G3536">
        <f>VLOOKUP(D3535,'Detail Balok'!$C$10:$AU$140,3,FALSE)</f>
        <v>300</v>
      </c>
    </row>
    <row r="3537">
      <c r="C3537" t="str">
        <v>Panjang as ke as</v>
      </c>
      <c r="D3537">
        <f>VLOOKUP(C3535,'Data Panjang Balok'!$C$9:$N$254,4,FALSE)</f>
        <v>2650</v>
      </c>
    </row>
    <row r="3538">
      <c r="C3538" t="str">
        <v>Panjang netto</v>
      </c>
      <c r="D3538">
        <f>VLOOKUP(C3535,'Data Panjang Balok'!$C$9:$N$254,7,FALSE)</f>
        <v>2650</v>
      </c>
    </row>
    <row r="3539">
      <c r="C3539" t="str">
        <v>Kolom / balok kiri</v>
      </c>
      <c r="D3539">
        <f>VLOOKUP(C3535,'Data Panjang Balok'!$C$9:$N$254,9,FALSE)</f>
        <v>0</v>
      </c>
    </row>
    <row r="3540">
      <c r="C3540" t="str">
        <v>Kolom / balok kanan</v>
      </c>
      <c r="D3540">
        <f>VLOOKUP(C3535,'Data Panjang Balok'!$C$9:$N$254,10,FALSE)</f>
        <v>0</v>
      </c>
    </row>
    <row r="3541">
      <c r="C3541" t="str">
        <v>Jumlah</v>
      </c>
      <c r="D3541">
        <f>VLOOKUP(C3535,'Data Panjang Balok'!$C$9:$N$254,3,FALSE)</f>
        <v>1</v>
      </c>
    </row>
    <row r="3542">
      <c r="A3542" t="str">
        <f>A3535</f>
        <v>Lantai 2</v>
      </c>
      <c r="B3542">
        <f>B3535</f>
        <v>31</v>
      </c>
      <c r="C3542" t="str">
        <v>Tul Atas Tumpuan</v>
      </c>
      <c r="D3542">
        <f>VLOOKUP(D3535,'Detail Balok'!$C$10:$AU$140,4,FALSE)</f>
        <v>3</v>
      </c>
      <c r="E3542" t="str">
        <v>D</v>
      </c>
      <c r="F3542">
        <f>VLOOKUP(D3535,'Detail Balok'!$C$10:$AU$140,6,FALSE)</f>
        <v>13</v>
      </c>
      <c r="I3542" t="str">
        <v>(</v>
      </c>
      <c r="J3542">
        <f>+D3537/4/1000</f>
        <v>0.6625</v>
      </c>
      <c r="K3542" t="str">
        <v>+</v>
      </c>
      <c r="L3542">
        <f>MAX(VLOOKUP(F3542,N$6:P$15,3,FALSE)/1000,2/3*D3539/1000)+F$16*F3542/1000</f>
        <v>0.156</v>
      </c>
      <c r="M3542" t="str">
        <v>=</v>
      </c>
      <c r="N3542">
        <f>J3542+L3542</f>
        <v>0.8185</v>
      </c>
      <c r="O3542" t="str">
        <v>+</v>
      </c>
      <c r="P3542">
        <f>D3542-D3543</f>
        <v>0</v>
      </c>
      <c r="Q3542" t="str">
        <v>x</v>
      </c>
      <c r="R3542">
        <f>IF(P3542&gt;0,$F$18*F3542/1000,0)</f>
        <v>0</v>
      </c>
      <c r="S3542" t="str">
        <v>)</v>
      </c>
      <c r="T3542" t="str">
        <v>x</v>
      </c>
      <c r="U3542">
        <f>0.006165*F3542^2</f>
        <v>1.041885</v>
      </c>
      <c r="X3542" t="str">
        <v>x</v>
      </c>
      <c r="Y3542">
        <f>D3541</f>
        <v>1</v>
      </c>
      <c r="Z3542" t="str">
        <v>=</v>
      </c>
      <c r="AA3542">
        <f>IF(AA3545=0,(D3542*N3542+P3542*R3542)*U3542*Y3542,0)</f>
        <v>0</v>
      </c>
    </row>
    <row r="3543">
      <c r="A3543" t="str">
        <f>A3535</f>
        <v>Lantai 2</v>
      </c>
      <c r="B3543">
        <f>B3535</f>
        <v>31</v>
      </c>
      <c r="C3543" t="str">
        <v>Tul Atas Lapangan</v>
      </c>
      <c r="D3543">
        <f>VLOOKUP(D3535,'Detail Balok'!$C$10:$AU$140,7,FALSE)</f>
        <v>3</v>
      </c>
      <c r="E3543" t="str">
        <v>D</v>
      </c>
      <c r="F3543">
        <f>VLOOKUP(D3535,'Detail Balok'!$C$10:$AU$140,9,FALSE)</f>
        <v>13</v>
      </c>
      <c r="I3543" t="str">
        <v>(</v>
      </c>
      <c r="J3543">
        <f>+D3537/2/1000</f>
        <v>1.325</v>
      </c>
      <c r="K3543" t="str">
        <v>+</v>
      </c>
      <c r="M3543" t="str">
        <v>=</v>
      </c>
      <c r="N3543">
        <f>J3543+L3543</f>
        <v>1.325</v>
      </c>
      <c r="O3543" t="str">
        <v>+</v>
      </c>
      <c r="P3543">
        <f>MAX(D3543-D3542,D3543-D3544)</f>
        <v>0</v>
      </c>
      <c r="Q3543" t="str">
        <v>x</v>
      </c>
      <c r="R3543">
        <f>IF(P3543&gt;0,2*(1-2*$F$19-1/2)*D3538/1000,0)</f>
        <v>0</v>
      </c>
      <c r="S3543" t="str">
        <v>)</v>
      </c>
      <c r="T3543" t="str">
        <v>x</v>
      </c>
      <c r="U3543">
        <f>0.006165*F3543^2</f>
        <v>1.041885</v>
      </c>
      <c r="X3543" t="str">
        <v>x</v>
      </c>
      <c r="Y3543">
        <f>D3541</f>
        <v>1</v>
      </c>
      <c r="Z3543" t="str">
        <v>=</v>
      </c>
      <c r="AA3543">
        <f>IF(AA3545=0,(D3543*N3543+P3543*R3543)*U3543*Y3543,0)</f>
        <v>0</v>
      </c>
    </row>
    <row r="3544">
      <c r="A3544" t="str">
        <f>A3535</f>
        <v>Lantai 2</v>
      </c>
      <c r="B3544">
        <f>B3535</f>
        <v>31</v>
      </c>
      <c r="C3544" t="str">
        <v>Tul Atas Tumpuan</v>
      </c>
      <c r="D3544">
        <f>VLOOKUP(D3535,'Detail Balok'!$C$10:$AU$140,10,FALSE)</f>
        <v>3</v>
      </c>
      <c r="E3544" t="str">
        <v>D</v>
      </c>
      <c r="F3544">
        <f>VLOOKUP(D3535,'Detail Balok'!$C$10:$AU$140,12,FALSE)</f>
        <v>13</v>
      </c>
      <c r="I3544" t="str">
        <v>(</v>
      </c>
      <c r="J3544">
        <f>+D3537/4/1000</f>
        <v>0.6625</v>
      </c>
      <c r="K3544" t="str">
        <v>+</v>
      </c>
      <c r="L3544">
        <f>MAX(VLOOKUP(F3544,N$6:P$15,3,FALSE)/1000,2/3*D3539/1000)+F$16*F3544/1000</f>
        <v>0.156</v>
      </c>
      <c r="M3544" t="str">
        <v>=</v>
      </c>
      <c r="N3544">
        <f>J3544+L3544</f>
        <v>0.8185</v>
      </c>
      <c r="O3544" t="str">
        <v>+</v>
      </c>
      <c r="P3544">
        <f>D3544-D3543</f>
        <v>0</v>
      </c>
      <c r="Q3544" t="str">
        <v>x</v>
      </c>
      <c r="R3544">
        <f>IF(P3544&gt;0,$F$18*F3544/1000,0)</f>
        <v>0</v>
      </c>
      <c r="S3544" t="str">
        <v>)</v>
      </c>
      <c r="T3544" t="str">
        <v>x</v>
      </c>
      <c r="U3544">
        <f>0.006165*F3544^2</f>
        <v>1.041885</v>
      </c>
      <c r="X3544" t="str">
        <v>x</v>
      </c>
      <c r="Y3544">
        <f>D3541</f>
        <v>1</v>
      </c>
      <c r="Z3544" t="str">
        <v>=</v>
      </c>
      <c r="AA3544">
        <f>IF(AA3545=0,(D3544*N3544+P3544*R3544)*U3544*Y3544,0)</f>
        <v>0</v>
      </c>
    </row>
    <row r="3545">
      <c r="A3545" t="str">
        <f>A3535</f>
        <v>Lantai 2</v>
      </c>
      <c r="B3545">
        <f>B3535</f>
        <v>31</v>
      </c>
      <c r="D3545">
        <f>IF(AND(D3542=D3543,D3543=D3544,D3542=D3544),D3542,0)</f>
        <v>3</v>
      </c>
      <c r="E3545" t="str">
        <v>D</v>
      </c>
      <c r="F3545">
        <f>IF(AND(F3542=F3543,F3542=F3544,F3543=F3544),F3542,0)</f>
        <v>13</v>
      </c>
      <c r="L3545" t="str">
        <v>Total panjang per balok</v>
      </c>
      <c r="M3545" t="str">
        <v>=</v>
      </c>
      <c r="N3545">
        <f>IF(AND(D3542=D3543,D3542=D3544,D3543=D3544,F3542=F3543,F3542=F3544,F3543=F3544),SUM(N3542:N3544),0)</f>
        <v>2.9619999999999997</v>
      </c>
      <c r="O3545" t="str">
        <v>+</v>
      </c>
      <c r="P3545">
        <f>IF(N3545&gt;12,ROUNDDOWN(N3545/12,0),0)</f>
        <v>0</v>
      </c>
      <c r="Q3545" t="str">
        <v>x</v>
      </c>
      <c r="R3545">
        <f>IF(P3545&gt;0,MAX(VLOOKUP(F3545,$D$6:$G$15,3,FALSE),600),0)/1000</f>
        <v>0</v>
      </c>
      <c r="T3545" t="str">
        <v>x</v>
      </c>
      <c r="U3545">
        <f>U3544</f>
        <v>1.041885</v>
      </c>
      <c r="V3545" t="str">
        <v>x</v>
      </c>
      <c r="W3545">
        <f>D3545</f>
        <v>3</v>
      </c>
      <c r="X3545" t="str">
        <v>x</v>
      </c>
      <c r="Y3545">
        <f>Y3544</f>
        <v>1</v>
      </c>
      <c r="Z3545" t="str">
        <v>=</v>
      </c>
      <c r="AA3545">
        <f>(N3545+P3545*R3545/1000)*U3545*W3545*Y3545</f>
        <v>9.25819011</v>
      </c>
    </row>
    <row r="3547">
      <c r="A3547" t="str">
        <f>A3535</f>
        <v>Lantai 2</v>
      </c>
      <c r="B3547">
        <f>B3535</f>
        <v>31</v>
      </c>
      <c r="C3547" t="str">
        <v>Tul Peminggang</v>
      </c>
      <c r="D3547">
        <f>VLOOKUP(D3535,'Detail Balok'!$C$10:$AU$140,13,FALSE)</f>
        <v>0</v>
      </c>
      <c r="E3547" t="str">
        <v>D</v>
      </c>
      <c r="F3547">
        <f>VLOOKUP(D3535,'Detail Balok'!$C$10:$AU$140,15,FALSE)</f>
        <v>8</v>
      </c>
      <c r="J3547">
        <f>+D3537/1000</f>
        <v>2.65</v>
      </c>
      <c r="K3547" t="str">
        <v>+</v>
      </c>
      <c r="L3547">
        <f>2*$F$16*F3547/1000</f>
        <v>0.192</v>
      </c>
      <c r="M3547" t="str">
        <v>=</v>
      </c>
      <c r="N3547">
        <f>J3547+L3547</f>
        <v>2.842</v>
      </c>
      <c r="O3547" t="str">
        <v>+</v>
      </c>
      <c r="P3547">
        <f>IF(N3547&gt;12,ROUNDDOWN(N3547/12,0),0)</f>
        <v>0</v>
      </c>
      <c r="Q3547" t="str">
        <v>x</v>
      </c>
      <c r="R3547">
        <f>IF(P3547&gt;0,MAX(VLOOKUP(F3547,$D$6:$G$15,3,FALSE),600),0)/1000</f>
        <v>0</v>
      </c>
      <c r="T3547" t="str">
        <v>x</v>
      </c>
      <c r="U3547">
        <f>0.006165*F3547^2</f>
        <v>0.39456</v>
      </c>
      <c r="V3547" t="str">
        <v>x</v>
      </c>
      <c r="W3547">
        <f>+D3547</f>
        <v>0</v>
      </c>
      <c r="X3547" t="str">
        <v>x</v>
      </c>
      <c r="Y3547">
        <f>D3541</f>
        <v>1</v>
      </c>
      <c r="Z3547" t="str">
        <v>=</v>
      </c>
      <c r="AA3547">
        <f>(N3547+P3547*R3547/1000)*U3547*W3547*Y3547</f>
        <v>0</v>
      </c>
    </row>
    <row r="3550">
      <c r="A3550" t="str">
        <f>A3535</f>
        <v>Lantai 2</v>
      </c>
      <c r="B3550">
        <f>B3535</f>
        <v>31</v>
      </c>
      <c r="C3550" t="str">
        <v>Tul Bawah Tumpuan</v>
      </c>
      <c r="D3550">
        <f>VLOOKUP(D3535,'Detail Balok'!$C$10:$AU$140,22,FALSE)</f>
        <v>3</v>
      </c>
      <c r="E3550" t="str">
        <v>D</v>
      </c>
      <c r="F3550">
        <f>VLOOKUP(D3535,'Detail Balok'!$C$10:$AU$140,24,FALSE)</f>
        <v>13</v>
      </c>
      <c r="I3550" t="str">
        <v>(</v>
      </c>
      <c r="J3550">
        <f>+J3542</f>
        <v>0.6625</v>
      </c>
      <c r="K3550" t="str">
        <v>+</v>
      </c>
      <c r="L3550">
        <f>MAX(VLOOKUP(F3550,N$6:P$15,3,FALSE)/1000,2/3*D3540/1000)+F$16*F3550/1000</f>
        <v>0.156</v>
      </c>
      <c r="M3550" t="str">
        <v>=</v>
      </c>
      <c r="N3550">
        <f>J3550+L3550</f>
        <v>0.8185</v>
      </c>
      <c r="O3550" t="str">
        <v>+</v>
      </c>
      <c r="P3550">
        <f>D3550-D3551</f>
        <v>0</v>
      </c>
      <c r="Q3550" t="str">
        <v>x</v>
      </c>
      <c r="R3550">
        <f>IF(P3550&gt;0,$F$18*F3550/1000,0)</f>
        <v>0</v>
      </c>
      <c r="S3550" t="str">
        <v>)</v>
      </c>
      <c r="T3550" t="str">
        <v>x</v>
      </c>
      <c r="U3550">
        <f>0.006165*F3550^2</f>
        <v>1.041885</v>
      </c>
      <c r="X3550" t="str">
        <v>x</v>
      </c>
      <c r="Y3550">
        <f>D3541</f>
        <v>1</v>
      </c>
      <c r="Z3550" t="str">
        <v>=</v>
      </c>
      <c r="AA3550">
        <f>IF(AA3553=0,(D3550*N3550+P3550*R3550)*U3550*Y3550,0)</f>
        <v>0</v>
      </c>
    </row>
    <row r="3551">
      <c r="A3551" t="str">
        <f>A3535</f>
        <v>Lantai 2</v>
      </c>
      <c r="B3551">
        <f>B3535</f>
        <v>31</v>
      </c>
      <c r="C3551" t="str">
        <v>Tul Bawah Lapangan</v>
      </c>
      <c r="D3551">
        <f>VLOOKUP(D3535,'Detail Balok'!$C$10:$AU$140,25,FALSE)</f>
        <v>3</v>
      </c>
      <c r="E3551" t="str">
        <v>D</v>
      </c>
      <c r="F3551">
        <f>VLOOKUP(D3535,'Detail Balok'!$C$10:$AU$140,27,FALSE)</f>
        <v>13</v>
      </c>
      <c r="I3551" t="str">
        <v>(</v>
      </c>
      <c r="J3551">
        <f>+J3543</f>
        <v>1.325</v>
      </c>
      <c r="K3551" t="str">
        <v>+</v>
      </c>
      <c r="M3551" t="str">
        <v>=</v>
      </c>
      <c r="N3551">
        <f>J3551+L3551</f>
        <v>1.325</v>
      </c>
      <c r="O3551" t="str">
        <v>+</v>
      </c>
      <c r="P3551">
        <f>MAX(D3551-D3550,D3551-D3552)</f>
        <v>0</v>
      </c>
      <c r="Q3551" t="str">
        <v>x</v>
      </c>
      <c r="R3551">
        <f>IF(P3551&gt;0,2*(1-2*$F$19-1/2)*D3538/1000,0)</f>
        <v>0</v>
      </c>
      <c r="S3551" t="str">
        <v>)</v>
      </c>
      <c r="T3551" t="str">
        <v>x</v>
      </c>
      <c r="U3551">
        <f>0.006165*F3551^2</f>
        <v>1.041885</v>
      </c>
      <c r="X3551" t="str">
        <v>x</v>
      </c>
      <c r="Y3551">
        <f>D3541</f>
        <v>1</v>
      </c>
      <c r="Z3551" t="str">
        <v>=</v>
      </c>
      <c r="AA3551">
        <f>IF(AA3553=0,(D3551*N3551+P3551*R3551)*U3551*Y3551,0)</f>
        <v>0</v>
      </c>
    </row>
    <row r="3552">
      <c r="A3552" t="str">
        <f>A3535</f>
        <v>Lantai 2</v>
      </c>
      <c r="B3552">
        <f>B3535</f>
        <v>31</v>
      </c>
      <c r="C3552" t="str">
        <v>Tul Bawah Tumpuan</v>
      </c>
      <c r="D3552">
        <f>VLOOKUP(D3535,'Detail Balok'!$C$10:$AU$140,28,FALSE)</f>
        <v>3</v>
      </c>
      <c r="E3552" t="str">
        <v>D</v>
      </c>
      <c r="F3552">
        <f>VLOOKUP(D3535,'Detail Balok'!$C$10:$AU$140,30,FALSE)</f>
        <v>13</v>
      </c>
      <c r="I3552" t="str">
        <v>(</v>
      </c>
      <c r="J3552">
        <f>+J3544</f>
        <v>0.6625</v>
      </c>
      <c r="K3552" t="str">
        <v>+</v>
      </c>
      <c r="L3552">
        <f>MAX(VLOOKUP(F3552,N$6:P$15,3,FALSE)/1000,2/3*D3540/1000)+F$16*F3552/1000</f>
        <v>0.156</v>
      </c>
      <c r="M3552" t="str">
        <v>=</v>
      </c>
      <c r="N3552">
        <f>J3552+L3552</f>
        <v>0.8185</v>
      </c>
      <c r="O3552" t="str">
        <v>+</v>
      </c>
      <c r="P3552">
        <f>D3552-D3551</f>
        <v>0</v>
      </c>
      <c r="Q3552" t="str">
        <v>x</v>
      </c>
      <c r="R3552">
        <f>IF(P3552&gt;0,$F$18*F3552/1000,0)</f>
        <v>0</v>
      </c>
      <c r="S3552" t="str">
        <v>)</v>
      </c>
      <c r="T3552" t="str">
        <v>x</v>
      </c>
      <c r="U3552">
        <f>0.006165*F3552^2</f>
        <v>1.041885</v>
      </c>
      <c r="X3552" t="str">
        <v>x</v>
      </c>
      <c r="Y3552">
        <f>D3541</f>
        <v>1</v>
      </c>
      <c r="Z3552" t="str">
        <v>=</v>
      </c>
      <c r="AA3552">
        <f>IF(AA3553=0,(D3552*N3552+P3552*R3552)*U3552*Y3552,0)</f>
        <v>0</v>
      </c>
    </row>
    <row r="3553">
      <c r="A3553" t="str">
        <f>A3535</f>
        <v>Lantai 2</v>
      </c>
      <c r="B3553">
        <f>B3535</f>
        <v>31</v>
      </c>
      <c r="D3553">
        <f>IF(AND(D3550=D3551,D3551=D3552,D3550=D3552),D3550,0)</f>
        <v>3</v>
      </c>
      <c r="E3553" t="str">
        <v>D</v>
      </c>
      <c r="F3553">
        <f>IF(AND(F3550=F3551,F3550=F3552,F3551=F3552),F3550,0)</f>
        <v>13</v>
      </c>
      <c r="L3553" t="str">
        <v>Total panjang per balok</v>
      </c>
      <c r="M3553" t="str">
        <v>=</v>
      </c>
      <c r="N3553">
        <f>IF(AND(D3550=D3551,D3550=D3552,D3551=D3552,F3550=F3551,F3550=F3552,F3551=F3552),SUM(N3550:N3552),0)</f>
        <v>2.9619999999999997</v>
      </c>
      <c r="O3553" t="str">
        <v>+</v>
      </c>
      <c r="P3553">
        <f>IF(N3553&gt;12,ROUNDDOWN(N3553/12,0),0)</f>
        <v>0</v>
      </c>
      <c r="Q3553" t="str">
        <v>x</v>
      </c>
      <c r="R3553">
        <f>IF(P3553&gt;0,MAX(VLOOKUP(F3553,$D$6:$G$15,3,FALSE),600),0)/1000</f>
        <v>0</v>
      </c>
      <c r="T3553" t="str">
        <v>x</v>
      </c>
      <c r="U3553">
        <f>U3552</f>
        <v>1.041885</v>
      </c>
      <c r="V3553" t="str">
        <v>x</v>
      </c>
      <c r="W3553">
        <f>D3553</f>
        <v>3</v>
      </c>
      <c r="X3553" t="str">
        <v>x</v>
      </c>
      <c r="Y3553">
        <f>Y3552</f>
        <v>1</v>
      </c>
      <c r="Z3553" t="str">
        <v>=</v>
      </c>
      <c r="AA3553">
        <f>(N3553+P3553*R3553/1000)*U3553*W3553*Y3553</f>
        <v>9.25819011</v>
      </c>
    </row>
    <row r="3555">
      <c r="A3555" t="str">
        <f>A3535</f>
        <v>Lantai 2</v>
      </c>
      <c r="B3555">
        <f>B3535</f>
        <v>31</v>
      </c>
      <c r="C3555" t="str">
        <v>Sengkang Tumpuan</v>
      </c>
      <c r="D3555">
        <f>VLOOKUP(D3535,'Detail Balok'!$C$10:$AU$140,31,FALSE)</f>
        <v>0</v>
      </c>
      <c r="E3555" t="str">
        <v>D</v>
      </c>
      <c r="F3555">
        <f>VLOOKUP(D3535,'Detail Balok'!$C$10:$AU$140,33,FALSE)</f>
        <v>10</v>
      </c>
      <c r="G3555" t="str">
        <v>-</v>
      </c>
      <c r="H3555">
        <f>VLOOKUP(D3535,'Detail Balok'!$C$10:$AU$140,35,FALSE)</f>
        <v>100</v>
      </c>
      <c r="J3555">
        <f>(IF(D3555=0,(2*(D3536+G3536))-(F$5*8),IF(D3555=3,(2*(D3536+G3536))-(F$5*8)+(G3536-2*F$5),IF(D3555=4,(2*(D3536+G3536))-(F$5*8)+2*(G3536-2*F$5)))))/1000</f>
        <v>0.68</v>
      </c>
      <c r="K3555" t="str">
        <v>+</v>
      </c>
      <c r="L3555">
        <f>IF(D3555=0,2*MAX(6*F3555,75),(D3555-1)*2*MAX(6*F3555,75))/1000</f>
        <v>0.15</v>
      </c>
      <c r="M3555" t="str">
        <v>=</v>
      </c>
      <c r="N3555">
        <f>J3555+L3555</f>
        <v>0.8300000000000001</v>
      </c>
      <c r="T3555" t="str">
        <v>x</v>
      </c>
      <c r="U3555">
        <f>0.006165*F3555^2</f>
        <v>0.6165</v>
      </c>
      <c r="V3555" t="str">
        <v>x</v>
      </c>
      <c r="W3555">
        <f>IF(D3538&gt;4*G3536,ROUND(MAX(D3538/4,2*G3536)/H3555,0)+1,ROUND(D3538/H3555,0)+1)</f>
        <v>8</v>
      </c>
      <c r="X3555" t="str">
        <v>x</v>
      </c>
      <c r="Y3555">
        <f>D3541</f>
        <v>1</v>
      </c>
      <c r="Z3555" t="str">
        <v>=</v>
      </c>
      <c r="AA3555">
        <f>N3555*U3555*W3555*Y3555</f>
        <v>4.093560000000001</v>
      </c>
    </row>
    <row r="3556">
      <c r="A3556" t="str">
        <f>A3535</f>
        <v>Lantai 2</v>
      </c>
      <c r="B3556">
        <f>B3535</f>
        <v>31</v>
      </c>
      <c r="C3556" t="str">
        <v>Sengkang Lapangan</v>
      </c>
      <c r="D3556">
        <f>VLOOKUP(D3535,'Detail Balok'!$C$10:$AU$140,36,FALSE)</f>
        <v>0</v>
      </c>
      <c r="E3556" t="str">
        <v>D</v>
      </c>
      <c r="F3556">
        <f>VLOOKUP(D3535,'Detail Balok'!$C$10:$AU$140,38,FALSE)</f>
        <v>10</v>
      </c>
      <c r="G3556" t="str">
        <v>-</v>
      </c>
      <c r="H3556">
        <f>VLOOKUP(D3535,'Detail Balok'!$C$10:$AU$140,40,FALSE)</f>
        <v>200</v>
      </c>
      <c r="J3556">
        <f>(IF(D3556=0,(2*(D3536+G3536))-(F$5*8),IF(D3556=3,(2*(D3536+G3536))-(F$5*8)+(G3536-2*F$5),IF(D3556=4,(2*(D3536+G3536))-(F$5*8)+2*(G3536-2*F$5)))))/1000</f>
        <v>0.68</v>
      </c>
      <c r="K3556" t="str">
        <v>+</v>
      </c>
      <c r="L3556">
        <f>IF(D3556=0,2*MAX(6*F3556,75),(D3556-1)*2*MAX(6*F3556,75))/1000</f>
        <v>0.15</v>
      </c>
      <c r="M3556" t="str">
        <v>=</v>
      </c>
      <c r="N3556">
        <f>J3556+L3556</f>
        <v>0.8300000000000001</v>
      </c>
      <c r="T3556" t="str">
        <v>x</v>
      </c>
      <c r="U3556">
        <f>0.006165*F3556^2</f>
        <v>0.6165</v>
      </c>
      <c r="V3556" t="str">
        <v>x</v>
      </c>
      <c r="W3556">
        <f>IF(D3538-MAX(D3538/4,2*G3536)*2&gt;0,ROUND((D3538-MAX(D3538/4,2*G3536)*2)/H3556,0),0)</f>
        <v>7</v>
      </c>
      <c r="X3556" t="str">
        <v>x</v>
      </c>
      <c r="Y3556">
        <f>D3541</f>
        <v>1</v>
      </c>
      <c r="Z3556" t="str">
        <v>=</v>
      </c>
      <c r="AA3556">
        <f>N3556*U3556*W3556*Y3556</f>
        <v>3.581865000000001</v>
      </c>
    </row>
    <row r="3557">
      <c r="A3557" t="str">
        <f>A3535</f>
        <v>Lantai 2</v>
      </c>
      <c r="B3557">
        <f>B3535</f>
        <v>31</v>
      </c>
      <c r="C3557" t="str">
        <v>Sengkang Tumpuan</v>
      </c>
      <c r="D3557">
        <f>VLOOKUP(D3535,'Detail Balok'!$C$10:$AU$140,41,FALSE)</f>
        <v>0</v>
      </c>
      <c r="E3557" t="str">
        <v>D</v>
      </c>
      <c r="F3557">
        <f>VLOOKUP(D3535,'Detail Balok'!$C$10:$AU$140,43,FALSE)</f>
        <v>10</v>
      </c>
      <c r="G3557" t="str">
        <v>-</v>
      </c>
      <c r="H3557">
        <f>VLOOKUP(D3535,'Detail Balok'!$C$10:$AU$140,45,FALSE)</f>
        <v>100</v>
      </c>
      <c r="J3557">
        <f>(IF(D3557=0,(2*(D3536+G3536))-(F$5*8),IF(D3557=3,(2*(D3536+G3536))-(F$5*8)+(G3536-2*F$5),IF(D3557=4,(2*(D3536+G3536))-(F$5*8)+2*(G3536-2*F$5)))))/1000</f>
        <v>0.68</v>
      </c>
      <c r="K3557" t="str">
        <v>+</v>
      </c>
      <c r="L3557">
        <f>IF(D3557=0,2*MAX(6*F3557,75),(D3557-1)*2*MAX(6*F3557,75))/1000</f>
        <v>0.15</v>
      </c>
      <c r="M3557" t="str">
        <v>=</v>
      </c>
      <c r="N3557">
        <f>J3557+L3557</f>
        <v>0.8300000000000001</v>
      </c>
      <c r="T3557" t="str">
        <v>x</v>
      </c>
      <c r="U3557">
        <f>0.006165*F3557^2</f>
        <v>0.6165</v>
      </c>
      <c r="V3557" t="str">
        <v>x</v>
      </c>
      <c r="W3557">
        <f>IF(D3538&gt;4*G3536,ROUND(MAX(D3538/4,2*G3536)/H3557,0)+1,0)</f>
        <v>8</v>
      </c>
      <c r="X3557" t="str">
        <v>x</v>
      </c>
      <c r="Y3557">
        <f>D3541</f>
        <v>1</v>
      </c>
      <c r="Z3557" t="str">
        <v>=</v>
      </c>
      <c r="AA3557">
        <f>N3557*U3557*W3557*Y3557</f>
        <v>4.093560000000001</v>
      </c>
    </row>
    <row r="3559">
      <c r="A3559" t="str">
        <f>A3535</f>
        <v>Lantai 2</v>
      </c>
      <c r="B3559">
        <f>B3535</f>
        <v>31</v>
      </c>
      <c r="C3559" t="str">
        <v>Kait Horizontal Tump.</v>
      </c>
      <c r="D3559">
        <f>VLOOKUP(D3535,'Detail Balok'!$C$10:$BJ$140,46,FALSE)</f>
        <v>0</v>
      </c>
      <c r="E3559" t="str">
        <v>D</v>
      </c>
      <c r="F3559">
        <f>VLOOKUP(D3535,'Detail Balok'!$C$10:$BJ$140,48,FALSE)</f>
        <v>0</v>
      </c>
      <c r="G3559" t="str">
        <v>-</v>
      </c>
      <c r="H3559">
        <f>VLOOKUP(D3535,'Detail Balok'!$C$10:$BJ$140,50,FALSE)</f>
        <v>100</v>
      </c>
      <c r="J3559">
        <f>(D3536-2*F$5)/1000</f>
        <v>0.12</v>
      </c>
      <c r="K3559" t="str">
        <v>+</v>
      </c>
      <c r="L3559">
        <f>IF(D3559=0,2*MAX(6*F3559,75),(D3559-1)*2*MAX(6*F3559,75))/1000</f>
        <v>0.15</v>
      </c>
      <c r="M3559" t="str">
        <v>=</v>
      </c>
      <c r="N3559">
        <f>J3559+L3559</f>
        <v>0.27</v>
      </c>
      <c r="T3559" t="str">
        <v>x</v>
      </c>
      <c r="U3559">
        <f>0.006165*F3559^2</f>
        <v>0</v>
      </c>
      <c r="V3559" t="str">
        <v>x</v>
      </c>
      <c r="W3559">
        <f>W3555</f>
        <v>8</v>
      </c>
      <c r="X3559" t="str">
        <v>x</v>
      </c>
      <c r="Y3559">
        <f>D3545</f>
        <v>3</v>
      </c>
      <c r="Z3559" t="str">
        <v>=</v>
      </c>
      <c r="AA3559">
        <f>N3559*U3559*W3559*Y3559</f>
        <v>0</v>
      </c>
    </row>
    <row r="3560">
      <c r="A3560" t="str">
        <f>A3535</f>
        <v>Lantai 2</v>
      </c>
      <c r="B3560">
        <f>B3535</f>
        <v>31</v>
      </c>
      <c r="C3560" t="str">
        <v>Kait Horizontal Lap.</v>
      </c>
      <c r="D3560">
        <f>VLOOKUP(D3535,'Detail Balok'!$C$10:$BJ$140,51,FALSE)</f>
        <v>0</v>
      </c>
      <c r="E3560" t="str">
        <v>D</v>
      </c>
      <c r="F3560">
        <f>VLOOKUP(D3535,'Detail Balok'!$C$10:$BJ$140,53,FALSE)</f>
        <v>0</v>
      </c>
      <c r="G3560" t="str">
        <v>-</v>
      </c>
      <c r="H3560">
        <f>VLOOKUP(D3535,'Detail Balok'!$C$10:$BJ$140,55,FALSE)</f>
        <v>100</v>
      </c>
      <c r="J3560">
        <f>(D3536-2*F$5)/1000</f>
        <v>0.12</v>
      </c>
      <c r="K3560" t="str">
        <v>+</v>
      </c>
      <c r="L3560">
        <f>IF(D3560=0,2*MAX(6*F3560,75),(D3560-1)*2*MAX(6*F3560,75))/1000</f>
        <v>0.15</v>
      </c>
      <c r="M3560" t="str">
        <v>=</v>
      </c>
      <c r="N3560">
        <f>J3560+L3560</f>
        <v>0.27</v>
      </c>
      <c r="T3560" t="str">
        <v>x</v>
      </c>
      <c r="U3560">
        <f>0.006165*F3560^2</f>
        <v>0</v>
      </c>
      <c r="V3560" t="str">
        <v>x</v>
      </c>
      <c r="W3560">
        <f>W3556</f>
        <v>7</v>
      </c>
      <c r="X3560" t="str">
        <v>x</v>
      </c>
      <c r="Y3560">
        <f>D3545</f>
        <v>3</v>
      </c>
      <c r="Z3560" t="str">
        <v>=</v>
      </c>
      <c r="AA3560">
        <f>N3560*U3560*W3560*Y3560</f>
        <v>0</v>
      </c>
    </row>
    <row r="3561">
      <c r="A3561" t="str">
        <f>A3535</f>
        <v>Lantai 2</v>
      </c>
      <c r="B3561">
        <f>B3535</f>
        <v>31</v>
      </c>
      <c r="C3561" t="str">
        <v>Kait Horizontal Tump.</v>
      </c>
      <c r="D3561">
        <f>VLOOKUP(D3535,'Detail Balok'!$C$10:$BJ$140,56,FALSE)</f>
        <v>0</v>
      </c>
      <c r="E3561" t="str">
        <v>D</v>
      </c>
      <c r="F3561">
        <f>VLOOKUP(D3535,'Detail Balok'!$C$10:$BJ$140,58,FALSE)</f>
        <v>0</v>
      </c>
      <c r="G3561" t="str">
        <v>-</v>
      </c>
      <c r="H3561">
        <f>VLOOKUP(D3535,'Detail Balok'!$C$10:$BJ$140,60,FALSE)</f>
        <v>100</v>
      </c>
      <c r="J3561">
        <f>(D3536-2*F$5)/1000</f>
        <v>0.12</v>
      </c>
      <c r="K3561" t="str">
        <v>+</v>
      </c>
      <c r="L3561">
        <f>IF(D3561=0,2*MAX(6*F3561,75),(D3561-1)*2*MAX(6*F3561,75))/1000</f>
        <v>0.15</v>
      </c>
      <c r="M3561" t="str">
        <v>=</v>
      </c>
      <c r="N3561">
        <f>J3561+L3561</f>
        <v>0.27</v>
      </c>
      <c r="T3561" t="str">
        <v>x</v>
      </c>
      <c r="U3561">
        <f>0.006165*F3561^2</f>
        <v>0</v>
      </c>
      <c r="V3561" t="str">
        <v>x</v>
      </c>
      <c r="W3561">
        <f>W3557</f>
        <v>8</v>
      </c>
      <c r="X3561" t="str">
        <v>x</v>
      </c>
      <c r="Y3561">
        <f>D3545</f>
        <v>3</v>
      </c>
      <c r="Z3561" t="str">
        <v>=</v>
      </c>
      <c r="AA3561">
        <f>N3561*U3561*W3561*Y3561</f>
        <v>0</v>
      </c>
    </row>
    <row r="3565">
      <c r="A3565" t="str">
        <f>A3535</f>
        <v>Lantai 2</v>
      </c>
      <c r="B3565">
        <f>B3535+1</f>
        <v>32</v>
      </c>
      <c r="C3565" t="str">
        <f>CONCATENATE(A3565," no. ",B3565)</f>
        <v>Lantai 2 no. 32</v>
      </c>
      <c r="D3565" t="str">
        <f>VLOOKUP(C3565,'Data Panjang Balok'!$C$9:$N$254,2,FALSE)</f>
        <v>B36-1</v>
      </c>
    </row>
    <row r="3566">
      <c r="C3566" t="str">
        <v>Dimensi</v>
      </c>
      <c r="D3566">
        <f>VLOOKUP(D3565,'Detail Balok'!$C$10:$AU$140,2,FALSE)</f>
        <v>300</v>
      </c>
      <c r="F3566" t="str">
        <v>x</v>
      </c>
      <c r="G3566">
        <f>VLOOKUP(D3565,'Detail Balok'!$C$10:$AU$140,3,FALSE)</f>
        <v>600</v>
      </c>
    </row>
    <row r="3567">
      <c r="C3567" t="str">
        <v>Panjang as ke as</v>
      </c>
      <c r="D3567">
        <f>VLOOKUP(C3565,'Data Panjang Balok'!$C$9:$N$254,4,FALSE)</f>
        <v>5325</v>
      </c>
    </row>
    <row r="3568">
      <c r="C3568" t="str">
        <v>Panjang netto</v>
      </c>
      <c r="D3568">
        <f>VLOOKUP(C3565,'Data Panjang Balok'!$C$9:$N$254,7,FALSE)</f>
        <v>5325</v>
      </c>
    </row>
    <row r="3569">
      <c r="C3569" t="str">
        <v>Kolom / balok kiri</v>
      </c>
      <c r="D3569">
        <f>VLOOKUP(C3565,'Data Panjang Balok'!$C$9:$N$254,9,FALSE)</f>
        <v>0</v>
      </c>
    </row>
    <row r="3570">
      <c r="C3570" t="str">
        <v>Kolom / balok kanan</v>
      </c>
      <c r="D3570">
        <f>VLOOKUP(C3565,'Data Panjang Balok'!$C$9:$N$254,10,FALSE)</f>
        <v>0</v>
      </c>
    </row>
    <row r="3571">
      <c r="C3571" t="str">
        <v>Jumlah</v>
      </c>
      <c r="D3571">
        <f>VLOOKUP(C3565,'Data Panjang Balok'!$C$9:$N$254,3,FALSE)</f>
        <v>1</v>
      </c>
    </row>
    <row r="3572">
      <c r="A3572" t="str">
        <f>A3565</f>
        <v>Lantai 2</v>
      </c>
      <c r="B3572">
        <f>B3565</f>
        <v>32</v>
      </c>
      <c r="C3572" t="str">
        <v>Tul Atas Tumpuan</v>
      </c>
      <c r="D3572">
        <f>VLOOKUP(D3565,'Detail Balok'!$C$10:$AU$140,4,FALSE)</f>
        <v>5</v>
      </c>
      <c r="E3572" t="str">
        <v>D</v>
      </c>
      <c r="F3572">
        <f>VLOOKUP(D3565,'Detail Balok'!$C$10:$AU$140,6,FALSE)</f>
        <v>16</v>
      </c>
      <c r="I3572" t="str">
        <v>(</v>
      </c>
      <c r="J3572">
        <f>+D3567/4/1000</f>
        <v>1.33125</v>
      </c>
      <c r="K3572" t="str">
        <v>+</v>
      </c>
      <c r="L3572">
        <f>MAX(VLOOKUP(F3572,N$6:P$15,3,FALSE)/1000,2/3*D3569/1000)+F$16*F3572/1000</f>
        <v>0.192</v>
      </c>
      <c r="M3572" t="str">
        <v>=</v>
      </c>
      <c r="N3572">
        <f>J3572+L3572</f>
        <v>1.52325</v>
      </c>
      <c r="O3572" t="str">
        <v>+</v>
      </c>
      <c r="P3572">
        <f>D3572-D3573</f>
        <v>0</v>
      </c>
      <c r="Q3572" t="str">
        <v>x</v>
      </c>
      <c r="R3572">
        <f>IF(P3572&gt;0,$F$18*F3572/1000,0)</f>
        <v>0</v>
      </c>
      <c r="S3572" t="str">
        <v>)</v>
      </c>
      <c r="T3572" t="str">
        <v>x</v>
      </c>
      <c r="U3572">
        <f>0.006165*F3572^2</f>
        <v>1.57824</v>
      </c>
      <c r="X3572" t="str">
        <v>x</v>
      </c>
      <c r="Y3572">
        <f>D3571</f>
        <v>1</v>
      </c>
      <c r="Z3572" t="str">
        <v>=</v>
      </c>
      <c r="AA3572">
        <f>IF(AA3575=0,(D3572*N3572+P3572*R3572)*U3572*Y3572,0)</f>
        <v>0</v>
      </c>
    </row>
    <row r="3573">
      <c r="A3573" t="str">
        <f>A3565</f>
        <v>Lantai 2</v>
      </c>
      <c r="B3573">
        <f>B3565</f>
        <v>32</v>
      </c>
      <c r="C3573" t="str">
        <v>Tul Atas Lapangan</v>
      </c>
      <c r="D3573">
        <f>VLOOKUP(D3565,'Detail Balok'!$C$10:$AU$140,7,FALSE)</f>
        <v>5</v>
      </c>
      <c r="E3573" t="str">
        <v>D</v>
      </c>
      <c r="F3573">
        <f>VLOOKUP(D3565,'Detail Balok'!$C$10:$AU$140,9,FALSE)</f>
        <v>16</v>
      </c>
      <c r="I3573" t="str">
        <v>(</v>
      </c>
      <c r="J3573">
        <f>+D3567/2/1000</f>
        <v>2.6625</v>
      </c>
      <c r="K3573" t="str">
        <v>+</v>
      </c>
      <c r="M3573" t="str">
        <v>=</v>
      </c>
      <c r="N3573">
        <f>J3573+L3573</f>
        <v>2.6625</v>
      </c>
      <c r="O3573" t="str">
        <v>+</v>
      </c>
      <c r="P3573">
        <f>MAX(D3573-D3572,D3573-D3574)</f>
        <v>0</v>
      </c>
      <c r="Q3573" t="str">
        <v>x</v>
      </c>
      <c r="R3573">
        <f>IF(P3573&gt;0,2*(1-2*$F$19-1/2)*D3568/1000,0)</f>
        <v>0</v>
      </c>
      <c r="S3573" t="str">
        <v>)</v>
      </c>
      <c r="T3573" t="str">
        <v>x</v>
      </c>
      <c r="U3573">
        <f>0.006165*F3573^2</f>
        <v>1.57824</v>
      </c>
      <c r="X3573" t="str">
        <v>x</v>
      </c>
      <c r="Y3573">
        <f>D3571</f>
        <v>1</v>
      </c>
      <c r="Z3573" t="str">
        <v>=</v>
      </c>
      <c r="AA3573">
        <f>IF(AA3575=0,(D3573*N3573+P3573*R3573)*U3573*Y3573,0)</f>
        <v>0</v>
      </c>
    </row>
    <row r="3574">
      <c r="A3574" t="str">
        <f>A3565</f>
        <v>Lantai 2</v>
      </c>
      <c r="B3574">
        <f>B3565</f>
        <v>32</v>
      </c>
      <c r="C3574" t="str">
        <v>Tul Atas Tumpuan</v>
      </c>
      <c r="D3574">
        <f>VLOOKUP(D3565,'Detail Balok'!$C$10:$AU$140,10,FALSE)</f>
        <v>5</v>
      </c>
      <c r="E3574" t="str">
        <v>D</v>
      </c>
      <c r="F3574">
        <f>VLOOKUP(D3565,'Detail Balok'!$C$10:$AU$140,12,FALSE)</f>
        <v>16</v>
      </c>
      <c r="I3574" t="str">
        <v>(</v>
      </c>
      <c r="J3574">
        <f>+D3567/4/1000</f>
        <v>1.33125</v>
      </c>
      <c r="K3574" t="str">
        <v>+</v>
      </c>
      <c r="L3574">
        <f>MAX(VLOOKUP(F3574,N$6:P$15,3,FALSE)/1000,2/3*D3569/1000)+F$16*F3574/1000</f>
        <v>0.192</v>
      </c>
      <c r="M3574" t="str">
        <v>=</v>
      </c>
      <c r="N3574">
        <f>J3574+L3574</f>
        <v>1.52325</v>
      </c>
      <c r="O3574" t="str">
        <v>+</v>
      </c>
      <c r="P3574">
        <f>D3574-D3573</f>
        <v>0</v>
      </c>
      <c r="Q3574" t="str">
        <v>x</v>
      </c>
      <c r="R3574">
        <f>IF(P3574&gt;0,$F$18*F3574/1000,0)</f>
        <v>0</v>
      </c>
      <c r="S3574" t="str">
        <v>)</v>
      </c>
      <c r="T3574" t="str">
        <v>x</v>
      </c>
      <c r="U3574">
        <f>0.006165*F3574^2</f>
        <v>1.57824</v>
      </c>
      <c r="X3574" t="str">
        <v>x</v>
      </c>
      <c r="Y3574">
        <f>D3571</f>
        <v>1</v>
      </c>
      <c r="Z3574" t="str">
        <v>=</v>
      </c>
      <c r="AA3574">
        <f>IF(AA3575=0,(D3574*N3574+P3574*R3574)*U3574*Y3574,0)</f>
        <v>0</v>
      </c>
    </row>
    <row r="3575">
      <c r="A3575" t="str">
        <f>A3565</f>
        <v>Lantai 2</v>
      </c>
      <c r="B3575">
        <f>B3565</f>
        <v>32</v>
      </c>
      <c r="D3575">
        <f>IF(AND(D3572=D3573,D3573=D3574,D3572=D3574),D3572,0)</f>
        <v>5</v>
      </c>
      <c r="E3575" t="str">
        <v>D</v>
      </c>
      <c r="F3575">
        <f>IF(AND(F3572=F3573,F3572=F3574,F3573=F3574),F3572,0)</f>
        <v>16</v>
      </c>
      <c r="L3575" t="str">
        <v>Total panjang per balok</v>
      </c>
      <c r="M3575" t="str">
        <v>=</v>
      </c>
      <c r="N3575">
        <f>IF(AND(D3572=D3573,D3572=D3574,D3573=D3574,F3572=F3573,F3572=F3574,F3573=F3574),SUM(N3572:N3574),0)</f>
        <v>5.7090000000000005</v>
      </c>
      <c r="O3575" t="str">
        <v>+</v>
      </c>
      <c r="P3575">
        <f>IF(N3575&gt;12,ROUNDDOWN(N3575/12,0),0)</f>
        <v>0</v>
      </c>
      <c r="Q3575" t="str">
        <v>x</v>
      </c>
      <c r="R3575">
        <f>IF(P3575&gt;0,MAX(VLOOKUP(F3575,$D$6:$G$15,3,FALSE),600),0)/1000</f>
        <v>0</v>
      </c>
      <c r="T3575" t="str">
        <v>x</v>
      </c>
      <c r="U3575">
        <f>U3574</f>
        <v>1.57824</v>
      </c>
      <c r="V3575" t="str">
        <v>x</v>
      </c>
      <c r="W3575">
        <f>D3575</f>
        <v>5</v>
      </c>
      <c r="X3575" t="str">
        <v>x</v>
      </c>
      <c r="Y3575">
        <f>Y3574</f>
        <v>1</v>
      </c>
      <c r="Z3575" t="str">
        <v>=</v>
      </c>
      <c r="AA3575">
        <f>(N3575+P3575*R3575/1000)*U3575*W3575*Y3575</f>
        <v>45.05086080000001</v>
      </c>
    </row>
    <row r="3577">
      <c r="A3577" t="str">
        <f>A3565</f>
        <v>Lantai 2</v>
      </c>
      <c r="B3577">
        <f>B3565</f>
        <v>32</v>
      </c>
      <c r="C3577" t="str">
        <v>Tul Peminggang</v>
      </c>
      <c r="D3577">
        <f>VLOOKUP(D3565,'Detail Balok'!$C$10:$AU$140,13,FALSE)</f>
        <v>2</v>
      </c>
      <c r="E3577" t="str">
        <v>D</v>
      </c>
      <c r="F3577">
        <f>VLOOKUP(D3565,'Detail Balok'!$C$10:$AU$140,15,FALSE)</f>
        <v>10</v>
      </c>
      <c r="J3577">
        <f>+D3567/1000</f>
        <v>5.325</v>
      </c>
      <c r="K3577" t="str">
        <v>+</v>
      </c>
      <c r="L3577">
        <f>2*$F$16*F3577/1000</f>
        <v>0.24</v>
      </c>
      <c r="M3577" t="str">
        <v>=</v>
      </c>
      <c r="N3577">
        <f>J3577+L3577</f>
        <v>5.565</v>
      </c>
      <c r="O3577" t="str">
        <v>+</v>
      </c>
      <c r="P3577">
        <f>IF(N3577&gt;12,ROUNDDOWN(N3577/12,0),0)</f>
        <v>0</v>
      </c>
      <c r="Q3577" t="str">
        <v>x</v>
      </c>
      <c r="R3577">
        <f>IF(P3577&gt;0,MAX(VLOOKUP(F3577,$D$6:$G$15,3,FALSE),600),0)/1000</f>
        <v>0</v>
      </c>
      <c r="T3577" t="str">
        <v>x</v>
      </c>
      <c r="U3577">
        <f>0.006165*F3577^2</f>
        <v>0.6165</v>
      </c>
      <c r="V3577" t="str">
        <v>x</v>
      </c>
      <c r="W3577">
        <f>+D3577</f>
        <v>2</v>
      </c>
      <c r="X3577" t="str">
        <v>x</v>
      </c>
      <c r="Y3577">
        <f>D3571</f>
        <v>1</v>
      </c>
      <c r="Z3577" t="str">
        <v>=</v>
      </c>
      <c r="AA3577">
        <f>(N3577+P3577*R3577/1000)*U3577*W3577*Y3577</f>
        <v>6.861645000000001</v>
      </c>
    </row>
    <row r="3580">
      <c r="A3580" t="str">
        <f>A3565</f>
        <v>Lantai 2</v>
      </c>
      <c r="B3580">
        <f>B3565</f>
        <v>32</v>
      </c>
      <c r="C3580" t="str">
        <v>Tul Bawah Tumpuan</v>
      </c>
      <c r="D3580">
        <f>VLOOKUP(D3565,'Detail Balok'!$C$10:$AU$140,22,FALSE)</f>
        <v>5</v>
      </c>
      <c r="E3580" t="str">
        <v>D</v>
      </c>
      <c r="F3580">
        <f>VLOOKUP(D3565,'Detail Balok'!$C$10:$AU$140,24,FALSE)</f>
        <v>16</v>
      </c>
      <c r="I3580" t="str">
        <v>(</v>
      </c>
      <c r="J3580">
        <f>+J3572</f>
        <v>1.33125</v>
      </c>
      <c r="K3580" t="str">
        <v>+</v>
      </c>
      <c r="L3580">
        <f>MAX(VLOOKUP(F3580,N$6:P$15,3,FALSE)/1000,2/3*D3570/1000)+F$16*F3580/1000</f>
        <v>0.192</v>
      </c>
      <c r="M3580" t="str">
        <v>=</v>
      </c>
      <c r="N3580">
        <f>J3580+L3580</f>
        <v>1.52325</v>
      </c>
      <c r="O3580" t="str">
        <v>+</v>
      </c>
      <c r="P3580">
        <f>D3580-D3581</f>
        <v>0</v>
      </c>
      <c r="Q3580" t="str">
        <v>x</v>
      </c>
      <c r="R3580">
        <f>IF(P3580&gt;0,$F$18*F3580/1000,0)</f>
        <v>0</v>
      </c>
      <c r="S3580" t="str">
        <v>)</v>
      </c>
      <c r="T3580" t="str">
        <v>x</v>
      </c>
      <c r="U3580">
        <f>0.006165*F3580^2</f>
        <v>1.57824</v>
      </c>
      <c r="X3580" t="str">
        <v>x</v>
      </c>
      <c r="Y3580">
        <f>D3571</f>
        <v>1</v>
      </c>
      <c r="Z3580" t="str">
        <v>=</v>
      </c>
      <c r="AA3580">
        <f>IF(AA3583=0,(D3580*N3580+P3580*R3580)*U3580*Y3580,0)</f>
        <v>0</v>
      </c>
    </row>
    <row r="3581">
      <c r="A3581" t="str">
        <f>A3565</f>
        <v>Lantai 2</v>
      </c>
      <c r="B3581">
        <f>B3565</f>
        <v>32</v>
      </c>
      <c r="C3581" t="str">
        <v>Tul Bawah Lapangan</v>
      </c>
      <c r="D3581">
        <f>VLOOKUP(D3565,'Detail Balok'!$C$10:$AU$140,25,FALSE)</f>
        <v>5</v>
      </c>
      <c r="E3581" t="str">
        <v>D</v>
      </c>
      <c r="F3581">
        <f>VLOOKUP(D3565,'Detail Balok'!$C$10:$AU$140,27,FALSE)</f>
        <v>16</v>
      </c>
      <c r="I3581" t="str">
        <v>(</v>
      </c>
      <c r="J3581">
        <f>+J3573</f>
        <v>2.6625</v>
      </c>
      <c r="K3581" t="str">
        <v>+</v>
      </c>
      <c r="M3581" t="str">
        <v>=</v>
      </c>
      <c r="N3581">
        <f>J3581+L3581</f>
        <v>2.6625</v>
      </c>
      <c r="O3581" t="str">
        <v>+</v>
      </c>
      <c r="P3581">
        <f>MAX(D3581-D3580,D3581-D3582)</f>
        <v>0</v>
      </c>
      <c r="Q3581" t="str">
        <v>x</v>
      </c>
      <c r="R3581">
        <f>IF(P3581&gt;0,2*(1-2*$F$19-1/2)*D3568/1000,0)</f>
        <v>0</v>
      </c>
      <c r="S3581" t="str">
        <v>)</v>
      </c>
      <c r="T3581" t="str">
        <v>x</v>
      </c>
      <c r="U3581">
        <f>0.006165*F3581^2</f>
        <v>1.57824</v>
      </c>
      <c r="X3581" t="str">
        <v>x</v>
      </c>
      <c r="Y3581">
        <f>D3571</f>
        <v>1</v>
      </c>
      <c r="Z3581" t="str">
        <v>=</v>
      </c>
      <c r="AA3581">
        <f>IF(AA3583=0,(D3581*N3581+P3581*R3581)*U3581*Y3581,0)</f>
        <v>0</v>
      </c>
    </row>
    <row r="3582">
      <c r="A3582" t="str">
        <f>A3565</f>
        <v>Lantai 2</v>
      </c>
      <c r="B3582">
        <f>B3565</f>
        <v>32</v>
      </c>
      <c r="C3582" t="str">
        <v>Tul Bawah Tumpuan</v>
      </c>
      <c r="D3582">
        <f>VLOOKUP(D3565,'Detail Balok'!$C$10:$AU$140,28,FALSE)</f>
        <v>5</v>
      </c>
      <c r="E3582" t="str">
        <v>D</v>
      </c>
      <c r="F3582">
        <f>VLOOKUP(D3565,'Detail Balok'!$C$10:$AU$140,30,FALSE)</f>
        <v>16</v>
      </c>
      <c r="I3582" t="str">
        <v>(</v>
      </c>
      <c r="J3582">
        <f>+J3574</f>
        <v>1.33125</v>
      </c>
      <c r="K3582" t="str">
        <v>+</v>
      </c>
      <c r="L3582">
        <f>MAX(VLOOKUP(F3582,N$6:P$15,3,FALSE)/1000,2/3*D3570/1000)+F$16*F3582/1000</f>
        <v>0.192</v>
      </c>
      <c r="M3582" t="str">
        <v>=</v>
      </c>
      <c r="N3582">
        <f>J3582+L3582</f>
        <v>1.52325</v>
      </c>
      <c r="O3582" t="str">
        <v>+</v>
      </c>
      <c r="P3582">
        <f>D3582-D3581</f>
        <v>0</v>
      </c>
      <c r="Q3582" t="str">
        <v>x</v>
      </c>
      <c r="R3582">
        <f>IF(P3582&gt;0,$F$18*F3582/1000,0)</f>
        <v>0</v>
      </c>
      <c r="S3582" t="str">
        <v>)</v>
      </c>
      <c r="T3582" t="str">
        <v>x</v>
      </c>
      <c r="U3582">
        <f>0.006165*F3582^2</f>
        <v>1.57824</v>
      </c>
      <c r="X3582" t="str">
        <v>x</v>
      </c>
      <c r="Y3582">
        <f>D3571</f>
        <v>1</v>
      </c>
      <c r="Z3582" t="str">
        <v>=</v>
      </c>
      <c r="AA3582">
        <f>IF(AA3583=0,(D3582*N3582+P3582*R3582)*U3582*Y3582,0)</f>
        <v>0</v>
      </c>
    </row>
    <row r="3583">
      <c r="A3583" t="str">
        <f>A3565</f>
        <v>Lantai 2</v>
      </c>
      <c r="B3583">
        <f>B3565</f>
        <v>32</v>
      </c>
      <c r="D3583">
        <f>IF(AND(D3580=D3581,D3581=D3582,D3580=D3582),D3580,0)</f>
        <v>5</v>
      </c>
      <c r="E3583" t="str">
        <v>D</v>
      </c>
      <c r="F3583">
        <f>IF(AND(F3580=F3581,F3580=F3582,F3581=F3582),F3580,0)</f>
        <v>16</v>
      </c>
      <c r="L3583" t="str">
        <v>Total panjang per balok</v>
      </c>
      <c r="M3583" t="str">
        <v>=</v>
      </c>
      <c r="N3583">
        <f>IF(AND(D3580=D3581,D3580=D3582,D3581=D3582,F3580=F3581,F3580=F3582,F3581=F3582),SUM(N3580:N3582),0)</f>
        <v>5.7090000000000005</v>
      </c>
      <c r="O3583" t="str">
        <v>+</v>
      </c>
      <c r="P3583">
        <f>IF(N3583&gt;12,ROUNDDOWN(N3583/12,0),0)</f>
        <v>0</v>
      </c>
      <c r="Q3583" t="str">
        <v>x</v>
      </c>
      <c r="R3583">
        <f>IF(P3583&gt;0,MAX(VLOOKUP(F3583,$D$6:$G$15,3,FALSE),600),0)/1000</f>
        <v>0</v>
      </c>
      <c r="T3583" t="str">
        <v>x</v>
      </c>
      <c r="U3583">
        <f>U3582</f>
        <v>1.57824</v>
      </c>
      <c r="V3583" t="str">
        <v>x</v>
      </c>
      <c r="W3583">
        <f>D3583</f>
        <v>5</v>
      </c>
      <c r="X3583" t="str">
        <v>x</v>
      </c>
      <c r="Y3583">
        <f>Y3582</f>
        <v>1</v>
      </c>
      <c r="Z3583" t="str">
        <v>=</v>
      </c>
      <c r="AA3583">
        <f>(N3583+P3583*R3583/1000)*U3583*W3583*Y3583</f>
        <v>45.05086080000001</v>
      </c>
    </row>
    <row r="3585">
      <c r="A3585" t="str">
        <f>A3565</f>
        <v>Lantai 2</v>
      </c>
      <c r="B3585">
        <f>B3565</f>
        <v>32</v>
      </c>
      <c r="C3585" t="str">
        <v>Sengkang Tumpuan</v>
      </c>
      <c r="D3585">
        <f>VLOOKUP(D3565,'Detail Balok'!$C$10:$AU$140,31,FALSE)</f>
        <v>0</v>
      </c>
      <c r="E3585" t="str">
        <v>D</v>
      </c>
      <c r="F3585">
        <f>VLOOKUP(D3565,'Detail Balok'!$C$10:$AU$140,33,FALSE)</f>
        <v>10</v>
      </c>
      <c r="G3585" t="str">
        <v>-</v>
      </c>
      <c r="H3585">
        <f>VLOOKUP(D3565,'Detail Balok'!$C$10:$AU$140,35,FALSE)</f>
        <v>100</v>
      </c>
      <c r="J3585">
        <f>(IF(D3585=0,(2*(D3566+G3566))-(F$5*8),IF(D3585=3,(2*(D3566+G3566))-(F$5*8)+(G3566-2*F$5),IF(D3585=4,(2*(D3566+G3566))-(F$5*8)+2*(G3566-2*F$5)))))/1000</f>
        <v>1.48</v>
      </c>
      <c r="K3585" t="str">
        <v>+</v>
      </c>
      <c r="L3585">
        <f>IF(D3585=0,2*MAX(6*F3585,75),(D3585-1)*2*MAX(6*F3585,75))/1000</f>
        <v>0.15</v>
      </c>
      <c r="M3585" t="str">
        <v>=</v>
      </c>
      <c r="N3585">
        <f>J3585+L3585</f>
        <v>1.63</v>
      </c>
      <c r="T3585" t="str">
        <v>x</v>
      </c>
      <c r="U3585">
        <f>0.006165*F3585^2</f>
        <v>0.6165</v>
      </c>
      <c r="V3585" t="str">
        <v>x</v>
      </c>
      <c r="W3585">
        <f>IF(D3568&gt;4*G3566,ROUND(MAX(D3568/4,2*G3566)/H3585,0)+1,ROUND(D3568/H3585,0)+1)</f>
        <v>14</v>
      </c>
      <c r="X3585" t="str">
        <v>x</v>
      </c>
      <c r="Y3585">
        <f>D3571</f>
        <v>1</v>
      </c>
      <c r="Z3585" t="str">
        <v>=</v>
      </c>
      <c r="AA3585">
        <f>N3585*U3585*W3585*Y3585</f>
        <v>14.06853</v>
      </c>
    </row>
    <row r="3586">
      <c r="A3586" t="str">
        <f>A3565</f>
        <v>Lantai 2</v>
      </c>
      <c r="B3586">
        <f>B3565</f>
        <v>32</v>
      </c>
      <c r="C3586" t="str">
        <v>Sengkang Lapangan</v>
      </c>
      <c r="D3586">
        <f>VLOOKUP(D3565,'Detail Balok'!$C$10:$AU$140,36,FALSE)</f>
        <v>0</v>
      </c>
      <c r="E3586" t="str">
        <v>D</v>
      </c>
      <c r="F3586">
        <f>VLOOKUP(D3565,'Detail Balok'!$C$10:$AU$140,38,FALSE)</f>
        <v>10</v>
      </c>
      <c r="G3586" t="str">
        <v>-</v>
      </c>
      <c r="H3586">
        <f>VLOOKUP(D3565,'Detail Balok'!$C$10:$AU$140,40,FALSE)</f>
        <v>150</v>
      </c>
      <c r="J3586">
        <f>(IF(D3586=0,(2*(D3566+G3566))-(F$5*8),IF(D3586=3,(2*(D3566+G3566))-(F$5*8)+(G3566-2*F$5),IF(D3586=4,(2*(D3566+G3566))-(F$5*8)+2*(G3566-2*F$5)))))/1000</f>
        <v>1.48</v>
      </c>
      <c r="K3586" t="str">
        <v>+</v>
      </c>
      <c r="L3586">
        <f>IF(D3586=0,2*MAX(6*F3586,75),(D3586-1)*2*MAX(6*F3586,75))/1000</f>
        <v>0.15</v>
      </c>
      <c r="M3586" t="str">
        <v>=</v>
      </c>
      <c r="N3586">
        <f>J3586+L3586</f>
        <v>1.63</v>
      </c>
      <c r="T3586" t="str">
        <v>x</v>
      </c>
      <c r="U3586">
        <f>0.006165*F3586^2</f>
        <v>0.6165</v>
      </c>
      <c r="V3586" t="str">
        <v>x</v>
      </c>
      <c r="W3586">
        <f>IF(D3568-MAX(D3568/4,2*G3566)*2&gt;0,ROUND((D3568-MAX(D3568/4,2*G3566)*2)/H3586,0),0)</f>
        <v>18</v>
      </c>
      <c r="X3586" t="str">
        <v>x</v>
      </c>
      <c r="Y3586">
        <f>D3571</f>
        <v>1</v>
      </c>
      <c r="Z3586" t="str">
        <v>=</v>
      </c>
      <c r="AA3586">
        <f>N3586*U3586*W3586*Y3586</f>
        <v>18.08811</v>
      </c>
    </row>
    <row r="3587">
      <c r="A3587" t="str">
        <f>A3565</f>
        <v>Lantai 2</v>
      </c>
      <c r="B3587">
        <f>B3565</f>
        <v>32</v>
      </c>
      <c r="C3587" t="str">
        <v>Sengkang Tumpuan</v>
      </c>
      <c r="D3587">
        <f>VLOOKUP(D3565,'Detail Balok'!$C$10:$AU$140,41,FALSE)</f>
        <v>0</v>
      </c>
      <c r="E3587" t="str">
        <v>D</v>
      </c>
      <c r="F3587">
        <f>VLOOKUP(D3565,'Detail Balok'!$C$10:$AU$140,43,FALSE)</f>
        <v>10</v>
      </c>
      <c r="G3587" t="str">
        <v>-</v>
      </c>
      <c r="H3587">
        <f>VLOOKUP(D3565,'Detail Balok'!$C$10:$AU$140,45,FALSE)</f>
        <v>100</v>
      </c>
      <c r="J3587">
        <f>(IF(D3587=0,(2*(D3566+G3566))-(F$5*8),IF(D3587=3,(2*(D3566+G3566))-(F$5*8)+(G3566-2*F$5),IF(D3587=4,(2*(D3566+G3566))-(F$5*8)+2*(G3566-2*F$5)))))/1000</f>
        <v>1.48</v>
      </c>
      <c r="K3587" t="str">
        <v>+</v>
      </c>
      <c r="L3587">
        <f>IF(D3587=0,2*MAX(6*F3587,75),(D3587-1)*2*MAX(6*F3587,75))/1000</f>
        <v>0.15</v>
      </c>
      <c r="M3587" t="str">
        <v>=</v>
      </c>
      <c r="N3587">
        <f>J3587+L3587</f>
        <v>1.63</v>
      </c>
      <c r="T3587" t="str">
        <v>x</v>
      </c>
      <c r="U3587">
        <f>0.006165*F3587^2</f>
        <v>0.6165</v>
      </c>
      <c r="V3587" t="str">
        <v>x</v>
      </c>
      <c r="W3587">
        <f>IF(D3568&gt;4*G3566,ROUND(MAX(D3568/4,2*G3566)/H3587,0)+1,0)</f>
        <v>14</v>
      </c>
      <c r="X3587" t="str">
        <v>x</v>
      </c>
      <c r="Y3587">
        <f>D3571</f>
        <v>1</v>
      </c>
      <c r="Z3587" t="str">
        <v>=</v>
      </c>
      <c r="AA3587">
        <f>N3587*U3587*W3587*Y3587</f>
        <v>14.06853</v>
      </c>
    </row>
    <row r="3589">
      <c r="A3589" t="str">
        <f>A3565</f>
        <v>Lantai 2</v>
      </c>
      <c r="B3589">
        <f>B3565</f>
        <v>32</v>
      </c>
      <c r="C3589" t="str">
        <v>Kait Horizontal Tump.</v>
      </c>
      <c r="D3589">
        <f>VLOOKUP(D3565,'Detail Balok'!$C$10:$BJ$140,46,FALSE)</f>
        <v>0</v>
      </c>
      <c r="E3589" t="str">
        <v>D</v>
      </c>
      <c r="F3589">
        <f>VLOOKUP(D3565,'Detail Balok'!$C$10:$BJ$140,48,FALSE)</f>
        <v>0</v>
      </c>
      <c r="G3589" t="str">
        <v>-</v>
      </c>
      <c r="H3589">
        <f>VLOOKUP(D3565,'Detail Balok'!$C$10:$BJ$140,50,FALSE)</f>
        <v>100</v>
      </c>
      <c r="J3589">
        <f>(D3566-2*F$5)/1000</f>
        <v>0.22</v>
      </c>
      <c r="K3589" t="str">
        <v>+</v>
      </c>
      <c r="L3589">
        <f>IF(D3589=0,2*MAX(6*F3589,75),(D3589-1)*2*MAX(6*F3589,75))/1000</f>
        <v>0.15</v>
      </c>
      <c r="M3589" t="str">
        <v>=</v>
      </c>
      <c r="N3589">
        <f>J3589+L3589</f>
        <v>0.37</v>
      </c>
      <c r="T3589" t="str">
        <v>x</v>
      </c>
      <c r="U3589">
        <f>0.006165*F3589^2</f>
        <v>0</v>
      </c>
      <c r="V3589" t="str">
        <v>x</v>
      </c>
      <c r="W3589">
        <f>W3585</f>
        <v>14</v>
      </c>
      <c r="X3589" t="str">
        <v>x</v>
      </c>
      <c r="Y3589">
        <f>D3575</f>
        <v>5</v>
      </c>
      <c r="Z3589" t="str">
        <v>=</v>
      </c>
      <c r="AA3589">
        <f>N3589*U3589*W3589*Y3589</f>
        <v>0</v>
      </c>
    </row>
    <row r="3590">
      <c r="A3590" t="str">
        <f>A3565</f>
        <v>Lantai 2</v>
      </c>
      <c r="B3590">
        <f>B3565</f>
        <v>32</v>
      </c>
      <c r="C3590" t="str">
        <v>Kait Horizontal Lap.</v>
      </c>
      <c r="D3590">
        <f>VLOOKUP(D3565,'Detail Balok'!$C$10:$BJ$140,51,FALSE)</f>
        <v>0</v>
      </c>
      <c r="E3590" t="str">
        <v>D</v>
      </c>
      <c r="F3590">
        <f>VLOOKUP(D3565,'Detail Balok'!$C$10:$BJ$140,53,FALSE)</f>
        <v>0</v>
      </c>
      <c r="G3590" t="str">
        <v>-</v>
      </c>
      <c r="H3590">
        <f>VLOOKUP(D3565,'Detail Balok'!$C$10:$BJ$140,55,FALSE)</f>
        <v>100</v>
      </c>
      <c r="J3590">
        <f>(D3566-2*F$5)/1000</f>
        <v>0.22</v>
      </c>
      <c r="K3590" t="str">
        <v>+</v>
      </c>
      <c r="L3590">
        <f>IF(D3590=0,2*MAX(6*F3590,75),(D3590-1)*2*MAX(6*F3590,75))/1000</f>
        <v>0.15</v>
      </c>
      <c r="M3590" t="str">
        <v>=</v>
      </c>
      <c r="N3590">
        <f>J3590+L3590</f>
        <v>0.37</v>
      </c>
      <c r="T3590" t="str">
        <v>x</v>
      </c>
      <c r="U3590">
        <f>0.006165*F3590^2</f>
        <v>0</v>
      </c>
      <c r="V3590" t="str">
        <v>x</v>
      </c>
      <c r="W3590">
        <f>W3586</f>
        <v>18</v>
      </c>
      <c r="X3590" t="str">
        <v>x</v>
      </c>
      <c r="Y3590">
        <f>D3575</f>
        <v>5</v>
      </c>
      <c r="Z3590" t="str">
        <v>=</v>
      </c>
      <c r="AA3590">
        <f>N3590*U3590*W3590*Y3590</f>
        <v>0</v>
      </c>
    </row>
    <row r="3591">
      <c r="A3591" t="str">
        <f>A3565</f>
        <v>Lantai 2</v>
      </c>
      <c r="B3591">
        <f>B3565</f>
        <v>32</v>
      </c>
      <c r="C3591" t="str">
        <v>Kait Horizontal Tump.</v>
      </c>
      <c r="D3591">
        <f>VLOOKUP(D3565,'Detail Balok'!$C$10:$BJ$140,56,FALSE)</f>
        <v>0</v>
      </c>
      <c r="E3591" t="str">
        <v>D</v>
      </c>
      <c r="F3591">
        <f>VLOOKUP(D3565,'Detail Balok'!$C$10:$BJ$140,58,FALSE)</f>
        <v>0</v>
      </c>
      <c r="G3591" t="str">
        <v>-</v>
      </c>
      <c r="H3591">
        <f>VLOOKUP(D3565,'Detail Balok'!$C$10:$BJ$140,60,FALSE)</f>
        <v>100</v>
      </c>
      <c r="J3591">
        <f>(D3566-2*F$5)/1000</f>
        <v>0.22</v>
      </c>
      <c r="K3591" t="str">
        <v>+</v>
      </c>
      <c r="L3591">
        <f>IF(D3591=0,2*MAX(6*F3591,75),(D3591-1)*2*MAX(6*F3591,75))/1000</f>
        <v>0.15</v>
      </c>
      <c r="M3591" t="str">
        <v>=</v>
      </c>
      <c r="N3591">
        <f>J3591+L3591</f>
        <v>0.37</v>
      </c>
      <c r="T3591" t="str">
        <v>x</v>
      </c>
      <c r="U3591">
        <f>0.006165*F3591^2</f>
        <v>0</v>
      </c>
      <c r="V3591" t="str">
        <v>x</v>
      </c>
      <c r="W3591">
        <f>W3587</f>
        <v>14</v>
      </c>
      <c r="X3591" t="str">
        <v>x</v>
      </c>
      <c r="Y3591">
        <f>D3575</f>
        <v>5</v>
      </c>
      <c r="Z3591" t="str">
        <v>=</v>
      </c>
      <c r="AA3591">
        <f>N3591*U3591*W3591*Y3591</f>
        <v>0</v>
      </c>
    </row>
    <row r="3595">
      <c r="A3595" t="str">
        <f>A3565</f>
        <v>Lantai 2</v>
      </c>
      <c r="B3595">
        <f>B3565+1</f>
        <v>33</v>
      </c>
      <c r="C3595" t="str">
        <f>CONCATENATE(A3595," no. ",B3595)</f>
        <v>Lantai 2 no. 33</v>
      </c>
      <c r="D3595" t="str">
        <f>VLOOKUP(C3595,'Data Panjang Balok'!$C$9:$N$254,2,FALSE)</f>
        <v>B24-1</v>
      </c>
    </row>
    <row r="3596">
      <c r="C3596" t="str">
        <v>Dimensi</v>
      </c>
      <c r="D3596">
        <f>VLOOKUP(D3595,'Detail Balok'!$C$10:$AU$140,2,FALSE)</f>
        <v>200</v>
      </c>
      <c r="F3596" t="str">
        <v>x</v>
      </c>
      <c r="G3596">
        <f>VLOOKUP(D3595,'Detail Balok'!$C$10:$AU$140,3,FALSE)</f>
        <v>400</v>
      </c>
    </row>
    <row r="3597">
      <c r="C3597" t="str">
        <v>Panjang as ke as</v>
      </c>
      <c r="D3597">
        <f>VLOOKUP(C3595,'Data Panjang Balok'!$C$9:$N$254,4,FALSE)</f>
        <v>3645</v>
      </c>
    </row>
    <row r="3598">
      <c r="C3598" t="str">
        <v>Panjang netto</v>
      </c>
      <c r="D3598">
        <f>VLOOKUP(C3595,'Data Panjang Balok'!$C$9:$N$254,7,FALSE)</f>
        <v>3645</v>
      </c>
    </row>
    <row r="3599">
      <c r="C3599" t="str">
        <v>Kolom / balok kiri</v>
      </c>
      <c r="D3599">
        <f>VLOOKUP(C3595,'Data Panjang Balok'!$C$9:$N$254,9,FALSE)</f>
        <v>0</v>
      </c>
    </row>
    <row r="3600">
      <c r="C3600" t="str">
        <v>Kolom / balok kanan</v>
      </c>
      <c r="D3600">
        <f>VLOOKUP(C3595,'Data Panjang Balok'!$C$9:$N$254,10,FALSE)</f>
        <v>0</v>
      </c>
    </row>
    <row r="3601">
      <c r="C3601" t="str">
        <v>Jumlah</v>
      </c>
      <c r="D3601">
        <f>VLOOKUP(C3595,'Data Panjang Balok'!$C$9:$N$254,3,FALSE)</f>
        <v>1</v>
      </c>
    </row>
    <row r="3602">
      <c r="A3602" t="str">
        <f>A3595</f>
        <v>Lantai 2</v>
      </c>
      <c r="B3602">
        <f>B3595</f>
        <v>33</v>
      </c>
      <c r="C3602" t="str">
        <v>Tul Atas Tumpuan</v>
      </c>
      <c r="D3602">
        <f>VLOOKUP(D3595,'Detail Balok'!$C$10:$AU$140,4,FALSE)</f>
        <v>3</v>
      </c>
      <c r="E3602" t="str">
        <v>D</v>
      </c>
      <c r="F3602">
        <f>VLOOKUP(D3595,'Detail Balok'!$C$10:$AU$140,6,FALSE)</f>
        <v>13</v>
      </c>
      <c r="I3602" t="str">
        <v>(</v>
      </c>
      <c r="J3602">
        <f>+D3597/4/1000</f>
        <v>0.91125</v>
      </c>
      <c r="K3602" t="str">
        <v>+</v>
      </c>
      <c r="L3602">
        <f>MAX(VLOOKUP(F3602,N$6:P$15,3,FALSE)/1000,2/3*D3599/1000)+F$16*F3602/1000</f>
        <v>0.156</v>
      </c>
      <c r="M3602" t="str">
        <v>=</v>
      </c>
      <c r="N3602">
        <f>J3602+L3602</f>
        <v>1.06725</v>
      </c>
      <c r="O3602" t="str">
        <v>+</v>
      </c>
      <c r="P3602">
        <f>D3602-D3603</f>
        <v>0</v>
      </c>
      <c r="Q3602" t="str">
        <v>x</v>
      </c>
      <c r="R3602">
        <f>IF(P3602&gt;0,$F$18*F3602/1000,0)</f>
        <v>0</v>
      </c>
      <c r="S3602" t="str">
        <v>)</v>
      </c>
      <c r="T3602" t="str">
        <v>x</v>
      </c>
      <c r="U3602">
        <f>0.006165*F3602^2</f>
        <v>1.041885</v>
      </c>
      <c r="X3602" t="str">
        <v>x</v>
      </c>
      <c r="Y3602">
        <f>D3601</f>
        <v>1</v>
      </c>
      <c r="Z3602" t="str">
        <v>=</v>
      </c>
      <c r="AA3602">
        <f>IF(AA3605=0,(D3602*N3602+P3602*R3602)*U3602*Y3602,0)</f>
        <v>0</v>
      </c>
    </row>
    <row r="3603">
      <c r="A3603" t="str">
        <f>A3595</f>
        <v>Lantai 2</v>
      </c>
      <c r="B3603">
        <f>B3595</f>
        <v>33</v>
      </c>
      <c r="C3603" t="str">
        <v>Tul Atas Lapangan</v>
      </c>
      <c r="D3603">
        <f>VLOOKUP(D3595,'Detail Balok'!$C$10:$AU$140,7,FALSE)</f>
        <v>3</v>
      </c>
      <c r="E3603" t="str">
        <v>D</v>
      </c>
      <c r="F3603">
        <f>VLOOKUP(D3595,'Detail Balok'!$C$10:$AU$140,9,FALSE)</f>
        <v>13</v>
      </c>
      <c r="I3603" t="str">
        <v>(</v>
      </c>
      <c r="J3603">
        <f>+D3597/2/1000</f>
        <v>1.8225</v>
      </c>
      <c r="K3603" t="str">
        <v>+</v>
      </c>
      <c r="M3603" t="str">
        <v>=</v>
      </c>
      <c r="N3603">
        <f>J3603+L3603</f>
        <v>1.8225</v>
      </c>
      <c r="O3603" t="str">
        <v>+</v>
      </c>
      <c r="P3603">
        <f>MAX(D3603-D3602,D3603-D3604)</f>
        <v>0</v>
      </c>
      <c r="Q3603" t="str">
        <v>x</v>
      </c>
      <c r="R3603">
        <f>IF(P3603&gt;0,2*(1-2*$F$19-1/2)*D3598/1000,0)</f>
        <v>0</v>
      </c>
      <c r="S3603" t="str">
        <v>)</v>
      </c>
      <c r="T3603" t="str">
        <v>x</v>
      </c>
      <c r="U3603">
        <f>0.006165*F3603^2</f>
        <v>1.041885</v>
      </c>
      <c r="X3603" t="str">
        <v>x</v>
      </c>
      <c r="Y3603">
        <f>D3601</f>
        <v>1</v>
      </c>
      <c r="Z3603" t="str">
        <v>=</v>
      </c>
      <c r="AA3603">
        <f>IF(AA3605=0,(D3603*N3603+P3603*R3603)*U3603*Y3603,0)</f>
        <v>0</v>
      </c>
    </row>
    <row r="3604">
      <c r="A3604" t="str">
        <f>A3595</f>
        <v>Lantai 2</v>
      </c>
      <c r="B3604">
        <f>B3595</f>
        <v>33</v>
      </c>
      <c r="C3604" t="str">
        <v>Tul Atas Tumpuan</v>
      </c>
      <c r="D3604">
        <f>VLOOKUP(D3595,'Detail Balok'!$C$10:$AU$140,10,FALSE)</f>
        <v>3</v>
      </c>
      <c r="E3604" t="str">
        <v>D</v>
      </c>
      <c r="F3604">
        <f>VLOOKUP(D3595,'Detail Balok'!$C$10:$AU$140,12,FALSE)</f>
        <v>13</v>
      </c>
      <c r="I3604" t="str">
        <v>(</v>
      </c>
      <c r="J3604">
        <f>+D3597/4/1000</f>
        <v>0.91125</v>
      </c>
      <c r="K3604" t="str">
        <v>+</v>
      </c>
      <c r="L3604">
        <f>MAX(VLOOKUP(F3604,N$6:P$15,3,FALSE)/1000,2/3*D3599/1000)+F$16*F3604/1000</f>
        <v>0.156</v>
      </c>
      <c r="M3604" t="str">
        <v>=</v>
      </c>
      <c r="N3604">
        <f>J3604+L3604</f>
        <v>1.06725</v>
      </c>
      <c r="O3604" t="str">
        <v>+</v>
      </c>
      <c r="P3604">
        <f>D3604-D3603</f>
        <v>0</v>
      </c>
      <c r="Q3604" t="str">
        <v>x</v>
      </c>
      <c r="R3604">
        <f>IF(P3604&gt;0,$F$18*F3604/1000,0)</f>
        <v>0</v>
      </c>
      <c r="S3604" t="str">
        <v>)</v>
      </c>
      <c r="T3604" t="str">
        <v>x</v>
      </c>
      <c r="U3604">
        <f>0.006165*F3604^2</f>
        <v>1.041885</v>
      </c>
      <c r="X3604" t="str">
        <v>x</v>
      </c>
      <c r="Y3604">
        <f>D3601</f>
        <v>1</v>
      </c>
      <c r="Z3604" t="str">
        <v>=</v>
      </c>
      <c r="AA3604">
        <f>IF(AA3605=0,(D3604*N3604+P3604*R3604)*U3604*Y3604,0)</f>
        <v>0</v>
      </c>
    </row>
    <row r="3605">
      <c r="A3605" t="str">
        <f>A3595</f>
        <v>Lantai 2</v>
      </c>
      <c r="B3605">
        <f>B3595</f>
        <v>33</v>
      </c>
      <c r="D3605">
        <f>IF(AND(D3602=D3603,D3603=D3604,D3602=D3604),D3602,0)</f>
        <v>3</v>
      </c>
      <c r="E3605" t="str">
        <v>D</v>
      </c>
      <c r="F3605">
        <f>IF(AND(F3602=F3603,F3602=F3604,F3603=F3604),F3602,0)</f>
        <v>13</v>
      </c>
      <c r="L3605" t="str">
        <v>Total panjang per balok</v>
      </c>
      <c r="M3605" t="str">
        <v>=</v>
      </c>
      <c r="N3605">
        <f>IF(AND(D3602=D3603,D3602=D3604,D3603=D3604,F3602=F3603,F3602=F3604,F3603=F3604),SUM(N3602:N3604),0)</f>
        <v>3.9570000000000003</v>
      </c>
      <c r="O3605" t="str">
        <v>+</v>
      </c>
      <c r="P3605">
        <f>IF(N3605&gt;12,ROUNDDOWN(N3605/12,0),0)</f>
        <v>0</v>
      </c>
      <c r="Q3605" t="str">
        <v>x</v>
      </c>
      <c r="R3605">
        <f>IF(P3605&gt;0,MAX(VLOOKUP(F3605,$D$6:$G$15,3,FALSE),600),0)/1000</f>
        <v>0</v>
      </c>
      <c r="T3605" t="str">
        <v>x</v>
      </c>
      <c r="U3605">
        <f>U3604</f>
        <v>1.041885</v>
      </c>
      <c r="V3605" t="str">
        <v>x</v>
      </c>
      <c r="W3605">
        <f>D3605</f>
        <v>3</v>
      </c>
      <c r="X3605" t="str">
        <v>x</v>
      </c>
      <c r="Y3605">
        <f>Y3604</f>
        <v>1</v>
      </c>
      <c r="Z3605" t="str">
        <v>=</v>
      </c>
      <c r="AA3605">
        <f>(N3605+P3605*R3605/1000)*U3605*W3605*Y3605</f>
        <v>12.368216835</v>
      </c>
    </row>
    <row r="3607">
      <c r="A3607" t="str">
        <f>A3595</f>
        <v>Lantai 2</v>
      </c>
      <c r="B3607">
        <f>B3595</f>
        <v>33</v>
      </c>
      <c r="C3607" t="str">
        <v>Tul Peminggang</v>
      </c>
      <c r="D3607">
        <f>VLOOKUP(D3595,'Detail Balok'!$C$10:$AU$140,13,FALSE)</f>
        <v>0</v>
      </c>
      <c r="E3607" t="str">
        <v>D</v>
      </c>
      <c r="F3607">
        <f>VLOOKUP(D3595,'Detail Balok'!$C$10:$AU$140,15,FALSE)</f>
        <v>8</v>
      </c>
      <c r="J3607">
        <f>+D3597/1000</f>
        <v>3.645</v>
      </c>
      <c r="K3607" t="str">
        <v>+</v>
      </c>
      <c r="L3607">
        <f>2*$F$16*F3607/1000</f>
        <v>0.192</v>
      </c>
      <c r="M3607" t="str">
        <v>=</v>
      </c>
      <c r="N3607">
        <f>J3607+L3607</f>
        <v>3.837</v>
      </c>
      <c r="O3607" t="str">
        <v>+</v>
      </c>
      <c r="P3607">
        <f>IF(N3607&gt;12,ROUNDDOWN(N3607/12,0),0)</f>
        <v>0</v>
      </c>
      <c r="Q3607" t="str">
        <v>x</v>
      </c>
      <c r="R3607">
        <f>IF(P3607&gt;0,MAX(VLOOKUP(F3607,$D$6:$G$15,3,FALSE),600),0)/1000</f>
        <v>0</v>
      </c>
      <c r="T3607" t="str">
        <v>x</v>
      </c>
      <c r="U3607">
        <f>0.006165*F3607^2</f>
        <v>0.39456</v>
      </c>
      <c r="V3607" t="str">
        <v>x</v>
      </c>
      <c r="W3607">
        <f>+D3607</f>
        <v>0</v>
      </c>
      <c r="X3607" t="str">
        <v>x</v>
      </c>
      <c r="Y3607">
        <f>D3601</f>
        <v>1</v>
      </c>
      <c r="Z3607" t="str">
        <v>=</v>
      </c>
      <c r="AA3607">
        <f>(N3607+P3607*R3607/1000)*U3607*W3607*Y3607</f>
        <v>0</v>
      </c>
    </row>
    <row r="3610">
      <c r="A3610" t="str">
        <f>A3595</f>
        <v>Lantai 2</v>
      </c>
      <c r="B3610">
        <f>B3595</f>
        <v>33</v>
      </c>
      <c r="C3610" t="str">
        <v>Tul Bawah Tumpuan</v>
      </c>
      <c r="D3610">
        <f>VLOOKUP(D3595,'Detail Balok'!$C$10:$AU$140,22,FALSE)</f>
        <v>3</v>
      </c>
      <c r="E3610" t="str">
        <v>D</v>
      </c>
      <c r="F3610">
        <f>VLOOKUP(D3595,'Detail Balok'!$C$10:$AU$140,24,FALSE)</f>
        <v>13</v>
      </c>
      <c r="I3610" t="str">
        <v>(</v>
      </c>
      <c r="J3610">
        <f>+J3602</f>
        <v>0.91125</v>
      </c>
      <c r="K3610" t="str">
        <v>+</v>
      </c>
      <c r="L3610">
        <f>MAX(VLOOKUP(F3610,N$6:P$15,3,FALSE)/1000,2/3*D3600/1000)+F$16*F3610/1000</f>
        <v>0.156</v>
      </c>
      <c r="M3610" t="str">
        <v>=</v>
      </c>
      <c r="N3610">
        <f>J3610+L3610</f>
        <v>1.06725</v>
      </c>
      <c r="O3610" t="str">
        <v>+</v>
      </c>
      <c r="P3610">
        <f>D3610-D3611</f>
        <v>0</v>
      </c>
      <c r="Q3610" t="str">
        <v>x</v>
      </c>
      <c r="R3610">
        <f>IF(P3610&gt;0,$F$18*F3610/1000,0)</f>
        <v>0</v>
      </c>
      <c r="S3610" t="str">
        <v>)</v>
      </c>
      <c r="T3610" t="str">
        <v>x</v>
      </c>
      <c r="U3610">
        <f>0.006165*F3610^2</f>
        <v>1.041885</v>
      </c>
      <c r="X3610" t="str">
        <v>x</v>
      </c>
      <c r="Y3610">
        <f>D3601</f>
        <v>1</v>
      </c>
      <c r="Z3610" t="str">
        <v>=</v>
      </c>
      <c r="AA3610">
        <f>IF(AA3613=0,(D3610*N3610+P3610*R3610)*U3610*Y3610,0)</f>
        <v>0</v>
      </c>
    </row>
    <row r="3611">
      <c r="A3611" t="str">
        <f>A3595</f>
        <v>Lantai 2</v>
      </c>
      <c r="B3611">
        <f>B3595</f>
        <v>33</v>
      </c>
      <c r="C3611" t="str">
        <v>Tul Bawah Lapangan</v>
      </c>
      <c r="D3611">
        <f>VLOOKUP(D3595,'Detail Balok'!$C$10:$AU$140,25,FALSE)</f>
        <v>3</v>
      </c>
      <c r="E3611" t="str">
        <v>D</v>
      </c>
      <c r="F3611">
        <f>VLOOKUP(D3595,'Detail Balok'!$C$10:$AU$140,27,FALSE)</f>
        <v>13</v>
      </c>
      <c r="I3611" t="str">
        <v>(</v>
      </c>
      <c r="J3611">
        <f>+J3603</f>
        <v>1.8225</v>
      </c>
      <c r="K3611" t="str">
        <v>+</v>
      </c>
      <c r="M3611" t="str">
        <v>=</v>
      </c>
      <c r="N3611">
        <f>J3611+L3611</f>
        <v>1.8225</v>
      </c>
      <c r="O3611" t="str">
        <v>+</v>
      </c>
      <c r="P3611">
        <f>MAX(D3611-D3610,D3611-D3612)</f>
        <v>0</v>
      </c>
      <c r="Q3611" t="str">
        <v>x</v>
      </c>
      <c r="R3611">
        <f>IF(P3611&gt;0,2*(1-2*$F$19-1/2)*D3598/1000,0)</f>
        <v>0</v>
      </c>
      <c r="S3611" t="str">
        <v>)</v>
      </c>
      <c r="T3611" t="str">
        <v>x</v>
      </c>
      <c r="U3611">
        <f>0.006165*F3611^2</f>
        <v>1.041885</v>
      </c>
      <c r="X3611" t="str">
        <v>x</v>
      </c>
      <c r="Y3611">
        <f>D3601</f>
        <v>1</v>
      </c>
      <c r="Z3611" t="str">
        <v>=</v>
      </c>
      <c r="AA3611">
        <f>IF(AA3613=0,(D3611*N3611+P3611*R3611)*U3611*Y3611,0)</f>
        <v>0</v>
      </c>
    </row>
    <row r="3612">
      <c r="A3612" t="str">
        <f>A3595</f>
        <v>Lantai 2</v>
      </c>
      <c r="B3612">
        <f>B3595</f>
        <v>33</v>
      </c>
      <c r="C3612" t="str">
        <v>Tul Bawah Tumpuan</v>
      </c>
      <c r="D3612">
        <f>VLOOKUP(D3595,'Detail Balok'!$C$10:$AU$140,28,FALSE)</f>
        <v>3</v>
      </c>
      <c r="E3612" t="str">
        <v>D</v>
      </c>
      <c r="F3612">
        <f>VLOOKUP(D3595,'Detail Balok'!$C$10:$AU$140,30,FALSE)</f>
        <v>13</v>
      </c>
      <c r="I3612" t="str">
        <v>(</v>
      </c>
      <c r="J3612">
        <f>+J3604</f>
        <v>0.91125</v>
      </c>
      <c r="K3612" t="str">
        <v>+</v>
      </c>
      <c r="L3612">
        <f>MAX(VLOOKUP(F3612,N$6:P$15,3,FALSE)/1000,2/3*D3600/1000)+F$16*F3612/1000</f>
        <v>0.156</v>
      </c>
      <c r="M3612" t="str">
        <v>=</v>
      </c>
      <c r="N3612">
        <f>J3612+L3612</f>
        <v>1.06725</v>
      </c>
      <c r="O3612" t="str">
        <v>+</v>
      </c>
      <c r="P3612">
        <f>D3612-D3611</f>
        <v>0</v>
      </c>
      <c r="Q3612" t="str">
        <v>x</v>
      </c>
      <c r="R3612">
        <f>IF(P3612&gt;0,$F$18*F3612/1000,0)</f>
        <v>0</v>
      </c>
      <c r="S3612" t="str">
        <v>)</v>
      </c>
      <c r="T3612" t="str">
        <v>x</v>
      </c>
      <c r="U3612">
        <f>0.006165*F3612^2</f>
        <v>1.041885</v>
      </c>
      <c r="X3612" t="str">
        <v>x</v>
      </c>
      <c r="Y3612">
        <f>D3601</f>
        <v>1</v>
      </c>
      <c r="Z3612" t="str">
        <v>=</v>
      </c>
      <c r="AA3612">
        <f>IF(AA3613=0,(D3612*N3612+P3612*R3612)*U3612*Y3612,0)</f>
        <v>0</v>
      </c>
    </row>
    <row r="3613">
      <c r="A3613" t="str">
        <f>A3595</f>
        <v>Lantai 2</v>
      </c>
      <c r="B3613">
        <f>B3595</f>
        <v>33</v>
      </c>
      <c r="D3613">
        <f>IF(AND(D3610=D3611,D3611=D3612,D3610=D3612),D3610,0)</f>
        <v>3</v>
      </c>
      <c r="E3613" t="str">
        <v>D</v>
      </c>
      <c r="F3613">
        <f>IF(AND(F3610=F3611,F3610=F3612,F3611=F3612),F3610,0)</f>
        <v>13</v>
      </c>
      <c r="L3613" t="str">
        <v>Total panjang per balok</v>
      </c>
      <c r="M3613" t="str">
        <v>=</v>
      </c>
      <c r="N3613">
        <f>IF(AND(D3610=D3611,D3610=D3612,D3611=D3612,F3610=F3611,F3610=F3612,F3611=F3612),SUM(N3610:N3612),0)</f>
        <v>3.9570000000000003</v>
      </c>
      <c r="O3613" t="str">
        <v>+</v>
      </c>
      <c r="P3613">
        <f>IF(N3613&gt;12,ROUNDDOWN(N3613/12,0),0)</f>
        <v>0</v>
      </c>
      <c r="Q3613" t="str">
        <v>x</v>
      </c>
      <c r="R3613">
        <f>IF(P3613&gt;0,MAX(VLOOKUP(F3613,$D$6:$G$15,3,FALSE),600),0)/1000</f>
        <v>0</v>
      </c>
      <c r="T3613" t="str">
        <v>x</v>
      </c>
      <c r="U3613">
        <f>U3612</f>
        <v>1.041885</v>
      </c>
      <c r="V3613" t="str">
        <v>x</v>
      </c>
      <c r="W3613">
        <f>D3613</f>
        <v>3</v>
      </c>
      <c r="X3613" t="str">
        <v>x</v>
      </c>
      <c r="Y3613">
        <f>Y3612</f>
        <v>1</v>
      </c>
      <c r="Z3613" t="str">
        <v>=</v>
      </c>
      <c r="AA3613">
        <f>(N3613+P3613*R3613/1000)*U3613*W3613*Y3613</f>
        <v>12.368216835</v>
      </c>
    </row>
    <row r="3615">
      <c r="A3615" t="str">
        <f>A3595</f>
        <v>Lantai 2</v>
      </c>
      <c r="B3615">
        <f>B3595</f>
        <v>33</v>
      </c>
      <c r="C3615" t="str">
        <v>Sengkang Tumpuan</v>
      </c>
      <c r="D3615">
        <f>VLOOKUP(D3595,'Detail Balok'!$C$10:$AU$140,31,FALSE)</f>
        <v>0</v>
      </c>
      <c r="E3615" t="str">
        <v>D</v>
      </c>
      <c r="F3615">
        <f>VLOOKUP(D3595,'Detail Balok'!$C$10:$AU$140,33,FALSE)</f>
        <v>10</v>
      </c>
      <c r="G3615" t="str">
        <v>-</v>
      </c>
      <c r="H3615">
        <f>VLOOKUP(D3595,'Detail Balok'!$C$10:$AU$140,35,FALSE)</f>
        <v>100</v>
      </c>
      <c r="J3615">
        <f>(IF(D3615=0,(2*(D3596+G3596))-(F$5*8),IF(D3615=3,(2*(D3596+G3596))-(F$5*8)+(G3596-2*F$5),IF(D3615=4,(2*(D3596+G3596))-(F$5*8)+2*(G3596-2*F$5)))))/1000</f>
        <v>0.88</v>
      </c>
      <c r="K3615" t="str">
        <v>+</v>
      </c>
      <c r="L3615">
        <f>IF(D3615=0,2*MAX(6*F3615,75),(D3615-1)*2*MAX(6*F3615,75))/1000</f>
        <v>0.15</v>
      </c>
      <c r="M3615" t="str">
        <v>=</v>
      </c>
      <c r="N3615">
        <f>J3615+L3615</f>
        <v>1.03</v>
      </c>
      <c r="T3615" t="str">
        <v>x</v>
      </c>
      <c r="U3615">
        <f>0.006165*F3615^2</f>
        <v>0.6165</v>
      </c>
      <c r="V3615" t="str">
        <v>x</v>
      </c>
      <c r="W3615">
        <f>IF(D3598&gt;4*G3596,ROUND(MAX(D3598/4,2*G3596)/H3615,0)+1,ROUND(D3598/H3615,0)+1)</f>
        <v>10</v>
      </c>
      <c r="X3615" t="str">
        <v>x</v>
      </c>
      <c r="Y3615">
        <f>D3601</f>
        <v>1</v>
      </c>
      <c r="Z3615" t="str">
        <v>=</v>
      </c>
      <c r="AA3615">
        <f>N3615*U3615*W3615*Y3615</f>
        <v>6.349950000000001</v>
      </c>
    </row>
    <row r="3616">
      <c r="A3616" t="str">
        <f>A3595</f>
        <v>Lantai 2</v>
      </c>
      <c r="B3616">
        <f>B3595</f>
        <v>33</v>
      </c>
      <c r="C3616" t="str">
        <v>Sengkang Lapangan</v>
      </c>
      <c r="D3616">
        <f>VLOOKUP(D3595,'Detail Balok'!$C$10:$AU$140,36,FALSE)</f>
        <v>0</v>
      </c>
      <c r="E3616" t="str">
        <v>D</v>
      </c>
      <c r="F3616">
        <f>VLOOKUP(D3595,'Detail Balok'!$C$10:$AU$140,38,FALSE)</f>
        <v>10</v>
      </c>
      <c r="G3616" t="str">
        <v>-</v>
      </c>
      <c r="H3616">
        <f>VLOOKUP(D3595,'Detail Balok'!$C$10:$AU$140,40,FALSE)</f>
        <v>200</v>
      </c>
      <c r="J3616">
        <f>(IF(D3616=0,(2*(D3596+G3596))-(F$5*8),IF(D3616=3,(2*(D3596+G3596))-(F$5*8)+(G3596-2*F$5),IF(D3616=4,(2*(D3596+G3596))-(F$5*8)+2*(G3596-2*F$5)))))/1000</f>
        <v>0.88</v>
      </c>
      <c r="K3616" t="str">
        <v>+</v>
      </c>
      <c r="L3616">
        <f>IF(D3616=0,2*MAX(6*F3616,75),(D3616-1)*2*MAX(6*F3616,75))/1000</f>
        <v>0.15</v>
      </c>
      <c r="M3616" t="str">
        <v>=</v>
      </c>
      <c r="N3616">
        <f>J3616+L3616</f>
        <v>1.03</v>
      </c>
      <c r="T3616" t="str">
        <v>x</v>
      </c>
      <c r="U3616">
        <f>0.006165*F3616^2</f>
        <v>0.6165</v>
      </c>
      <c r="V3616" t="str">
        <v>x</v>
      </c>
      <c r="W3616">
        <f>IF(D3598-MAX(D3598/4,2*G3596)*2&gt;0,ROUND((D3598-MAX(D3598/4,2*G3596)*2)/H3616,0),0)</f>
        <v>9</v>
      </c>
      <c r="X3616" t="str">
        <v>x</v>
      </c>
      <c r="Y3616">
        <f>D3601</f>
        <v>1</v>
      </c>
      <c r="Z3616" t="str">
        <v>=</v>
      </c>
      <c r="AA3616">
        <f>N3616*U3616*W3616*Y3616</f>
        <v>5.714955000000001</v>
      </c>
    </row>
    <row r="3617">
      <c r="A3617" t="str">
        <f>A3595</f>
        <v>Lantai 2</v>
      </c>
      <c r="B3617">
        <f>B3595</f>
        <v>33</v>
      </c>
      <c r="C3617" t="str">
        <v>Sengkang Tumpuan</v>
      </c>
      <c r="D3617">
        <f>VLOOKUP(D3595,'Detail Balok'!$C$10:$AU$140,41,FALSE)</f>
        <v>0</v>
      </c>
      <c r="E3617" t="str">
        <v>D</v>
      </c>
      <c r="F3617">
        <f>VLOOKUP(D3595,'Detail Balok'!$C$10:$AU$140,43,FALSE)</f>
        <v>10</v>
      </c>
      <c r="G3617" t="str">
        <v>-</v>
      </c>
      <c r="H3617">
        <f>VLOOKUP(D3595,'Detail Balok'!$C$10:$AU$140,45,FALSE)</f>
        <v>100</v>
      </c>
      <c r="J3617">
        <f>(IF(D3617=0,(2*(D3596+G3596))-(F$5*8),IF(D3617=3,(2*(D3596+G3596))-(F$5*8)+(G3596-2*F$5),IF(D3617=4,(2*(D3596+G3596))-(F$5*8)+2*(G3596-2*F$5)))))/1000</f>
        <v>0.88</v>
      </c>
      <c r="K3617" t="str">
        <v>+</v>
      </c>
      <c r="L3617">
        <f>IF(D3617=0,2*MAX(6*F3617,75),(D3617-1)*2*MAX(6*F3617,75))/1000</f>
        <v>0.15</v>
      </c>
      <c r="M3617" t="str">
        <v>=</v>
      </c>
      <c r="N3617">
        <f>J3617+L3617</f>
        <v>1.03</v>
      </c>
      <c r="T3617" t="str">
        <v>x</v>
      </c>
      <c r="U3617">
        <f>0.006165*F3617^2</f>
        <v>0.6165</v>
      </c>
      <c r="V3617" t="str">
        <v>x</v>
      </c>
      <c r="W3617">
        <f>IF(D3598&gt;4*G3596,ROUND(MAX(D3598/4,2*G3596)/H3617,0)+1,0)</f>
        <v>10</v>
      </c>
      <c r="X3617" t="str">
        <v>x</v>
      </c>
      <c r="Y3617">
        <f>D3601</f>
        <v>1</v>
      </c>
      <c r="Z3617" t="str">
        <v>=</v>
      </c>
      <c r="AA3617">
        <f>N3617*U3617*W3617*Y3617</f>
        <v>6.349950000000001</v>
      </c>
    </row>
    <row r="3619">
      <c r="A3619" t="str">
        <f>A3595</f>
        <v>Lantai 2</v>
      </c>
      <c r="B3619">
        <f>B3595</f>
        <v>33</v>
      </c>
      <c r="C3619" t="str">
        <v>Kait Horizontal Tump.</v>
      </c>
      <c r="D3619">
        <f>VLOOKUP(D3595,'Detail Balok'!$C$10:$BJ$140,46,FALSE)</f>
        <v>0</v>
      </c>
      <c r="E3619" t="str">
        <v>D</v>
      </c>
      <c r="F3619">
        <f>VLOOKUP(D3595,'Detail Balok'!$C$10:$BJ$140,48,FALSE)</f>
        <v>0</v>
      </c>
      <c r="G3619" t="str">
        <v>-</v>
      </c>
      <c r="H3619">
        <f>VLOOKUP(D3595,'Detail Balok'!$C$10:$BJ$140,50,FALSE)</f>
        <v>100</v>
      </c>
      <c r="J3619">
        <f>(D3596-2*F$5)/1000</f>
        <v>0.12</v>
      </c>
      <c r="K3619" t="str">
        <v>+</v>
      </c>
      <c r="L3619">
        <f>IF(D3619=0,2*MAX(6*F3619,75),(D3619-1)*2*MAX(6*F3619,75))/1000</f>
        <v>0.15</v>
      </c>
      <c r="M3619" t="str">
        <v>=</v>
      </c>
      <c r="N3619">
        <f>J3619+L3619</f>
        <v>0.27</v>
      </c>
      <c r="T3619" t="str">
        <v>x</v>
      </c>
      <c r="U3619">
        <f>0.006165*F3619^2</f>
        <v>0</v>
      </c>
      <c r="V3619" t="str">
        <v>x</v>
      </c>
      <c r="W3619">
        <f>W3615</f>
        <v>10</v>
      </c>
      <c r="X3619" t="str">
        <v>x</v>
      </c>
      <c r="Y3619">
        <f>D3605</f>
        <v>3</v>
      </c>
      <c r="Z3619" t="str">
        <v>=</v>
      </c>
      <c r="AA3619">
        <f>N3619*U3619*W3619*Y3619</f>
        <v>0</v>
      </c>
    </row>
    <row r="3620">
      <c r="A3620" t="str">
        <f>A3595</f>
        <v>Lantai 2</v>
      </c>
      <c r="B3620">
        <f>B3595</f>
        <v>33</v>
      </c>
      <c r="C3620" t="str">
        <v>Kait Horizontal Lap.</v>
      </c>
      <c r="D3620">
        <f>VLOOKUP(D3595,'Detail Balok'!$C$10:$BJ$140,51,FALSE)</f>
        <v>0</v>
      </c>
      <c r="E3620" t="str">
        <v>D</v>
      </c>
      <c r="F3620">
        <f>VLOOKUP(D3595,'Detail Balok'!$C$10:$BJ$140,53,FALSE)</f>
        <v>0</v>
      </c>
      <c r="G3620" t="str">
        <v>-</v>
      </c>
      <c r="H3620">
        <f>VLOOKUP(D3595,'Detail Balok'!$C$10:$BJ$140,55,FALSE)</f>
        <v>100</v>
      </c>
      <c r="J3620">
        <f>(D3596-2*F$5)/1000</f>
        <v>0.12</v>
      </c>
      <c r="K3620" t="str">
        <v>+</v>
      </c>
      <c r="L3620">
        <f>IF(D3620=0,2*MAX(6*F3620,75),(D3620-1)*2*MAX(6*F3620,75))/1000</f>
        <v>0.15</v>
      </c>
      <c r="M3620" t="str">
        <v>=</v>
      </c>
      <c r="N3620">
        <f>J3620+L3620</f>
        <v>0.27</v>
      </c>
      <c r="T3620" t="str">
        <v>x</v>
      </c>
      <c r="U3620">
        <f>0.006165*F3620^2</f>
        <v>0</v>
      </c>
      <c r="V3620" t="str">
        <v>x</v>
      </c>
      <c r="W3620">
        <f>W3616</f>
        <v>9</v>
      </c>
      <c r="X3620" t="str">
        <v>x</v>
      </c>
      <c r="Y3620">
        <f>D3605</f>
        <v>3</v>
      </c>
      <c r="Z3620" t="str">
        <v>=</v>
      </c>
      <c r="AA3620">
        <f>N3620*U3620*W3620*Y3620</f>
        <v>0</v>
      </c>
    </row>
    <row r="3621">
      <c r="A3621" t="str">
        <f>A3595</f>
        <v>Lantai 2</v>
      </c>
      <c r="B3621">
        <f>B3595</f>
        <v>33</v>
      </c>
      <c r="C3621" t="str">
        <v>Kait Horizontal Tump.</v>
      </c>
      <c r="D3621">
        <f>VLOOKUP(D3595,'Detail Balok'!$C$10:$BJ$140,56,FALSE)</f>
        <v>0</v>
      </c>
      <c r="E3621" t="str">
        <v>D</v>
      </c>
      <c r="F3621">
        <f>VLOOKUP(D3595,'Detail Balok'!$C$10:$BJ$140,58,FALSE)</f>
        <v>0</v>
      </c>
      <c r="G3621" t="str">
        <v>-</v>
      </c>
      <c r="H3621">
        <f>VLOOKUP(D3595,'Detail Balok'!$C$10:$BJ$140,60,FALSE)</f>
        <v>100</v>
      </c>
      <c r="J3621">
        <f>(D3596-2*F$5)/1000</f>
        <v>0.12</v>
      </c>
      <c r="K3621" t="str">
        <v>+</v>
      </c>
      <c r="L3621">
        <f>IF(D3621=0,2*MAX(6*F3621,75),(D3621-1)*2*MAX(6*F3621,75))/1000</f>
        <v>0.15</v>
      </c>
      <c r="M3621" t="str">
        <v>=</v>
      </c>
      <c r="N3621">
        <f>J3621+L3621</f>
        <v>0.27</v>
      </c>
      <c r="T3621" t="str">
        <v>x</v>
      </c>
      <c r="U3621">
        <f>0.006165*F3621^2</f>
        <v>0</v>
      </c>
      <c r="V3621" t="str">
        <v>x</v>
      </c>
      <c r="W3621">
        <f>W3617</f>
        <v>10</v>
      </c>
      <c r="X3621" t="str">
        <v>x</v>
      </c>
      <c r="Y3621">
        <f>D3605</f>
        <v>3</v>
      </c>
      <c r="Z3621" t="str">
        <v>=</v>
      </c>
      <c r="AA3621">
        <f>N3621*U3621*W3621*Y3621</f>
        <v>0</v>
      </c>
    </row>
    <row r="3625">
      <c r="A3625" t="str">
        <f>A3595</f>
        <v>Lantai 2</v>
      </c>
      <c r="B3625">
        <f>B3595+1</f>
        <v>34</v>
      </c>
      <c r="C3625" t="str">
        <f>CONCATENATE(A3625," no. ",B3625)</f>
        <v>Lantai 2 no. 34</v>
      </c>
      <c r="D3625" t="str">
        <f>VLOOKUP(C3625,'Data Panjang Balok'!$C$9:$N$254,2,FALSE)</f>
        <v>B24-1</v>
      </c>
    </row>
    <row r="3626">
      <c r="C3626" t="str">
        <v>Dimensi</v>
      </c>
      <c r="D3626">
        <f>VLOOKUP(D3625,'Detail Balok'!$C$10:$AU$140,2,FALSE)</f>
        <v>200</v>
      </c>
      <c r="F3626" t="str">
        <v>x</v>
      </c>
      <c r="G3626">
        <f>VLOOKUP(D3625,'Detail Balok'!$C$10:$AU$140,3,FALSE)</f>
        <v>400</v>
      </c>
    </row>
    <row r="3627">
      <c r="C3627" t="str">
        <v>Panjang as ke as</v>
      </c>
      <c r="D3627">
        <f>VLOOKUP(C3625,'Data Panjang Balok'!$C$9:$N$254,4,FALSE)</f>
        <v>3965</v>
      </c>
    </row>
    <row r="3628">
      <c r="C3628" t="str">
        <v>Panjang netto</v>
      </c>
      <c r="D3628">
        <f>VLOOKUP(C3625,'Data Panjang Balok'!$C$9:$N$254,7,FALSE)</f>
        <v>3965</v>
      </c>
    </row>
    <row r="3629">
      <c r="C3629" t="str">
        <v>Kolom / balok kiri</v>
      </c>
      <c r="D3629">
        <f>VLOOKUP(C3625,'Data Panjang Balok'!$C$9:$N$254,9,FALSE)</f>
        <v>0</v>
      </c>
    </row>
    <row r="3630">
      <c r="C3630" t="str">
        <v>Kolom / balok kanan</v>
      </c>
      <c r="D3630">
        <f>VLOOKUP(C3625,'Data Panjang Balok'!$C$9:$N$254,10,FALSE)</f>
        <v>0</v>
      </c>
    </row>
    <row r="3631">
      <c r="C3631" t="str">
        <v>Jumlah</v>
      </c>
      <c r="D3631">
        <f>VLOOKUP(C3625,'Data Panjang Balok'!$C$9:$N$254,3,FALSE)</f>
        <v>1</v>
      </c>
    </row>
    <row r="3632">
      <c r="A3632" t="str">
        <f>A3625</f>
        <v>Lantai 2</v>
      </c>
      <c r="B3632">
        <f>B3625</f>
        <v>34</v>
      </c>
      <c r="C3632" t="str">
        <v>Tul Atas Tumpuan</v>
      </c>
      <c r="D3632">
        <f>VLOOKUP(D3625,'Detail Balok'!$C$10:$AU$140,4,FALSE)</f>
        <v>3</v>
      </c>
      <c r="E3632" t="str">
        <v>D</v>
      </c>
      <c r="F3632">
        <f>VLOOKUP(D3625,'Detail Balok'!$C$10:$AU$140,6,FALSE)</f>
        <v>13</v>
      </c>
      <c r="I3632" t="str">
        <v>(</v>
      </c>
      <c r="J3632">
        <f>+D3627/4/1000</f>
        <v>0.99125</v>
      </c>
      <c r="K3632" t="str">
        <v>+</v>
      </c>
      <c r="L3632">
        <f>MAX(VLOOKUP(F3632,N$6:P$15,3,FALSE)/1000,2/3*D3629/1000)+F$16*F3632/1000</f>
        <v>0.156</v>
      </c>
      <c r="M3632" t="str">
        <v>=</v>
      </c>
      <c r="N3632">
        <f>J3632+L3632</f>
        <v>1.1472499999999999</v>
      </c>
      <c r="O3632" t="str">
        <v>+</v>
      </c>
      <c r="P3632">
        <f>D3632-D3633</f>
        <v>0</v>
      </c>
      <c r="Q3632" t="str">
        <v>x</v>
      </c>
      <c r="R3632">
        <f>IF(P3632&gt;0,$F$18*F3632/1000,0)</f>
        <v>0</v>
      </c>
      <c r="S3632" t="str">
        <v>)</v>
      </c>
      <c r="T3632" t="str">
        <v>x</v>
      </c>
      <c r="U3632">
        <f>0.006165*F3632^2</f>
        <v>1.041885</v>
      </c>
      <c r="X3632" t="str">
        <v>x</v>
      </c>
      <c r="Y3632">
        <f>D3631</f>
        <v>1</v>
      </c>
      <c r="Z3632" t="str">
        <v>=</v>
      </c>
      <c r="AA3632">
        <f>IF(AA3635=0,(D3632*N3632+P3632*R3632)*U3632*Y3632,0)</f>
        <v>0</v>
      </c>
    </row>
    <row r="3633">
      <c r="A3633" t="str">
        <f>A3625</f>
        <v>Lantai 2</v>
      </c>
      <c r="B3633">
        <f>B3625</f>
        <v>34</v>
      </c>
      <c r="C3633" t="str">
        <v>Tul Atas Lapangan</v>
      </c>
      <c r="D3633">
        <f>VLOOKUP(D3625,'Detail Balok'!$C$10:$AU$140,7,FALSE)</f>
        <v>3</v>
      </c>
      <c r="E3633" t="str">
        <v>D</v>
      </c>
      <c r="F3633">
        <f>VLOOKUP(D3625,'Detail Balok'!$C$10:$AU$140,9,FALSE)</f>
        <v>13</v>
      </c>
      <c r="I3633" t="str">
        <v>(</v>
      </c>
      <c r="J3633">
        <f>+D3627/2/1000</f>
        <v>1.9825</v>
      </c>
      <c r="K3633" t="str">
        <v>+</v>
      </c>
      <c r="M3633" t="str">
        <v>=</v>
      </c>
      <c r="N3633">
        <f>J3633+L3633</f>
        <v>1.9825</v>
      </c>
      <c r="O3633" t="str">
        <v>+</v>
      </c>
      <c r="P3633">
        <f>MAX(D3633-D3632,D3633-D3634)</f>
        <v>0</v>
      </c>
      <c r="Q3633" t="str">
        <v>x</v>
      </c>
      <c r="R3633">
        <f>IF(P3633&gt;0,2*(1-2*$F$19-1/2)*D3628/1000,0)</f>
        <v>0</v>
      </c>
      <c r="S3633" t="str">
        <v>)</v>
      </c>
      <c r="T3633" t="str">
        <v>x</v>
      </c>
      <c r="U3633">
        <f>0.006165*F3633^2</f>
        <v>1.041885</v>
      </c>
      <c r="X3633" t="str">
        <v>x</v>
      </c>
      <c r="Y3633">
        <f>D3631</f>
        <v>1</v>
      </c>
      <c r="Z3633" t="str">
        <v>=</v>
      </c>
      <c r="AA3633">
        <f>IF(AA3635=0,(D3633*N3633+P3633*R3633)*U3633*Y3633,0)</f>
        <v>0</v>
      </c>
    </row>
    <row r="3634">
      <c r="A3634" t="str">
        <f>A3625</f>
        <v>Lantai 2</v>
      </c>
      <c r="B3634">
        <f>B3625</f>
        <v>34</v>
      </c>
      <c r="C3634" t="str">
        <v>Tul Atas Tumpuan</v>
      </c>
      <c r="D3634">
        <f>VLOOKUP(D3625,'Detail Balok'!$C$10:$AU$140,10,FALSE)</f>
        <v>3</v>
      </c>
      <c r="E3634" t="str">
        <v>D</v>
      </c>
      <c r="F3634">
        <f>VLOOKUP(D3625,'Detail Balok'!$C$10:$AU$140,12,FALSE)</f>
        <v>13</v>
      </c>
      <c r="I3634" t="str">
        <v>(</v>
      </c>
      <c r="J3634">
        <f>+D3627/4/1000</f>
        <v>0.99125</v>
      </c>
      <c r="K3634" t="str">
        <v>+</v>
      </c>
      <c r="L3634">
        <f>MAX(VLOOKUP(F3634,N$6:P$15,3,FALSE)/1000,2/3*D3629/1000)+F$16*F3634/1000</f>
        <v>0.156</v>
      </c>
      <c r="M3634" t="str">
        <v>=</v>
      </c>
      <c r="N3634">
        <f>J3634+L3634</f>
        <v>1.1472499999999999</v>
      </c>
      <c r="O3634" t="str">
        <v>+</v>
      </c>
      <c r="P3634">
        <f>D3634-D3633</f>
        <v>0</v>
      </c>
      <c r="Q3634" t="str">
        <v>x</v>
      </c>
      <c r="R3634">
        <f>IF(P3634&gt;0,$F$18*F3634/1000,0)</f>
        <v>0</v>
      </c>
      <c r="S3634" t="str">
        <v>)</v>
      </c>
      <c r="T3634" t="str">
        <v>x</v>
      </c>
      <c r="U3634">
        <f>0.006165*F3634^2</f>
        <v>1.041885</v>
      </c>
      <c r="X3634" t="str">
        <v>x</v>
      </c>
      <c r="Y3634">
        <f>D3631</f>
        <v>1</v>
      </c>
      <c r="Z3634" t="str">
        <v>=</v>
      </c>
      <c r="AA3634">
        <f>IF(AA3635=0,(D3634*N3634+P3634*R3634)*U3634*Y3634,0)</f>
        <v>0</v>
      </c>
    </row>
    <row r="3635">
      <c r="A3635" t="str">
        <f>A3625</f>
        <v>Lantai 2</v>
      </c>
      <c r="B3635">
        <f>B3625</f>
        <v>34</v>
      </c>
      <c r="D3635">
        <f>IF(AND(D3632=D3633,D3633=D3634,D3632=D3634),D3632,0)</f>
        <v>3</v>
      </c>
      <c r="E3635" t="str">
        <v>D</v>
      </c>
      <c r="F3635">
        <f>IF(AND(F3632=F3633,F3632=F3634,F3633=F3634),F3632,0)</f>
        <v>13</v>
      </c>
      <c r="L3635" t="str">
        <v>Total panjang per balok</v>
      </c>
      <c r="M3635" t="str">
        <v>=</v>
      </c>
      <c r="N3635">
        <f>IF(AND(D3632=D3633,D3632=D3634,D3633=D3634,F3632=F3633,F3632=F3634,F3633=F3634),SUM(N3632:N3634),0)</f>
        <v>4.276999999999999</v>
      </c>
      <c r="O3635" t="str">
        <v>+</v>
      </c>
      <c r="P3635">
        <f>IF(N3635&gt;12,ROUNDDOWN(N3635/12,0),0)</f>
        <v>0</v>
      </c>
      <c r="Q3635" t="str">
        <v>x</v>
      </c>
      <c r="R3635">
        <f>IF(P3635&gt;0,MAX(VLOOKUP(F3635,$D$6:$G$15,3,FALSE),600),0)/1000</f>
        <v>0</v>
      </c>
      <c r="T3635" t="str">
        <v>x</v>
      </c>
      <c r="U3635">
        <f>U3634</f>
        <v>1.041885</v>
      </c>
      <c r="V3635" t="str">
        <v>x</v>
      </c>
      <c r="W3635">
        <f>D3635</f>
        <v>3</v>
      </c>
      <c r="X3635" t="str">
        <v>x</v>
      </c>
      <c r="Y3635">
        <f>Y3634</f>
        <v>1</v>
      </c>
      <c r="Z3635" t="str">
        <v>=</v>
      </c>
      <c r="AA3635">
        <f>(N3635+P3635*R3635/1000)*U3635*W3635*Y3635</f>
        <v>13.368426434999998</v>
      </c>
    </row>
    <row r="3637">
      <c r="A3637" t="str">
        <f>A3625</f>
        <v>Lantai 2</v>
      </c>
      <c r="B3637">
        <f>B3625</f>
        <v>34</v>
      </c>
      <c r="C3637" t="str">
        <v>Tul Peminggang</v>
      </c>
      <c r="D3637">
        <f>VLOOKUP(D3625,'Detail Balok'!$C$10:$AU$140,13,FALSE)</f>
        <v>0</v>
      </c>
      <c r="E3637" t="str">
        <v>D</v>
      </c>
      <c r="F3637">
        <f>VLOOKUP(D3625,'Detail Balok'!$C$10:$AU$140,15,FALSE)</f>
        <v>8</v>
      </c>
      <c r="J3637">
        <f>+D3627/1000</f>
        <v>3.965</v>
      </c>
      <c r="K3637" t="str">
        <v>+</v>
      </c>
      <c r="L3637">
        <f>2*$F$16*F3637/1000</f>
        <v>0.192</v>
      </c>
      <c r="M3637" t="str">
        <v>=</v>
      </c>
      <c r="N3637">
        <f>J3637+L3637</f>
        <v>4.157</v>
      </c>
      <c r="O3637" t="str">
        <v>+</v>
      </c>
      <c r="P3637">
        <f>IF(N3637&gt;12,ROUNDDOWN(N3637/12,0),0)</f>
        <v>0</v>
      </c>
      <c r="Q3637" t="str">
        <v>x</v>
      </c>
      <c r="R3637">
        <f>IF(P3637&gt;0,MAX(VLOOKUP(F3637,$D$6:$G$15,3,FALSE),600),0)/1000</f>
        <v>0</v>
      </c>
      <c r="T3637" t="str">
        <v>x</v>
      </c>
      <c r="U3637">
        <f>0.006165*F3637^2</f>
        <v>0.39456</v>
      </c>
      <c r="V3637" t="str">
        <v>x</v>
      </c>
      <c r="W3637">
        <f>+D3637</f>
        <v>0</v>
      </c>
      <c r="X3637" t="str">
        <v>x</v>
      </c>
      <c r="Y3637">
        <f>D3631</f>
        <v>1</v>
      </c>
      <c r="Z3637" t="str">
        <v>=</v>
      </c>
      <c r="AA3637">
        <f>(N3637+P3637*R3637/1000)*U3637*W3637*Y3637</f>
        <v>0</v>
      </c>
    </row>
    <row r="3640">
      <c r="A3640" t="str">
        <f>A3625</f>
        <v>Lantai 2</v>
      </c>
      <c r="B3640">
        <f>B3625</f>
        <v>34</v>
      </c>
      <c r="C3640" t="str">
        <v>Tul Bawah Tumpuan</v>
      </c>
      <c r="D3640">
        <f>VLOOKUP(D3625,'Detail Balok'!$C$10:$AU$140,22,FALSE)</f>
        <v>3</v>
      </c>
      <c r="E3640" t="str">
        <v>D</v>
      </c>
      <c r="F3640">
        <f>VLOOKUP(D3625,'Detail Balok'!$C$10:$AU$140,24,FALSE)</f>
        <v>13</v>
      </c>
      <c r="I3640" t="str">
        <v>(</v>
      </c>
      <c r="J3640">
        <f>+J3632</f>
        <v>0.99125</v>
      </c>
      <c r="K3640" t="str">
        <v>+</v>
      </c>
      <c r="L3640">
        <f>MAX(VLOOKUP(F3640,N$6:P$15,3,FALSE)/1000,2/3*D3630/1000)+F$16*F3640/1000</f>
        <v>0.156</v>
      </c>
      <c r="M3640" t="str">
        <v>=</v>
      </c>
      <c r="N3640">
        <f>J3640+L3640</f>
        <v>1.1472499999999999</v>
      </c>
      <c r="O3640" t="str">
        <v>+</v>
      </c>
      <c r="P3640">
        <f>D3640-D3641</f>
        <v>0</v>
      </c>
      <c r="Q3640" t="str">
        <v>x</v>
      </c>
      <c r="R3640">
        <f>IF(P3640&gt;0,$F$18*F3640/1000,0)</f>
        <v>0</v>
      </c>
      <c r="S3640" t="str">
        <v>)</v>
      </c>
      <c r="T3640" t="str">
        <v>x</v>
      </c>
      <c r="U3640">
        <f>0.006165*F3640^2</f>
        <v>1.041885</v>
      </c>
      <c r="X3640" t="str">
        <v>x</v>
      </c>
      <c r="Y3640">
        <f>D3631</f>
        <v>1</v>
      </c>
      <c r="Z3640" t="str">
        <v>=</v>
      </c>
      <c r="AA3640">
        <f>IF(AA3643=0,(D3640*N3640+P3640*R3640)*U3640*Y3640,0)</f>
        <v>0</v>
      </c>
    </row>
    <row r="3641">
      <c r="A3641" t="str">
        <f>A3625</f>
        <v>Lantai 2</v>
      </c>
      <c r="B3641">
        <f>B3625</f>
        <v>34</v>
      </c>
      <c r="C3641" t="str">
        <v>Tul Bawah Lapangan</v>
      </c>
      <c r="D3641">
        <f>VLOOKUP(D3625,'Detail Balok'!$C$10:$AU$140,25,FALSE)</f>
        <v>3</v>
      </c>
      <c r="E3641" t="str">
        <v>D</v>
      </c>
      <c r="F3641">
        <f>VLOOKUP(D3625,'Detail Balok'!$C$10:$AU$140,27,FALSE)</f>
        <v>13</v>
      </c>
      <c r="I3641" t="str">
        <v>(</v>
      </c>
      <c r="J3641">
        <f>+J3633</f>
        <v>1.9825</v>
      </c>
      <c r="K3641" t="str">
        <v>+</v>
      </c>
      <c r="M3641" t="str">
        <v>=</v>
      </c>
      <c r="N3641">
        <f>J3641+L3641</f>
        <v>1.9825</v>
      </c>
      <c r="O3641" t="str">
        <v>+</v>
      </c>
      <c r="P3641">
        <f>MAX(D3641-D3640,D3641-D3642)</f>
        <v>0</v>
      </c>
      <c r="Q3641" t="str">
        <v>x</v>
      </c>
      <c r="R3641">
        <f>IF(P3641&gt;0,2*(1-2*$F$19-1/2)*D3628/1000,0)</f>
        <v>0</v>
      </c>
      <c r="S3641" t="str">
        <v>)</v>
      </c>
      <c r="T3641" t="str">
        <v>x</v>
      </c>
      <c r="U3641">
        <f>0.006165*F3641^2</f>
        <v>1.041885</v>
      </c>
      <c r="X3641" t="str">
        <v>x</v>
      </c>
      <c r="Y3641">
        <f>D3631</f>
        <v>1</v>
      </c>
      <c r="Z3641" t="str">
        <v>=</v>
      </c>
      <c r="AA3641">
        <f>IF(AA3643=0,(D3641*N3641+P3641*R3641)*U3641*Y3641,0)</f>
        <v>0</v>
      </c>
    </row>
    <row r="3642">
      <c r="A3642" t="str">
        <f>A3625</f>
        <v>Lantai 2</v>
      </c>
      <c r="B3642">
        <f>B3625</f>
        <v>34</v>
      </c>
      <c r="C3642" t="str">
        <v>Tul Bawah Tumpuan</v>
      </c>
      <c r="D3642">
        <f>VLOOKUP(D3625,'Detail Balok'!$C$10:$AU$140,28,FALSE)</f>
        <v>3</v>
      </c>
      <c r="E3642" t="str">
        <v>D</v>
      </c>
      <c r="F3642">
        <f>VLOOKUP(D3625,'Detail Balok'!$C$10:$AU$140,30,FALSE)</f>
        <v>13</v>
      </c>
      <c r="I3642" t="str">
        <v>(</v>
      </c>
      <c r="J3642">
        <f>+J3634</f>
        <v>0.99125</v>
      </c>
      <c r="K3642" t="str">
        <v>+</v>
      </c>
      <c r="L3642">
        <f>MAX(VLOOKUP(F3642,N$6:P$15,3,FALSE)/1000,2/3*D3630/1000)+F$16*F3642/1000</f>
        <v>0.156</v>
      </c>
      <c r="M3642" t="str">
        <v>=</v>
      </c>
      <c r="N3642">
        <f>J3642+L3642</f>
        <v>1.1472499999999999</v>
      </c>
      <c r="O3642" t="str">
        <v>+</v>
      </c>
      <c r="P3642">
        <f>D3642-D3641</f>
        <v>0</v>
      </c>
      <c r="Q3642" t="str">
        <v>x</v>
      </c>
      <c r="R3642">
        <f>IF(P3642&gt;0,$F$18*F3642/1000,0)</f>
        <v>0</v>
      </c>
      <c r="S3642" t="str">
        <v>)</v>
      </c>
      <c r="T3642" t="str">
        <v>x</v>
      </c>
      <c r="U3642">
        <f>0.006165*F3642^2</f>
        <v>1.041885</v>
      </c>
      <c r="X3642" t="str">
        <v>x</v>
      </c>
      <c r="Y3642">
        <f>D3631</f>
        <v>1</v>
      </c>
      <c r="Z3642" t="str">
        <v>=</v>
      </c>
      <c r="AA3642">
        <f>IF(AA3643=0,(D3642*N3642+P3642*R3642)*U3642*Y3642,0)</f>
        <v>0</v>
      </c>
    </row>
    <row r="3643">
      <c r="A3643" t="str">
        <f>A3625</f>
        <v>Lantai 2</v>
      </c>
      <c r="B3643">
        <f>B3625</f>
        <v>34</v>
      </c>
      <c r="D3643">
        <f>IF(AND(D3640=D3641,D3641=D3642,D3640=D3642),D3640,0)</f>
        <v>3</v>
      </c>
      <c r="E3643" t="str">
        <v>D</v>
      </c>
      <c r="F3643">
        <f>IF(AND(F3640=F3641,F3640=F3642,F3641=F3642),F3640,0)</f>
        <v>13</v>
      </c>
      <c r="L3643" t="str">
        <v>Total panjang per balok</v>
      </c>
      <c r="M3643" t="str">
        <v>=</v>
      </c>
      <c r="N3643">
        <f>IF(AND(D3640=D3641,D3640=D3642,D3641=D3642,F3640=F3641,F3640=F3642,F3641=F3642),SUM(N3640:N3642),0)</f>
        <v>4.276999999999999</v>
      </c>
      <c r="O3643" t="str">
        <v>+</v>
      </c>
      <c r="P3643">
        <f>IF(N3643&gt;12,ROUNDDOWN(N3643/12,0),0)</f>
        <v>0</v>
      </c>
      <c r="Q3643" t="str">
        <v>x</v>
      </c>
      <c r="R3643">
        <f>IF(P3643&gt;0,MAX(VLOOKUP(F3643,$D$6:$G$15,3,FALSE),600),0)/1000</f>
        <v>0</v>
      </c>
      <c r="T3643" t="str">
        <v>x</v>
      </c>
      <c r="U3643">
        <f>U3642</f>
        <v>1.041885</v>
      </c>
      <c r="V3643" t="str">
        <v>x</v>
      </c>
      <c r="W3643">
        <f>D3643</f>
        <v>3</v>
      </c>
      <c r="X3643" t="str">
        <v>x</v>
      </c>
      <c r="Y3643">
        <f>Y3642</f>
        <v>1</v>
      </c>
      <c r="Z3643" t="str">
        <v>=</v>
      </c>
      <c r="AA3643">
        <f>(N3643+P3643*R3643/1000)*U3643*W3643*Y3643</f>
        <v>13.368426434999998</v>
      </c>
    </row>
    <row r="3645">
      <c r="A3645" t="str">
        <f>A3625</f>
        <v>Lantai 2</v>
      </c>
      <c r="B3645">
        <f>B3625</f>
        <v>34</v>
      </c>
      <c r="C3645" t="str">
        <v>Sengkang Tumpuan</v>
      </c>
      <c r="D3645">
        <f>VLOOKUP(D3625,'Detail Balok'!$C$10:$AU$140,31,FALSE)</f>
        <v>0</v>
      </c>
      <c r="E3645" t="str">
        <v>D</v>
      </c>
      <c r="F3645">
        <f>VLOOKUP(D3625,'Detail Balok'!$C$10:$AU$140,33,FALSE)</f>
        <v>10</v>
      </c>
      <c r="G3645" t="str">
        <v>-</v>
      </c>
      <c r="H3645">
        <f>VLOOKUP(D3625,'Detail Balok'!$C$10:$AU$140,35,FALSE)</f>
        <v>100</v>
      </c>
      <c r="J3645">
        <f>(IF(D3645=0,(2*(D3626+G3626))-(F$5*8),IF(D3645=3,(2*(D3626+G3626))-(F$5*8)+(G3626-2*F$5),IF(D3645=4,(2*(D3626+G3626))-(F$5*8)+2*(G3626-2*F$5)))))/1000</f>
        <v>0.88</v>
      </c>
      <c r="K3645" t="str">
        <v>+</v>
      </c>
      <c r="L3645">
        <f>IF(D3645=0,2*MAX(6*F3645,75),(D3645-1)*2*MAX(6*F3645,75))/1000</f>
        <v>0.15</v>
      </c>
      <c r="M3645" t="str">
        <v>=</v>
      </c>
      <c r="N3645">
        <f>J3645+L3645</f>
        <v>1.03</v>
      </c>
      <c r="T3645" t="str">
        <v>x</v>
      </c>
      <c r="U3645">
        <f>0.006165*F3645^2</f>
        <v>0.6165</v>
      </c>
      <c r="V3645" t="str">
        <v>x</v>
      </c>
      <c r="W3645">
        <f>IF(D3628&gt;4*G3626,ROUND(MAX(D3628/4,2*G3626)/H3645,0)+1,ROUND(D3628/H3645,0)+1)</f>
        <v>11</v>
      </c>
      <c r="X3645" t="str">
        <v>x</v>
      </c>
      <c r="Y3645">
        <f>D3631</f>
        <v>1</v>
      </c>
      <c r="Z3645" t="str">
        <v>=</v>
      </c>
      <c r="AA3645">
        <f>N3645*U3645*W3645*Y3645</f>
        <v>6.984945000000001</v>
      </c>
    </row>
    <row r="3646">
      <c r="A3646" t="str">
        <f>A3625</f>
        <v>Lantai 2</v>
      </c>
      <c r="B3646">
        <f>B3625</f>
        <v>34</v>
      </c>
      <c r="C3646" t="str">
        <v>Sengkang Lapangan</v>
      </c>
      <c r="D3646">
        <f>VLOOKUP(D3625,'Detail Balok'!$C$10:$AU$140,36,FALSE)</f>
        <v>0</v>
      </c>
      <c r="E3646" t="str">
        <v>D</v>
      </c>
      <c r="F3646">
        <f>VLOOKUP(D3625,'Detail Balok'!$C$10:$AU$140,38,FALSE)</f>
        <v>10</v>
      </c>
      <c r="G3646" t="str">
        <v>-</v>
      </c>
      <c r="H3646">
        <f>VLOOKUP(D3625,'Detail Balok'!$C$10:$AU$140,40,FALSE)</f>
        <v>200</v>
      </c>
      <c r="J3646">
        <f>(IF(D3646=0,(2*(D3626+G3626))-(F$5*8),IF(D3646=3,(2*(D3626+G3626))-(F$5*8)+(G3626-2*F$5),IF(D3646=4,(2*(D3626+G3626))-(F$5*8)+2*(G3626-2*F$5)))))/1000</f>
        <v>0.88</v>
      </c>
      <c r="K3646" t="str">
        <v>+</v>
      </c>
      <c r="L3646">
        <f>IF(D3646=0,2*MAX(6*F3646,75),(D3646-1)*2*MAX(6*F3646,75))/1000</f>
        <v>0.15</v>
      </c>
      <c r="M3646" t="str">
        <v>=</v>
      </c>
      <c r="N3646">
        <f>J3646+L3646</f>
        <v>1.03</v>
      </c>
      <c r="T3646" t="str">
        <v>x</v>
      </c>
      <c r="U3646">
        <f>0.006165*F3646^2</f>
        <v>0.6165</v>
      </c>
      <c r="V3646" t="str">
        <v>x</v>
      </c>
      <c r="W3646">
        <f>IF(D3628-MAX(D3628/4,2*G3626)*2&gt;0,ROUND((D3628-MAX(D3628/4,2*G3626)*2)/H3646,0),0)</f>
        <v>10</v>
      </c>
      <c r="X3646" t="str">
        <v>x</v>
      </c>
      <c r="Y3646">
        <f>D3631</f>
        <v>1</v>
      </c>
      <c r="Z3646" t="str">
        <v>=</v>
      </c>
      <c r="AA3646">
        <f>N3646*U3646*W3646*Y3646</f>
        <v>6.349950000000001</v>
      </c>
    </row>
    <row r="3647">
      <c r="A3647" t="str">
        <f>A3625</f>
        <v>Lantai 2</v>
      </c>
      <c r="B3647">
        <f>B3625</f>
        <v>34</v>
      </c>
      <c r="C3647" t="str">
        <v>Sengkang Tumpuan</v>
      </c>
      <c r="D3647">
        <f>VLOOKUP(D3625,'Detail Balok'!$C$10:$AU$140,41,FALSE)</f>
        <v>0</v>
      </c>
      <c r="E3647" t="str">
        <v>D</v>
      </c>
      <c r="F3647">
        <f>VLOOKUP(D3625,'Detail Balok'!$C$10:$AU$140,43,FALSE)</f>
        <v>10</v>
      </c>
      <c r="G3647" t="str">
        <v>-</v>
      </c>
      <c r="H3647">
        <f>VLOOKUP(D3625,'Detail Balok'!$C$10:$AU$140,45,FALSE)</f>
        <v>100</v>
      </c>
      <c r="J3647">
        <f>(IF(D3647=0,(2*(D3626+G3626))-(F$5*8),IF(D3647=3,(2*(D3626+G3626))-(F$5*8)+(G3626-2*F$5),IF(D3647=4,(2*(D3626+G3626))-(F$5*8)+2*(G3626-2*F$5)))))/1000</f>
        <v>0.88</v>
      </c>
      <c r="K3647" t="str">
        <v>+</v>
      </c>
      <c r="L3647">
        <f>IF(D3647=0,2*MAX(6*F3647,75),(D3647-1)*2*MAX(6*F3647,75))/1000</f>
        <v>0.15</v>
      </c>
      <c r="M3647" t="str">
        <v>=</v>
      </c>
      <c r="N3647">
        <f>J3647+L3647</f>
        <v>1.03</v>
      </c>
      <c r="T3647" t="str">
        <v>x</v>
      </c>
      <c r="U3647">
        <f>0.006165*F3647^2</f>
        <v>0.6165</v>
      </c>
      <c r="V3647" t="str">
        <v>x</v>
      </c>
      <c r="W3647">
        <f>IF(D3628&gt;4*G3626,ROUND(MAX(D3628/4,2*G3626)/H3647,0)+1,0)</f>
        <v>11</v>
      </c>
      <c r="X3647" t="str">
        <v>x</v>
      </c>
      <c r="Y3647">
        <f>D3631</f>
        <v>1</v>
      </c>
      <c r="Z3647" t="str">
        <v>=</v>
      </c>
      <c r="AA3647">
        <f>N3647*U3647*W3647*Y3647</f>
        <v>6.984945000000001</v>
      </c>
    </row>
    <row r="3649">
      <c r="A3649" t="str">
        <f>A3625</f>
        <v>Lantai 2</v>
      </c>
      <c r="B3649">
        <f>B3625</f>
        <v>34</v>
      </c>
      <c r="C3649" t="str">
        <v>Kait Horizontal Tump.</v>
      </c>
      <c r="D3649">
        <f>VLOOKUP(D3625,'Detail Balok'!$C$10:$BJ$140,46,FALSE)</f>
        <v>0</v>
      </c>
      <c r="E3649" t="str">
        <v>D</v>
      </c>
      <c r="F3649">
        <f>VLOOKUP(D3625,'Detail Balok'!$C$10:$BJ$140,48,FALSE)</f>
        <v>0</v>
      </c>
      <c r="G3649" t="str">
        <v>-</v>
      </c>
      <c r="H3649">
        <f>VLOOKUP(D3625,'Detail Balok'!$C$10:$BJ$140,50,FALSE)</f>
        <v>100</v>
      </c>
      <c r="J3649">
        <f>(D3626-2*F$5)/1000</f>
        <v>0.12</v>
      </c>
      <c r="K3649" t="str">
        <v>+</v>
      </c>
      <c r="L3649">
        <f>IF(D3649=0,2*MAX(6*F3649,75),(D3649-1)*2*MAX(6*F3649,75))/1000</f>
        <v>0.15</v>
      </c>
      <c r="M3649" t="str">
        <v>=</v>
      </c>
      <c r="N3649">
        <f>J3649+L3649</f>
        <v>0.27</v>
      </c>
      <c r="T3649" t="str">
        <v>x</v>
      </c>
      <c r="U3649">
        <f>0.006165*F3649^2</f>
        <v>0</v>
      </c>
      <c r="V3649" t="str">
        <v>x</v>
      </c>
      <c r="W3649">
        <f>W3645</f>
        <v>11</v>
      </c>
      <c r="X3649" t="str">
        <v>x</v>
      </c>
      <c r="Y3649">
        <f>D3635</f>
        <v>3</v>
      </c>
      <c r="Z3649" t="str">
        <v>=</v>
      </c>
      <c r="AA3649">
        <f>N3649*U3649*W3649*Y3649</f>
        <v>0</v>
      </c>
    </row>
    <row r="3650">
      <c r="A3650" t="str">
        <f>A3625</f>
        <v>Lantai 2</v>
      </c>
      <c r="B3650">
        <f>B3625</f>
        <v>34</v>
      </c>
      <c r="C3650" t="str">
        <v>Kait Horizontal Lap.</v>
      </c>
      <c r="D3650">
        <f>VLOOKUP(D3625,'Detail Balok'!$C$10:$BJ$140,51,FALSE)</f>
        <v>0</v>
      </c>
      <c r="E3650" t="str">
        <v>D</v>
      </c>
      <c r="F3650">
        <f>VLOOKUP(D3625,'Detail Balok'!$C$10:$BJ$140,53,FALSE)</f>
        <v>0</v>
      </c>
      <c r="G3650" t="str">
        <v>-</v>
      </c>
      <c r="H3650">
        <f>VLOOKUP(D3625,'Detail Balok'!$C$10:$BJ$140,55,FALSE)</f>
        <v>100</v>
      </c>
      <c r="J3650">
        <f>(D3626-2*F$5)/1000</f>
        <v>0.12</v>
      </c>
      <c r="K3650" t="str">
        <v>+</v>
      </c>
      <c r="L3650">
        <f>IF(D3650=0,2*MAX(6*F3650,75),(D3650-1)*2*MAX(6*F3650,75))/1000</f>
        <v>0.15</v>
      </c>
      <c r="M3650" t="str">
        <v>=</v>
      </c>
      <c r="N3650">
        <f>J3650+L3650</f>
        <v>0.27</v>
      </c>
      <c r="T3650" t="str">
        <v>x</v>
      </c>
      <c r="U3650">
        <f>0.006165*F3650^2</f>
        <v>0</v>
      </c>
      <c r="V3650" t="str">
        <v>x</v>
      </c>
      <c r="W3650">
        <f>W3646</f>
        <v>10</v>
      </c>
      <c r="X3650" t="str">
        <v>x</v>
      </c>
      <c r="Y3650">
        <f>D3635</f>
        <v>3</v>
      </c>
      <c r="Z3650" t="str">
        <v>=</v>
      </c>
      <c r="AA3650">
        <f>N3650*U3650*W3650*Y3650</f>
        <v>0</v>
      </c>
    </row>
    <row r="3651">
      <c r="A3651" t="str">
        <f>A3625</f>
        <v>Lantai 2</v>
      </c>
      <c r="B3651">
        <f>B3625</f>
        <v>34</v>
      </c>
      <c r="C3651" t="str">
        <v>Kait Horizontal Tump.</v>
      </c>
      <c r="D3651">
        <f>VLOOKUP(D3625,'Detail Balok'!$C$10:$BJ$140,56,FALSE)</f>
        <v>0</v>
      </c>
      <c r="E3651" t="str">
        <v>D</v>
      </c>
      <c r="F3651">
        <f>VLOOKUP(D3625,'Detail Balok'!$C$10:$BJ$140,58,FALSE)</f>
        <v>0</v>
      </c>
      <c r="G3651" t="str">
        <v>-</v>
      </c>
      <c r="H3651">
        <f>VLOOKUP(D3625,'Detail Balok'!$C$10:$BJ$140,60,FALSE)</f>
        <v>100</v>
      </c>
      <c r="J3651">
        <f>(D3626-2*F$5)/1000</f>
        <v>0.12</v>
      </c>
      <c r="K3651" t="str">
        <v>+</v>
      </c>
      <c r="L3651">
        <f>IF(D3651=0,2*MAX(6*F3651,75),(D3651-1)*2*MAX(6*F3651,75))/1000</f>
        <v>0.15</v>
      </c>
      <c r="M3651" t="str">
        <v>=</v>
      </c>
      <c r="N3651">
        <f>J3651+L3651</f>
        <v>0.27</v>
      </c>
      <c r="T3651" t="str">
        <v>x</v>
      </c>
      <c r="U3651">
        <f>0.006165*F3651^2</f>
        <v>0</v>
      </c>
      <c r="V3651" t="str">
        <v>x</v>
      </c>
      <c r="W3651">
        <f>W3647</f>
        <v>11</v>
      </c>
      <c r="X3651" t="str">
        <v>x</v>
      </c>
      <c r="Y3651">
        <f>D3635</f>
        <v>3</v>
      </c>
      <c r="Z3651" t="str">
        <v>=</v>
      </c>
      <c r="AA3651">
        <f>N3651*U3651*W3651*Y3651</f>
        <v>0</v>
      </c>
    </row>
    <row r="3655">
      <c r="A3655" t="str">
        <f>A3625</f>
        <v>Lantai 2</v>
      </c>
      <c r="B3655">
        <f>B3625+1</f>
        <v>35</v>
      </c>
      <c r="C3655" t="str">
        <f>CONCATENATE(A3655," no. ",B3655)</f>
        <v>Lantai 2 no. 35</v>
      </c>
      <c r="D3655" t="str">
        <f>VLOOKUP(C3655,'Data Panjang Balok'!$C$9:$N$254,2,FALSE)</f>
        <v>B25-1</v>
      </c>
    </row>
    <row r="3656">
      <c r="C3656" t="str">
        <v>Dimensi</v>
      </c>
      <c r="D3656">
        <f>VLOOKUP(D3655,'Detail Balok'!$C$10:$AU$140,2,FALSE)</f>
        <v>200</v>
      </c>
      <c r="F3656" t="str">
        <v>x</v>
      </c>
      <c r="G3656">
        <f>VLOOKUP(D3655,'Detail Balok'!$C$10:$AU$140,3,FALSE)</f>
        <v>500</v>
      </c>
    </row>
    <row r="3657">
      <c r="C3657" t="str">
        <v>Panjang as ke as</v>
      </c>
      <c r="D3657">
        <f>VLOOKUP(C3655,'Data Panjang Balok'!$C$9:$N$254,4,FALSE)</f>
        <v>4075</v>
      </c>
    </row>
    <row r="3658">
      <c r="C3658" t="str">
        <v>Panjang netto</v>
      </c>
      <c r="D3658">
        <f>VLOOKUP(C3655,'Data Panjang Balok'!$C$9:$N$254,7,FALSE)</f>
        <v>4075</v>
      </c>
    </row>
    <row r="3659">
      <c r="C3659" t="str">
        <v>Kolom / balok kiri</v>
      </c>
      <c r="D3659">
        <f>VLOOKUP(C3655,'Data Panjang Balok'!$C$9:$N$254,9,FALSE)</f>
        <v>0</v>
      </c>
    </row>
    <row r="3660">
      <c r="C3660" t="str">
        <v>Kolom / balok kanan</v>
      </c>
      <c r="D3660">
        <f>VLOOKUP(C3655,'Data Panjang Balok'!$C$9:$N$254,10,FALSE)</f>
        <v>0</v>
      </c>
    </row>
    <row r="3661">
      <c r="C3661" t="str">
        <v>Jumlah</v>
      </c>
      <c r="D3661">
        <f>VLOOKUP(C3655,'Data Panjang Balok'!$C$9:$N$254,3,FALSE)</f>
        <v>1</v>
      </c>
    </row>
    <row r="3662">
      <c r="A3662" t="str">
        <f>A3655</f>
        <v>Lantai 2</v>
      </c>
      <c r="B3662">
        <f>B3655</f>
        <v>35</v>
      </c>
      <c r="C3662" t="str">
        <v>Tul Atas Tumpuan</v>
      </c>
      <c r="D3662">
        <f>VLOOKUP(D3655,'Detail Balok'!$C$10:$AU$140,4,FALSE)</f>
        <v>4</v>
      </c>
      <c r="E3662" t="str">
        <v>D</v>
      </c>
      <c r="F3662">
        <f>VLOOKUP(D3655,'Detail Balok'!$C$10:$AU$140,6,FALSE)</f>
        <v>16</v>
      </c>
      <c r="I3662" t="str">
        <v>(</v>
      </c>
      <c r="J3662">
        <f>+D3657/4/1000</f>
        <v>1.01875</v>
      </c>
      <c r="K3662" t="str">
        <v>+</v>
      </c>
      <c r="L3662">
        <f>MAX(VLOOKUP(F3662,N$6:P$15,3,FALSE)/1000,2/3*D3659/1000)+F$16*F3662/1000</f>
        <v>0.192</v>
      </c>
      <c r="M3662" t="str">
        <v>=</v>
      </c>
      <c r="N3662">
        <f>J3662+L3662</f>
        <v>1.21075</v>
      </c>
      <c r="O3662" t="str">
        <v>+</v>
      </c>
      <c r="P3662">
        <f>D3662-D3663</f>
        <v>0</v>
      </c>
      <c r="Q3662" t="str">
        <v>x</v>
      </c>
      <c r="R3662">
        <f>IF(P3662&gt;0,$F$18*F3662/1000,0)</f>
        <v>0</v>
      </c>
      <c r="S3662" t="str">
        <v>)</v>
      </c>
      <c r="T3662" t="str">
        <v>x</v>
      </c>
      <c r="U3662">
        <f>0.006165*F3662^2</f>
        <v>1.57824</v>
      </c>
      <c r="X3662" t="str">
        <v>x</v>
      </c>
      <c r="Y3662">
        <f>D3661</f>
        <v>1</v>
      </c>
      <c r="Z3662" t="str">
        <v>=</v>
      </c>
      <c r="AA3662">
        <f>IF(AA3665=0,(D3662*N3662+P3662*R3662)*U3662*Y3662,0)</f>
        <v>0</v>
      </c>
    </row>
    <row r="3663">
      <c r="A3663" t="str">
        <f>A3655</f>
        <v>Lantai 2</v>
      </c>
      <c r="B3663">
        <f>B3655</f>
        <v>35</v>
      </c>
      <c r="C3663" t="str">
        <v>Tul Atas Lapangan</v>
      </c>
      <c r="D3663">
        <f>VLOOKUP(D3655,'Detail Balok'!$C$10:$AU$140,7,FALSE)</f>
        <v>4</v>
      </c>
      <c r="E3663" t="str">
        <v>D</v>
      </c>
      <c r="F3663">
        <f>VLOOKUP(D3655,'Detail Balok'!$C$10:$AU$140,9,FALSE)</f>
        <v>16</v>
      </c>
      <c r="I3663" t="str">
        <v>(</v>
      </c>
      <c r="J3663">
        <f>+D3657/2/1000</f>
        <v>2.0375</v>
      </c>
      <c r="K3663" t="str">
        <v>+</v>
      </c>
      <c r="M3663" t="str">
        <v>=</v>
      </c>
      <c r="N3663">
        <f>J3663+L3663</f>
        <v>2.0375</v>
      </c>
      <c r="O3663" t="str">
        <v>+</v>
      </c>
      <c r="P3663">
        <f>MAX(D3663-D3662,D3663-D3664)</f>
        <v>0</v>
      </c>
      <c r="Q3663" t="str">
        <v>x</v>
      </c>
      <c r="R3663">
        <f>IF(P3663&gt;0,2*(1-2*$F$19-1/2)*D3658/1000,0)</f>
        <v>0</v>
      </c>
      <c r="S3663" t="str">
        <v>)</v>
      </c>
      <c r="T3663" t="str">
        <v>x</v>
      </c>
      <c r="U3663">
        <f>0.006165*F3663^2</f>
        <v>1.57824</v>
      </c>
      <c r="X3663" t="str">
        <v>x</v>
      </c>
      <c r="Y3663">
        <f>D3661</f>
        <v>1</v>
      </c>
      <c r="Z3663" t="str">
        <v>=</v>
      </c>
      <c r="AA3663">
        <f>IF(AA3665=0,(D3663*N3663+P3663*R3663)*U3663*Y3663,0)</f>
        <v>0</v>
      </c>
    </row>
    <row r="3664">
      <c r="A3664" t="str">
        <f>A3655</f>
        <v>Lantai 2</v>
      </c>
      <c r="B3664">
        <f>B3655</f>
        <v>35</v>
      </c>
      <c r="C3664" t="str">
        <v>Tul Atas Tumpuan</v>
      </c>
      <c r="D3664">
        <f>VLOOKUP(D3655,'Detail Balok'!$C$10:$AU$140,10,FALSE)</f>
        <v>4</v>
      </c>
      <c r="E3664" t="str">
        <v>D</v>
      </c>
      <c r="F3664">
        <f>VLOOKUP(D3655,'Detail Balok'!$C$10:$AU$140,12,FALSE)</f>
        <v>16</v>
      </c>
      <c r="I3664" t="str">
        <v>(</v>
      </c>
      <c r="J3664">
        <f>+D3657/4/1000</f>
        <v>1.01875</v>
      </c>
      <c r="K3664" t="str">
        <v>+</v>
      </c>
      <c r="L3664">
        <f>MAX(VLOOKUP(F3664,N$6:P$15,3,FALSE)/1000,2/3*D3659/1000)+F$16*F3664/1000</f>
        <v>0.192</v>
      </c>
      <c r="M3664" t="str">
        <v>=</v>
      </c>
      <c r="N3664">
        <f>J3664+L3664</f>
        <v>1.21075</v>
      </c>
      <c r="O3664" t="str">
        <v>+</v>
      </c>
      <c r="P3664">
        <f>D3664-D3663</f>
        <v>0</v>
      </c>
      <c r="Q3664" t="str">
        <v>x</v>
      </c>
      <c r="R3664">
        <f>IF(P3664&gt;0,$F$18*F3664/1000,0)</f>
        <v>0</v>
      </c>
      <c r="S3664" t="str">
        <v>)</v>
      </c>
      <c r="T3664" t="str">
        <v>x</v>
      </c>
      <c r="U3664">
        <f>0.006165*F3664^2</f>
        <v>1.57824</v>
      </c>
      <c r="X3664" t="str">
        <v>x</v>
      </c>
      <c r="Y3664">
        <f>D3661</f>
        <v>1</v>
      </c>
      <c r="Z3664" t="str">
        <v>=</v>
      </c>
      <c r="AA3664">
        <f>IF(AA3665=0,(D3664*N3664+P3664*R3664)*U3664*Y3664,0)</f>
        <v>0</v>
      </c>
    </row>
    <row r="3665">
      <c r="A3665" t="str">
        <f>A3655</f>
        <v>Lantai 2</v>
      </c>
      <c r="B3665">
        <f>B3655</f>
        <v>35</v>
      </c>
      <c r="D3665">
        <f>IF(AND(D3662=D3663,D3663=D3664,D3662=D3664),D3662,0)</f>
        <v>4</v>
      </c>
      <c r="E3665" t="str">
        <v>D</v>
      </c>
      <c r="F3665">
        <f>IF(AND(F3662=F3663,F3662=F3664,F3663=F3664),F3662,0)</f>
        <v>16</v>
      </c>
      <c r="L3665" t="str">
        <v>Total panjang per balok</v>
      </c>
      <c r="M3665" t="str">
        <v>=</v>
      </c>
      <c r="N3665">
        <f>IF(AND(D3662=D3663,D3662=D3664,D3663=D3664,F3662=F3663,F3662=F3664,F3663=F3664),SUM(N3662:N3664),0)</f>
        <v>4.459</v>
      </c>
      <c r="O3665" t="str">
        <v>+</v>
      </c>
      <c r="P3665">
        <f>IF(N3665&gt;12,ROUNDDOWN(N3665/12,0),0)</f>
        <v>0</v>
      </c>
      <c r="Q3665" t="str">
        <v>x</v>
      </c>
      <c r="R3665">
        <f>IF(P3665&gt;0,MAX(VLOOKUP(F3665,$D$6:$G$15,3,FALSE),600),0)/1000</f>
        <v>0</v>
      </c>
      <c r="T3665" t="str">
        <v>x</v>
      </c>
      <c r="U3665">
        <f>U3664</f>
        <v>1.57824</v>
      </c>
      <c r="V3665" t="str">
        <v>x</v>
      </c>
      <c r="W3665">
        <f>D3665</f>
        <v>4</v>
      </c>
      <c r="X3665" t="str">
        <v>x</v>
      </c>
      <c r="Y3665">
        <f>Y3664</f>
        <v>1</v>
      </c>
      <c r="Z3665" t="str">
        <v>=</v>
      </c>
      <c r="AA3665">
        <f>(N3665+P3665*R3665/1000)*U3665*W3665*Y3665</f>
        <v>28.149488639999998</v>
      </c>
    </row>
    <row r="3667">
      <c r="A3667" t="str">
        <f>A3655</f>
        <v>Lantai 2</v>
      </c>
      <c r="B3667">
        <f>B3655</f>
        <v>35</v>
      </c>
      <c r="C3667" t="str">
        <v>Tul Peminggang</v>
      </c>
      <c r="D3667">
        <f>VLOOKUP(D3655,'Detail Balok'!$C$10:$AU$140,13,FALSE)</f>
        <v>2</v>
      </c>
      <c r="E3667" t="str">
        <v>D</v>
      </c>
      <c r="F3667">
        <f>VLOOKUP(D3655,'Detail Balok'!$C$10:$AU$140,15,FALSE)</f>
        <v>10</v>
      </c>
      <c r="J3667">
        <f>+D3657/1000</f>
        <v>4.075</v>
      </c>
      <c r="K3667" t="str">
        <v>+</v>
      </c>
      <c r="L3667">
        <f>2*$F$16*F3667/1000</f>
        <v>0.24</v>
      </c>
      <c r="M3667" t="str">
        <v>=</v>
      </c>
      <c r="N3667">
        <f>J3667+L3667</f>
        <v>4.315</v>
      </c>
      <c r="O3667" t="str">
        <v>+</v>
      </c>
      <c r="P3667">
        <f>IF(N3667&gt;12,ROUNDDOWN(N3667/12,0),0)</f>
        <v>0</v>
      </c>
      <c r="Q3667" t="str">
        <v>x</v>
      </c>
      <c r="R3667">
        <f>IF(P3667&gt;0,MAX(VLOOKUP(F3667,$D$6:$G$15,3,FALSE),600),0)/1000</f>
        <v>0</v>
      </c>
      <c r="T3667" t="str">
        <v>x</v>
      </c>
      <c r="U3667">
        <f>0.006165*F3667^2</f>
        <v>0.6165</v>
      </c>
      <c r="V3667" t="str">
        <v>x</v>
      </c>
      <c r="W3667">
        <f>+D3667</f>
        <v>2</v>
      </c>
      <c r="X3667" t="str">
        <v>x</v>
      </c>
      <c r="Y3667">
        <f>D3661</f>
        <v>1</v>
      </c>
      <c r="Z3667" t="str">
        <v>=</v>
      </c>
      <c r="AA3667">
        <f>(N3667+P3667*R3667/1000)*U3667*W3667*Y3667</f>
        <v>5.320395000000001</v>
      </c>
    </row>
    <row r="3670">
      <c r="A3670" t="str">
        <f>A3655</f>
        <v>Lantai 2</v>
      </c>
      <c r="B3670">
        <f>B3655</f>
        <v>35</v>
      </c>
      <c r="C3670" t="str">
        <v>Tul Bawah Tumpuan</v>
      </c>
      <c r="D3670">
        <f>VLOOKUP(D3655,'Detail Balok'!$C$10:$AU$140,22,FALSE)</f>
        <v>4</v>
      </c>
      <c r="E3670" t="str">
        <v>D</v>
      </c>
      <c r="F3670">
        <f>VLOOKUP(D3655,'Detail Balok'!$C$10:$AU$140,24,FALSE)</f>
        <v>16</v>
      </c>
      <c r="I3670" t="str">
        <v>(</v>
      </c>
      <c r="J3670">
        <f>+J3662</f>
        <v>1.01875</v>
      </c>
      <c r="K3670" t="str">
        <v>+</v>
      </c>
      <c r="L3670">
        <f>MAX(VLOOKUP(F3670,N$6:P$15,3,FALSE)/1000,2/3*D3660/1000)+F$16*F3670/1000</f>
        <v>0.192</v>
      </c>
      <c r="M3670" t="str">
        <v>=</v>
      </c>
      <c r="N3670">
        <f>J3670+L3670</f>
        <v>1.21075</v>
      </c>
      <c r="O3670" t="str">
        <v>+</v>
      </c>
      <c r="P3670">
        <f>D3670-D3671</f>
        <v>0</v>
      </c>
      <c r="Q3670" t="str">
        <v>x</v>
      </c>
      <c r="R3670">
        <f>IF(P3670&gt;0,$F$18*F3670/1000,0)</f>
        <v>0</v>
      </c>
      <c r="S3670" t="str">
        <v>)</v>
      </c>
      <c r="T3670" t="str">
        <v>x</v>
      </c>
      <c r="U3670">
        <f>0.006165*F3670^2</f>
        <v>1.57824</v>
      </c>
      <c r="X3670" t="str">
        <v>x</v>
      </c>
      <c r="Y3670">
        <f>D3661</f>
        <v>1</v>
      </c>
      <c r="Z3670" t="str">
        <v>=</v>
      </c>
      <c r="AA3670">
        <f>IF(AA3673=0,(D3670*N3670+P3670*R3670)*U3670*Y3670,0)</f>
        <v>0</v>
      </c>
    </row>
    <row r="3671">
      <c r="A3671" t="str">
        <f>A3655</f>
        <v>Lantai 2</v>
      </c>
      <c r="B3671">
        <f>B3655</f>
        <v>35</v>
      </c>
      <c r="C3671" t="str">
        <v>Tul Bawah Lapangan</v>
      </c>
      <c r="D3671">
        <f>VLOOKUP(D3655,'Detail Balok'!$C$10:$AU$140,25,FALSE)</f>
        <v>4</v>
      </c>
      <c r="E3671" t="str">
        <v>D</v>
      </c>
      <c r="F3671">
        <f>VLOOKUP(D3655,'Detail Balok'!$C$10:$AU$140,27,FALSE)</f>
        <v>16</v>
      </c>
      <c r="I3671" t="str">
        <v>(</v>
      </c>
      <c r="J3671">
        <f>+J3663</f>
        <v>2.0375</v>
      </c>
      <c r="K3671" t="str">
        <v>+</v>
      </c>
      <c r="M3671" t="str">
        <v>=</v>
      </c>
      <c r="N3671">
        <f>J3671+L3671</f>
        <v>2.0375</v>
      </c>
      <c r="O3671" t="str">
        <v>+</v>
      </c>
      <c r="P3671">
        <f>MAX(D3671-D3670,D3671-D3672)</f>
        <v>0</v>
      </c>
      <c r="Q3671" t="str">
        <v>x</v>
      </c>
      <c r="R3671">
        <f>IF(P3671&gt;0,2*(1-2*$F$19-1/2)*D3658/1000,0)</f>
        <v>0</v>
      </c>
      <c r="S3671" t="str">
        <v>)</v>
      </c>
      <c r="T3671" t="str">
        <v>x</v>
      </c>
      <c r="U3671">
        <f>0.006165*F3671^2</f>
        <v>1.57824</v>
      </c>
      <c r="X3671" t="str">
        <v>x</v>
      </c>
      <c r="Y3671">
        <f>D3661</f>
        <v>1</v>
      </c>
      <c r="Z3671" t="str">
        <v>=</v>
      </c>
      <c r="AA3671">
        <f>IF(AA3673=0,(D3671*N3671+P3671*R3671)*U3671*Y3671,0)</f>
        <v>0</v>
      </c>
    </row>
    <row r="3672">
      <c r="A3672" t="str">
        <f>A3655</f>
        <v>Lantai 2</v>
      </c>
      <c r="B3672">
        <f>B3655</f>
        <v>35</v>
      </c>
      <c r="C3672" t="str">
        <v>Tul Bawah Tumpuan</v>
      </c>
      <c r="D3672">
        <f>VLOOKUP(D3655,'Detail Balok'!$C$10:$AU$140,28,FALSE)</f>
        <v>4</v>
      </c>
      <c r="E3672" t="str">
        <v>D</v>
      </c>
      <c r="F3672">
        <f>VLOOKUP(D3655,'Detail Balok'!$C$10:$AU$140,30,FALSE)</f>
        <v>16</v>
      </c>
      <c r="I3672" t="str">
        <v>(</v>
      </c>
      <c r="J3672">
        <f>+J3664</f>
        <v>1.01875</v>
      </c>
      <c r="K3672" t="str">
        <v>+</v>
      </c>
      <c r="L3672">
        <f>MAX(VLOOKUP(F3672,N$6:P$15,3,FALSE)/1000,2/3*D3660/1000)+F$16*F3672/1000</f>
        <v>0.192</v>
      </c>
      <c r="M3672" t="str">
        <v>=</v>
      </c>
      <c r="N3672">
        <f>J3672+L3672</f>
        <v>1.21075</v>
      </c>
      <c r="O3672" t="str">
        <v>+</v>
      </c>
      <c r="P3672">
        <f>D3672-D3671</f>
        <v>0</v>
      </c>
      <c r="Q3672" t="str">
        <v>x</v>
      </c>
      <c r="R3672">
        <f>IF(P3672&gt;0,$F$18*F3672/1000,0)</f>
        <v>0</v>
      </c>
      <c r="S3672" t="str">
        <v>)</v>
      </c>
      <c r="T3672" t="str">
        <v>x</v>
      </c>
      <c r="U3672">
        <f>0.006165*F3672^2</f>
        <v>1.57824</v>
      </c>
      <c r="X3672" t="str">
        <v>x</v>
      </c>
      <c r="Y3672">
        <f>D3661</f>
        <v>1</v>
      </c>
      <c r="Z3672" t="str">
        <v>=</v>
      </c>
      <c r="AA3672">
        <f>IF(AA3673=0,(D3672*N3672+P3672*R3672)*U3672*Y3672,0)</f>
        <v>0</v>
      </c>
    </row>
    <row r="3673">
      <c r="A3673" t="str">
        <f>A3655</f>
        <v>Lantai 2</v>
      </c>
      <c r="B3673">
        <f>B3655</f>
        <v>35</v>
      </c>
      <c r="D3673">
        <f>IF(AND(D3670=D3671,D3671=D3672,D3670=D3672),D3670,0)</f>
        <v>4</v>
      </c>
      <c r="E3673" t="str">
        <v>D</v>
      </c>
      <c r="F3673">
        <f>IF(AND(F3670=F3671,F3670=F3672,F3671=F3672),F3670,0)</f>
        <v>16</v>
      </c>
      <c r="L3673" t="str">
        <v>Total panjang per balok</v>
      </c>
      <c r="M3673" t="str">
        <v>=</v>
      </c>
      <c r="N3673">
        <f>IF(AND(D3670=D3671,D3670=D3672,D3671=D3672,F3670=F3671,F3670=F3672,F3671=F3672),SUM(N3670:N3672),0)</f>
        <v>4.459</v>
      </c>
      <c r="O3673" t="str">
        <v>+</v>
      </c>
      <c r="P3673">
        <f>IF(N3673&gt;12,ROUNDDOWN(N3673/12,0),0)</f>
        <v>0</v>
      </c>
      <c r="Q3673" t="str">
        <v>x</v>
      </c>
      <c r="R3673">
        <f>IF(P3673&gt;0,MAX(VLOOKUP(F3673,$D$6:$G$15,3,FALSE),600),0)/1000</f>
        <v>0</v>
      </c>
      <c r="T3673" t="str">
        <v>x</v>
      </c>
      <c r="U3673">
        <f>U3672</f>
        <v>1.57824</v>
      </c>
      <c r="V3673" t="str">
        <v>x</v>
      </c>
      <c r="W3673">
        <f>D3673</f>
        <v>4</v>
      </c>
      <c r="X3673" t="str">
        <v>x</v>
      </c>
      <c r="Y3673">
        <f>Y3672</f>
        <v>1</v>
      </c>
      <c r="Z3673" t="str">
        <v>=</v>
      </c>
      <c r="AA3673">
        <f>(N3673+P3673*R3673/1000)*U3673*W3673*Y3673</f>
        <v>28.149488639999998</v>
      </c>
    </row>
    <row r="3675">
      <c r="A3675" t="str">
        <f>A3655</f>
        <v>Lantai 2</v>
      </c>
      <c r="B3675">
        <f>B3655</f>
        <v>35</v>
      </c>
      <c r="C3675" t="str">
        <v>Sengkang Tumpuan</v>
      </c>
      <c r="D3675">
        <f>VLOOKUP(D3655,'Detail Balok'!$C$10:$AU$140,31,FALSE)</f>
        <v>0</v>
      </c>
      <c r="E3675" t="str">
        <v>D</v>
      </c>
      <c r="F3675">
        <f>VLOOKUP(D3655,'Detail Balok'!$C$10:$AU$140,33,FALSE)</f>
        <v>10</v>
      </c>
      <c r="G3675" t="str">
        <v>-</v>
      </c>
      <c r="H3675">
        <f>VLOOKUP(D3655,'Detail Balok'!$C$10:$AU$140,35,FALSE)</f>
        <v>150</v>
      </c>
      <c r="J3675">
        <f>(IF(D3675=0,(2*(D3656+G3656))-(F$5*8),IF(D3675=3,(2*(D3656+G3656))-(F$5*8)+(G3656-2*F$5),IF(D3675=4,(2*(D3656+G3656))-(F$5*8)+2*(G3656-2*F$5)))))/1000</f>
        <v>1.08</v>
      </c>
      <c r="K3675" t="str">
        <v>+</v>
      </c>
      <c r="L3675">
        <f>IF(D3675=0,2*MAX(6*F3675,75),(D3675-1)*2*MAX(6*F3675,75))/1000</f>
        <v>0.15</v>
      </c>
      <c r="M3675" t="str">
        <v>=</v>
      </c>
      <c r="N3675">
        <f>J3675+L3675</f>
        <v>1.23</v>
      </c>
      <c r="T3675" t="str">
        <v>x</v>
      </c>
      <c r="U3675">
        <f>0.006165*F3675^2</f>
        <v>0.6165</v>
      </c>
      <c r="V3675" t="str">
        <v>x</v>
      </c>
      <c r="W3675">
        <f>IF(D3658&gt;4*G3656,ROUND(MAX(D3658/4,2*G3656)/H3675,0)+1,ROUND(D3658/H3675,0)+1)</f>
        <v>8</v>
      </c>
      <c r="X3675" t="str">
        <v>x</v>
      </c>
      <c r="Y3675">
        <f>D3661</f>
        <v>1</v>
      </c>
      <c r="Z3675" t="str">
        <v>=</v>
      </c>
      <c r="AA3675">
        <f>N3675*U3675*W3675*Y3675</f>
        <v>6.06636</v>
      </c>
    </row>
    <row r="3676">
      <c r="A3676" t="str">
        <f>A3655</f>
        <v>Lantai 2</v>
      </c>
      <c r="B3676">
        <f>B3655</f>
        <v>35</v>
      </c>
      <c r="C3676" t="str">
        <v>Sengkang Lapangan</v>
      </c>
      <c r="D3676">
        <f>VLOOKUP(D3655,'Detail Balok'!$C$10:$AU$140,36,FALSE)</f>
        <v>0</v>
      </c>
      <c r="E3676" t="str">
        <v>D</v>
      </c>
      <c r="F3676">
        <f>VLOOKUP(D3655,'Detail Balok'!$C$10:$AU$140,38,FALSE)</f>
        <v>10</v>
      </c>
      <c r="G3676" t="str">
        <v>-</v>
      </c>
      <c r="H3676">
        <f>VLOOKUP(D3655,'Detail Balok'!$C$10:$AU$140,40,FALSE)</f>
        <v>200</v>
      </c>
      <c r="J3676">
        <f>(IF(D3676=0,(2*(D3656+G3656))-(F$5*8),IF(D3676=3,(2*(D3656+G3656))-(F$5*8)+(G3656-2*F$5),IF(D3676=4,(2*(D3656+G3656))-(F$5*8)+2*(G3656-2*F$5)))))/1000</f>
        <v>1.08</v>
      </c>
      <c r="K3676" t="str">
        <v>+</v>
      </c>
      <c r="L3676">
        <f>IF(D3676=0,2*MAX(6*F3676,75),(D3676-1)*2*MAX(6*F3676,75))/1000</f>
        <v>0.15</v>
      </c>
      <c r="M3676" t="str">
        <v>=</v>
      </c>
      <c r="N3676">
        <f>J3676+L3676</f>
        <v>1.23</v>
      </c>
      <c r="T3676" t="str">
        <v>x</v>
      </c>
      <c r="U3676">
        <f>0.006165*F3676^2</f>
        <v>0.6165</v>
      </c>
      <c r="V3676" t="str">
        <v>x</v>
      </c>
      <c r="W3676">
        <f>IF(D3658-MAX(D3658/4,2*G3656)*2&gt;0,ROUND((D3658-MAX(D3658/4,2*G3656)*2)/H3676,0),0)</f>
        <v>10</v>
      </c>
      <c r="X3676" t="str">
        <v>x</v>
      </c>
      <c r="Y3676">
        <f>D3661</f>
        <v>1</v>
      </c>
      <c r="Z3676" t="str">
        <v>=</v>
      </c>
      <c r="AA3676">
        <f>N3676*U3676*W3676*Y3676</f>
        <v>7.58295</v>
      </c>
    </row>
    <row r="3677">
      <c r="A3677" t="str">
        <f>A3655</f>
        <v>Lantai 2</v>
      </c>
      <c r="B3677">
        <f>B3655</f>
        <v>35</v>
      </c>
      <c r="C3677" t="str">
        <v>Sengkang Tumpuan</v>
      </c>
      <c r="D3677">
        <f>VLOOKUP(D3655,'Detail Balok'!$C$10:$AU$140,41,FALSE)</f>
        <v>0</v>
      </c>
      <c r="E3677" t="str">
        <v>D</v>
      </c>
      <c r="F3677">
        <f>VLOOKUP(D3655,'Detail Balok'!$C$10:$AU$140,43,FALSE)</f>
        <v>10</v>
      </c>
      <c r="G3677" t="str">
        <v>-</v>
      </c>
      <c r="H3677">
        <f>VLOOKUP(D3655,'Detail Balok'!$C$10:$AU$140,45,FALSE)</f>
        <v>150</v>
      </c>
      <c r="J3677">
        <f>(IF(D3677=0,(2*(D3656+G3656))-(F$5*8),IF(D3677=3,(2*(D3656+G3656))-(F$5*8)+(G3656-2*F$5),IF(D3677=4,(2*(D3656+G3656))-(F$5*8)+2*(G3656-2*F$5)))))/1000</f>
        <v>1.08</v>
      </c>
      <c r="K3677" t="str">
        <v>+</v>
      </c>
      <c r="L3677">
        <f>IF(D3677=0,2*MAX(6*F3677,75),(D3677-1)*2*MAX(6*F3677,75))/1000</f>
        <v>0.15</v>
      </c>
      <c r="M3677" t="str">
        <v>=</v>
      </c>
      <c r="N3677">
        <f>J3677+L3677</f>
        <v>1.23</v>
      </c>
      <c r="T3677" t="str">
        <v>x</v>
      </c>
      <c r="U3677">
        <f>0.006165*F3677^2</f>
        <v>0.6165</v>
      </c>
      <c r="V3677" t="str">
        <v>x</v>
      </c>
      <c r="W3677">
        <f>IF(D3658&gt;4*G3656,ROUND(MAX(D3658/4,2*G3656)/H3677,0)+1,0)</f>
        <v>8</v>
      </c>
      <c r="X3677" t="str">
        <v>x</v>
      </c>
      <c r="Y3677">
        <f>D3661</f>
        <v>1</v>
      </c>
      <c r="Z3677" t="str">
        <v>=</v>
      </c>
      <c r="AA3677">
        <f>N3677*U3677*W3677*Y3677</f>
        <v>6.06636</v>
      </c>
    </row>
    <row r="3679">
      <c r="A3679" t="str">
        <f>A3655</f>
        <v>Lantai 2</v>
      </c>
      <c r="B3679">
        <f>B3655</f>
        <v>35</v>
      </c>
      <c r="C3679" t="str">
        <v>Kait Horizontal Tump.</v>
      </c>
      <c r="D3679">
        <f>VLOOKUP(D3655,'Detail Balok'!$C$10:$BJ$140,46,FALSE)</f>
        <v>0</v>
      </c>
      <c r="E3679" t="str">
        <v>D</v>
      </c>
      <c r="F3679">
        <f>VLOOKUP(D3655,'Detail Balok'!$C$10:$BJ$140,48,FALSE)</f>
        <v>0</v>
      </c>
      <c r="G3679" t="str">
        <v>-</v>
      </c>
      <c r="H3679">
        <f>VLOOKUP(D3655,'Detail Balok'!$C$10:$BJ$140,50,FALSE)</f>
        <v>100</v>
      </c>
      <c r="J3679">
        <f>(D3656-2*F$5)/1000</f>
        <v>0.12</v>
      </c>
      <c r="K3679" t="str">
        <v>+</v>
      </c>
      <c r="L3679">
        <f>IF(D3679=0,2*MAX(6*F3679,75),(D3679-1)*2*MAX(6*F3679,75))/1000</f>
        <v>0.15</v>
      </c>
      <c r="M3679" t="str">
        <v>=</v>
      </c>
      <c r="N3679">
        <f>J3679+L3679</f>
        <v>0.27</v>
      </c>
      <c r="T3679" t="str">
        <v>x</v>
      </c>
      <c r="U3679">
        <f>0.006165*F3679^2</f>
        <v>0</v>
      </c>
      <c r="V3679" t="str">
        <v>x</v>
      </c>
      <c r="W3679">
        <f>W3675</f>
        <v>8</v>
      </c>
      <c r="X3679" t="str">
        <v>x</v>
      </c>
      <c r="Y3679">
        <f>D3665</f>
        <v>4</v>
      </c>
      <c r="Z3679" t="str">
        <v>=</v>
      </c>
      <c r="AA3679">
        <f>N3679*U3679*W3679*Y3679</f>
        <v>0</v>
      </c>
    </row>
    <row r="3680">
      <c r="A3680" t="str">
        <f>A3655</f>
        <v>Lantai 2</v>
      </c>
      <c r="B3680">
        <f>B3655</f>
        <v>35</v>
      </c>
      <c r="C3680" t="str">
        <v>Kait Horizontal Lap.</v>
      </c>
      <c r="D3680">
        <f>VLOOKUP(D3655,'Detail Balok'!$C$10:$BJ$140,51,FALSE)</f>
        <v>0</v>
      </c>
      <c r="E3680" t="str">
        <v>D</v>
      </c>
      <c r="F3680">
        <f>VLOOKUP(D3655,'Detail Balok'!$C$10:$BJ$140,53,FALSE)</f>
        <v>0</v>
      </c>
      <c r="G3680" t="str">
        <v>-</v>
      </c>
      <c r="H3680">
        <f>VLOOKUP(D3655,'Detail Balok'!$C$10:$BJ$140,55,FALSE)</f>
        <v>100</v>
      </c>
      <c r="J3680">
        <f>(D3656-2*F$5)/1000</f>
        <v>0.12</v>
      </c>
      <c r="K3680" t="str">
        <v>+</v>
      </c>
      <c r="L3680">
        <f>IF(D3680=0,2*MAX(6*F3680,75),(D3680-1)*2*MAX(6*F3680,75))/1000</f>
        <v>0.15</v>
      </c>
      <c r="M3680" t="str">
        <v>=</v>
      </c>
      <c r="N3680">
        <f>J3680+L3680</f>
        <v>0.27</v>
      </c>
      <c r="T3680" t="str">
        <v>x</v>
      </c>
      <c r="U3680">
        <f>0.006165*F3680^2</f>
        <v>0</v>
      </c>
      <c r="V3680" t="str">
        <v>x</v>
      </c>
      <c r="W3680">
        <f>W3676</f>
        <v>10</v>
      </c>
      <c r="X3680" t="str">
        <v>x</v>
      </c>
      <c r="Y3680">
        <f>D3665</f>
        <v>4</v>
      </c>
      <c r="Z3680" t="str">
        <v>=</v>
      </c>
      <c r="AA3680">
        <f>N3680*U3680*W3680*Y3680</f>
        <v>0</v>
      </c>
    </row>
    <row r="3681">
      <c r="A3681" t="str">
        <f>A3655</f>
        <v>Lantai 2</v>
      </c>
      <c r="B3681">
        <f>B3655</f>
        <v>35</v>
      </c>
      <c r="C3681" t="str">
        <v>Kait Horizontal Tump.</v>
      </c>
      <c r="D3681">
        <f>VLOOKUP(D3655,'Detail Balok'!$C$10:$BJ$140,56,FALSE)</f>
        <v>0</v>
      </c>
      <c r="E3681" t="str">
        <v>D</v>
      </c>
      <c r="F3681">
        <f>VLOOKUP(D3655,'Detail Balok'!$C$10:$BJ$140,58,FALSE)</f>
        <v>0</v>
      </c>
      <c r="G3681" t="str">
        <v>-</v>
      </c>
      <c r="H3681">
        <f>VLOOKUP(D3655,'Detail Balok'!$C$10:$BJ$140,60,FALSE)</f>
        <v>100</v>
      </c>
      <c r="J3681">
        <f>(D3656-2*F$5)/1000</f>
        <v>0.12</v>
      </c>
      <c r="K3681" t="str">
        <v>+</v>
      </c>
      <c r="L3681">
        <f>IF(D3681=0,2*MAX(6*F3681,75),(D3681-1)*2*MAX(6*F3681,75))/1000</f>
        <v>0.15</v>
      </c>
      <c r="M3681" t="str">
        <v>=</v>
      </c>
      <c r="N3681">
        <f>J3681+L3681</f>
        <v>0.27</v>
      </c>
      <c r="T3681" t="str">
        <v>x</v>
      </c>
      <c r="U3681">
        <f>0.006165*F3681^2</f>
        <v>0</v>
      </c>
      <c r="V3681" t="str">
        <v>x</v>
      </c>
      <c r="W3681">
        <f>W3677</f>
        <v>8</v>
      </c>
      <c r="X3681" t="str">
        <v>x</v>
      </c>
      <c r="Y3681">
        <f>D3665</f>
        <v>4</v>
      </c>
      <c r="Z3681" t="str">
        <v>=</v>
      </c>
      <c r="AA3681">
        <f>N3681*U3681*W3681*Y3681</f>
        <v>0</v>
      </c>
    </row>
    <row r="3685">
      <c r="A3685" t="str">
        <f>A3655</f>
        <v>Lantai 2</v>
      </c>
      <c r="B3685">
        <f>B3655+1</f>
        <v>36</v>
      </c>
      <c r="C3685" t="str">
        <f>CONCATENATE(A3685," no. ",B3685)</f>
        <v>Lantai 2 no. 36</v>
      </c>
      <c r="D3685" t="str">
        <f>VLOOKUP(C3685,'Data Panjang Balok'!$C$9:$N$254,2,FALSE)</f>
        <v>B24-1</v>
      </c>
    </row>
    <row r="3686">
      <c r="C3686" t="str">
        <v>Dimensi</v>
      </c>
      <c r="D3686">
        <f>VLOOKUP(D3685,'Detail Balok'!$C$10:$AU$140,2,FALSE)</f>
        <v>200</v>
      </c>
      <c r="F3686" t="str">
        <v>x</v>
      </c>
      <c r="G3686">
        <f>VLOOKUP(D3685,'Detail Balok'!$C$10:$AU$140,3,FALSE)</f>
        <v>400</v>
      </c>
    </row>
    <row r="3687">
      <c r="C3687" t="str">
        <v>Panjang as ke as</v>
      </c>
      <c r="D3687">
        <f>VLOOKUP(C3685,'Data Panjang Balok'!$C$9:$N$254,4,FALSE)</f>
        <v>4000</v>
      </c>
    </row>
    <row r="3688">
      <c r="C3688" t="str">
        <v>Panjang netto</v>
      </c>
      <c r="D3688">
        <f>VLOOKUP(C3685,'Data Panjang Balok'!$C$9:$N$254,7,FALSE)</f>
        <v>4000</v>
      </c>
    </row>
    <row r="3689">
      <c r="C3689" t="str">
        <v>Kolom / balok kiri</v>
      </c>
      <c r="D3689">
        <f>VLOOKUP(C3685,'Data Panjang Balok'!$C$9:$N$254,9,FALSE)</f>
        <v>0</v>
      </c>
    </row>
    <row r="3690">
      <c r="C3690" t="str">
        <v>Kolom / balok kanan</v>
      </c>
      <c r="D3690">
        <f>VLOOKUP(C3685,'Data Panjang Balok'!$C$9:$N$254,10,FALSE)</f>
        <v>0</v>
      </c>
    </row>
    <row r="3691">
      <c r="C3691" t="str">
        <v>Jumlah</v>
      </c>
      <c r="D3691">
        <f>VLOOKUP(C3685,'Data Panjang Balok'!$C$9:$N$254,3,FALSE)</f>
        <v>1</v>
      </c>
    </row>
    <row r="3692">
      <c r="A3692" t="str">
        <f>A3685</f>
        <v>Lantai 2</v>
      </c>
      <c r="B3692">
        <f>B3685</f>
        <v>36</v>
      </c>
      <c r="C3692" t="str">
        <v>Tul Atas Tumpuan</v>
      </c>
      <c r="D3692">
        <f>VLOOKUP(D3685,'Detail Balok'!$C$10:$AU$140,4,FALSE)</f>
        <v>3</v>
      </c>
      <c r="E3692" t="str">
        <v>D</v>
      </c>
      <c r="F3692">
        <f>VLOOKUP(D3685,'Detail Balok'!$C$10:$AU$140,6,FALSE)</f>
        <v>13</v>
      </c>
      <c r="I3692" t="str">
        <v>(</v>
      </c>
      <c r="J3692">
        <f>+D3687/4/1000</f>
        <v>1</v>
      </c>
      <c r="K3692" t="str">
        <v>+</v>
      </c>
      <c r="L3692">
        <f>MAX(VLOOKUP(F3692,N$6:P$15,3,FALSE)/1000,2/3*D3689/1000)+F$16*F3692/1000</f>
        <v>0.156</v>
      </c>
      <c r="M3692" t="str">
        <v>=</v>
      </c>
      <c r="N3692">
        <f>J3692+L3692</f>
        <v>1.156</v>
      </c>
      <c r="O3692" t="str">
        <v>+</v>
      </c>
      <c r="P3692">
        <f>D3692-D3693</f>
        <v>0</v>
      </c>
      <c r="Q3692" t="str">
        <v>x</v>
      </c>
      <c r="R3692">
        <f>IF(P3692&gt;0,$F$18*F3692/1000,0)</f>
        <v>0</v>
      </c>
      <c r="S3692" t="str">
        <v>)</v>
      </c>
      <c r="T3692" t="str">
        <v>x</v>
      </c>
      <c r="U3692">
        <f>0.006165*F3692^2</f>
        <v>1.041885</v>
      </c>
      <c r="X3692" t="str">
        <v>x</v>
      </c>
      <c r="Y3692">
        <f>D3691</f>
        <v>1</v>
      </c>
      <c r="Z3692" t="str">
        <v>=</v>
      </c>
      <c r="AA3692">
        <f>IF(AA3695=0,(D3692*N3692+P3692*R3692)*U3692*Y3692,0)</f>
        <v>0</v>
      </c>
    </row>
    <row r="3693">
      <c r="A3693" t="str">
        <f>A3685</f>
        <v>Lantai 2</v>
      </c>
      <c r="B3693">
        <f>B3685</f>
        <v>36</v>
      </c>
      <c r="C3693" t="str">
        <v>Tul Atas Lapangan</v>
      </c>
      <c r="D3693">
        <f>VLOOKUP(D3685,'Detail Balok'!$C$10:$AU$140,7,FALSE)</f>
        <v>3</v>
      </c>
      <c r="E3693" t="str">
        <v>D</v>
      </c>
      <c r="F3693">
        <f>VLOOKUP(D3685,'Detail Balok'!$C$10:$AU$140,9,FALSE)</f>
        <v>13</v>
      </c>
      <c r="I3693" t="str">
        <v>(</v>
      </c>
      <c r="J3693">
        <f>+D3687/2/1000</f>
        <v>2</v>
      </c>
      <c r="K3693" t="str">
        <v>+</v>
      </c>
      <c r="M3693" t="str">
        <v>=</v>
      </c>
      <c r="N3693">
        <f>J3693+L3693</f>
        <v>2</v>
      </c>
      <c r="O3693" t="str">
        <v>+</v>
      </c>
      <c r="P3693">
        <f>MAX(D3693-D3692,D3693-D3694)</f>
        <v>0</v>
      </c>
      <c r="Q3693" t="str">
        <v>x</v>
      </c>
      <c r="R3693">
        <f>IF(P3693&gt;0,2*(1-2*$F$19-1/2)*D3688/1000,0)</f>
        <v>0</v>
      </c>
      <c r="S3693" t="str">
        <v>)</v>
      </c>
      <c r="T3693" t="str">
        <v>x</v>
      </c>
      <c r="U3693">
        <f>0.006165*F3693^2</f>
        <v>1.041885</v>
      </c>
      <c r="X3693" t="str">
        <v>x</v>
      </c>
      <c r="Y3693">
        <f>D3691</f>
        <v>1</v>
      </c>
      <c r="Z3693" t="str">
        <v>=</v>
      </c>
      <c r="AA3693">
        <f>IF(AA3695=0,(D3693*N3693+P3693*R3693)*U3693*Y3693,0)</f>
        <v>0</v>
      </c>
    </row>
    <row r="3694">
      <c r="A3694" t="str">
        <f>A3685</f>
        <v>Lantai 2</v>
      </c>
      <c r="B3694">
        <f>B3685</f>
        <v>36</v>
      </c>
      <c r="C3694" t="str">
        <v>Tul Atas Tumpuan</v>
      </c>
      <c r="D3694">
        <f>VLOOKUP(D3685,'Detail Balok'!$C$10:$AU$140,10,FALSE)</f>
        <v>3</v>
      </c>
      <c r="E3694" t="str">
        <v>D</v>
      </c>
      <c r="F3694">
        <f>VLOOKUP(D3685,'Detail Balok'!$C$10:$AU$140,12,FALSE)</f>
        <v>13</v>
      </c>
      <c r="I3694" t="str">
        <v>(</v>
      </c>
      <c r="J3694">
        <f>+D3687/4/1000</f>
        <v>1</v>
      </c>
      <c r="K3694" t="str">
        <v>+</v>
      </c>
      <c r="L3694">
        <f>MAX(VLOOKUP(F3694,N$6:P$15,3,FALSE)/1000,2/3*D3689/1000)+F$16*F3694/1000</f>
        <v>0.156</v>
      </c>
      <c r="M3694" t="str">
        <v>=</v>
      </c>
      <c r="N3694">
        <f>J3694+L3694</f>
        <v>1.156</v>
      </c>
      <c r="O3694" t="str">
        <v>+</v>
      </c>
      <c r="P3694">
        <f>D3694-D3693</f>
        <v>0</v>
      </c>
      <c r="Q3694" t="str">
        <v>x</v>
      </c>
      <c r="R3694">
        <f>IF(P3694&gt;0,$F$18*F3694/1000,0)</f>
        <v>0</v>
      </c>
      <c r="S3694" t="str">
        <v>)</v>
      </c>
      <c r="T3694" t="str">
        <v>x</v>
      </c>
      <c r="U3694">
        <f>0.006165*F3694^2</f>
        <v>1.041885</v>
      </c>
      <c r="X3694" t="str">
        <v>x</v>
      </c>
      <c r="Y3694">
        <f>D3691</f>
        <v>1</v>
      </c>
      <c r="Z3694" t="str">
        <v>=</v>
      </c>
      <c r="AA3694">
        <f>IF(AA3695=0,(D3694*N3694+P3694*R3694)*U3694*Y3694,0)</f>
        <v>0</v>
      </c>
    </row>
    <row r="3695">
      <c r="A3695" t="str">
        <f>A3685</f>
        <v>Lantai 2</v>
      </c>
      <c r="B3695">
        <f>B3685</f>
        <v>36</v>
      </c>
      <c r="D3695">
        <f>IF(AND(D3692=D3693,D3693=D3694,D3692=D3694),D3692,0)</f>
        <v>3</v>
      </c>
      <c r="E3695" t="str">
        <v>D</v>
      </c>
      <c r="F3695">
        <f>IF(AND(F3692=F3693,F3692=F3694,F3693=F3694),F3692,0)</f>
        <v>13</v>
      </c>
      <c r="L3695" t="str">
        <v>Total panjang per balok</v>
      </c>
      <c r="M3695" t="str">
        <v>=</v>
      </c>
      <c r="N3695">
        <f>IF(AND(D3692=D3693,D3692=D3694,D3693=D3694,F3692=F3693,F3692=F3694,F3693=F3694),SUM(N3692:N3694),0)</f>
        <v>4.311999999999999</v>
      </c>
      <c r="O3695" t="str">
        <v>+</v>
      </c>
      <c r="P3695">
        <f>IF(N3695&gt;12,ROUNDDOWN(N3695/12,0),0)</f>
        <v>0</v>
      </c>
      <c r="Q3695" t="str">
        <v>x</v>
      </c>
      <c r="R3695">
        <f>IF(P3695&gt;0,MAX(VLOOKUP(F3695,$D$6:$G$15,3,FALSE),600),0)/1000</f>
        <v>0</v>
      </c>
      <c r="T3695" t="str">
        <v>x</v>
      </c>
      <c r="U3695">
        <f>U3694</f>
        <v>1.041885</v>
      </c>
      <c r="V3695" t="str">
        <v>x</v>
      </c>
      <c r="W3695">
        <f>D3695</f>
        <v>3</v>
      </c>
      <c r="X3695" t="str">
        <v>x</v>
      </c>
      <c r="Y3695">
        <f>Y3694</f>
        <v>1</v>
      </c>
      <c r="Z3695" t="str">
        <v>=</v>
      </c>
      <c r="AA3695">
        <f>(N3695+P3695*R3695/1000)*U3695*W3695*Y3695</f>
        <v>13.477824359999996</v>
      </c>
    </row>
    <row r="3697">
      <c r="A3697" t="str">
        <f>A3685</f>
        <v>Lantai 2</v>
      </c>
      <c r="B3697">
        <f>B3685</f>
        <v>36</v>
      </c>
      <c r="C3697" t="str">
        <v>Tul Peminggang</v>
      </c>
      <c r="D3697">
        <f>VLOOKUP(D3685,'Detail Balok'!$C$10:$AU$140,13,FALSE)</f>
        <v>0</v>
      </c>
      <c r="E3697" t="str">
        <v>D</v>
      </c>
      <c r="F3697">
        <f>VLOOKUP(D3685,'Detail Balok'!$C$10:$AU$140,15,FALSE)</f>
        <v>8</v>
      </c>
      <c r="J3697">
        <f>+D3687/1000</f>
        <v>4</v>
      </c>
      <c r="K3697" t="str">
        <v>+</v>
      </c>
      <c r="L3697">
        <f>2*$F$16*F3697/1000</f>
        <v>0.192</v>
      </c>
      <c r="M3697" t="str">
        <v>=</v>
      </c>
      <c r="N3697">
        <f>J3697+L3697</f>
        <v>4.192</v>
      </c>
      <c r="O3697" t="str">
        <v>+</v>
      </c>
      <c r="P3697">
        <f>IF(N3697&gt;12,ROUNDDOWN(N3697/12,0),0)</f>
        <v>0</v>
      </c>
      <c r="Q3697" t="str">
        <v>x</v>
      </c>
      <c r="R3697">
        <f>IF(P3697&gt;0,MAX(VLOOKUP(F3697,$D$6:$G$15,3,FALSE),600),0)/1000</f>
        <v>0</v>
      </c>
      <c r="T3697" t="str">
        <v>x</v>
      </c>
      <c r="U3697">
        <f>0.006165*F3697^2</f>
        <v>0.39456</v>
      </c>
      <c r="V3697" t="str">
        <v>x</v>
      </c>
      <c r="W3697">
        <f>+D3697</f>
        <v>0</v>
      </c>
      <c r="X3697" t="str">
        <v>x</v>
      </c>
      <c r="Y3697">
        <f>D3691</f>
        <v>1</v>
      </c>
      <c r="Z3697" t="str">
        <v>=</v>
      </c>
      <c r="AA3697">
        <f>(N3697+P3697*R3697/1000)*U3697*W3697*Y3697</f>
        <v>0</v>
      </c>
    </row>
    <row r="3700">
      <c r="A3700" t="str">
        <f>A3685</f>
        <v>Lantai 2</v>
      </c>
      <c r="B3700">
        <f>B3685</f>
        <v>36</v>
      </c>
      <c r="C3700" t="str">
        <v>Tul Bawah Tumpuan</v>
      </c>
      <c r="D3700">
        <f>VLOOKUP(D3685,'Detail Balok'!$C$10:$AU$140,22,FALSE)</f>
        <v>3</v>
      </c>
      <c r="E3700" t="str">
        <v>D</v>
      </c>
      <c r="F3700">
        <f>VLOOKUP(D3685,'Detail Balok'!$C$10:$AU$140,24,FALSE)</f>
        <v>13</v>
      </c>
      <c r="I3700" t="str">
        <v>(</v>
      </c>
      <c r="J3700">
        <f>+J3692</f>
        <v>1</v>
      </c>
      <c r="K3700" t="str">
        <v>+</v>
      </c>
      <c r="L3700">
        <f>MAX(VLOOKUP(F3700,N$6:P$15,3,FALSE)/1000,2/3*D3690/1000)+F$16*F3700/1000</f>
        <v>0.156</v>
      </c>
      <c r="M3700" t="str">
        <v>=</v>
      </c>
      <c r="N3700">
        <f>J3700+L3700</f>
        <v>1.156</v>
      </c>
      <c r="O3700" t="str">
        <v>+</v>
      </c>
      <c r="P3700">
        <f>D3700-D3701</f>
        <v>0</v>
      </c>
      <c r="Q3700" t="str">
        <v>x</v>
      </c>
      <c r="R3700">
        <f>IF(P3700&gt;0,$F$18*F3700/1000,0)</f>
        <v>0</v>
      </c>
      <c r="S3700" t="str">
        <v>)</v>
      </c>
      <c r="T3700" t="str">
        <v>x</v>
      </c>
      <c r="U3700">
        <f>0.006165*F3700^2</f>
        <v>1.041885</v>
      </c>
      <c r="X3700" t="str">
        <v>x</v>
      </c>
      <c r="Y3700">
        <f>D3691</f>
        <v>1</v>
      </c>
      <c r="Z3700" t="str">
        <v>=</v>
      </c>
      <c r="AA3700">
        <f>IF(AA3703=0,(D3700*N3700+P3700*R3700)*U3700*Y3700,0)</f>
        <v>0</v>
      </c>
    </row>
    <row r="3701">
      <c r="A3701" t="str">
        <f>A3685</f>
        <v>Lantai 2</v>
      </c>
      <c r="B3701">
        <f>B3685</f>
        <v>36</v>
      </c>
      <c r="C3701" t="str">
        <v>Tul Bawah Lapangan</v>
      </c>
      <c r="D3701">
        <f>VLOOKUP(D3685,'Detail Balok'!$C$10:$AU$140,25,FALSE)</f>
        <v>3</v>
      </c>
      <c r="E3701" t="str">
        <v>D</v>
      </c>
      <c r="F3701">
        <f>VLOOKUP(D3685,'Detail Balok'!$C$10:$AU$140,27,FALSE)</f>
        <v>13</v>
      </c>
      <c r="I3701" t="str">
        <v>(</v>
      </c>
      <c r="J3701">
        <f>+J3693</f>
        <v>2</v>
      </c>
      <c r="K3701" t="str">
        <v>+</v>
      </c>
      <c r="M3701" t="str">
        <v>=</v>
      </c>
      <c r="N3701">
        <f>J3701+L3701</f>
        <v>2</v>
      </c>
      <c r="O3701" t="str">
        <v>+</v>
      </c>
      <c r="P3701">
        <f>MAX(D3701-D3700,D3701-D3702)</f>
        <v>0</v>
      </c>
      <c r="Q3701" t="str">
        <v>x</v>
      </c>
      <c r="R3701">
        <f>IF(P3701&gt;0,2*(1-2*$F$19-1/2)*D3688/1000,0)</f>
        <v>0</v>
      </c>
      <c r="S3701" t="str">
        <v>)</v>
      </c>
      <c r="T3701" t="str">
        <v>x</v>
      </c>
      <c r="U3701">
        <f>0.006165*F3701^2</f>
        <v>1.041885</v>
      </c>
      <c r="X3701" t="str">
        <v>x</v>
      </c>
      <c r="Y3701">
        <f>D3691</f>
        <v>1</v>
      </c>
      <c r="Z3701" t="str">
        <v>=</v>
      </c>
      <c r="AA3701">
        <f>IF(AA3703=0,(D3701*N3701+P3701*R3701)*U3701*Y3701,0)</f>
        <v>0</v>
      </c>
    </row>
    <row r="3702">
      <c r="A3702" t="str">
        <f>A3685</f>
        <v>Lantai 2</v>
      </c>
      <c r="B3702">
        <f>B3685</f>
        <v>36</v>
      </c>
      <c r="C3702" t="str">
        <v>Tul Bawah Tumpuan</v>
      </c>
      <c r="D3702">
        <f>VLOOKUP(D3685,'Detail Balok'!$C$10:$AU$140,28,FALSE)</f>
        <v>3</v>
      </c>
      <c r="E3702" t="str">
        <v>D</v>
      </c>
      <c r="F3702">
        <f>VLOOKUP(D3685,'Detail Balok'!$C$10:$AU$140,30,FALSE)</f>
        <v>13</v>
      </c>
      <c r="I3702" t="str">
        <v>(</v>
      </c>
      <c r="J3702">
        <f>+J3694</f>
        <v>1</v>
      </c>
      <c r="K3702" t="str">
        <v>+</v>
      </c>
      <c r="L3702">
        <f>MAX(VLOOKUP(F3702,N$6:P$15,3,FALSE)/1000,2/3*D3690/1000)+F$16*F3702/1000</f>
        <v>0.156</v>
      </c>
      <c r="M3702" t="str">
        <v>=</v>
      </c>
      <c r="N3702">
        <f>J3702+L3702</f>
        <v>1.156</v>
      </c>
      <c r="O3702" t="str">
        <v>+</v>
      </c>
      <c r="P3702">
        <f>D3702-D3701</f>
        <v>0</v>
      </c>
      <c r="Q3702" t="str">
        <v>x</v>
      </c>
      <c r="R3702">
        <f>IF(P3702&gt;0,$F$18*F3702/1000,0)</f>
        <v>0</v>
      </c>
      <c r="S3702" t="str">
        <v>)</v>
      </c>
      <c r="T3702" t="str">
        <v>x</v>
      </c>
      <c r="U3702">
        <f>0.006165*F3702^2</f>
        <v>1.041885</v>
      </c>
      <c r="X3702" t="str">
        <v>x</v>
      </c>
      <c r="Y3702">
        <f>D3691</f>
        <v>1</v>
      </c>
      <c r="Z3702" t="str">
        <v>=</v>
      </c>
      <c r="AA3702">
        <f>IF(AA3703=0,(D3702*N3702+P3702*R3702)*U3702*Y3702,0)</f>
        <v>0</v>
      </c>
    </row>
    <row r="3703">
      <c r="A3703" t="str">
        <f>A3685</f>
        <v>Lantai 2</v>
      </c>
      <c r="B3703">
        <f>B3685</f>
        <v>36</v>
      </c>
      <c r="D3703">
        <f>IF(AND(D3700=D3701,D3701=D3702,D3700=D3702),D3700,0)</f>
        <v>3</v>
      </c>
      <c r="E3703" t="str">
        <v>D</v>
      </c>
      <c r="F3703">
        <f>IF(AND(F3700=F3701,F3700=F3702,F3701=F3702),F3700,0)</f>
        <v>13</v>
      </c>
      <c r="L3703" t="str">
        <v>Total panjang per balok</v>
      </c>
      <c r="M3703" t="str">
        <v>=</v>
      </c>
      <c r="N3703">
        <f>IF(AND(D3700=D3701,D3700=D3702,D3701=D3702,F3700=F3701,F3700=F3702,F3701=F3702),SUM(N3700:N3702),0)</f>
        <v>4.311999999999999</v>
      </c>
      <c r="O3703" t="str">
        <v>+</v>
      </c>
      <c r="P3703">
        <f>IF(N3703&gt;12,ROUNDDOWN(N3703/12,0),0)</f>
        <v>0</v>
      </c>
      <c r="Q3703" t="str">
        <v>x</v>
      </c>
      <c r="R3703">
        <f>IF(P3703&gt;0,MAX(VLOOKUP(F3703,$D$6:$G$15,3,FALSE),600),0)/1000</f>
        <v>0</v>
      </c>
      <c r="T3703" t="str">
        <v>x</v>
      </c>
      <c r="U3703">
        <f>U3702</f>
        <v>1.041885</v>
      </c>
      <c r="V3703" t="str">
        <v>x</v>
      </c>
      <c r="W3703">
        <f>D3703</f>
        <v>3</v>
      </c>
      <c r="X3703" t="str">
        <v>x</v>
      </c>
      <c r="Y3703">
        <f>Y3702</f>
        <v>1</v>
      </c>
      <c r="Z3703" t="str">
        <v>=</v>
      </c>
      <c r="AA3703">
        <f>(N3703+P3703*R3703/1000)*U3703*W3703*Y3703</f>
        <v>13.477824359999996</v>
      </c>
    </row>
    <row r="3705">
      <c r="A3705" t="str">
        <f>A3685</f>
        <v>Lantai 2</v>
      </c>
      <c r="B3705">
        <f>B3685</f>
        <v>36</v>
      </c>
      <c r="C3705" t="str">
        <v>Sengkang Tumpuan</v>
      </c>
      <c r="D3705">
        <f>VLOOKUP(D3685,'Detail Balok'!$C$10:$AU$140,31,FALSE)</f>
        <v>0</v>
      </c>
      <c r="E3705" t="str">
        <v>D</v>
      </c>
      <c r="F3705">
        <f>VLOOKUP(D3685,'Detail Balok'!$C$10:$AU$140,33,FALSE)</f>
        <v>10</v>
      </c>
      <c r="G3705" t="str">
        <v>-</v>
      </c>
      <c r="H3705">
        <f>VLOOKUP(D3685,'Detail Balok'!$C$10:$AU$140,35,FALSE)</f>
        <v>100</v>
      </c>
      <c r="J3705">
        <f>(IF(D3705=0,(2*(D3686+G3686))-(F$5*8),IF(D3705=3,(2*(D3686+G3686))-(F$5*8)+(G3686-2*F$5),IF(D3705=4,(2*(D3686+G3686))-(F$5*8)+2*(G3686-2*F$5)))))/1000</f>
        <v>0.88</v>
      </c>
      <c r="K3705" t="str">
        <v>+</v>
      </c>
      <c r="L3705">
        <f>IF(D3705=0,2*MAX(6*F3705,75),(D3705-1)*2*MAX(6*F3705,75))/1000</f>
        <v>0.15</v>
      </c>
      <c r="M3705" t="str">
        <v>=</v>
      </c>
      <c r="N3705">
        <f>J3705+L3705</f>
        <v>1.03</v>
      </c>
      <c r="T3705" t="str">
        <v>x</v>
      </c>
      <c r="U3705">
        <f>0.006165*F3705^2</f>
        <v>0.6165</v>
      </c>
      <c r="V3705" t="str">
        <v>x</v>
      </c>
      <c r="W3705">
        <f>IF(D3688&gt;4*G3686,ROUND(MAX(D3688/4,2*G3686)/H3705,0)+1,ROUND(D3688/H3705,0)+1)</f>
        <v>11</v>
      </c>
      <c r="X3705" t="str">
        <v>x</v>
      </c>
      <c r="Y3705">
        <f>D3691</f>
        <v>1</v>
      </c>
      <c r="Z3705" t="str">
        <v>=</v>
      </c>
      <c r="AA3705">
        <f>N3705*U3705*W3705*Y3705</f>
        <v>6.984945000000001</v>
      </c>
    </row>
    <row r="3706">
      <c r="A3706" t="str">
        <f>A3685</f>
        <v>Lantai 2</v>
      </c>
      <c r="B3706">
        <f>B3685</f>
        <v>36</v>
      </c>
      <c r="C3706" t="str">
        <v>Sengkang Lapangan</v>
      </c>
      <c r="D3706">
        <f>VLOOKUP(D3685,'Detail Balok'!$C$10:$AU$140,36,FALSE)</f>
        <v>0</v>
      </c>
      <c r="E3706" t="str">
        <v>D</v>
      </c>
      <c r="F3706">
        <f>VLOOKUP(D3685,'Detail Balok'!$C$10:$AU$140,38,FALSE)</f>
        <v>10</v>
      </c>
      <c r="G3706" t="str">
        <v>-</v>
      </c>
      <c r="H3706">
        <f>VLOOKUP(D3685,'Detail Balok'!$C$10:$AU$140,40,FALSE)</f>
        <v>200</v>
      </c>
      <c r="J3706">
        <f>(IF(D3706=0,(2*(D3686+G3686))-(F$5*8),IF(D3706=3,(2*(D3686+G3686))-(F$5*8)+(G3686-2*F$5),IF(D3706=4,(2*(D3686+G3686))-(F$5*8)+2*(G3686-2*F$5)))))/1000</f>
        <v>0.88</v>
      </c>
      <c r="K3706" t="str">
        <v>+</v>
      </c>
      <c r="L3706">
        <f>IF(D3706=0,2*MAX(6*F3706,75),(D3706-1)*2*MAX(6*F3706,75))/1000</f>
        <v>0.15</v>
      </c>
      <c r="M3706" t="str">
        <v>=</v>
      </c>
      <c r="N3706">
        <f>J3706+L3706</f>
        <v>1.03</v>
      </c>
      <c r="T3706" t="str">
        <v>x</v>
      </c>
      <c r="U3706">
        <f>0.006165*F3706^2</f>
        <v>0.6165</v>
      </c>
      <c r="V3706" t="str">
        <v>x</v>
      </c>
      <c r="W3706">
        <f>IF(D3688-MAX(D3688/4,2*G3686)*2&gt;0,ROUND((D3688-MAX(D3688/4,2*G3686)*2)/H3706,0),0)</f>
        <v>10</v>
      </c>
      <c r="X3706" t="str">
        <v>x</v>
      </c>
      <c r="Y3706">
        <f>D3691</f>
        <v>1</v>
      </c>
      <c r="Z3706" t="str">
        <v>=</v>
      </c>
      <c r="AA3706">
        <f>N3706*U3706*W3706*Y3706</f>
        <v>6.349950000000001</v>
      </c>
    </row>
    <row r="3707">
      <c r="A3707" t="str">
        <f>A3685</f>
        <v>Lantai 2</v>
      </c>
      <c r="B3707">
        <f>B3685</f>
        <v>36</v>
      </c>
      <c r="C3707" t="str">
        <v>Sengkang Tumpuan</v>
      </c>
      <c r="D3707">
        <f>VLOOKUP(D3685,'Detail Balok'!$C$10:$AU$140,41,FALSE)</f>
        <v>0</v>
      </c>
      <c r="E3707" t="str">
        <v>D</v>
      </c>
      <c r="F3707">
        <f>VLOOKUP(D3685,'Detail Balok'!$C$10:$AU$140,43,FALSE)</f>
        <v>10</v>
      </c>
      <c r="G3707" t="str">
        <v>-</v>
      </c>
      <c r="H3707">
        <f>VLOOKUP(D3685,'Detail Balok'!$C$10:$AU$140,45,FALSE)</f>
        <v>100</v>
      </c>
      <c r="J3707">
        <f>(IF(D3707=0,(2*(D3686+G3686))-(F$5*8),IF(D3707=3,(2*(D3686+G3686))-(F$5*8)+(G3686-2*F$5),IF(D3707=4,(2*(D3686+G3686))-(F$5*8)+2*(G3686-2*F$5)))))/1000</f>
        <v>0.88</v>
      </c>
      <c r="K3707" t="str">
        <v>+</v>
      </c>
      <c r="L3707">
        <f>IF(D3707=0,2*MAX(6*F3707,75),(D3707-1)*2*MAX(6*F3707,75))/1000</f>
        <v>0.15</v>
      </c>
      <c r="M3707" t="str">
        <v>=</v>
      </c>
      <c r="N3707">
        <f>J3707+L3707</f>
        <v>1.03</v>
      </c>
      <c r="T3707" t="str">
        <v>x</v>
      </c>
      <c r="U3707">
        <f>0.006165*F3707^2</f>
        <v>0.6165</v>
      </c>
      <c r="V3707" t="str">
        <v>x</v>
      </c>
      <c r="W3707">
        <f>IF(D3688&gt;4*G3686,ROUND(MAX(D3688/4,2*G3686)/H3707,0)+1,0)</f>
        <v>11</v>
      </c>
      <c r="X3707" t="str">
        <v>x</v>
      </c>
      <c r="Y3707">
        <f>D3691</f>
        <v>1</v>
      </c>
      <c r="Z3707" t="str">
        <v>=</v>
      </c>
      <c r="AA3707">
        <f>N3707*U3707*W3707*Y3707</f>
        <v>6.984945000000001</v>
      </c>
    </row>
    <row r="3709">
      <c r="A3709" t="str">
        <f>A3685</f>
        <v>Lantai 2</v>
      </c>
      <c r="B3709">
        <f>B3685</f>
        <v>36</v>
      </c>
      <c r="C3709" t="str">
        <v>Kait Horizontal Tump.</v>
      </c>
      <c r="D3709">
        <f>VLOOKUP(D3685,'Detail Balok'!$C$10:$BJ$140,46,FALSE)</f>
        <v>0</v>
      </c>
      <c r="E3709" t="str">
        <v>D</v>
      </c>
      <c r="F3709">
        <f>VLOOKUP(D3685,'Detail Balok'!$C$10:$BJ$140,48,FALSE)</f>
        <v>0</v>
      </c>
      <c r="G3709" t="str">
        <v>-</v>
      </c>
      <c r="H3709">
        <f>VLOOKUP(D3685,'Detail Balok'!$C$10:$BJ$140,50,FALSE)</f>
        <v>100</v>
      </c>
      <c r="J3709">
        <f>(D3686-2*F$5)/1000</f>
        <v>0.12</v>
      </c>
      <c r="K3709" t="str">
        <v>+</v>
      </c>
      <c r="L3709">
        <f>IF(D3709=0,2*MAX(6*F3709,75),(D3709-1)*2*MAX(6*F3709,75))/1000</f>
        <v>0.15</v>
      </c>
      <c r="M3709" t="str">
        <v>=</v>
      </c>
      <c r="N3709">
        <f>J3709+L3709</f>
        <v>0.27</v>
      </c>
      <c r="T3709" t="str">
        <v>x</v>
      </c>
      <c r="U3709">
        <f>0.006165*F3709^2</f>
        <v>0</v>
      </c>
      <c r="V3709" t="str">
        <v>x</v>
      </c>
      <c r="W3709">
        <f>W3705</f>
        <v>11</v>
      </c>
      <c r="X3709" t="str">
        <v>x</v>
      </c>
      <c r="Y3709">
        <f>D3695</f>
        <v>3</v>
      </c>
      <c r="Z3709" t="str">
        <v>=</v>
      </c>
      <c r="AA3709">
        <f>N3709*U3709*W3709*Y3709</f>
        <v>0</v>
      </c>
    </row>
    <row r="3710">
      <c r="A3710" t="str">
        <f>A3685</f>
        <v>Lantai 2</v>
      </c>
      <c r="B3710">
        <f>B3685</f>
        <v>36</v>
      </c>
      <c r="C3710" t="str">
        <v>Kait Horizontal Lap.</v>
      </c>
      <c r="D3710">
        <f>VLOOKUP(D3685,'Detail Balok'!$C$10:$BJ$140,51,FALSE)</f>
        <v>0</v>
      </c>
      <c r="E3710" t="str">
        <v>D</v>
      </c>
      <c r="F3710">
        <f>VLOOKUP(D3685,'Detail Balok'!$C$10:$BJ$140,53,FALSE)</f>
        <v>0</v>
      </c>
      <c r="G3710" t="str">
        <v>-</v>
      </c>
      <c r="H3710">
        <f>VLOOKUP(D3685,'Detail Balok'!$C$10:$BJ$140,55,FALSE)</f>
        <v>100</v>
      </c>
      <c r="J3710">
        <f>(D3686-2*F$5)/1000</f>
        <v>0.12</v>
      </c>
      <c r="K3710" t="str">
        <v>+</v>
      </c>
      <c r="L3710">
        <f>IF(D3710=0,2*MAX(6*F3710,75),(D3710-1)*2*MAX(6*F3710,75))/1000</f>
        <v>0.15</v>
      </c>
      <c r="M3710" t="str">
        <v>=</v>
      </c>
      <c r="N3710">
        <f>J3710+L3710</f>
        <v>0.27</v>
      </c>
      <c r="T3710" t="str">
        <v>x</v>
      </c>
      <c r="U3710">
        <f>0.006165*F3710^2</f>
        <v>0</v>
      </c>
      <c r="V3710" t="str">
        <v>x</v>
      </c>
      <c r="W3710">
        <f>W3706</f>
        <v>10</v>
      </c>
      <c r="X3710" t="str">
        <v>x</v>
      </c>
      <c r="Y3710">
        <f>D3695</f>
        <v>3</v>
      </c>
      <c r="Z3710" t="str">
        <v>=</v>
      </c>
      <c r="AA3710">
        <f>N3710*U3710*W3710*Y3710</f>
        <v>0</v>
      </c>
    </row>
    <row r="3711">
      <c r="A3711" t="str">
        <f>A3685</f>
        <v>Lantai 2</v>
      </c>
      <c r="B3711">
        <f>B3685</f>
        <v>36</v>
      </c>
      <c r="C3711" t="str">
        <v>Kait Horizontal Tump.</v>
      </c>
      <c r="D3711">
        <f>VLOOKUP(D3685,'Detail Balok'!$C$10:$BJ$140,56,FALSE)</f>
        <v>0</v>
      </c>
      <c r="E3711" t="str">
        <v>D</v>
      </c>
      <c r="F3711">
        <f>VLOOKUP(D3685,'Detail Balok'!$C$10:$BJ$140,58,FALSE)</f>
        <v>0</v>
      </c>
      <c r="G3711" t="str">
        <v>-</v>
      </c>
      <c r="H3711">
        <f>VLOOKUP(D3685,'Detail Balok'!$C$10:$BJ$140,60,FALSE)</f>
        <v>100</v>
      </c>
      <c r="J3711">
        <f>(D3686-2*F$5)/1000</f>
        <v>0.12</v>
      </c>
      <c r="K3711" t="str">
        <v>+</v>
      </c>
      <c r="L3711">
        <f>IF(D3711=0,2*MAX(6*F3711,75),(D3711-1)*2*MAX(6*F3711,75))/1000</f>
        <v>0.15</v>
      </c>
      <c r="M3711" t="str">
        <v>=</v>
      </c>
      <c r="N3711">
        <f>J3711+L3711</f>
        <v>0.27</v>
      </c>
      <c r="T3711" t="str">
        <v>x</v>
      </c>
      <c r="U3711">
        <f>0.006165*F3711^2</f>
        <v>0</v>
      </c>
      <c r="V3711" t="str">
        <v>x</v>
      </c>
      <c r="W3711">
        <f>W3707</f>
        <v>11</v>
      </c>
      <c r="X3711" t="str">
        <v>x</v>
      </c>
      <c r="Y3711">
        <f>D3695</f>
        <v>3</v>
      </c>
      <c r="Z3711" t="str">
        <v>=</v>
      </c>
      <c r="AA3711">
        <f>N3711*U3711*W3711*Y3711</f>
        <v>0</v>
      </c>
    </row>
    <row r="3715">
      <c r="A3715" t="str">
        <f>A3685</f>
        <v>Lantai 2</v>
      </c>
      <c r="B3715">
        <f>B3685+1</f>
        <v>37</v>
      </c>
      <c r="C3715" t="str">
        <f>CONCATENATE(A3715," no. ",B3715)</f>
        <v>Lantai 2 no. 37</v>
      </c>
      <c r="D3715" t="str">
        <f>VLOOKUP(C3715,'Data Panjang Balok'!$C$9:$N$254,2,FALSE)</f>
        <v>B24-2</v>
      </c>
    </row>
    <row r="3716">
      <c r="C3716" t="str">
        <v>Dimensi</v>
      </c>
      <c r="D3716">
        <f>VLOOKUP(D3715,'Detail Balok'!$C$10:$AU$140,2,FALSE)</f>
        <v>200</v>
      </c>
      <c r="F3716" t="str">
        <v>x</v>
      </c>
      <c r="G3716">
        <f>VLOOKUP(D3715,'Detail Balok'!$C$10:$AU$140,3,FALSE)</f>
        <v>400</v>
      </c>
    </row>
    <row r="3717">
      <c r="C3717" t="str">
        <v>Panjang as ke as</v>
      </c>
      <c r="D3717">
        <f>VLOOKUP(C3715,'Data Panjang Balok'!$C$9:$N$254,4,FALSE)</f>
        <v>11275</v>
      </c>
    </row>
    <row r="3718">
      <c r="C3718" t="str">
        <v>Panjang netto</v>
      </c>
      <c r="D3718">
        <f>VLOOKUP(C3715,'Data Panjang Balok'!$C$9:$N$254,7,FALSE)</f>
        <v>11275</v>
      </c>
    </row>
    <row r="3719">
      <c r="C3719" t="str">
        <v>Kolom / balok kiri</v>
      </c>
      <c r="D3719">
        <f>VLOOKUP(C3715,'Data Panjang Balok'!$C$9:$N$254,9,FALSE)</f>
        <v>0</v>
      </c>
    </row>
    <row r="3720">
      <c r="C3720" t="str">
        <v>Kolom / balok kanan</v>
      </c>
      <c r="D3720">
        <f>VLOOKUP(C3715,'Data Panjang Balok'!$C$9:$N$254,10,FALSE)</f>
        <v>0</v>
      </c>
    </row>
    <row r="3721">
      <c r="C3721" t="str">
        <v>Jumlah</v>
      </c>
      <c r="D3721">
        <f>VLOOKUP(C3715,'Data Panjang Balok'!$C$9:$N$254,3,FALSE)</f>
        <v>1</v>
      </c>
    </row>
    <row r="3722">
      <c r="A3722" t="str">
        <f>A3715</f>
        <v>Lantai 2</v>
      </c>
      <c r="B3722">
        <f>B3715</f>
        <v>37</v>
      </c>
      <c r="C3722" t="str">
        <v>Tul Atas Tumpuan</v>
      </c>
      <c r="D3722">
        <f>VLOOKUP(D3715,'Detail Balok'!$C$10:$AU$140,4,FALSE)</f>
        <v>3</v>
      </c>
      <c r="E3722" t="str">
        <v>D</v>
      </c>
      <c r="F3722">
        <f>VLOOKUP(D3715,'Detail Balok'!$C$10:$AU$140,6,FALSE)</f>
        <v>16</v>
      </c>
      <c r="I3722" t="str">
        <v>(</v>
      </c>
      <c r="J3722">
        <f>+D3717/4/1000</f>
        <v>2.81875</v>
      </c>
      <c r="K3722" t="str">
        <v>+</v>
      </c>
      <c r="L3722">
        <f>MAX(VLOOKUP(F3722,N$6:P$15,3,FALSE)/1000,2/3*D3719/1000)+F$16*F3722/1000</f>
        <v>0.192</v>
      </c>
      <c r="M3722" t="str">
        <v>=</v>
      </c>
      <c r="N3722">
        <f>J3722+L3722</f>
        <v>3.0107500000000003</v>
      </c>
      <c r="O3722" t="str">
        <v>+</v>
      </c>
      <c r="P3722">
        <f>D3722-D3723</f>
        <v>0</v>
      </c>
      <c r="Q3722" t="str">
        <v>x</v>
      </c>
      <c r="R3722">
        <f>IF(P3722&gt;0,$F$18*F3722/1000,0)</f>
        <v>0</v>
      </c>
      <c r="S3722" t="str">
        <v>)</v>
      </c>
      <c r="T3722" t="str">
        <v>x</v>
      </c>
      <c r="U3722">
        <f>0.006165*F3722^2</f>
        <v>1.57824</v>
      </c>
      <c r="X3722" t="str">
        <v>x</v>
      </c>
      <c r="Y3722">
        <f>D3721</f>
        <v>1</v>
      </c>
      <c r="Z3722" t="str">
        <v>=</v>
      </c>
      <c r="AA3722">
        <f>IF(AA3725=0,(D3722*N3722+P3722*R3722)*U3722*Y3722,0)</f>
        <v>0</v>
      </c>
    </row>
    <row r="3723">
      <c r="A3723" t="str">
        <f>A3715</f>
        <v>Lantai 2</v>
      </c>
      <c r="B3723">
        <f>B3715</f>
        <v>37</v>
      </c>
      <c r="C3723" t="str">
        <v>Tul Atas Lapangan</v>
      </c>
      <c r="D3723">
        <f>VLOOKUP(D3715,'Detail Balok'!$C$10:$AU$140,7,FALSE)</f>
        <v>3</v>
      </c>
      <c r="E3723" t="str">
        <v>D</v>
      </c>
      <c r="F3723">
        <f>VLOOKUP(D3715,'Detail Balok'!$C$10:$AU$140,9,FALSE)</f>
        <v>16</v>
      </c>
      <c r="I3723" t="str">
        <v>(</v>
      </c>
      <c r="J3723">
        <f>+D3717/2/1000</f>
        <v>5.6375</v>
      </c>
      <c r="K3723" t="str">
        <v>+</v>
      </c>
      <c r="M3723" t="str">
        <v>=</v>
      </c>
      <c r="N3723">
        <f>J3723+L3723</f>
        <v>5.6375</v>
      </c>
      <c r="O3723" t="str">
        <v>+</v>
      </c>
      <c r="P3723">
        <f>MAX(D3723-D3722,D3723-D3724)</f>
        <v>0</v>
      </c>
      <c r="Q3723" t="str">
        <v>x</v>
      </c>
      <c r="R3723">
        <f>IF(P3723&gt;0,2*(1-2*$F$19-1/2)*D3718/1000,0)</f>
        <v>0</v>
      </c>
      <c r="S3723" t="str">
        <v>)</v>
      </c>
      <c r="T3723" t="str">
        <v>x</v>
      </c>
      <c r="U3723">
        <f>0.006165*F3723^2</f>
        <v>1.57824</v>
      </c>
      <c r="X3723" t="str">
        <v>x</v>
      </c>
      <c r="Y3723">
        <f>D3721</f>
        <v>1</v>
      </c>
      <c r="Z3723" t="str">
        <v>=</v>
      </c>
      <c r="AA3723">
        <f>IF(AA3725=0,(D3723*N3723+P3723*R3723)*U3723*Y3723,0)</f>
        <v>0</v>
      </c>
    </row>
    <row r="3724">
      <c r="A3724" t="str">
        <f>A3715</f>
        <v>Lantai 2</v>
      </c>
      <c r="B3724">
        <f>B3715</f>
        <v>37</v>
      </c>
      <c r="C3724" t="str">
        <v>Tul Atas Tumpuan</v>
      </c>
      <c r="D3724">
        <f>VLOOKUP(D3715,'Detail Balok'!$C$10:$AU$140,10,FALSE)</f>
        <v>3</v>
      </c>
      <c r="E3724" t="str">
        <v>D</v>
      </c>
      <c r="F3724">
        <f>VLOOKUP(D3715,'Detail Balok'!$C$10:$AU$140,12,FALSE)</f>
        <v>16</v>
      </c>
      <c r="I3724" t="str">
        <v>(</v>
      </c>
      <c r="J3724">
        <f>+D3717/4/1000</f>
        <v>2.81875</v>
      </c>
      <c r="K3724" t="str">
        <v>+</v>
      </c>
      <c r="L3724">
        <f>MAX(VLOOKUP(F3724,N$6:P$15,3,FALSE)/1000,2/3*D3719/1000)+F$16*F3724/1000</f>
        <v>0.192</v>
      </c>
      <c r="M3724" t="str">
        <v>=</v>
      </c>
      <c r="N3724">
        <f>J3724+L3724</f>
        <v>3.0107500000000003</v>
      </c>
      <c r="O3724" t="str">
        <v>+</v>
      </c>
      <c r="P3724">
        <f>D3724-D3723</f>
        <v>0</v>
      </c>
      <c r="Q3724" t="str">
        <v>x</v>
      </c>
      <c r="R3724">
        <f>IF(P3724&gt;0,$F$18*F3724/1000,0)</f>
        <v>0</v>
      </c>
      <c r="S3724" t="str">
        <v>)</v>
      </c>
      <c r="T3724" t="str">
        <v>x</v>
      </c>
      <c r="U3724">
        <f>0.006165*F3724^2</f>
        <v>1.57824</v>
      </c>
      <c r="X3724" t="str">
        <v>x</v>
      </c>
      <c r="Y3724">
        <f>D3721</f>
        <v>1</v>
      </c>
      <c r="Z3724" t="str">
        <v>=</v>
      </c>
      <c r="AA3724">
        <f>IF(AA3725=0,(D3724*N3724+P3724*R3724)*U3724*Y3724,0)</f>
        <v>0</v>
      </c>
    </row>
    <row r="3725">
      <c r="A3725" t="str">
        <f>A3715</f>
        <v>Lantai 2</v>
      </c>
      <c r="B3725">
        <f>B3715</f>
        <v>37</v>
      </c>
      <c r="D3725">
        <f>IF(AND(D3722=D3723,D3723=D3724,D3722=D3724),D3722,0)</f>
        <v>3</v>
      </c>
      <c r="E3725" t="str">
        <v>D</v>
      </c>
      <c r="F3725">
        <f>IF(AND(F3722=F3723,F3722=F3724,F3723=F3724),F3722,0)</f>
        <v>16</v>
      </c>
      <c r="L3725" t="str">
        <v>Total panjang per balok</v>
      </c>
      <c r="M3725" t="str">
        <v>=</v>
      </c>
      <c r="N3725">
        <f>IF(AND(D3722=D3723,D3722=D3724,D3723=D3724,F3722=F3723,F3722=F3724,F3723=F3724),SUM(N3722:N3724),0)</f>
        <v>11.659</v>
      </c>
      <c r="O3725" t="str">
        <v>+</v>
      </c>
      <c r="P3725">
        <f>IF(N3725&gt;12,ROUNDDOWN(N3725/12,0),0)</f>
        <v>0</v>
      </c>
      <c r="Q3725" t="str">
        <v>x</v>
      </c>
      <c r="R3725">
        <f>IF(P3725&gt;0,MAX(VLOOKUP(F3725,$D$6:$G$15,3,FALSE),600),0)/1000</f>
        <v>0</v>
      </c>
      <c r="T3725" t="str">
        <v>x</v>
      </c>
      <c r="U3725">
        <f>U3724</f>
        <v>1.57824</v>
      </c>
      <c r="V3725" t="str">
        <v>x</v>
      </c>
      <c r="W3725">
        <f>D3725</f>
        <v>3</v>
      </c>
      <c r="X3725" t="str">
        <v>x</v>
      </c>
      <c r="Y3725">
        <f>Y3724</f>
        <v>1</v>
      </c>
      <c r="Z3725" t="str">
        <v>=</v>
      </c>
      <c r="AA3725">
        <f>(N3725+P3725*R3725/1000)*U3725*W3725*Y3725</f>
        <v>55.20210048000001</v>
      </c>
    </row>
    <row r="3727">
      <c r="A3727" t="str">
        <f>A3715</f>
        <v>Lantai 2</v>
      </c>
      <c r="B3727">
        <f>B3715</f>
        <v>37</v>
      </c>
      <c r="C3727" t="str">
        <v>Tul Peminggang</v>
      </c>
      <c r="D3727">
        <f>VLOOKUP(D3715,'Detail Balok'!$C$10:$AU$140,13,FALSE)</f>
        <v>0</v>
      </c>
      <c r="E3727" t="str">
        <v>D</v>
      </c>
      <c r="F3727">
        <f>VLOOKUP(D3715,'Detail Balok'!$C$10:$AU$140,15,FALSE)</f>
        <v>8</v>
      </c>
      <c r="J3727">
        <f>+D3717/1000</f>
        <v>11.275</v>
      </c>
      <c r="K3727" t="str">
        <v>+</v>
      </c>
      <c r="L3727">
        <f>2*$F$16*F3727/1000</f>
        <v>0.192</v>
      </c>
      <c r="M3727" t="str">
        <v>=</v>
      </c>
      <c r="N3727">
        <f>J3727+L3727</f>
        <v>11.467</v>
      </c>
      <c r="O3727" t="str">
        <v>+</v>
      </c>
      <c r="P3727">
        <f>IF(N3727&gt;12,ROUNDDOWN(N3727/12,0),0)</f>
        <v>0</v>
      </c>
      <c r="Q3727" t="str">
        <v>x</v>
      </c>
      <c r="R3727">
        <f>IF(P3727&gt;0,MAX(VLOOKUP(F3727,$D$6:$G$15,3,FALSE),600),0)/1000</f>
        <v>0</v>
      </c>
      <c r="T3727" t="str">
        <v>x</v>
      </c>
      <c r="U3727">
        <f>0.006165*F3727^2</f>
        <v>0.39456</v>
      </c>
      <c r="V3727" t="str">
        <v>x</v>
      </c>
      <c r="W3727">
        <f>+D3727</f>
        <v>0</v>
      </c>
      <c r="X3727" t="str">
        <v>x</v>
      </c>
      <c r="Y3727">
        <f>D3721</f>
        <v>1</v>
      </c>
      <c r="Z3727" t="str">
        <v>=</v>
      </c>
      <c r="AA3727">
        <f>(N3727+P3727*R3727/1000)*U3727*W3727*Y3727</f>
        <v>0</v>
      </c>
    </row>
    <row r="3730">
      <c r="A3730" t="str">
        <f>A3715</f>
        <v>Lantai 2</v>
      </c>
      <c r="B3730">
        <f>B3715</f>
        <v>37</v>
      </c>
      <c r="C3730" t="str">
        <v>Tul Bawah Tumpuan</v>
      </c>
      <c r="D3730">
        <f>VLOOKUP(D3715,'Detail Balok'!$C$10:$AU$140,22,FALSE)</f>
        <v>3</v>
      </c>
      <c r="E3730" t="str">
        <v>D</v>
      </c>
      <c r="F3730">
        <f>VLOOKUP(D3715,'Detail Balok'!$C$10:$AU$140,24,FALSE)</f>
        <v>16</v>
      </c>
      <c r="I3730" t="str">
        <v>(</v>
      </c>
      <c r="J3730">
        <f>+J3722</f>
        <v>2.81875</v>
      </c>
      <c r="K3730" t="str">
        <v>+</v>
      </c>
      <c r="L3730">
        <f>MAX(VLOOKUP(F3730,N$6:P$15,3,FALSE)/1000,2/3*D3720/1000)+F$16*F3730/1000</f>
        <v>0.192</v>
      </c>
      <c r="M3730" t="str">
        <v>=</v>
      </c>
      <c r="N3730">
        <f>J3730+L3730</f>
        <v>3.0107500000000003</v>
      </c>
      <c r="O3730" t="str">
        <v>+</v>
      </c>
      <c r="P3730">
        <f>D3730-D3731</f>
        <v>0</v>
      </c>
      <c r="Q3730" t="str">
        <v>x</v>
      </c>
      <c r="R3730">
        <f>IF(P3730&gt;0,$F$18*F3730/1000,0)</f>
        <v>0</v>
      </c>
      <c r="S3730" t="str">
        <v>)</v>
      </c>
      <c r="T3730" t="str">
        <v>x</v>
      </c>
      <c r="U3730">
        <f>0.006165*F3730^2</f>
        <v>1.57824</v>
      </c>
      <c r="X3730" t="str">
        <v>x</v>
      </c>
      <c r="Y3730">
        <f>D3721</f>
        <v>1</v>
      </c>
      <c r="Z3730" t="str">
        <v>=</v>
      </c>
      <c r="AA3730">
        <f>IF(AA3733=0,(D3730*N3730+P3730*R3730)*U3730*Y3730,0)</f>
        <v>0</v>
      </c>
    </row>
    <row r="3731">
      <c r="A3731" t="str">
        <f>A3715</f>
        <v>Lantai 2</v>
      </c>
      <c r="B3731">
        <f>B3715</f>
        <v>37</v>
      </c>
      <c r="C3731" t="str">
        <v>Tul Bawah Lapangan</v>
      </c>
      <c r="D3731">
        <f>VLOOKUP(D3715,'Detail Balok'!$C$10:$AU$140,25,FALSE)</f>
        <v>3</v>
      </c>
      <c r="E3731" t="str">
        <v>D</v>
      </c>
      <c r="F3731">
        <f>VLOOKUP(D3715,'Detail Balok'!$C$10:$AU$140,27,FALSE)</f>
        <v>16</v>
      </c>
      <c r="I3731" t="str">
        <v>(</v>
      </c>
      <c r="J3731">
        <f>+J3723</f>
        <v>5.6375</v>
      </c>
      <c r="K3731" t="str">
        <v>+</v>
      </c>
      <c r="M3731" t="str">
        <v>=</v>
      </c>
      <c r="N3731">
        <f>J3731+L3731</f>
        <v>5.6375</v>
      </c>
      <c r="O3731" t="str">
        <v>+</v>
      </c>
      <c r="P3731">
        <f>MAX(D3731-D3730,D3731-D3732)</f>
        <v>0</v>
      </c>
      <c r="Q3731" t="str">
        <v>x</v>
      </c>
      <c r="R3731">
        <f>IF(P3731&gt;0,2*(1-2*$F$19-1/2)*D3718/1000,0)</f>
        <v>0</v>
      </c>
      <c r="S3731" t="str">
        <v>)</v>
      </c>
      <c r="T3731" t="str">
        <v>x</v>
      </c>
      <c r="U3731">
        <f>0.006165*F3731^2</f>
        <v>1.57824</v>
      </c>
      <c r="X3731" t="str">
        <v>x</v>
      </c>
      <c r="Y3731">
        <f>D3721</f>
        <v>1</v>
      </c>
      <c r="Z3731" t="str">
        <v>=</v>
      </c>
      <c r="AA3731">
        <f>IF(AA3733=0,(D3731*N3731+P3731*R3731)*U3731*Y3731,0)</f>
        <v>0</v>
      </c>
    </row>
    <row r="3732">
      <c r="A3732" t="str">
        <f>A3715</f>
        <v>Lantai 2</v>
      </c>
      <c r="B3732">
        <f>B3715</f>
        <v>37</v>
      </c>
      <c r="C3732" t="str">
        <v>Tul Bawah Tumpuan</v>
      </c>
      <c r="D3732">
        <f>VLOOKUP(D3715,'Detail Balok'!$C$10:$AU$140,28,FALSE)</f>
        <v>3</v>
      </c>
      <c r="E3732" t="str">
        <v>D</v>
      </c>
      <c r="F3732">
        <f>VLOOKUP(D3715,'Detail Balok'!$C$10:$AU$140,30,FALSE)</f>
        <v>16</v>
      </c>
      <c r="I3732" t="str">
        <v>(</v>
      </c>
      <c r="J3732">
        <f>+J3724</f>
        <v>2.81875</v>
      </c>
      <c r="K3732" t="str">
        <v>+</v>
      </c>
      <c r="L3732">
        <f>MAX(VLOOKUP(F3732,N$6:P$15,3,FALSE)/1000,2/3*D3720/1000)+F$16*F3732/1000</f>
        <v>0.192</v>
      </c>
      <c r="M3732" t="str">
        <v>=</v>
      </c>
      <c r="N3732">
        <f>J3732+L3732</f>
        <v>3.0107500000000003</v>
      </c>
      <c r="O3732" t="str">
        <v>+</v>
      </c>
      <c r="P3732">
        <f>D3732-D3731</f>
        <v>0</v>
      </c>
      <c r="Q3732" t="str">
        <v>x</v>
      </c>
      <c r="R3732">
        <f>IF(P3732&gt;0,$F$18*F3732/1000,0)</f>
        <v>0</v>
      </c>
      <c r="S3732" t="str">
        <v>)</v>
      </c>
      <c r="T3732" t="str">
        <v>x</v>
      </c>
      <c r="U3732">
        <f>0.006165*F3732^2</f>
        <v>1.57824</v>
      </c>
      <c r="X3732" t="str">
        <v>x</v>
      </c>
      <c r="Y3732">
        <f>D3721</f>
        <v>1</v>
      </c>
      <c r="Z3732" t="str">
        <v>=</v>
      </c>
      <c r="AA3732">
        <f>IF(AA3733=0,(D3732*N3732+P3732*R3732)*U3732*Y3732,0)</f>
        <v>0</v>
      </c>
    </row>
    <row r="3733">
      <c r="A3733" t="str">
        <f>A3715</f>
        <v>Lantai 2</v>
      </c>
      <c r="B3733">
        <f>B3715</f>
        <v>37</v>
      </c>
      <c r="D3733">
        <f>IF(AND(D3730=D3731,D3731=D3732,D3730=D3732),D3730,0)</f>
        <v>3</v>
      </c>
      <c r="E3733" t="str">
        <v>D</v>
      </c>
      <c r="F3733">
        <f>IF(AND(F3730=F3731,F3730=F3732,F3731=F3732),F3730,0)</f>
        <v>16</v>
      </c>
      <c r="L3733" t="str">
        <v>Total panjang per balok</v>
      </c>
      <c r="M3733" t="str">
        <v>=</v>
      </c>
      <c r="N3733">
        <f>IF(AND(D3730=D3731,D3730=D3732,D3731=D3732,F3730=F3731,F3730=F3732,F3731=F3732),SUM(N3730:N3732),0)</f>
        <v>11.659</v>
      </c>
      <c r="O3733" t="str">
        <v>+</v>
      </c>
      <c r="P3733">
        <f>IF(N3733&gt;12,ROUNDDOWN(N3733/12,0),0)</f>
        <v>0</v>
      </c>
      <c r="Q3733" t="str">
        <v>x</v>
      </c>
      <c r="R3733">
        <f>IF(P3733&gt;0,MAX(VLOOKUP(F3733,$D$6:$G$15,3,FALSE),600),0)/1000</f>
        <v>0</v>
      </c>
      <c r="T3733" t="str">
        <v>x</v>
      </c>
      <c r="U3733">
        <f>U3732</f>
        <v>1.57824</v>
      </c>
      <c r="V3733" t="str">
        <v>x</v>
      </c>
      <c r="W3733">
        <f>D3733</f>
        <v>3</v>
      </c>
      <c r="X3733" t="str">
        <v>x</v>
      </c>
      <c r="Y3733">
        <f>Y3732</f>
        <v>1</v>
      </c>
      <c r="Z3733" t="str">
        <v>=</v>
      </c>
      <c r="AA3733">
        <f>(N3733+P3733*R3733/1000)*U3733*W3733*Y3733</f>
        <v>55.20210048000001</v>
      </c>
    </row>
    <row r="3735">
      <c r="A3735" t="str">
        <f>A3715</f>
        <v>Lantai 2</v>
      </c>
      <c r="B3735">
        <f>B3715</f>
        <v>37</v>
      </c>
      <c r="C3735" t="str">
        <v>Sengkang Tumpuan</v>
      </c>
      <c r="D3735">
        <f>VLOOKUP(D3715,'Detail Balok'!$C$10:$AU$140,31,FALSE)</f>
        <v>0</v>
      </c>
      <c r="E3735" t="str">
        <v>D</v>
      </c>
      <c r="F3735">
        <f>VLOOKUP(D3715,'Detail Balok'!$C$10:$AU$140,33,FALSE)</f>
        <v>10</v>
      </c>
      <c r="G3735" t="str">
        <v>-</v>
      </c>
      <c r="H3735">
        <f>VLOOKUP(D3715,'Detail Balok'!$C$10:$AU$140,35,FALSE)</f>
        <v>100</v>
      </c>
      <c r="J3735">
        <f>(IF(D3735=0,(2*(D3716+G3716))-(F$5*8),IF(D3735=3,(2*(D3716+G3716))-(F$5*8)+(G3716-2*F$5),IF(D3735=4,(2*(D3716+G3716))-(F$5*8)+2*(G3716-2*F$5)))))/1000</f>
        <v>0.88</v>
      </c>
      <c r="K3735" t="str">
        <v>+</v>
      </c>
      <c r="L3735">
        <f>IF(D3735=0,2*MAX(6*F3735,75),(D3735-1)*2*MAX(6*F3735,75))/1000</f>
        <v>0.15</v>
      </c>
      <c r="M3735" t="str">
        <v>=</v>
      </c>
      <c r="N3735">
        <f>J3735+L3735</f>
        <v>1.03</v>
      </c>
      <c r="T3735" t="str">
        <v>x</v>
      </c>
      <c r="U3735">
        <f>0.006165*F3735^2</f>
        <v>0.6165</v>
      </c>
      <c r="V3735" t="str">
        <v>x</v>
      </c>
      <c r="W3735">
        <f>IF(D3718&gt;4*G3716,ROUND(MAX(D3718/4,2*G3716)/H3735,0)+1,ROUND(D3718/H3735,0)+1)</f>
        <v>29</v>
      </c>
      <c r="X3735" t="str">
        <v>x</v>
      </c>
      <c r="Y3735">
        <f>D3721</f>
        <v>1</v>
      </c>
      <c r="Z3735" t="str">
        <v>=</v>
      </c>
      <c r="AA3735">
        <f>N3735*U3735*W3735*Y3735</f>
        <v>18.414855000000003</v>
      </c>
    </row>
    <row r="3736">
      <c r="A3736" t="str">
        <f>A3715</f>
        <v>Lantai 2</v>
      </c>
      <c r="B3736">
        <f>B3715</f>
        <v>37</v>
      </c>
      <c r="C3736" t="str">
        <v>Sengkang Lapangan</v>
      </c>
      <c r="D3736">
        <f>VLOOKUP(D3715,'Detail Balok'!$C$10:$AU$140,36,FALSE)</f>
        <v>0</v>
      </c>
      <c r="E3736" t="str">
        <v>D</v>
      </c>
      <c r="F3736">
        <f>VLOOKUP(D3715,'Detail Balok'!$C$10:$AU$140,38,FALSE)</f>
        <v>10</v>
      </c>
      <c r="G3736" t="str">
        <v>-</v>
      </c>
      <c r="H3736">
        <f>VLOOKUP(D3715,'Detail Balok'!$C$10:$AU$140,40,FALSE)</f>
        <v>200</v>
      </c>
      <c r="J3736">
        <f>(IF(D3736=0,(2*(D3716+G3716))-(F$5*8),IF(D3736=3,(2*(D3716+G3716))-(F$5*8)+(G3716-2*F$5),IF(D3736=4,(2*(D3716+G3716))-(F$5*8)+2*(G3716-2*F$5)))))/1000</f>
        <v>0.88</v>
      </c>
      <c r="K3736" t="str">
        <v>+</v>
      </c>
      <c r="L3736">
        <f>IF(D3736=0,2*MAX(6*F3736,75),(D3736-1)*2*MAX(6*F3736,75))/1000</f>
        <v>0.15</v>
      </c>
      <c r="M3736" t="str">
        <v>=</v>
      </c>
      <c r="N3736">
        <f>J3736+L3736</f>
        <v>1.03</v>
      </c>
      <c r="T3736" t="str">
        <v>x</v>
      </c>
      <c r="U3736">
        <f>0.006165*F3736^2</f>
        <v>0.6165</v>
      </c>
      <c r="V3736" t="str">
        <v>x</v>
      </c>
      <c r="W3736">
        <f>IF(D3718-MAX(D3718/4,2*G3716)*2&gt;0,ROUND((D3718-MAX(D3718/4,2*G3716)*2)/H3736,0),0)</f>
        <v>28</v>
      </c>
      <c r="X3736" t="str">
        <v>x</v>
      </c>
      <c r="Y3736">
        <f>D3721</f>
        <v>1</v>
      </c>
      <c r="Z3736" t="str">
        <v>=</v>
      </c>
      <c r="AA3736">
        <f>N3736*U3736*W3736*Y3736</f>
        <v>17.779860000000003</v>
      </c>
    </row>
    <row r="3737">
      <c r="A3737" t="str">
        <f>A3715</f>
        <v>Lantai 2</v>
      </c>
      <c r="B3737">
        <f>B3715</f>
        <v>37</v>
      </c>
      <c r="C3737" t="str">
        <v>Sengkang Tumpuan</v>
      </c>
      <c r="D3737">
        <f>VLOOKUP(D3715,'Detail Balok'!$C$10:$AU$140,41,FALSE)</f>
        <v>0</v>
      </c>
      <c r="E3737" t="str">
        <v>D</v>
      </c>
      <c r="F3737">
        <f>VLOOKUP(D3715,'Detail Balok'!$C$10:$AU$140,43,FALSE)</f>
        <v>10</v>
      </c>
      <c r="G3737" t="str">
        <v>-</v>
      </c>
      <c r="H3737">
        <f>VLOOKUP(D3715,'Detail Balok'!$C$10:$AU$140,45,FALSE)</f>
        <v>100</v>
      </c>
      <c r="J3737">
        <f>(IF(D3737=0,(2*(D3716+G3716))-(F$5*8),IF(D3737=3,(2*(D3716+G3716))-(F$5*8)+(G3716-2*F$5),IF(D3737=4,(2*(D3716+G3716))-(F$5*8)+2*(G3716-2*F$5)))))/1000</f>
        <v>0.88</v>
      </c>
      <c r="K3737" t="str">
        <v>+</v>
      </c>
      <c r="L3737">
        <f>IF(D3737=0,2*MAX(6*F3737,75),(D3737-1)*2*MAX(6*F3737,75))/1000</f>
        <v>0.15</v>
      </c>
      <c r="M3737" t="str">
        <v>=</v>
      </c>
      <c r="N3737">
        <f>J3737+L3737</f>
        <v>1.03</v>
      </c>
      <c r="T3737" t="str">
        <v>x</v>
      </c>
      <c r="U3737">
        <f>0.006165*F3737^2</f>
        <v>0.6165</v>
      </c>
      <c r="V3737" t="str">
        <v>x</v>
      </c>
      <c r="W3737">
        <f>IF(D3718&gt;4*G3716,ROUND(MAX(D3718/4,2*G3716)/H3737,0)+1,0)</f>
        <v>29</v>
      </c>
      <c r="X3737" t="str">
        <v>x</v>
      </c>
      <c r="Y3737">
        <f>D3721</f>
        <v>1</v>
      </c>
      <c r="Z3737" t="str">
        <v>=</v>
      </c>
      <c r="AA3737">
        <f>N3737*U3737*W3737*Y3737</f>
        <v>18.414855000000003</v>
      </c>
    </row>
    <row r="3739">
      <c r="A3739" t="str">
        <f>A3715</f>
        <v>Lantai 2</v>
      </c>
      <c r="B3739">
        <f>B3715</f>
        <v>37</v>
      </c>
      <c r="C3739" t="str">
        <v>Kait Horizontal Tump.</v>
      </c>
      <c r="D3739">
        <f>VLOOKUP(D3715,'Detail Balok'!$C$10:$BJ$140,46,FALSE)</f>
        <v>0</v>
      </c>
      <c r="E3739" t="str">
        <v>D</v>
      </c>
      <c r="F3739">
        <f>VLOOKUP(D3715,'Detail Balok'!$C$10:$BJ$140,48,FALSE)</f>
        <v>0</v>
      </c>
      <c r="G3739" t="str">
        <v>-</v>
      </c>
      <c r="H3739">
        <f>VLOOKUP(D3715,'Detail Balok'!$C$10:$BJ$140,50,FALSE)</f>
        <v>100</v>
      </c>
      <c r="J3739">
        <f>(D3716-2*F$5)/1000</f>
        <v>0.12</v>
      </c>
      <c r="K3739" t="str">
        <v>+</v>
      </c>
      <c r="L3739">
        <f>IF(D3739=0,2*MAX(6*F3739,75),(D3739-1)*2*MAX(6*F3739,75))/1000</f>
        <v>0.15</v>
      </c>
      <c r="M3739" t="str">
        <v>=</v>
      </c>
      <c r="N3739">
        <f>J3739+L3739</f>
        <v>0.27</v>
      </c>
      <c r="T3739" t="str">
        <v>x</v>
      </c>
      <c r="U3739">
        <f>0.006165*F3739^2</f>
        <v>0</v>
      </c>
      <c r="V3739" t="str">
        <v>x</v>
      </c>
      <c r="W3739">
        <f>W3735</f>
        <v>29</v>
      </c>
      <c r="X3739" t="str">
        <v>x</v>
      </c>
      <c r="Y3739">
        <f>D3725</f>
        <v>3</v>
      </c>
      <c r="Z3739" t="str">
        <v>=</v>
      </c>
      <c r="AA3739">
        <f>N3739*U3739*W3739*Y3739</f>
        <v>0</v>
      </c>
    </row>
    <row r="3740">
      <c r="A3740" t="str">
        <f>A3715</f>
        <v>Lantai 2</v>
      </c>
      <c r="B3740">
        <f>B3715</f>
        <v>37</v>
      </c>
      <c r="C3740" t="str">
        <v>Kait Horizontal Lap.</v>
      </c>
      <c r="D3740">
        <f>VLOOKUP(D3715,'Detail Balok'!$C$10:$BJ$140,51,FALSE)</f>
        <v>0</v>
      </c>
      <c r="E3740" t="str">
        <v>D</v>
      </c>
      <c r="F3740">
        <f>VLOOKUP(D3715,'Detail Balok'!$C$10:$BJ$140,53,FALSE)</f>
        <v>0</v>
      </c>
      <c r="G3740" t="str">
        <v>-</v>
      </c>
      <c r="H3740">
        <f>VLOOKUP(D3715,'Detail Balok'!$C$10:$BJ$140,55,FALSE)</f>
        <v>100</v>
      </c>
      <c r="J3740">
        <f>(D3716-2*F$5)/1000</f>
        <v>0.12</v>
      </c>
      <c r="K3740" t="str">
        <v>+</v>
      </c>
      <c r="L3740">
        <f>IF(D3740=0,2*MAX(6*F3740,75),(D3740-1)*2*MAX(6*F3740,75))/1000</f>
        <v>0.15</v>
      </c>
      <c r="M3740" t="str">
        <v>=</v>
      </c>
      <c r="N3740">
        <f>J3740+L3740</f>
        <v>0.27</v>
      </c>
      <c r="T3740" t="str">
        <v>x</v>
      </c>
      <c r="U3740">
        <f>0.006165*F3740^2</f>
        <v>0</v>
      </c>
      <c r="V3740" t="str">
        <v>x</v>
      </c>
      <c r="W3740">
        <f>W3736</f>
        <v>28</v>
      </c>
      <c r="X3740" t="str">
        <v>x</v>
      </c>
      <c r="Y3740">
        <f>D3725</f>
        <v>3</v>
      </c>
      <c r="Z3740" t="str">
        <v>=</v>
      </c>
      <c r="AA3740">
        <f>N3740*U3740*W3740*Y3740</f>
        <v>0</v>
      </c>
    </row>
    <row r="3741">
      <c r="A3741" t="str">
        <f>A3715</f>
        <v>Lantai 2</v>
      </c>
      <c r="B3741">
        <f>B3715</f>
        <v>37</v>
      </c>
      <c r="C3741" t="str">
        <v>Kait Horizontal Tump.</v>
      </c>
      <c r="D3741">
        <f>VLOOKUP(D3715,'Detail Balok'!$C$10:$BJ$140,56,FALSE)</f>
        <v>0</v>
      </c>
      <c r="E3741" t="str">
        <v>D</v>
      </c>
      <c r="F3741">
        <f>VLOOKUP(D3715,'Detail Balok'!$C$10:$BJ$140,58,FALSE)</f>
        <v>0</v>
      </c>
      <c r="G3741" t="str">
        <v>-</v>
      </c>
      <c r="H3741">
        <f>VLOOKUP(D3715,'Detail Balok'!$C$10:$BJ$140,60,FALSE)</f>
        <v>100</v>
      </c>
      <c r="J3741">
        <f>(D3716-2*F$5)/1000</f>
        <v>0.12</v>
      </c>
      <c r="K3741" t="str">
        <v>+</v>
      </c>
      <c r="L3741">
        <f>IF(D3741=0,2*MAX(6*F3741,75),(D3741-1)*2*MAX(6*F3741,75))/1000</f>
        <v>0.15</v>
      </c>
      <c r="M3741" t="str">
        <v>=</v>
      </c>
      <c r="N3741">
        <f>J3741+L3741</f>
        <v>0.27</v>
      </c>
      <c r="T3741" t="str">
        <v>x</v>
      </c>
      <c r="U3741">
        <f>0.006165*F3741^2</f>
        <v>0</v>
      </c>
      <c r="V3741" t="str">
        <v>x</v>
      </c>
      <c r="W3741">
        <f>W3737</f>
        <v>29</v>
      </c>
      <c r="X3741" t="str">
        <v>x</v>
      </c>
      <c r="Y3741">
        <f>D3725</f>
        <v>3</v>
      </c>
      <c r="Z3741" t="str">
        <v>=</v>
      </c>
      <c r="AA3741">
        <f>N3741*U3741*W3741*Y3741</f>
        <v>0</v>
      </c>
    </row>
    <row r="3745">
      <c r="A3745" t="str">
        <f>A3715</f>
        <v>Lantai 2</v>
      </c>
      <c r="B3745">
        <f>B3715+1</f>
        <v>38</v>
      </c>
      <c r="C3745" t="str">
        <f>CONCATENATE(A3745," no. ",B3745)</f>
        <v>Lantai 2 no. 38</v>
      </c>
      <c r="D3745" t="str">
        <f>VLOOKUP(C3745,'Data Panjang Balok'!$C$9:$N$254,2,FALSE)</f>
        <v>B36-1</v>
      </c>
    </row>
    <row r="3746">
      <c r="C3746" t="str">
        <v>Dimensi</v>
      </c>
      <c r="D3746">
        <f>VLOOKUP(D3745,'Detail Balok'!$C$10:$AU$140,2,FALSE)</f>
        <v>300</v>
      </c>
      <c r="F3746" t="str">
        <v>x</v>
      </c>
      <c r="G3746">
        <f>VLOOKUP(D3745,'Detail Balok'!$C$10:$AU$140,3,FALSE)</f>
        <v>600</v>
      </c>
    </row>
    <row r="3747">
      <c r="C3747" t="str">
        <v>Panjang as ke as</v>
      </c>
      <c r="D3747">
        <f>VLOOKUP(C3745,'Data Panjang Balok'!$C$9:$N$254,4,FALSE)</f>
        <v>5950</v>
      </c>
    </row>
    <row r="3748">
      <c r="C3748" t="str">
        <v>Panjang netto</v>
      </c>
      <c r="D3748">
        <f>VLOOKUP(C3745,'Data Panjang Balok'!$C$9:$N$254,7,FALSE)</f>
        <v>5950</v>
      </c>
    </row>
    <row r="3749">
      <c r="C3749" t="str">
        <v>Kolom / balok kiri</v>
      </c>
      <c r="D3749">
        <f>VLOOKUP(C3745,'Data Panjang Balok'!$C$9:$N$254,9,FALSE)</f>
        <v>0</v>
      </c>
    </row>
    <row r="3750">
      <c r="C3750" t="str">
        <v>Kolom / balok kanan</v>
      </c>
      <c r="D3750">
        <f>VLOOKUP(C3745,'Data Panjang Balok'!$C$9:$N$254,10,FALSE)</f>
        <v>0</v>
      </c>
    </row>
    <row r="3751">
      <c r="C3751" t="str">
        <v>Jumlah</v>
      </c>
      <c r="D3751">
        <f>VLOOKUP(C3745,'Data Panjang Balok'!$C$9:$N$254,3,FALSE)</f>
        <v>1</v>
      </c>
    </row>
    <row r="3752">
      <c r="A3752" t="str">
        <f>A3745</f>
        <v>Lantai 2</v>
      </c>
      <c r="B3752">
        <f>B3745</f>
        <v>38</v>
      </c>
      <c r="C3752" t="str">
        <v>Tul Atas Tumpuan</v>
      </c>
      <c r="D3752">
        <f>VLOOKUP(D3745,'Detail Balok'!$C$10:$AU$140,4,FALSE)</f>
        <v>5</v>
      </c>
      <c r="E3752" t="str">
        <v>D</v>
      </c>
      <c r="F3752">
        <f>VLOOKUP(D3745,'Detail Balok'!$C$10:$AU$140,6,FALSE)</f>
        <v>16</v>
      </c>
      <c r="I3752" t="str">
        <v>(</v>
      </c>
      <c r="J3752">
        <f>+D3747/4/1000</f>
        <v>1.4875</v>
      </c>
      <c r="K3752" t="str">
        <v>+</v>
      </c>
      <c r="L3752">
        <f>MAX(VLOOKUP(F3752,N$6:P$15,3,FALSE)/1000,2/3*D3749/1000)+F$16*F3752/1000</f>
        <v>0.192</v>
      </c>
      <c r="M3752" t="str">
        <v>=</v>
      </c>
      <c r="N3752">
        <f>J3752+L3752</f>
        <v>1.6795</v>
      </c>
      <c r="O3752" t="str">
        <v>+</v>
      </c>
      <c r="P3752">
        <f>D3752-D3753</f>
        <v>0</v>
      </c>
      <c r="Q3752" t="str">
        <v>x</v>
      </c>
      <c r="R3752">
        <f>IF(P3752&gt;0,$F$18*F3752/1000,0)</f>
        <v>0</v>
      </c>
      <c r="S3752" t="str">
        <v>)</v>
      </c>
      <c r="T3752" t="str">
        <v>x</v>
      </c>
      <c r="U3752">
        <f>0.006165*F3752^2</f>
        <v>1.57824</v>
      </c>
      <c r="X3752" t="str">
        <v>x</v>
      </c>
      <c r="Y3752">
        <f>D3751</f>
        <v>1</v>
      </c>
      <c r="Z3752" t="str">
        <v>=</v>
      </c>
      <c r="AA3752">
        <f>IF(AA3755=0,(D3752*N3752+P3752*R3752)*U3752*Y3752,0)</f>
        <v>0</v>
      </c>
    </row>
    <row r="3753">
      <c r="A3753" t="str">
        <f>A3745</f>
        <v>Lantai 2</v>
      </c>
      <c r="B3753">
        <f>B3745</f>
        <v>38</v>
      </c>
      <c r="C3753" t="str">
        <v>Tul Atas Lapangan</v>
      </c>
      <c r="D3753">
        <f>VLOOKUP(D3745,'Detail Balok'!$C$10:$AU$140,7,FALSE)</f>
        <v>5</v>
      </c>
      <c r="E3753" t="str">
        <v>D</v>
      </c>
      <c r="F3753">
        <f>VLOOKUP(D3745,'Detail Balok'!$C$10:$AU$140,9,FALSE)</f>
        <v>16</v>
      </c>
      <c r="I3753" t="str">
        <v>(</v>
      </c>
      <c r="J3753">
        <f>+D3747/2/1000</f>
        <v>2.975</v>
      </c>
      <c r="K3753" t="str">
        <v>+</v>
      </c>
      <c r="M3753" t="str">
        <v>=</v>
      </c>
      <c r="N3753">
        <f>J3753+L3753</f>
        <v>2.975</v>
      </c>
      <c r="O3753" t="str">
        <v>+</v>
      </c>
      <c r="P3753">
        <f>MAX(D3753-D3752,D3753-D3754)</f>
        <v>0</v>
      </c>
      <c r="Q3753" t="str">
        <v>x</v>
      </c>
      <c r="R3753">
        <f>IF(P3753&gt;0,2*(1-2*$F$19-1/2)*D3748/1000,0)</f>
        <v>0</v>
      </c>
      <c r="S3753" t="str">
        <v>)</v>
      </c>
      <c r="T3753" t="str">
        <v>x</v>
      </c>
      <c r="U3753">
        <f>0.006165*F3753^2</f>
        <v>1.57824</v>
      </c>
      <c r="X3753" t="str">
        <v>x</v>
      </c>
      <c r="Y3753">
        <f>D3751</f>
        <v>1</v>
      </c>
      <c r="Z3753" t="str">
        <v>=</v>
      </c>
      <c r="AA3753">
        <f>IF(AA3755=0,(D3753*N3753+P3753*R3753)*U3753*Y3753,0)</f>
        <v>0</v>
      </c>
    </row>
    <row r="3754">
      <c r="A3754" t="str">
        <f>A3745</f>
        <v>Lantai 2</v>
      </c>
      <c r="B3754">
        <f>B3745</f>
        <v>38</v>
      </c>
      <c r="C3754" t="str">
        <v>Tul Atas Tumpuan</v>
      </c>
      <c r="D3754">
        <f>VLOOKUP(D3745,'Detail Balok'!$C$10:$AU$140,10,FALSE)</f>
        <v>5</v>
      </c>
      <c r="E3754" t="str">
        <v>D</v>
      </c>
      <c r="F3754">
        <f>VLOOKUP(D3745,'Detail Balok'!$C$10:$AU$140,12,FALSE)</f>
        <v>16</v>
      </c>
      <c r="I3754" t="str">
        <v>(</v>
      </c>
      <c r="J3754">
        <f>+D3747/4/1000</f>
        <v>1.4875</v>
      </c>
      <c r="K3754" t="str">
        <v>+</v>
      </c>
      <c r="L3754">
        <f>MAX(VLOOKUP(F3754,N$6:P$15,3,FALSE)/1000,2/3*D3749/1000)+F$16*F3754/1000</f>
        <v>0.192</v>
      </c>
      <c r="M3754" t="str">
        <v>=</v>
      </c>
      <c r="N3754">
        <f>J3754+L3754</f>
        <v>1.6795</v>
      </c>
      <c r="O3754" t="str">
        <v>+</v>
      </c>
      <c r="P3754">
        <f>D3754-D3753</f>
        <v>0</v>
      </c>
      <c r="Q3754" t="str">
        <v>x</v>
      </c>
      <c r="R3754">
        <f>IF(P3754&gt;0,$F$18*F3754/1000,0)</f>
        <v>0</v>
      </c>
      <c r="S3754" t="str">
        <v>)</v>
      </c>
      <c r="T3754" t="str">
        <v>x</v>
      </c>
      <c r="U3754">
        <f>0.006165*F3754^2</f>
        <v>1.57824</v>
      </c>
      <c r="X3754" t="str">
        <v>x</v>
      </c>
      <c r="Y3754">
        <f>D3751</f>
        <v>1</v>
      </c>
      <c r="Z3754" t="str">
        <v>=</v>
      </c>
      <c r="AA3754">
        <f>IF(AA3755=0,(D3754*N3754+P3754*R3754)*U3754*Y3754,0)</f>
        <v>0</v>
      </c>
    </row>
    <row r="3755">
      <c r="A3755" t="str">
        <f>A3745</f>
        <v>Lantai 2</v>
      </c>
      <c r="B3755">
        <f>B3745</f>
        <v>38</v>
      </c>
      <c r="D3755">
        <f>IF(AND(D3752=D3753,D3753=D3754,D3752=D3754),D3752,0)</f>
        <v>5</v>
      </c>
      <c r="E3755" t="str">
        <v>D</v>
      </c>
      <c r="F3755">
        <f>IF(AND(F3752=F3753,F3752=F3754,F3753=F3754),F3752,0)</f>
        <v>16</v>
      </c>
      <c r="L3755" t="str">
        <v>Total panjang per balok</v>
      </c>
      <c r="M3755" t="str">
        <v>=</v>
      </c>
      <c r="N3755">
        <f>IF(AND(D3752=D3753,D3752=D3754,D3753=D3754,F3752=F3753,F3752=F3754,F3753=F3754),SUM(N3752:N3754),0)</f>
        <v>6.3340000000000005</v>
      </c>
      <c r="O3755" t="str">
        <v>+</v>
      </c>
      <c r="P3755">
        <f>IF(N3755&gt;12,ROUNDDOWN(N3755/12,0),0)</f>
        <v>0</v>
      </c>
      <c r="Q3755" t="str">
        <v>x</v>
      </c>
      <c r="R3755">
        <f>IF(P3755&gt;0,MAX(VLOOKUP(F3755,$D$6:$G$15,3,FALSE),600),0)/1000</f>
        <v>0</v>
      </c>
      <c r="T3755" t="str">
        <v>x</v>
      </c>
      <c r="U3755">
        <f>U3754</f>
        <v>1.57824</v>
      </c>
      <c r="V3755" t="str">
        <v>x</v>
      </c>
      <c r="W3755">
        <f>D3755</f>
        <v>5</v>
      </c>
      <c r="X3755" t="str">
        <v>x</v>
      </c>
      <c r="Y3755">
        <f>Y3754</f>
        <v>1</v>
      </c>
      <c r="Z3755" t="str">
        <v>=</v>
      </c>
      <c r="AA3755">
        <f>(N3755+P3755*R3755/1000)*U3755*W3755*Y3755</f>
        <v>49.982860800000005</v>
      </c>
    </row>
    <row r="3757">
      <c r="A3757" t="str">
        <f>A3745</f>
        <v>Lantai 2</v>
      </c>
      <c r="B3757">
        <f>B3745</f>
        <v>38</v>
      </c>
      <c r="C3757" t="str">
        <v>Tul Peminggang</v>
      </c>
      <c r="D3757">
        <f>VLOOKUP(D3745,'Detail Balok'!$C$10:$AU$140,13,FALSE)</f>
        <v>2</v>
      </c>
      <c r="E3757" t="str">
        <v>D</v>
      </c>
      <c r="F3757">
        <f>VLOOKUP(D3745,'Detail Balok'!$C$10:$AU$140,15,FALSE)</f>
        <v>10</v>
      </c>
      <c r="J3757">
        <f>+D3747/1000</f>
        <v>5.95</v>
      </c>
      <c r="K3757" t="str">
        <v>+</v>
      </c>
      <c r="L3757">
        <f>2*$F$16*F3757/1000</f>
        <v>0.24</v>
      </c>
      <c r="M3757" t="str">
        <v>=</v>
      </c>
      <c r="N3757">
        <f>J3757+L3757</f>
        <v>6.19</v>
      </c>
      <c r="O3757" t="str">
        <v>+</v>
      </c>
      <c r="P3757">
        <f>IF(N3757&gt;12,ROUNDDOWN(N3757/12,0),0)</f>
        <v>0</v>
      </c>
      <c r="Q3757" t="str">
        <v>x</v>
      </c>
      <c r="R3757">
        <f>IF(P3757&gt;0,MAX(VLOOKUP(F3757,$D$6:$G$15,3,FALSE),600),0)/1000</f>
        <v>0</v>
      </c>
      <c r="T3757" t="str">
        <v>x</v>
      </c>
      <c r="U3757">
        <f>0.006165*F3757^2</f>
        <v>0.6165</v>
      </c>
      <c r="V3757" t="str">
        <v>x</v>
      </c>
      <c r="W3757">
        <f>+D3757</f>
        <v>2</v>
      </c>
      <c r="X3757" t="str">
        <v>x</v>
      </c>
      <c r="Y3757">
        <f>D3751</f>
        <v>1</v>
      </c>
      <c r="Z3757" t="str">
        <v>=</v>
      </c>
      <c r="AA3757">
        <f>(N3757+P3757*R3757/1000)*U3757*W3757*Y3757</f>
        <v>7.632270000000001</v>
      </c>
    </row>
    <row r="3760">
      <c r="A3760" t="str">
        <f>A3745</f>
        <v>Lantai 2</v>
      </c>
      <c r="B3760">
        <f>B3745</f>
        <v>38</v>
      </c>
      <c r="C3760" t="str">
        <v>Tul Bawah Tumpuan</v>
      </c>
      <c r="D3760">
        <f>VLOOKUP(D3745,'Detail Balok'!$C$10:$AU$140,22,FALSE)</f>
        <v>5</v>
      </c>
      <c r="E3760" t="str">
        <v>D</v>
      </c>
      <c r="F3760">
        <f>VLOOKUP(D3745,'Detail Balok'!$C$10:$AU$140,24,FALSE)</f>
        <v>16</v>
      </c>
      <c r="I3760" t="str">
        <v>(</v>
      </c>
      <c r="J3760">
        <f>+J3752</f>
        <v>1.4875</v>
      </c>
      <c r="K3760" t="str">
        <v>+</v>
      </c>
      <c r="L3760">
        <f>MAX(VLOOKUP(F3760,N$6:P$15,3,FALSE)/1000,2/3*D3750/1000)+F$16*F3760/1000</f>
        <v>0.192</v>
      </c>
      <c r="M3760" t="str">
        <v>=</v>
      </c>
      <c r="N3760">
        <f>J3760+L3760</f>
        <v>1.6795</v>
      </c>
      <c r="O3760" t="str">
        <v>+</v>
      </c>
      <c r="P3760">
        <f>D3760-D3761</f>
        <v>0</v>
      </c>
      <c r="Q3760" t="str">
        <v>x</v>
      </c>
      <c r="R3760">
        <f>IF(P3760&gt;0,$F$18*F3760/1000,0)</f>
        <v>0</v>
      </c>
      <c r="S3760" t="str">
        <v>)</v>
      </c>
      <c r="T3760" t="str">
        <v>x</v>
      </c>
      <c r="U3760">
        <f>0.006165*F3760^2</f>
        <v>1.57824</v>
      </c>
      <c r="X3760" t="str">
        <v>x</v>
      </c>
      <c r="Y3760">
        <f>D3751</f>
        <v>1</v>
      </c>
      <c r="Z3760" t="str">
        <v>=</v>
      </c>
      <c r="AA3760">
        <f>IF(AA3763=0,(D3760*N3760+P3760*R3760)*U3760*Y3760,0)</f>
        <v>0</v>
      </c>
    </row>
    <row r="3761">
      <c r="A3761" t="str">
        <f>A3745</f>
        <v>Lantai 2</v>
      </c>
      <c r="B3761">
        <f>B3745</f>
        <v>38</v>
      </c>
      <c r="C3761" t="str">
        <v>Tul Bawah Lapangan</v>
      </c>
      <c r="D3761">
        <f>VLOOKUP(D3745,'Detail Balok'!$C$10:$AU$140,25,FALSE)</f>
        <v>5</v>
      </c>
      <c r="E3761" t="str">
        <v>D</v>
      </c>
      <c r="F3761">
        <f>VLOOKUP(D3745,'Detail Balok'!$C$10:$AU$140,27,FALSE)</f>
        <v>16</v>
      </c>
      <c r="I3761" t="str">
        <v>(</v>
      </c>
      <c r="J3761">
        <f>+J3753</f>
        <v>2.975</v>
      </c>
      <c r="K3761" t="str">
        <v>+</v>
      </c>
      <c r="M3761" t="str">
        <v>=</v>
      </c>
      <c r="N3761">
        <f>J3761+L3761</f>
        <v>2.975</v>
      </c>
      <c r="O3761" t="str">
        <v>+</v>
      </c>
      <c r="P3761">
        <f>MAX(D3761-D3760,D3761-D3762)</f>
        <v>0</v>
      </c>
      <c r="Q3761" t="str">
        <v>x</v>
      </c>
      <c r="R3761">
        <f>IF(P3761&gt;0,2*(1-2*$F$19-1/2)*D3748/1000,0)</f>
        <v>0</v>
      </c>
      <c r="S3761" t="str">
        <v>)</v>
      </c>
      <c r="T3761" t="str">
        <v>x</v>
      </c>
      <c r="U3761">
        <f>0.006165*F3761^2</f>
        <v>1.57824</v>
      </c>
      <c r="X3761" t="str">
        <v>x</v>
      </c>
      <c r="Y3761">
        <f>D3751</f>
        <v>1</v>
      </c>
      <c r="Z3761" t="str">
        <v>=</v>
      </c>
      <c r="AA3761">
        <f>IF(AA3763=0,(D3761*N3761+P3761*R3761)*U3761*Y3761,0)</f>
        <v>0</v>
      </c>
    </row>
    <row r="3762">
      <c r="A3762" t="str">
        <f>A3745</f>
        <v>Lantai 2</v>
      </c>
      <c r="B3762">
        <f>B3745</f>
        <v>38</v>
      </c>
      <c r="C3762" t="str">
        <v>Tul Bawah Tumpuan</v>
      </c>
      <c r="D3762">
        <f>VLOOKUP(D3745,'Detail Balok'!$C$10:$AU$140,28,FALSE)</f>
        <v>5</v>
      </c>
      <c r="E3762" t="str">
        <v>D</v>
      </c>
      <c r="F3762">
        <f>VLOOKUP(D3745,'Detail Balok'!$C$10:$AU$140,30,FALSE)</f>
        <v>16</v>
      </c>
      <c r="I3762" t="str">
        <v>(</v>
      </c>
      <c r="J3762">
        <f>+J3754</f>
        <v>1.4875</v>
      </c>
      <c r="K3762" t="str">
        <v>+</v>
      </c>
      <c r="L3762">
        <f>MAX(VLOOKUP(F3762,N$6:P$15,3,FALSE)/1000,2/3*D3750/1000)+F$16*F3762/1000</f>
        <v>0.192</v>
      </c>
      <c r="M3762" t="str">
        <v>=</v>
      </c>
      <c r="N3762">
        <f>J3762+L3762</f>
        <v>1.6795</v>
      </c>
      <c r="O3762" t="str">
        <v>+</v>
      </c>
      <c r="P3762">
        <f>D3762-D3761</f>
        <v>0</v>
      </c>
      <c r="Q3762" t="str">
        <v>x</v>
      </c>
      <c r="R3762">
        <f>IF(P3762&gt;0,$F$18*F3762/1000,0)</f>
        <v>0</v>
      </c>
      <c r="S3762" t="str">
        <v>)</v>
      </c>
      <c r="T3762" t="str">
        <v>x</v>
      </c>
      <c r="U3762">
        <f>0.006165*F3762^2</f>
        <v>1.57824</v>
      </c>
      <c r="X3762" t="str">
        <v>x</v>
      </c>
      <c r="Y3762">
        <f>D3751</f>
        <v>1</v>
      </c>
      <c r="Z3762" t="str">
        <v>=</v>
      </c>
      <c r="AA3762">
        <f>IF(AA3763=0,(D3762*N3762+P3762*R3762)*U3762*Y3762,0)</f>
        <v>0</v>
      </c>
    </row>
    <row r="3763">
      <c r="A3763" t="str">
        <f>A3745</f>
        <v>Lantai 2</v>
      </c>
      <c r="B3763">
        <f>B3745</f>
        <v>38</v>
      </c>
      <c r="D3763">
        <f>IF(AND(D3760=D3761,D3761=D3762,D3760=D3762),D3760,0)</f>
        <v>5</v>
      </c>
      <c r="E3763" t="str">
        <v>D</v>
      </c>
      <c r="F3763">
        <f>IF(AND(F3760=F3761,F3760=F3762,F3761=F3762),F3760,0)</f>
        <v>16</v>
      </c>
      <c r="L3763" t="str">
        <v>Total panjang per balok</v>
      </c>
      <c r="M3763" t="str">
        <v>=</v>
      </c>
      <c r="N3763">
        <f>IF(AND(D3760=D3761,D3760=D3762,D3761=D3762,F3760=F3761,F3760=F3762,F3761=F3762),SUM(N3760:N3762),0)</f>
        <v>6.3340000000000005</v>
      </c>
      <c r="O3763" t="str">
        <v>+</v>
      </c>
      <c r="P3763">
        <f>IF(N3763&gt;12,ROUNDDOWN(N3763/12,0),0)</f>
        <v>0</v>
      </c>
      <c r="Q3763" t="str">
        <v>x</v>
      </c>
      <c r="R3763">
        <f>IF(P3763&gt;0,MAX(VLOOKUP(F3763,$D$6:$G$15,3,FALSE),600),0)/1000</f>
        <v>0</v>
      </c>
      <c r="T3763" t="str">
        <v>x</v>
      </c>
      <c r="U3763">
        <f>U3762</f>
        <v>1.57824</v>
      </c>
      <c r="V3763" t="str">
        <v>x</v>
      </c>
      <c r="W3763">
        <f>D3763</f>
        <v>5</v>
      </c>
      <c r="X3763" t="str">
        <v>x</v>
      </c>
      <c r="Y3763">
        <f>Y3762</f>
        <v>1</v>
      </c>
      <c r="Z3763" t="str">
        <v>=</v>
      </c>
      <c r="AA3763">
        <f>(N3763+P3763*R3763/1000)*U3763*W3763*Y3763</f>
        <v>49.982860800000005</v>
      </c>
    </row>
    <row r="3765">
      <c r="A3765" t="str">
        <f>A3745</f>
        <v>Lantai 2</v>
      </c>
      <c r="B3765">
        <f>B3745</f>
        <v>38</v>
      </c>
      <c r="C3765" t="str">
        <v>Sengkang Tumpuan</v>
      </c>
      <c r="D3765">
        <f>VLOOKUP(D3745,'Detail Balok'!$C$10:$AU$140,31,FALSE)</f>
        <v>0</v>
      </c>
      <c r="E3765" t="str">
        <v>D</v>
      </c>
      <c r="F3765">
        <f>VLOOKUP(D3745,'Detail Balok'!$C$10:$AU$140,33,FALSE)</f>
        <v>10</v>
      </c>
      <c r="G3765" t="str">
        <v>-</v>
      </c>
      <c r="H3765">
        <f>VLOOKUP(D3745,'Detail Balok'!$C$10:$AU$140,35,FALSE)</f>
        <v>100</v>
      </c>
      <c r="J3765">
        <f>(IF(D3765=0,(2*(D3746+G3746))-(F$5*8),IF(D3765=3,(2*(D3746+G3746))-(F$5*8)+(G3746-2*F$5),IF(D3765=4,(2*(D3746+G3746))-(F$5*8)+2*(G3746-2*F$5)))))/1000</f>
        <v>1.48</v>
      </c>
      <c r="K3765" t="str">
        <v>+</v>
      </c>
      <c r="L3765">
        <f>IF(D3765=0,2*MAX(6*F3765,75),(D3765-1)*2*MAX(6*F3765,75))/1000</f>
        <v>0.15</v>
      </c>
      <c r="M3765" t="str">
        <v>=</v>
      </c>
      <c r="N3765">
        <f>J3765+L3765</f>
        <v>1.63</v>
      </c>
      <c r="T3765" t="str">
        <v>x</v>
      </c>
      <c r="U3765">
        <f>0.006165*F3765^2</f>
        <v>0.6165</v>
      </c>
      <c r="V3765" t="str">
        <v>x</v>
      </c>
      <c r="W3765">
        <f>IF(D3748&gt;4*G3746,ROUND(MAX(D3748/4,2*G3746)/H3765,0)+1,ROUND(D3748/H3765,0)+1)</f>
        <v>16</v>
      </c>
      <c r="X3765" t="str">
        <v>x</v>
      </c>
      <c r="Y3765">
        <f>D3751</f>
        <v>1</v>
      </c>
      <c r="Z3765" t="str">
        <v>=</v>
      </c>
      <c r="AA3765">
        <f>N3765*U3765*W3765*Y3765</f>
        <v>16.07832</v>
      </c>
    </row>
    <row r="3766">
      <c r="A3766" t="str">
        <f>A3745</f>
        <v>Lantai 2</v>
      </c>
      <c r="B3766">
        <f>B3745</f>
        <v>38</v>
      </c>
      <c r="C3766" t="str">
        <v>Sengkang Lapangan</v>
      </c>
      <c r="D3766">
        <f>VLOOKUP(D3745,'Detail Balok'!$C$10:$AU$140,36,FALSE)</f>
        <v>0</v>
      </c>
      <c r="E3766" t="str">
        <v>D</v>
      </c>
      <c r="F3766">
        <f>VLOOKUP(D3745,'Detail Balok'!$C$10:$AU$140,38,FALSE)</f>
        <v>10</v>
      </c>
      <c r="G3766" t="str">
        <v>-</v>
      </c>
      <c r="H3766">
        <f>VLOOKUP(D3745,'Detail Balok'!$C$10:$AU$140,40,FALSE)</f>
        <v>150</v>
      </c>
      <c r="J3766">
        <f>(IF(D3766=0,(2*(D3746+G3746))-(F$5*8),IF(D3766=3,(2*(D3746+G3746))-(F$5*8)+(G3746-2*F$5),IF(D3766=4,(2*(D3746+G3746))-(F$5*8)+2*(G3746-2*F$5)))))/1000</f>
        <v>1.48</v>
      </c>
      <c r="K3766" t="str">
        <v>+</v>
      </c>
      <c r="L3766">
        <f>IF(D3766=0,2*MAX(6*F3766,75),(D3766-1)*2*MAX(6*F3766,75))/1000</f>
        <v>0.15</v>
      </c>
      <c r="M3766" t="str">
        <v>=</v>
      </c>
      <c r="N3766">
        <f>J3766+L3766</f>
        <v>1.63</v>
      </c>
      <c r="T3766" t="str">
        <v>x</v>
      </c>
      <c r="U3766">
        <f>0.006165*F3766^2</f>
        <v>0.6165</v>
      </c>
      <c r="V3766" t="str">
        <v>x</v>
      </c>
      <c r="W3766">
        <f>IF(D3748-MAX(D3748/4,2*G3746)*2&gt;0,ROUND((D3748-MAX(D3748/4,2*G3746)*2)/H3766,0),0)</f>
        <v>20</v>
      </c>
      <c r="X3766" t="str">
        <v>x</v>
      </c>
      <c r="Y3766">
        <f>D3751</f>
        <v>1</v>
      </c>
      <c r="Z3766" t="str">
        <v>=</v>
      </c>
      <c r="AA3766">
        <f>N3766*U3766*W3766*Y3766</f>
        <v>20.097900000000003</v>
      </c>
    </row>
    <row r="3767">
      <c r="A3767" t="str">
        <f>A3745</f>
        <v>Lantai 2</v>
      </c>
      <c r="B3767">
        <f>B3745</f>
        <v>38</v>
      </c>
      <c r="C3767" t="str">
        <v>Sengkang Tumpuan</v>
      </c>
      <c r="D3767">
        <f>VLOOKUP(D3745,'Detail Balok'!$C$10:$AU$140,41,FALSE)</f>
        <v>0</v>
      </c>
      <c r="E3767" t="str">
        <v>D</v>
      </c>
      <c r="F3767">
        <f>VLOOKUP(D3745,'Detail Balok'!$C$10:$AU$140,43,FALSE)</f>
        <v>10</v>
      </c>
      <c r="G3767" t="str">
        <v>-</v>
      </c>
      <c r="H3767">
        <f>VLOOKUP(D3745,'Detail Balok'!$C$10:$AU$140,45,FALSE)</f>
        <v>100</v>
      </c>
      <c r="J3767">
        <f>(IF(D3767=0,(2*(D3746+G3746))-(F$5*8),IF(D3767=3,(2*(D3746+G3746))-(F$5*8)+(G3746-2*F$5),IF(D3767=4,(2*(D3746+G3746))-(F$5*8)+2*(G3746-2*F$5)))))/1000</f>
        <v>1.48</v>
      </c>
      <c r="K3767" t="str">
        <v>+</v>
      </c>
      <c r="L3767">
        <f>IF(D3767=0,2*MAX(6*F3767,75),(D3767-1)*2*MAX(6*F3767,75))/1000</f>
        <v>0.15</v>
      </c>
      <c r="M3767" t="str">
        <v>=</v>
      </c>
      <c r="N3767">
        <f>J3767+L3767</f>
        <v>1.63</v>
      </c>
      <c r="T3767" t="str">
        <v>x</v>
      </c>
      <c r="U3767">
        <f>0.006165*F3767^2</f>
        <v>0.6165</v>
      </c>
      <c r="V3767" t="str">
        <v>x</v>
      </c>
      <c r="W3767">
        <f>IF(D3748&gt;4*G3746,ROUND(MAX(D3748/4,2*G3746)/H3767,0)+1,0)</f>
        <v>16</v>
      </c>
      <c r="X3767" t="str">
        <v>x</v>
      </c>
      <c r="Y3767">
        <f>D3751</f>
        <v>1</v>
      </c>
      <c r="Z3767" t="str">
        <v>=</v>
      </c>
      <c r="AA3767">
        <f>N3767*U3767*W3767*Y3767</f>
        <v>16.07832</v>
      </c>
    </row>
    <row r="3769">
      <c r="A3769" t="str">
        <f>A3745</f>
        <v>Lantai 2</v>
      </c>
      <c r="B3769">
        <f>B3745</f>
        <v>38</v>
      </c>
      <c r="C3769" t="str">
        <v>Kait Horizontal Tump.</v>
      </c>
      <c r="D3769">
        <f>VLOOKUP(D3745,'Detail Balok'!$C$10:$BJ$140,46,FALSE)</f>
        <v>0</v>
      </c>
      <c r="E3769" t="str">
        <v>D</v>
      </c>
      <c r="F3769">
        <f>VLOOKUP(D3745,'Detail Balok'!$C$10:$BJ$140,48,FALSE)</f>
        <v>0</v>
      </c>
      <c r="G3769" t="str">
        <v>-</v>
      </c>
      <c r="H3769">
        <f>VLOOKUP(D3745,'Detail Balok'!$C$10:$BJ$140,50,FALSE)</f>
        <v>100</v>
      </c>
      <c r="J3769">
        <f>(D3746-2*F$5)/1000</f>
        <v>0.22</v>
      </c>
      <c r="K3769" t="str">
        <v>+</v>
      </c>
      <c r="L3769">
        <f>IF(D3769=0,2*MAX(6*F3769,75),(D3769-1)*2*MAX(6*F3769,75))/1000</f>
        <v>0.15</v>
      </c>
      <c r="M3769" t="str">
        <v>=</v>
      </c>
      <c r="N3769">
        <f>J3769+L3769</f>
        <v>0.37</v>
      </c>
      <c r="T3769" t="str">
        <v>x</v>
      </c>
      <c r="U3769">
        <f>0.006165*F3769^2</f>
        <v>0</v>
      </c>
      <c r="V3769" t="str">
        <v>x</v>
      </c>
      <c r="W3769">
        <f>W3765</f>
        <v>16</v>
      </c>
      <c r="X3769" t="str">
        <v>x</v>
      </c>
      <c r="Y3769">
        <f>D3755</f>
        <v>5</v>
      </c>
      <c r="Z3769" t="str">
        <v>=</v>
      </c>
      <c r="AA3769">
        <f>N3769*U3769*W3769*Y3769</f>
        <v>0</v>
      </c>
    </row>
    <row r="3770">
      <c r="A3770" t="str">
        <f>A3745</f>
        <v>Lantai 2</v>
      </c>
      <c r="B3770">
        <f>B3745</f>
        <v>38</v>
      </c>
      <c r="C3770" t="str">
        <v>Kait Horizontal Lap.</v>
      </c>
      <c r="D3770">
        <f>VLOOKUP(D3745,'Detail Balok'!$C$10:$BJ$140,51,FALSE)</f>
        <v>0</v>
      </c>
      <c r="E3770" t="str">
        <v>D</v>
      </c>
      <c r="F3770">
        <f>VLOOKUP(D3745,'Detail Balok'!$C$10:$BJ$140,53,FALSE)</f>
        <v>0</v>
      </c>
      <c r="G3770" t="str">
        <v>-</v>
      </c>
      <c r="H3770">
        <f>VLOOKUP(D3745,'Detail Balok'!$C$10:$BJ$140,55,FALSE)</f>
        <v>100</v>
      </c>
      <c r="J3770">
        <f>(D3746-2*F$5)/1000</f>
        <v>0.22</v>
      </c>
      <c r="K3770" t="str">
        <v>+</v>
      </c>
      <c r="L3770">
        <f>IF(D3770=0,2*MAX(6*F3770,75),(D3770-1)*2*MAX(6*F3770,75))/1000</f>
        <v>0.15</v>
      </c>
      <c r="M3770" t="str">
        <v>=</v>
      </c>
      <c r="N3770">
        <f>J3770+L3770</f>
        <v>0.37</v>
      </c>
      <c r="T3770" t="str">
        <v>x</v>
      </c>
      <c r="U3770">
        <f>0.006165*F3770^2</f>
        <v>0</v>
      </c>
      <c r="V3770" t="str">
        <v>x</v>
      </c>
      <c r="W3770">
        <f>W3766</f>
        <v>20</v>
      </c>
      <c r="X3770" t="str">
        <v>x</v>
      </c>
      <c r="Y3770">
        <f>D3755</f>
        <v>5</v>
      </c>
      <c r="Z3770" t="str">
        <v>=</v>
      </c>
      <c r="AA3770">
        <f>N3770*U3770*W3770*Y3770</f>
        <v>0</v>
      </c>
    </row>
    <row r="3771">
      <c r="A3771" t="str">
        <f>A3745</f>
        <v>Lantai 2</v>
      </c>
      <c r="B3771">
        <f>B3745</f>
        <v>38</v>
      </c>
      <c r="C3771" t="str">
        <v>Kait Horizontal Tump.</v>
      </c>
      <c r="D3771">
        <f>VLOOKUP(D3745,'Detail Balok'!$C$10:$BJ$140,56,FALSE)</f>
        <v>0</v>
      </c>
      <c r="E3771" t="str">
        <v>D</v>
      </c>
      <c r="F3771">
        <f>VLOOKUP(D3745,'Detail Balok'!$C$10:$BJ$140,58,FALSE)</f>
        <v>0</v>
      </c>
      <c r="G3771" t="str">
        <v>-</v>
      </c>
      <c r="H3771">
        <f>VLOOKUP(D3745,'Detail Balok'!$C$10:$BJ$140,60,FALSE)</f>
        <v>100</v>
      </c>
      <c r="J3771">
        <f>(D3746-2*F$5)/1000</f>
        <v>0.22</v>
      </c>
      <c r="K3771" t="str">
        <v>+</v>
      </c>
      <c r="L3771">
        <f>IF(D3771=0,2*MAX(6*F3771,75),(D3771-1)*2*MAX(6*F3771,75))/1000</f>
        <v>0.15</v>
      </c>
      <c r="M3771" t="str">
        <v>=</v>
      </c>
      <c r="N3771">
        <f>J3771+L3771</f>
        <v>0.37</v>
      </c>
      <c r="T3771" t="str">
        <v>x</v>
      </c>
      <c r="U3771">
        <f>0.006165*F3771^2</f>
        <v>0</v>
      </c>
      <c r="V3771" t="str">
        <v>x</v>
      </c>
      <c r="W3771">
        <f>W3767</f>
        <v>16</v>
      </c>
      <c r="X3771" t="str">
        <v>x</v>
      </c>
      <c r="Y3771">
        <f>D3755</f>
        <v>5</v>
      </c>
      <c r="Z3771" t="str">
        <v>=</v>
      </c>
      <c r="AA3771">
        <f>N3771*U3771*W3771*Y3771</f>
        <v>0</v>
      </c>
    </row>
    <row r="3775">
      <c r="A3775" t="str">
        <f>A3745</f>
        <v>Lantai 2</v>
      </c>
      <c r="B3775">
        <f>B3745+1</f>
        <v>39</v>
      </c>
      <c r="C3775" t="str">
        <f>CONCATENATE(A3775," no. ",B3775)</f>
        <v>Lantai 2 no. 39</v>
      </c>
      <c r="D3775" t="str">
        <f>VLOOKUP(C3775,'Data Panjang Balok'!$C$9:$N$254,2,FALSE)</f>
        <v>B25-1</v>
      </c>
    </row>
    <row r="3776">
      <c r="C3776" t="str">
        <v>Dimensi</v>
      </c>
      <c r="D3776">
        <f>VLOOKUP(D3775,'Detail Balok'!$C$10:$AU$140,2,FALSE)</f>
        <v>200</v>
      </c>
      <c r="F3776" t="str">
        <v>x</v>
      </c>
      <c r="G3776">
        <f>VLOOKUP(D3775,'Detail Balok'!$C$10:$AU$140,3,FALSE)</f>
        <v>500</v>
      </c>
    </row>
    <row r="3777">
      <c r="C3777" t="str">
        <v>Panjang as ke as</v>
      </c>
      <c r="D3777">
        <f>VLOOKUP(C3775,'Data Panjang Balok'!$C$9:$N$254,4,FALSE)</f>
        <v>4250</v>
      </c>
    </row>
    <row r="3778">
      <c r="C3778" t="str">
        <v>Panjang netto</v>
      </c>
      <c r="D3778">
        <f>VLOOKUP(C3775,'Data Panjang Balok'!$C$9:$N$254,7,FALSE)</f>
        <v>4250</v>
      </c>
    </row>
    <row r="3779">
      <c r="C3779" t="str">
        <v>Kolom / balok kiri</v>
      </c>
      <c r="D3779">
        <f>VLOOKUP(C3775,'Data Panjang Balok'!$C$9:$N$254,9,FALSE)</f>
        <v>0</v>
      </c>
    </row>
    <row r="3780">
      <c r="C3780" t="str">
        <v>Kolom / balok kanan</v>
      </c>
      <c r="D3780">
        <f>VLOOKUP(C3775,'Data Panjang Balok'!$C$9:$N$254,10,FALSE)</f>
        <v>0</v>
      </c>
    </row>
    <row r="3781">
      <c r="C3781" t="str">
        <v>Jumlah</v>
      </c>
      <c r="D3781">
        <f>VLOOKUP(C3775,'Data Panjang Balok'!$C$9:$N$254,3,FALSE)</f>
        <v>1</v>
      </c>
    </row>
    <row r="3782">
      <c r="A3782" t="str">
        <f>A3775</f>
        <v>Lantai 2</v>
      </c>
      <c r="B3782">
        <f>B3775</f>
        <v>39</v>
      </c>
      <c r="C3782" t="str">
        <v>Tul Atas Tumpuan</v>
      </c>
      <c r="D3782">
        <f>VLOOKUP(D3775,'Detail Balok'!$C$10:$AU$140,4,FALSE)</f>
        <v>4</v>
      </c>
      <c r="E3782" t="str">
        <v>D</v>
      </c>
      <c r="F3782">
        <f>VLOOKUP(D3775,'Detail Balok'!$C$10:$AU$140,6,FALSE)</f>
        <v>16</v>
      </c>
      <c r="I3782" t="str">
        <v>(</v>
      </c>
      <c r="J3782">
        <f>+D3777/4/1000</f>
        <v>1.0625</v>
      </c>
      <c r="K3782" t="str">
        <v>+</v>
      </c>
      <c r="L3782">
        <f>MAX(VLOOKUP(F3782,N$6:P$15,3,FALSE)/1000,2/3*D3779/1000)+F$16*F3782/1000</f>
        <v>0.192</v>
      </c>
      <c r="M3782" t="str">
        <v>=</v>
      </c>
      <c r="N3782">
        <f>J3782+L3782</f>
        <v>1.2545</v>
      </c>
      <c r="O3782" t="str">
        <v>+</v>
      </c>
      <c r="P3782">
        <f>D3782-D3783</f>
        <v>0</v>
      </c>
      <c r="Q3782" t="str">
        <v>x</v>
      </c>
      <c r="R3782">
        <f>IF(P3782&gt;0,$F$18*F3782/1000,0)</f>
        <v>0</v>
      </c>
      <c r="S3782" t="str">
        <v>)</v>
      </c>
      <c r="T3782" t="str">
        <v>x</v>
      </c>
      <c r="U3782">
        <f>0.006165*F3782^2</f>
        <v>1.57824</v>
      </c>
      <c r="X3782" t="str">
        <v>x</v>
      </c>
      <c r="Y3782">
        <f>D3781</f>
        <v>1</v>
      </c>
      <c r="Z3782" t="str">
        <v>=</v>
      </c>
      <c r="AA3782">
        <f>IF(AA3785=0,(D3782*N3782+P3782*R3782)*U3782*Y3782,0)</f>
        <v>0</v>
      </c>
    </row>
    <row r="3783">
      <c r="A3783" t="str">
        <f>A3775</f>
        <v>Lantai 2</v>
      </c>
      <c r="B3783">
        <f>B3775</f>
        <v>39</v>
      </c>
      <c r="C3783" t="str">
        <v>Tul Atas Lapangan</v>
      </c>
      <c r="D3783">
        <f>VLOOKUP(D3775,'Detail Balok'!$C$10:$AU$140,7,FALSE)</f>
        <v>4</v>
      </c>
      <c r="E3783" t="str">
        <v>D</v>
      </c>
      <c r="F3783">
        <f>VLOOKUP(D3775,'Detail Balok'!$C$10:$AU$140,9,FALSE)</f>
        <v>16</v>
      </c>
      <c r="I3783" t="str">
        <v>(</v>
      </c>
      <c r="J3783">
        <f>+D3777/2/1000</f>
        <v>2.125</v>
      </c>
      <c r="K3783" t="str">
        <v>+</v>
      </c>
      <c r="M3783" t="str">
        <v>=</v>
      </c>
      <c r="N3783">
        <f>J3783+L3783</f>
        <v>2.125</v>
      </c>
      <c r="O3783" t="str">
        <v>+</v>
      </c>
      <c r="P3783">
        <f>MAX(D3783-D3782,D3783-D3784)</f>
        <v>0</v>
      </c>
      <c r="Q3783" t="str">
        <v>x</v>
      </c>
      <c r="R3783">
        <f>IF(P3783&gt;0,2*(1-2*$F$19-1/2)*D3778/1000,0)</f>
        <v>0</v>
      </c>
      <c r="S3783" t="str">
        <v>)</v>
      </c>
      <c r="T3783" t="str">
        <v>x</v>
      </c>
      <c r="U3783">
        <f>0.006165*F3783^2</f>
        <v>1.57824</v>
      </c>
      <c r="X3783" t="str">
        <v>x</v>
      </c>
      <c r="Y3783">
        <f>D3781</f>
        <v>1</v>
      </c>
      <c r="Z3783" t="str">
        <v>=</v>
      </c>
      <c r="AA3783">
        <f>IF(AA3785=0,(D3783*N3783+P3783*R3783)*U3783*Y3783,0)</f>
        <v>0</v>
      </c>
    </row>
    <row r="3784">
      <c r="A3784" t="str">
        <f>A3775</f>
        <v>Lantai 2</v>
      </c>
      <c r="B3784">
        <f>B3775</f>
        <v>39</v>
      </c>
      <c r="C3784" t="str">
        <v>Tul Atas Tumpuan</v>
      </c>
      <c r="D3784">
        <f>VLOOKUP(D3775,'Detail Balok'!$C$10:$AU$140,10,FALSE)</f>
        <v>4</v>
      </c>
      <c r="E3784" t="str">
        <v>D</v>
      </c>
      <c r="F3784">
        <f>VLOOKUP(D3775,'Detail Balok'!$C$10:$AU$140,12,FALSE)</f>
        <v>16</v>
      </c>
      <c r="I3784" t="str">
        <v>(</v>
      </c>
      <c r="J3784">
        <f>+D3777/4/1000</f>
        <v>1.0625</v>
      </c>
      <c r="K3784" t="str">
        <v>+</v>
      </c>
      <c r="L3784">
        <f>MAX(VLOOKUP(F3784,N$6:P$15,3,FALSE)/1000,2/3*D3779/1000)+F$16*F3784/1000</f>
        <v>0.192</v>
      </c>
      <c r="M3784" t="str">
        <v>=</v>
      </c>
      <c r="N3784">
        <f>J3784+L3784</f>
        <v>1.2545</v>
      </c>
      <c r="O3784" t="str">
        <v>+</v>
      </c>
      <c r="P3784">
        <f>D3784-D3783</f>
        <v>0</v>
      </c>
      <c r="Q3784" t="str">
        <v>x</v>
      </c>
      <c r="R3784">
        <f>IF(P3784&gt;0,$F$18*F3784/1000,0)</f>
        <v>0</v>
      </c>
      <c r="S3784" t="str">
        <v>)</v>
      </c>
      <c r="T3784" t="str">
        <v>x</v>
      </c>
      <c r="U3784">
        <f>0.006165*F3784^2</f>
        <v>1.57824</v>
      </c>
      <c r="X3784" t="str">
        <v>x</v>
      </c>
      <c r="Y3784">
        <f>D3781</f>
        <v>1</v>
      </c>
      <c r="Z3784" t="str">
        <v>=</v>
      </c>
      <c r="AA3784">
        <f>IF(AA3785=0,(D3784*N3784+P3784*R3784)*U3784*Y3784,0)</f>
        <v>0</v>
      </c>
    </row>
    <row r="3785">
      <c r="A3785" t="str">
        <f>A3775</f>
        <v>Lantai 2</v>
      </c>
      <c r="B3785">
        <f>B3775</f>
        <v>39</v>
      </c>
      <c r="D3785">
        <f>IF(AND(D3782=D3783,D3783=D3784,D3782=D3784),D3782,0)</f>
        <v>4</v>
      </c>
      <c r="E3785" t="str">
        <v>D</v>
      </c>
      <c r="F3785">
        <f>IF(AND(F3782=F3783,F3782=F3784,F3783=F3784),F3782,0)</f>
        <v>16</v>
      </c>
      <c r="L3785" t="str">
        <v>Total panjang per balok</v>
      </c>
      <c r="M3785" t="str">
        <v>=</v>
      </c>
      <c r="N3785">
        <f>IF(AND(D3782=D3783,D3782=D3784,D3783=D3784,F3782=F3783,F3782=F3784,F3783=F3784),SUM(N3782:N3784),0)</f>
        <v>4.634</v>
      </c>
      <c r="O3785" t="str">
        <v>+</v>
      </c>
      <c r="P3785">
        <f>IF(N3785&gt;12,ROUNDDOWN(N3785/12,0),0)</f>
        <v>0</v>
      </c>
      <c r="Q3785" t="str">
        <v>x</v>
      </c>
      <c r="R3785">
        <f>IF(P3785&gt;0,MAX(VLOOKUP(F3785,$D$6:$G$15,3,FALSE),600),0)/1000</f>
        <v>0</v>
      </c>
      <c r="T3785" t="str">
        <v>x</v>
      </c>
      <c r="U3785">
        <f>U3784</f>
        <v>1.57824</v>
      </c>
      <c r="V3785" t="str">
        <v>x</v>
      </c>
      <c r="W3785">
        <f>D3785</f>
        <v>4</v>
      </c>
      <c r="X3785" t="str">
        <v>x</v>
      </c>
      <c r="Y3785">
        <f>Y3784</f>
        <v>1</v>
      </c>
      <c r="Z3785" t="str">
        <v>=</v>
      </c>
      <c r="AA3785">
        <f>(N3785+P3785*R3785/1000)*U3785*W3785*Y3785</f>
        <v>29.254256640000005</v>
      </c>
    </row>
    <row r="3787">
      <c r="A3787" t="str">
        <f>A3775</f>
        <v>Lantai 2</v>
      </c>
      <c r="B3787">
        <f>B3775</f>
        <v>39</v>
      </c>
      <c r="C3787" t="str">
        <v>Tul Peminggang</v>
      </c>
      <c r="D3787">
        <f>VLOOKUP(D3775,'Detail Balok'!$C$10:$AU$140,13,FALSE)</f>
        <v>2</v>
      </c>
      <c r="E3787" t="str">
        <v>D</v>
      </c>
      <c r="F3787">
        <f>VLOOKUP(D3775,'Detail Balok'!$C$10:$AU$140,15,FALSE)</f>
        <v>10</v>
      </c>
      <c r="J3787">
        <f>+D3777/1000</f>
        <v>4.25</v>
      </c>
      <c r="K3787" t="str">
        <v>+</v>
      </c>
      <c r="L3787">
        <f>2*$F$16*F3787/1000</f>
        <v>0.24</v>
      </c>
      <c r="M3787" t="str">
        <v>=</v>
      </c>
      <c r="N3787">
        <f>J3787+L3787</f>
        <v>4.49</v>
      </c>
      <c r="O3787" t="str">
        <v>+</v>
      </c>
      <c r="P3787">
        <f>IF(N3787&gt;12,ROUNDDOWN(N3787/12,0),0)</f>
        <v>0</v>
      </c>
      <c r="Q3787" t="str">
        <v>x</v>
      </c>
      <c r="R3787">
        <f>IF(P3787&gt;0,MAX(VLOOKUP(F3787,$D$6:$G$15,3,FALSE),600),0)/1000</f>
        <v>0</v>
      </c>
      <c r="T3787" t="str">
        <v>x</v>
      </c>
      <c r="U3787">
        <f>0.006165*F3787^2</f>
        <v>0.6165</v>
      </c>
      <c r="V3787" t="str">
        <v>x</v>
      </c>
      <c r="W3787">
        <f>+D3787</f>
        <v>2</v>
      </c>
      <c r="X3787" t="str">
        <v>x</v>
      </c>
      <c r="Y3787">
        <f>D3781</f>
        <v>1</v>
      </c>
      <c r="Z3787" t="str">
        <v>=</v>
      </c>
      <c r="AA3787">
        <f>(N3787+P3787*R3787/1000)*U3787*W3787*Y3787</f>
        <v>5.53617</v>
      </c>
    </row>
    <row r="3790">
      <c r="A3790" t="str">
        <f>A3775</f>
        <v>Lantai 2</v>
      </c>
      <c r="B3790">
        <f>B3775</f>
        <v>39</v>
      </c>
      <c r="C3790" t="str">
        <v>Tul Bawah Tumpuan</v>
      </c>
      <c r="D3790">
        <f>VLOOKUP(D3775,'Detail Balok'!$C$10:$AU$140,22,FALSE)</f>
        <v>4</v>
      </c>
      <c r="E3790" t="str">
        <v>D</v>
      </c>
      <c r="F3790">
        <f>VLOOKUP(D3775,'Detail Balok'!$C$10:$AU$140,24,FALSE)</f>
        <v>16</v>
      </c>
      <c r="I3790" t="str">
        <v>(</v>
      </c>
      <c r="J3790">
        <f>+J3782</f>
        <v>1.0625</v>
      </c>
      <c r="K3790" t="str">
        <v>+</v>
      </c>
      <c r="L3790">
        <f>MAX(VLOOKUP(F3790,N$6:P$15,3,FALSE)/1000,2/3*D3780/1000)+F$16*F3790/1000</f>
        <v>0.192</v>
      </c>
      <c r="M3790" t="str">
        <v>=</v>
      </c>
      <c r="N3790">
        <f>J3790+L3790</f>
        <v>1.2545</v>
      </c>
      <c r="O3790" t="str">
        <v>+</v>
      </c>
      <c r="P3790">
        <f>D3790-D3791</f>
        <v>0</v>
      </c>
      <c r="Q3790" t="str">
        <v>x</v>
      </c>
      <c r="R3790">
        <f>IF(P3790&gt;0,$F$18*F3790/1000,0)</f>
        <v>0</v>
      </c>
      <c r="S3790" t="str">
        <v>)</v>
      </c>
      <c r="T3790" t="str">
        <v>x</v>
      </c>
      <c r="U3790">
        <f>0.006165*F3790^2</f>
        <v>1.57824</v>
      </c>
      <c r="X3790" t="str">
        <v>x</v>
      </c>
      <c r="Y3790">
        <f>D3781</f>
        <v>1</v>
      </c>
      <c r="Z3790" t="str">
        <v>=</v>
      </c>
      <c r="AA3790">
        <f>IF(AA3793=0,(D3790*N3790+P3790*R3790)*U3790*Y3790,0)</f>
        <v>0</v>
      </c>
    </row>
    <row r="3791">
      <c r="A3791" t="str">
        <f>A3775</f>
        <v>Lantai 2</v>
      </c>
      <c r="B3791">
        <f>B3775</f>
        <v>39</v>
      </c>
      <c r="C3791" t="str">
        <v>Tul Bawah Lapangan</v>
      </c>
      <c r="D3791">
        <f>VLOOKUP(D3775,'Detail Balok'!$C$10:$AU$140,25,FALSE)</f>
        <v>4</v>
      </c>
      <c r="E3791" t="str">
        <v>D</v>
      </c>
      <c r="F3791">
        <f>VLOOKUP(D3775,'Detail Balok'!$C$10:$AU$140,27,FALSE)</f>
        <v>16</v>
      </c>
      <c r="I3791" t="str">
        <v>(</v>
      </c>
      <c r="J3791">
        <f>+J3783</f>
        <v>2.125</v>
      </c>
      <c r="K3791" t="str">
        <v>+</v>
      </c>
      <c r="M3791" t="str">
        <v>=</v>
      </c>
      <c r="N3791">
        <f>J3791+L3791</f>
        <v>2.125</v>
      </c>
      <c r="O3791" t="str">
        <v>+</v>
      </c>
      <c r="P3791">
        <f>MAX(D3791-D3790,D3791-D3792)</f>
        <v>0</v>
      </c>
      <c r="Q3791" t="str">
        <v>x</v>
      </c>
      <c r="R3791">
        <f>IF(P3791&gt;0,2*(1-2*$F$19-1/2)*D3778/1000,0)</f>
        <v>0</v>
      </c>
      <c r="S3791" t="str">
        <v>)</v>
      </c>
      <c r="T3791" t="str">
        <v>x</v>
      </c>
      <c r="U3791">
        <f>0.006165*F3791^2</f>
        <v>1.57824</v>
      </c>
      <c r="X3791" t="str">
        <v>x</v>
      </c>
      <c r="Y3791">
        <f>D3781</f>
        <v>1</v>
      </c>
      <c r="Z3791" t="str">
        <v>=</v>
      </c>
      <c r="AA3791">
        <f>IF(AA3793=0,(D3791*N3791+P3791*R3791)*U3791*Y3791,0)</f>
        <v>0</v>
      </c>
    </row>
    <row r="3792">
      <c r="A3792" t="str">
        <f>A3775</f>
        <v>Lantai 2</v>
      </c>
      <c r="B3792">
        <f>B3775</f>
        <v>39</v>
      </c>
      <c r="C3792" t="str">
        <v>Tul Bawah Tumpuan</v>
      </c>
      <c r="D3792">
        <f>VLOOKUP(D3775,'Detail Balok'!$C$10:$AU$140,28,FALSE)</f>
        <v>4</v>
      </c>
      <c r="E3792" t="str">
        <v>D</v>
      </c>
      <c r="F3792">
        <f>VLOOKUP(D3775,'Detail Balok'!$C$10:$AU$140,30,FALSE)</f>
        <v>16</v>
      </c>
      <c r="I3792" t="str">
        <v>(</v>
      </c>
      <c r="J3792">
        <f>+J3784</f>
        <v>1.0625</v>
      </c>
      <c r="K3792" t="str">
        <v>+</v>
      </c>
      <c r="L3792">
        <f>MAX(VLOOKUP(F3792,N$6:P$15,3,FALSE)/1000,2/3*D3780/1000)+F$16*F3792/1000</f>
        <v>0.192</v>
      </c>
      <c r="M3792" t="str">
        <v>=</v>
      </c>
      <c r="N3792">
        <f>J3792+L3792</f>
        <v>1.2545</v>
      </c>
      <c r="O3792" t="str">
        <v>+</v>
      </c>
      <c r="P3792">
        <f>D3792-D3791</f>
        <v>0</v>
      </c>
      <c r="Q3792" t="str">
        <v>x</v>
      </c>
      <c r="R3792">
        <f>IF(P3792&gt;0,$F$18*F3792/1000,0)</f>
        <v>0</v>
      </c>
      <c r="S3792" t="str">
        <v>)</v>
      </c>
      <c r="T3792" t="str">
        <v>x</v>
      </c>
      <c r="U3792">
        <f>0.006165*F3792^2</f>
        <v>1.57824</v>
      </c>
      <c r="X3792" t="str">
        <v>x</v>
      </c>
      <c r="Y3792">
        <f>D3781</f>
        <v>1</v>
      </c>
      <c r="Z3792" t="str">
        <v>=</v>
      </c>
      <c r="AA3792">
        <f>IF(AA3793=0,(D3792*N3792+P3792*R3792)*U3792*Y3792,0)</f>
        <v>0</v>
      </c>
    </row>
    <row r="3793">
      <c r="A3793" t="str">
        <f>A3775</f>
        <v>Lantai 2</v>
      </c>
      <c r="B3793">
        <f>B3775</f>
        <v>39</v>
      </c>
      <c r="D3793">
        <f>IF(AND(D3790=D3791,D3791=D3792,D3790=D3792),D3790,0)</f>
        <v>4</v>
      </c>
      <c r="E3793" t="str">
        <v>D</v>
      </c>
      <c r="F3793">
        <f>IF(AND(F3790=F3791,F3790=F3792,F3791=F3792),F3790,0)</f>
        <v>16</v>
      </c>
      <c r="L3793" t="str">
        <v>Total panjang per balok</v>
      </c>
      <c r="M3793" t="str">
        <v>=</v>
      </c>
      <c r="N3793">
        <f>IF(AND(D3790=D3791,D3790=D3792,D3791=D3792,F3790=F3791,F3790=F3792,F3791=F3792),SUM(N3790:N3792),0)</f>
        <v>4.634</v>
      </c>
      <c r="O3793" t="str">
        <v>+</v>
      </c>
      <c r="P3793">
        <f>IF(N3793&gt;12,ROUNDDOWN(N3793/12,0),0)</f>
        <v>0</v>
      </c>
      <c r="Q3793" t="str">
        <v>x</v>
      </c>
      <c r="R3793">
        <f>IF(P3793&gt;0,MAX(VLOOKUP(F3793,$D$6:$G$15,3,FALSE),600),0)/1000</f>
        <v>0</v>
      </c>
      <c r="T3793" t="str">
        <v>x</v>
      </c>
      <c r="U3793">
        <f>U3792</f>
        <v>1.57824</v>
      </c>
      <c r="V3793" t="str">
        <v>x</v>
      </c>
      <c r="W3793">
        <f>D3793</f>
        <v>4</v>
      </c>
      <c r="X3793" t="str">
        <v>x</v>
      </c>
      <c r="Y3793">
        <f>Y3792</f>
        <v>1</v>
      </c>
      <c r="Z3793" t="str">
        <v>=</v>
      </c>
      <c r="AA3793">
        <f>(N3793+P3793*R3793/1000)*U3793*W3793*Y3793</f>
        <v>29.254256640000005</v>
      </c>
    </row>
    <row r="3795">
      <c r="A3795" t="str">
        <f>A3775</f>
        <v>Lantai 2</v>
      </c>
      <c r="B3795">
        <f>B3775</f>
        <v>39</v>
      </c>
      <c r="C3795" t="str">
        <v>Sengkang Tumpuan</v>
      </c>
      <c r="D3795">
        <f>VLOOKUP(D3775,'Detail Balok'!$C$10:$AU$140,31,FALSE)</f>
        <v>0</v>
      </c>
      <c r="E3795" t="str">
        <v>D</v>
      </c>
      <c r="F3795">
        <f>VLOOKUP(D3775,'Detail Balok'!$C$10:$AU$140,33,FALSE)</f>
        <v>10</v>
      </c>
      <c r="G3795" t="str">
        <v>-</v>
      </c>
      <c r="H3795">
        <f>VLOOKUP(D3775,'Detail Balok'!$C$10:$AU$140,35,FALSE)</f>
        <v>150</v>
      </c>
      <c r="J3795">
        <f>(IF(D3795=0,(2*(D3776+G3776))-(F$5*8),IF(D3795=3,(2*(D3776+G3776))-(F$5*8)+(G3776-2*F$5),IF(D3795=4,(2*(D3776+G3776))-(F$5*8)+2*(G3776-2*F$5)))))/1000</f>
        <v>1.08</v>
      </c>
      <c r="K3795" t="str">
        <v>+</v>
      </c>
      <c r="L3795">
        <f>IF(D3795=0,2*MAX(6*F3795,75),(D3795-1)*2*MAX(6*F3795,75))/1000</f>
        <v>0.15</v>
      </c>
      <c r="M3795" t="str">
        <v>=</v>
      </c>
      <c r="N3795">
        <f>J3795+L3795</f>
        <v>1.23</v>
      </c>
      <c r="T3795" t="str">
        <v>x</v>
      </c>
      <c r="U3795">
        <f>0.006165*F3795^2</f>
        <v>0.6165</v>
      </c>
      <c r="V3795" t="str">
        <v>x</v>
      </c>
      <c r="W3795">
        <f>IF(D3778&gt;4*G3776,ROUND(MAX(D3778/4,2*G3776)/H3795,0)+1,ROUND(D3778/H3795,0)+1)</f>
        <v>8</v>
      </c>
      <c r="X3795" t="str">
        <v>x</v>
      </c>
      <c r="Y3795">
        <f>D3781</f>
        <v>1</v>
      </c>
      <c r="Z3795" t="str">
        <v>=</v>
      </c>
      <c r="AA3795">
        <f>N3795*U3795*W3795*Y3795</f>
        <v>6.06636</v>
      </c>
    </row>
    <row r="3796">
      <c r="A3796" t="str">
        <f>A3775</f>
        <v>Lantai 2</v>
      </c>
      <c r="B3796">
        <f>B3775</f>
        <v>39</v>
      </c>
      <c r="C3796" t="str">
        <v>Sengkang Lapangan</v>
      </c>
      <c r="D3796">
        <f>VLOOKUP(D3775,'Detail Balok'!$C$10:$AU$140,36,FALSE)</f>
        <v>0</v>
      </c>
      <c r="E3796" t="str">
        <v>D</v>
      </c>
      <c r="F3796">
        <f>VLOOKUP(D3775,'Detail Balok'!$C$10:$AU$140,38,FALSE)</f>
        <v>10</v>
      </c>
      <c r="G3796" t="str">
        <v>-</v>
      </c>
      <c r="H3796">
        <f>VLOOKUP(D3775,'Detail Balok'!$C$10:$AU$140,40,FALSE)</f>
        <v>200</v>
      </c>
      <c r="J3796">
        <f>(IF(D3796=0,(2*(D3776+G3776))-(F$5*8),IF(D3796=3,(2*(D3776+G3776))-(F$5*8)+(G3776-2*F$5),IF(D3796=4,(2*(D3776+G3776))-(F$5*8)+2*(G3776-2*F$5)))))/1000</f>
        <v>1.08</v>
      </c>
      <c r="K3796" t="str">
        <v>+</v>
      </c>
      <c r="L3796">
        <f>IF(D3796=0,2*MAX(6*F3796,75),(D3796-1)*2*MAX(6*F3796,75))/1000</f>
        <v>0.15</v>
      </c>
      <c r="M3796" t="str">
        <v>=</v>
      </c>
      <c r="N3796">
        <f>J3796+L3796</f>
        <v>1.23</v>
      </c>
      <c r="T3796" t="str">
        <v>x</v>
      </c>
      <c r="U3796">
        <f>0.006165*F3796^2</f>
        <v>0.6165</v>
      </c>
      <c r="V3796" t="str">
        <v>x</v>
      </c>
      <c r="W3796">
        <f>IF(D3778-MAX(D3778/4,2*G3776)*2&gt;0,ROUND((D3778-MAX(D3778/4,2*G3776)*2)/H3796,0),0)</f>
        <v>11</v>
      </c>
      <c r="X3796" t="str">
        <v>x</v>
      </c>
      <c r="Y3796">
        <f>D3781</f>
        <v>1</v>
      </c>
      <c r="Z3796" t="str">
        <v>=</v>
      </c>
      <c r="AA3796">
        <f>N3796*U3796*W3796*Y3796</f>
        <v>8.341245</v>
      </c>
    </row>
    <row r="3797">
      <c r="A3797" t="str">
        <f>A3775</f>
        <v>Lantai 2</v>
      </c>
      <c r="B3797">
        <f>B3775</f>
        <v>39</v>
      </c>
      <c r="C3797" t="str">
        <v>Sengkang Tumpuan</v>
      </c>
      <c r="D3797">
        <f>VLOOKUP(D3775,'Detail Balok'!$C$10:$AU$140,41,FALSE)</f>
        <v>0</v>
      </c>
      <c r="E3797" t="str">
        <v>D</v>
      </c>
      <c r="F3797">
        <f>VLOOKUP(D3775,'Detail Balok'!$C$10:$AU$140,43,FALSE)</f>
        <v>10</v>
      </c>
      <c r="G3797" t="str">
        <v>-</v>
      </c>
      <c r="H3797">
        <f>VLOOKUP(D3775,'Detail Balok'!$C$10:$AU$140,45,FALSE)</f>
        <v>150</v>
      </c>
      <c r="J3797">
        <f>(IF(D3797=0,(2*(D3776+G3776))-(F$5*8),IF(D3797=3,(2*(D3776+G3776))-(F$5*8)+(G3776-2*F$5),IF(D3797=4,(2*(D3776+G3776))-(F$5*8)+2*(G3776-2*F$5)))))/1000</f>
        <v>1.08</v>
      </c>
      <c r="K3797" t="str">
        <v>+</v>
      </c>
      <c r="L3797">
        <f>IF(D3797=0,2*MAX(6*F3797,75),(D3797-1)*2*MAX(6*F3797,75))/1000</f>
        <v>0.15</v>
      </c>
      <c r="M3797" t="str">
        <v>=</v>
      </c>
      <c r="N3797">
        <f>J3797+L3797</f>
        <v>1.23</v>
      </c>
      <c r="T3797" t="str">
        <v>x</v>
      </c>
      <c r="U3797">
        <f>0.006165*F3797^2</f>
        <v>0.6165</v>
      </c>
      <c r="V3797" t="str">
        <v>x</v>
      </c>
      <c r="W3797">
        <f>IF(D3778&gt;4*G3776,ROUND(MAX(D3778/4,2*G3776)/H3797,0)+1,0)</f>
        <v>8</v>
      </c>
      <c r="X3797" t="str">
        <v>x</v>
      </c>
      <c r="Y3797">
        <f>D3781</f>
        <v>1</v>
      </c>
      <c r="Z3797" t="str">
        <v>=</v>
      </c>
      <c r="AA3797">
        <f>N3797*U3797*W3797*Y3797</f>
        <v>6.06636</v>
      </c>
    </row>
    <row r="3799">
      <c r="A3799" t="str">
        <f>A3775</f>
        <v>Lantai 2</v>
      </c>
      <c r="B3799">
        <f>B3775</f>
        <v>39</v>
      </c>
      <c r="C3799" t="str">
        <v>Kait Horizontal Tump.</v>
      </c>
      <c r="D3799">
        <f>VLOOKUP(D3775,'Detail Balok'!$C$10:$BJ$140,46,FALSE)</f>
        <v>0</v>
      </c>
      <c r="E3799" t="str">
        <v>D</v>
      </c>
      <c r="F3799">
        <f>VLOOKUP(D3775,'Detail Balok'!$C$10:$BJ$140,48,FALSE)</f>
        <v>0</v>
      </c>
      <c r="G3799" t="str">
        <v>-</v>
      </c>
      <c r="H3799">
        <f>VLOOKUP(D3775,'Detail Balok'!$C$10:$BJ$140,50,FALSE)</f>
        <v>100</v>
      </c>
      <c r="J3799">
        <f>(D3776-2*F$5)/1000</f>
        <v>0.12</v>
      </c>
      <c r="K3799" t="str">
        <v>+</v>
      </c>
      <c r="L3799">
        <f>IF(D3799=0,2*MAX(6*F3799,75),(D3799-1)*2*MAX(6*F3799,75))/1000</f>
        <v>0.15</v>
      </c>
      <c r="M3799" t="str">
        <v>=</v>
      </c>
      <c r="N3799">
        <f>J3799+L3799</f>
        <v>0.27</v>
      </c>
      <c r="T3799" t="str">
        <v>x</v>
      </c>
      <c r="U3799">
        <f>0.006165*F3799^2</f>
        <v>0</v>
      </c>
      <c r="V3799" t="str">
        <v>x</v>
      </c>
      <c r="W3799">
        <f>W3795</f>
        <v>8</v>
      </c>
      <c r="X3799" t="str">
        <v>x</v>
      </c>
      <c r="Y3799">
        <f>D3785</f>
        <v>4</v>
      </c>
      <c r="Z3799" t="str">
        <v>=</v>
      </c>
      <c r="AA3799">
        <f>N3799*U3799*W3799*Y3799</f>
        <v>0</v>
      </c>
    </row>
    <row r="3800">
      <c r="A3800" t="str">
        <f>A3775</f>
        <v>Lantai 2</v>
      </c>
      <c r="B3800">
        <f>B3775</f>
        <v>39</v>
      </c>
      <c r="C3800" t="str">
        <v>Kait Horizontal Lap.</v>
      </c>
      <c r="D3800">
        <f>VLOOKUP(D3775,'Detail Balok'!$C$10:$BJ$140,51,FALSE)</f>
        <v>0</v>
      </c>
      <c r="E3800" t="str">
        <v>D</v>
      </c>
      <c r="F3800">
        <f>VLOOKUP(D3775,'Detail Balok'!$C$10:$BJ$140,53,FALSE)</f>
        <v>0</v>
      </c>
      <c r="G3800" t="str">
        <v>-</v>
      </c>
      <c r="H3800">
        <f>VLOOKUP(D3775,'Detail Balok'!$C$10:$BJ$140,55,FALSE)</f>
        <v>100</v>
      </c>
      <c r="J3800">
        <f>(D3776-2*F$5)/1000</f>
        <v>0.12</v>
      </c>
      <c r="K3800" t="str">
        <v>+</v>
      </c>
      <c r="L3800">
        <f>IF(D3800=0,2*MAX(6*F3800,75),(D3800-1)*2*MAX(6*F3800,75))/1000</f>
        <v>0.15</v>
      </c>
      <c r="M3800" t="str">
        <v>=</v>
      </c>
      <c r="N3800">
        <f>J3800+L3800</f>
        <v>0.27</v>
      </c>
      <c r="T3800" t="str">
        <v>x</v>
      </c>
      <c r="U3800">
        <f>0.006165*F3800^2</f>
        <v>0</v>
      </c>
      <c r="V3800" t="str">
        <v>x</v>
      </c>
      <c r="W3800">
        <f>W3796</f>
        <v>11</v>
      </c>
      <c r="X3800" t="str">
        <v>x</v>
      </c>
      <c r="Y3800">
        <f>D3785</f>
        <v>4</v>
      </c>
      <c r="Z3800" t="str">
        <v>=</v>
      </c>
      <c r="AA3800">
        <f>N3800*U3800*W3800*Y3800</f>
        <v>0</v>
      </c>
    </row>
    <row r="3801">
      <c r="A3801" t="str">
        <f>A3775</f>
        <v>Lantai 2</v>
      </c>
      <c r="B3801">
        <f>B3775</f>
        <v>39</v>
      </c>
      <c r="C3801" t="str">
        <v>Kait Horizontal Tump.</v>
      </c>
      <c r="D3801">
        <f>VLOOKUP(D3775,'Detail Balok'!$C$10:$BJ$140,56,FALSE)</f>
        <v>0</v>
      </c>
      <c r="E3801" t="str">
        <v>D</v>
      </c>
      <c r="F3801">
        <f>VLOOKUP(D3775,'Detail Balok'!$C$10:$BJ$140,58,FALSE)</f>
        <v>0</v>
      </c>
      <c r="G3801" t="str">
        <v>-</v>
      </c>
      <c r="H3801">
        <f>VLOOKUP(D3775,'Detail Balok'!$C$10:$BJ$140,60,FALSE)</f>
        <v>100</v>
      </c>
      <c r="J3801">
        <f>(D3776-2*F$5)/1000</f>
        <v>0.12</v>
      </c>
      <c r="K3801" t="str">
        <v>+</v>
      </c>
      <c r="L3801">
        <f>IF(D3801=0,2*MAX(6*F3801,75),(D3801-1)*2*MAX(6*F3801,75))/1000</f>
        <v>0.15</v>
      </c>
      <c r="M3801" t="str">
        <v>=</v>
      </c>
      <c r="N3801">
        <f>J3801+L3801</f>
        <v>0.27</v>
      </c>
      <c r="T3801" t="str">
        <v>x</v>
      </c>
      <c r="U3801">
        <f>0.006165*F3801^2</f>
        <v>0</v>
      </c>
      <c r="V3801" t="str">
        <v>x</v>
      </c>
      <c r="W3801">
        <f>W3797</f>
        <v>8</v>
      </c>
      <c r="X3801" t="str">
        <v>x</v>
      </c>
      <c r="Y3801">
        <f>D3785</f>
        <v>4</v>
      </c>
      <c r="Z3801" t="str">
        <v>=</v>
      </c>
      <c r="AA3801">
        <f>N3801*U3801*W3801*Y3801</f>
        <v>0</v>
      </c>
    </row>
    <row r="3805">
      <c r="A3805" t="str">
        <f>A3775</f>
        <v>Lantai 2</v>
      </c>
      <c r="B3805">
        <f>B3775+1</f>
        <v>40</v>
      </c>
      <c r="C3805" t="str">
        <f>CONCATENATE(A3805," no. ",B3805)</f>
        <v>Lantai 2 no. 40</v>
      </c>
      <c r="D3805" t="str">
        <f>VLOOKUP(C3805,'Data Panjang Balok'!$C$9:$N$254,2,FALSE)</f>
        <v>B25-1</v>
      </c>
    </row>
    <row r="3806">
      <c r="C3806" t="str">
        <v>Dimensi</v>
      </c>
      <c r="D3806">
        <f>VLOOKUP(D3805,'Detail Balok'!$C$10:$AU$140,2,FALSE)</f>
        <v>200</v>
      </c>
      <c r="F3806" t="str">
        <v>x</v>
      </c>
      <c r="G3806">
        <f>VLOOKUP(D3805,'Detail Balok'!$C$10:$AU$140,3,FALSE)</f>
        <v>500</v>
      </c>
    </row>
    <row r="3807">
      <c r="C3807" t="str">
        <v>Panjang as ke as</v>
      </c>
      <c r="D3807">
        <f>VLOOKUP(C3805,'Data Panjang Balok'!$C$9:$N$254,4,FALSE)</f>
        <v>1600</v>
      </c>
    </row>
    <row r="3808">
      <c r="C3808" t="str">
        <v>Panjang netto</v>
      </c>
      <c r="D3808">
        <f>VLOOKUP(C3805,'Data Panjang Balok'!$C$9:$N$254,7,FALSE)</f>
        <v>1600</v>
      </c>
    </row>
    <row r="3809">
      <c r="C3809" t="str">
        <v>Kolom / balok kiri</v>
      </c>
      <c r="D3809">
        <f>VLOOKUP(C3805,'Data Panjang Balok'!$C$9:$N$254,9,FALSE)</f>
        <v>0</v>
      </c>
    </row>
    <row r="3810">
      <c r="C3810" t="str">
        <v>Kolom / balok kanan</v>
      </c>
      <c r="D3810">
        <f>VLOOKUP(C3805,'Data Panjang Balok'!$C$9:$N$254,10,FALSE)</f>
        <v>0</v>
      </c>
    </row>
    <row r="3811">
      <c r="C3811" t="str">
        <v>Jumlah</v>
      </c>
      <c r="D3811">
        <f>VLOOKUP(C3805,'Data Panjang Balok'!$C$9:$N$254,3,FALSE)</f>
        <v>1</v>
      </c>
    </row>
    <row r="3812">
      <c r="A3812" t="str">
        <f>A3805</f>
        <v>Lantai 2</v>
      </c>
      <c r="B3812">
        <f>B3805</f>
        <v>40</v>
      </c>
      <c r="C3812" t="str">
        <v>Tul Atas Tumpuan</v>
      </c>
      <c r="D3812">
        <f>VLOOKUP(D3805,'Detail Balok'!$C$10:$AU$140,4,FALSE)</f>
        <v>4</v>
      </c>
      <c r="E3812" t="str">
        <v>D</v>
      </c>
      <c r="F3812">
        <f>VLOOKUP(D3805,'Detail Balok'!$C$10:$AU$140,6,FALSE)</f>
        <v>16</v>
      </c>
      <c r="I3812" t="str">
        <v>(</v>
      </c>
      <c r="J3812">
        <f>+D3807/4/1000</f>
        <v>0.4</v>
      </c>
      <c r="K3812" t="str">
        <v>+</v>
      </c>
      <c r="L3812">
        <f>MAX(VLOOKUP(F3812,N$6:P$15,3,FALSE)/1000,2/3*D3809/1000)+F$16*F3812/1000</f>
        <v>0.192</v>
      </c>
      <c r="M3812" t="str">
        <v>=</v>
      </c>
      <c r="N3812">
        <f>J3812+L3812</f>
        <v>0.5920000000000001</v>
      </c>
      <c r="O3812" t="str">
        <v>+</v>
      </c>
      <c r="P3812">
        <f>D3812-D3813</f>
        <v>0</v>
      </c>
      <c r="Q3812" t="str">
        <v>x</v>
      </c>
      <c r="R3812">
        <f>IF(P3812&gt;0,$F$18*F3812/1000,0)</f>
        <v>0</v>
      </c>
      <c r="S3812" t="str">
        <v>)</v>
      </c>
      <c r="T3812" t="str">
        <v>x</v>
      </c>
      <c r="U3812">
        <f>0.006165*F3812^2</f>
        <v>1.57824</v>
      </c>
      <c r="X3812" t="str">
        <v>x</v>
      </c>
      <c r="Y3812">
        <f>D3811</f>
        <v>1</v>
      </c>
      <c r="Z3812" t="str">
        <v>=</v>
      </c>
      <c r="AA3812">
        <f>IF(AA3815=0,(D3812*N3812+P3812*R3812)*U3812*Y3812,0)</f>
        <v>0</v>
      </c>
    </row>
    <row r="3813">
      <c r="A3813" t="str">
        <f>A3805</f>
        <v>Lantai 2</v>
      </c>
      <c r="B3813">
        <f>B3805</f>
        <v>40</v>
      </c>
      <c r="C3813" t="str">
        <v>Tul Atas Lapangan</v>
      </c>
      <c r="D3813">
        <f>VLOOKUP(D3805,'Detail Balok'!$C$10:$AU$140,7,FALSE)</f>
        <v>4</v>
      </c>
      <c r="E3813" t="str">
        <v>D</v>
      </c>
      <c r="F3813">
        <f>VLOOKUP(D3805,'Detail Balok'!$C$10:$AU$140,9,FALSE)</f>
        <v>16</v>
      </c>
      <c r="I3813" t="str">
        <v>(</v>
      </c>
      <c r="J3813">
        <f>+D3807/2/1000</f>
        <v>0.8</v>
      </c>
      <c r="K3813" t="str">
        <v>+</v>
      </c>
      <c r="M3813" t="str">
        <v>=</v>
      </c>
      <c r="N3813">
        <f>J3813+L3813</f>
        <v>0.8</v>
      </c>
      <c r="O3813" t="str">
        <v>+</v>
      </c>
      <c r="P3813">
        <f>MAX(D3813-D3812,D3813-D3814)</f>
        <v>0</v>
      </c>
      <c r="Q3813" t="str">
        <v>x</v>
      </c>
      <c r="R3813">
        <f>IF(P3813&gt;0,2*(1-2*$F$19-1/2)*D3808/1000,0)</f>
        <v>0</v>
      </c>
      <c r="S3813" t="str">
        <v>)</v>
      </c>
      <c r="T3813" t="str">
        <v>x</v>
      </c>
      <c r="U3813">
        <f>0.006165*F3813^2</f>
        <v>1.57824</v>
      </c>
      <c r="X3813" t="str">
        <v>x</v>
      </c>
      <c r="Y3813">
        <f>D3811</f>
        <v>1</v>
      </c>
      <c r="Z3813" t="str">
        <v>=</v>
      </c>
      <c r="AA3813">
        <f>IF(AA3815=0,(D3813*N3813+P3813*R3813)*U3813*Y3813,0)</f>
        <v>0</v>
      </c>
    </row>
    <row r="3814">
      <c r="A3814" t="str">
        <f>A3805</f>
        <v>Lantai 2</v>
      </c>
      <c r="B3814">
        <f>B3805</f>
        <v>40</v>
      </c>
      <c r="C3814" t="str">
        <v>Tul Atas Tumpuan</v>
      </c>
      <c r="D3814">
        <f>VLOOKUP(D3805,'Detail Balok'!$C$10:$AU$140,10,FALSE)</f>
        <v>4</v>
      </c>
      <c r="E3814" t="str">
        <v>D</v>
      </c>
      <c r="F3814">
        <f>VLOOKUP(D3805,'Detail Balok'!$C$10:$AU$140,12,FALSE)</f>
        <v>16</v>
      </c>
      <c r="I3814" t="str">
        <v>(</v>
      </c>
      <c r="J3814">
        <f>+D3807/4/1000</f>
        <v>0.4</v>
      </c>
      <c r="K3814" t="str">
        <v>+</v>
      </c>
      <c r="L3814">
        <f>MAX(VLOOKUP(F3814,N$6:P$15,3,FALSE)/1000,2/3*D3809/1000)+F$16*F3814/1000</f>
        <v>0.192</v>
      </c>
      <c r="M3814" t="str">
        <v>=</v>
      </c>
      <c r="N3814">
        <f>J3814+L3814</f>
        <v>0.5920000000000001</v>
      </c>
      <c r="O3814" t="str">
        <v>+</v>
      </c>
      <c r="P3814">
        <f>D3814-D3813</f>
        <v>0</v>
      </c>
      <c r="Q3814" t="str">
        <v>x</v>
      </c>
      <c r="R3814">
        <f>IF(P3814&gt;0,$F$18*F3814/1000,0)</f>
        <v>0</v>
      </c>
      <c r="S3814" t="str">
        <v>)</v>
      </c>
      <c r="T3814" t="str">
        <v>x</v>
      </c>
      <c r="U3814">
        <f>0.006165*F3814^2</f>
        <v>1.57824</v>
      </c>
      <c r="X3814" t="str">
        <v>x</v>
      </c>
      <c r="Y3814">
        <f>D3811</f>
        <v>1</v>
      </c>
      <c r="Z3814" t="str">
        <v>=</v>
      </c>
      <c r="AA3814">
        <f>IF(AA3815=0,(D3814*N3814+P3814*R3814)*U3814*Y3814,0)</f>
        <v>0</v>
      </c>
    </row>
    <row r="3815">
      <c r="A3815" t="str">
        <f>A3805</f>
        <v>Lantai 2</v>
      </c>
      <c r="B3815">
        <f>B3805</f>
        <v>40</v>
      </c>
      <c r="D3815">
        <f>IF(AND(D3812=D3813,D3813=D3814,D3812=D3814),D3812,0)</f>
        <v>4</v>
      </c>
      <c r="E3815" t="str">
        <v>D</v>
      </c>
      <c r="F3815">
        <f>IF(AND(F3812=F3813,F3812=F3814,F3813=F3814),F3812,0)</f>
        <v>16</v>
      </c>
      <c r="L3815" t="str">
        <v>Total panjang per balok</v>
      </c>
      <c r="M3815" t="str">
        <v>=</v>
      </c>
      <c r="N3815">
        <f>IF(AND(D3812=D3813,D3812=D3814,D3813=D3814,F3812=F3813,F3812=F3814,F3813=F3814),SUM(N3812:N3814),0)</f>
        <v>1.9840000000000002</v>
      </c>
      <c r="O3815" t="str">
        <v>+</v>
      </c>
      <c r="P3815">
        <f>IF(N3815&gt;12,ROUNDDOWN(N3815/12,0),0)</f>
        <v>0</v>
      </c>
      <c r="Q3815" t="str">
        <v>x</v>
      </c>
      <c r="R3815">
        <f>IF(P3815&gt;0,MAX(VLOOKUP(F3815,$D$6:$G$15,3,FALSE),600),0)/1000</f>
        <v>0</v>
      </c>
      <c r="T3815" t="str">
        <v>x</v>
      </c>
      <c r="U3815">
        <f>U3814</f>
        <v>1.57824</v>
      </c>
      <c r="V3815" t="str">
        <v>x</v>
      </c>
      <c r="W3815">
        <f>D3815</f>
        <v>4</v>
      </c>
      <c r="X3815" t="str">
        <v>x</v>
      </c>
      <c r="Y3815">
        <f>Y3814</f>
        <v>1</v>
      </c>
      <c r="Z3815" t="str">
        <v>=</v>
      </c>
      <c r="AA3815">
        <f>(N3815+P3815*R3815/1000)*U3815*W3815*Y3815</f>
        <v>12.524912640000002</v>
      </c>
    </row>
    <row r="3817">
      <c r="A3817" t="str">
        <f>A3805</f>
        <v>Lantai 2</v>
      </c>
      <c r="B3817">
        <f>B3805</f>
        <v>40</v>
      </c>
      <c r="C3817" t="str">
        <v>Tul Peminggang</v>
      </c>
      <c r="D3817">
        <f>VLOOKUP(D3805,'Detail Balok'!$C$10:$AU$140,13,FALSE)</f>
        <v>2</v>
      </c>
      <c r="E3817" t="str">
        <v>D</v>
      </c>
      <c r="F3817">
        <f>VLOOKUP(D3805,'Detail Balok'!$C$10:$AU$140,15,FALSE)</f>
        <v>10</v>
      </c>
      <c r="J3817">
        <f>+D3807/1000</f>
        <v>1.6</v>
      </c>
      <c r="K3817" t="str">
        <v>+</v>
      </c>
      <c r="L3817">
        <f>2*$F$16*F3817/1000</f>
        <v>0.24</v>
      </c>
      <c r="M3817" t="str">
        <v>=</v>
      </c>
      <c r="N3817">
        <f>J3817+L3817</f>
        <v>1.84</v>
      </c>
      <c r="O3817" t="str">
        <v>+</v>
      </c>
      <c r="P3817">
        <f>IF(N3817&gt;12,ROUNDDOWN(N3817/12,0),0)</f>
        <v>0</v>
      </c>
      <c r="Q3817" t="str">
        <v>x</v>
      </c>
      <c r="R3817">
        <f>IF(P3817&gt;0,MAX(VLOOKUP(F3817,$D$6:$G$15,3,FALSE),600),0)/1000</f>
        <v>0</v>
      </c>
      <c r="T3817" t="str">
        <v>x</v>
      </c>
      <c r="U3817">
        <f>0.006165*F3817^2</f>
        <v>0.6165</v>
      </c>
      <c r="V3817" t="str">
        <v>x</v>
      </c>
      <c r="W3817">
        <f>+D3817</f>
        <v>2</v>
      </c>
      <c r="X3817" t="str">
        <v>x</v>
      </c>
      <c r="Y3817">
        <f>D3811</f>
        <v>1</v>
      </c>
      <c r="Z3817" t="str">
        <v>=</v>
      </c>
      <c r="AA3817">
        <f>(N3817+P3817*R3817/1000)*U3817*W3817*Y3817</f>
        <v>2.26872</v>
      </c>
    </row>
    <row r="3820">
      <c r="A3820" t="str">
        <f>A3805</f>
        <v>Lantai 2</v>
      </c>
      <c r="B3820">
        <f>B3805</f>
        <v>40</v>
      </c>
      <c r="C3820" t="str">
        <v>Tul Bawah Tumpuan</v>
      </c>
      <c r="D3820">
        <f>VLOOKUP(D3805,'Detail Balok'!$C$10:$AU$140,22,FALSE)</f>
        <v>4</v>
      </c>
      <c r="E3820" t="str">
        <v>D</v>
      </c>
      <c r="F3820">
        <f>VLOOKUP(D3805,'Detail Balok'!$C$10:$AU$140,24,FALSE)</f>
        <v>16</v>
      </c>
      <c r="I3820" t="str">
        <v>(</v>
      </c>
      <c r="J3820">
        <f>+J3812</f>
        <v>0.4</v>
      </c>
      <c r="K3820" t="str">
        <v>+</v>
      </c>
      <c r="L3820">
        <f>MAX(VLOOKUP(F3820,N$6:P$15,3,FALSE)/1000,2/3*D3810/1000)+F$16*F3820/1000</f>
        <v>0.192</v>
      </c>
      <c r="M3820" t="str">
        <v>=</v>
      </c>
      <c r="N3820">
        <f>J3820+L3820</f>
        <v>0.5920000000000001</v>
      </c>
      <c r="O3820" t="str">
        <v>+</v>
      </c>
      <c r="P3820">
        <f>D3820-D3821</f>
        <v>0</v>
      </c>
      <c r="Q3820" t="str">
        <v>x</v>
      </c>
      <c r="R3820">
        <f>IF(P3820&gt;0,$F$18*F3820/1000,0)</f>
        <v>0</v>
      </c>
      <c r="S3820" t="str">
        <v>)</v>
      </c>
      <c r="T3820" t="str">
        <v>x</v>
      </c>
      <c r="U3820">
        <f>0.006165*F3820^2</f>
        <v>1.57824</v>
      </c>
      <c r="X3820" t="str">
        <v>x</v>
      </c>
      <c r="Y3820">
        <f>D3811</f>
        <v>1</v>
      </c>
      <c r="Z3820" t="str">
        <v>=</v>
      </c>
      <c r="AA3820">
        <f>IF(AA3823=0,(D3820*N3820+P3820*R3820)*U3820*Y3820,0)</f>
        <v>0</v>
      </c>
    </row>
    <row r="3821">
      <c r="A3821" t="str">
        <f>A3805</f>
        <v>Lantai 2</v>
      </c>
      <c r="B3821">
        <f>B3805</f>
        <v>40</v>
      </c>
      <c r="C3821" t="str">
        <v>Tul Bawah Lapangan</v>
      </c>
      <c r="D3821">
        <f>VLOOKUP(D3805,'Detail Balok'!$C$10:$AU$140,25,FALSE)</f>
        <v>4</v>
      </c>
      <c r="E3821" t="str">
        <v>D</v>
      </c>
      <c r="F3821">
        <f>VLOOKUP(D3805,'Detail Balok'!$C$10:$AU$140,27,FALSE)</f>
        <v>16</v>
      </c>
      <c r="I3821" t="str">
        <v>(</v>
      </c>
      <c r="J3821">
        <f>+J3813</f>
        <v>0.8</v>
      </c>
      <c r="K3821" t="str">
        <v>+</v>
      </c>
      <c r="M3821" t="str">
        <v>=</v>
      </c>
      <c r="N3821">
        <f>J3821+L3821</f>
        <v>0.8</v>
      </c>
      <c r="O3821" t="str">
        <v>+</v>
      </c>
      <c r="P3821">
        <f>MAX(D3821-D3820,D3821-D3822)</f>
        <v>0</v>
      </c>
      <c r="Q3821" t="str">
        <v>x</v>
      </c>
      <c r="R3821">
        <f>IF(P3821&gt;0,2*(1-2*$F$19-1/2)*D3808/1000,0)</f>
        <v>0</v>
      </c>
      <c r="S3821" t="str">
        <v>)</v>
      </c>
      <c r="T3821" t="str">
        <v>x</v>
      </c>
      <c r="U3821">
        <f>0.006165*F3821^2</f>
        <v>1.57824</v>
      </c>
      <c r="X3821" t="str">
        <v>x</v>
      </c>
      <c r="Y3821">
        <f>D3811</f>
        <v>1</v>
      </c>
      <c r="Z3821" t="str">
        <v>=</v>
      </c>
      <c r="AA3821">
        <f>IF(AA3823=0,(D3821*N3821+P3821*R3821)*U3821*Y3821,0)</f>
        <v>0</v>
      </c>
    </row>
    <row r="3822">
      <c r="A3822" t="str">
        <f>A3805</f>
        <v>Lantai 2</v>
      </c>
      <c r="B3822">
        <f>B3805</f>
        <v>40</v>
      </c>
      <c r="C3822" t="str">
        <v>Tul Bawah Tumpuan</v>
      </c>
      <c r="D3822">
        <f>VLOOKUP(D3805,'Detail Balok'!$C$10:$AU$140,28,FALSE)</f>
        <v>4</v>
      </c>
      <c r="E3822" t="str">
        <v>D</v>
      </c>
      <c r="F3822">
        <f>VLOOKUP(D3805,'Detail Balok'!$C$10:$AU$140,30,FALSE)</f>
        <v>16</v>
      </c>
      <c r="I3822" t="str">
        <v>(</v>
      </c>
      <c r="J3822">
        <f>+J3814</f>
        <v>0.4</v>
      </c>
      <c r="K3822" t="str">
        <v>+</v>
      </c>
      <c r="L3822">
        <f>MAX(VLOOKUP(F3822,N$6:P$15,3,FALSE)/1000,2/3*D3810/1000)+F$16*F3822/1000</f>
        <v>0.192</v>
      </c>
      <c r="M3822" t="str">
        <v>=</v>
      </c>
      <c r="N3822">
        <f>J3822+L3822</f>
        <v>0.5920000000000001</v>
      </c>
      <c r="O3822" t="str">
        <v>+</v>
      </c>
      <c r="P3822">
        <f>D3822-D3821</f>
        <v>0</v>
      </c>
      <c r="Q3822" t="str">
        <v>x</v>
      </c>
      <c r="R3822">
        <f>IF(P3822&gt;0,$F$18*F3822/1000,0)</f>
        <v>0</v>
      </c>
      <c r="S3822" t="str">
        <v>)</v>
      </c>
      <c r="T3822" t="str">
        <v>x</v>
      </c>
      <c r="U3822">
        <f>0.006165*F3822^2</f>
        <v>1.57824</v>
      </c>
      <c r="X3822" t="str">
        <v>x</v>
      </c>
      <c r="Y3822">
        <f>D3811</f>
        <v>1</v>
      </c>
      <c r="Z3822" t="str">
        <v>=</v>
      </c>
      <c r="AA3822">
        <f>IF(AA3823=0,(D3822*N3822+P3822*R3822)*U3822*Y3822,0)</f>
        <v>0</v>
      </c>
    </row>
    <row r="3823">
      <c r="A3823" t="str">
        <f>A3805</f>
        <v>Lantai 2</v>
      </c>
      <c r="B3823">
        <f>B3805</f>
        <v>40</v>
      </c>
      <c r="D3823">
        <f>IF(AND(D3820=D3821,D3821=D3822,D3820=D3822),D3820,0)</f>
        <v>4</v>
      </c>
      <c r="E3823" t="str">
        <v>D</v>
      </c>
      <c r="F3823">
        <f>IF(AND(F3820=F3821,F3820=F3822,F3821=F3822),F3820,0)</f>
        <v>16</v>
      </c>
      <c r="L3823" t="str">
        <v>Total panjang per balok</v>
      </c>
      <c r="M3823" t="str">
        <v>=</v>
      </c>
      <c r="N3823">
        <f>IF(AND(D3820=D3821,D3820=D3822,D3821=D3822,F3820=F3821,F3820=F3822,F3821=F3822),SUM(N3820:N3822),0)</f>
        <v>1.9840000000000002</v>
      </c>
      <c r="O3823" t="str">
        <v>+</v>
      </c>
      <c r="P3823">
        <f>IF(N3823&gt;12,ROUNDDOWN(N3823/12,0),0)</f>
        <v>0</v>
      </c>
      <c r="Q3823" t="str">
        <v>x</v>
      </c>
      <c r="R3823">
        <f>IF(P3823&gt;0,MAX(VLOOKUP(F3823,$D$6:$G$15,3,FALSE),600),0)/1000</f>
        <v>0</v>
      </c>
      <c r="T3823" t="str">
        <v>x</v>
      </c>
      <c r="U3823">
        <f>U3822</f>
        <v>1.57824</v>
      </c>
      <c r="V3823" t="str">
        <v>x</v>
      </c>
      <c r="W3823">
        <f>D3823</f>
        <v>4</v>
      </c>
      <c r="X3823" t="str">
        <v>x</v>
      </c>
      <c r="Y3823">
        <f>Y3822</f>
        <v>1</v>
      </c>
      <c r="Z3823" t="str">
        <v>=</v>
      </c>
      <c r="AA3823">
        <f>(N3823+P3823*R3823/1000)*U3823*W3823*Y3823</f>
        <v>12.524912640000002</v>
      </c>
    </row>
    <row r="3825">
      <c r="A3825" t="str">
        <f>A3805</f>
        <v>Lantai 2</v>
      </c>
      <c r="B3825">
        <f>B3805</f>
        <v>40</v>
      </c>
      <c r="C3825" t="str">
        <v>Sengkang Tumpuan</v>
      </c>
      <c r="D3825">
        <f>VLOOKUP(D3805,'Detail Balok'!$C$10:$AU$140,31,FALSE)</f>
        <v>0</v>
      </c>
      <c r="E3825" t="str">
        <v>D</v>
      </c>
      <c r="F3825">
        <f>VLOOKUP(D3805,'Detail Balok'!$C$10:$AU$140,33,FALSE)</f>
        <v>10</v>
      </c>
      <c r="G3825" t="str">
        <v>-</v>
      </c>
      <c r="H3825">
        <f>VLOOKUP(D3805,'Detail Balok'!$C$10:$AU$140,35,FALSE)</f>
        <v>150</v>
      </c>
      <c r="J3825">
        <f>(IF(D3825=0,(2*(D3806+G3806))-(F$5*8),IF(D3825=3,(2*(D3806+G3806))-(F$5*8)+(G3806-2*F$5),IF(D3825=4,(2*(D3806+G3806))-(F$5*8)+2*(G3806-2*F$5)))))/1000</f>
        <v>1.08</v>
      </c>
      <c r="K3825" t="str">
        <v>+</v>
      </c>
      <c r="L3825">
        <f>IF(D3825=0,2*MAX(6*F3825,75),(D3825-1)*2*MAX(6*F3825,75))/1000</f>
        <v>0.15</v>
      </c>
      <c r="M3825" t="str">
        <v>=</v>
      </c>
      <c r="N3825">
        <f>J3825+L3825</f>
        <v>1.23</v>
      </c>
      <c r="T3825" t="str">
        <v>x</v>
      </c>
      <c r="U3825">
        <f>0.006165*F3825^2</f>
        <v>0.6165</v>
      </c>
      <c r="V3825" t="str">
        <v>x</v>
      </c>
      <c r="W3825">
        <f>IF(D3808&gt;4*G3806,ROUND(MAX(D3808/4,2*G3806)/H3825,0)+1,ROUND(D3808/H3825,0)+1)</f>
        <v>12</v>
      </c>
      <c r="X3825" t="str">
        <v>x</v>
      </c>
      <c r="Y3825">
        <f>D3811</f>
        <v>1</v>
      </c>
      <c r="Z3825" t="str">
        <v>=</v>
      </c>
      <c r="AA3825">
        <f>N3825*U3825*W3825*Y3825</f>
        <v>9.099540000000001</v>
      </c>
    </row>
    <row r="3826">
      <c r="A3826" t="str">
        <f>A3805</f>
        <v>Lantai 2</v>
      </c>
      <c r="B3826">
        <f>B3805</f>
        <v>40</v>
      </c>
      <c r="C3826" t="str">
        <v>Sengkang Lapangan</v>
      </c>
      <c r="D3826">
        <f>VLOOKUP(D3805,'Detail Balok'!$C$10:$AU$140,36,FALSE)</f>
        <v>0</v>
      </c>
      <c r="E3826" t="str">
        <v>D</v>
      </c>
      <c r="F3826">
        <f>VLOOKUP(D3805,'Detail Balok'!$C$10:$AU$140,38,FALSE)</f>
        <v>10</v>
      </c>
      <c r="G3826" t="str">
        <v>-</v>
      </c>
      <c r="H3826">
        <f>VLOOKUP(D3805,'Detail Balok'!$C$10:$AU$140,40,FALSE)</f>
        <v>200</v>
      </c>
      <c r="J3826">
        <f>(IF(D3826=0,(2*(D3806+G3806))-(F$5*8),IF(D3826=3,(2*(D3806+G3806))-(F$5*8)+(G3806-2*F$5),IF(D3826=4,(2*(D3806+G3806))-(F$5*8)+2*(G3806-2*F$5)))))/1000</f>
        <v>1.08</v>
      </c>
      <c r="K3826" t="str">
        <v>+</v>
      </c>
      <c r="L3826">
        <f>IF(D3826=0,2*MAX(6*F3826,75),(D3826-1)*2*MAX(6*F3826,75))/1000</f>
        <v>0.15</v>
      </c>
      <c r="M3826" t="str">
        <v>=</v>
      </c>
      <c r="N3826">
        <f>J3826+L3826</f>
        <v>1.23</v>
      </c>
      <c r="T3826" t="str">
        <v>x</v>
      </c>
      <c r="U3826">
        <f>0.006165*F3826^2</f>
        <v>0.6165</v>
      </c>
      <c r="V3826" t="str">
        <v>x</v>
      </c>
      <c r="W3826">
        <f>IF(D3808-MAX(D3808/4,2*G3806)*2&gt;0,ROUND((D3808-MAX(D3808/4,2*G3806)*2)/H3826,0),0)</f>
        <v>0</v>
      </c>
      <c r="X3826" t="str">
        <v>x</v>
      </c>
      <c r="Y3826">
        <f>D3811</f>
        <v>1</v>
      </c>
      <c r="Z3826" t="str">
        <v>=</v>
      </c>
      <c r="AA3826">
        <f>N3826*U3826*W3826*Y3826</f>
        <v>0</v>
      </c>
    </row>
    <row r="3827">
      <c r="A3827" t="str">
        <f>A3805</f>
        <v>Lantai 2</v>
      </c>
      <c r="B3827">
        <f>B3805</f>
        <v>40</v>
      </c>
      <c r="C3827" t="str">
        <v>Sengkang Tumpuan</v>
      </c>
      <c r="D3827">
        <f>VLOOKUP(D3805,'Detail Balok'!$C$10:$AU$140,41,FALSE)</f>
        <v>0</v>
      </c>
      <c r="E3827" t="str">
        <v>D</v>
      </c>
      <c r="F3827">
        <f>VLOOKUP(D3805,'Detail Balok'!$C$10:$AU$140,43,FALSE)</f>
        <v>10</v>
      </c>
      <c r="G3827" t="str">
        <v>-</v>
      </c>
      <c r="H3827">
        <f>VLOOKUP(D3805,'Detail Balok'!$C$10:$AU$140,45,FALSE)</f>
        <v>150</v>
      </c>
      <c r="J3827">
        <f>(IF(D3827=0,(2*(D3806+G3806))-(F$5*8),IF(D3827=3,(2*(D3806+G3806))-(F$5*8)+(G3806-2*F$5),IF(D3827=4,(2*(D3806+G3806))-(F$5*8)+2*(G3806-2*F$5)))))/1000</f>
        <v>1.08</v>
      </c>
      <c r="K3827" t="str">
        <v>+</v>
      </c>
      <c r="L3827">
        <f>IF(D3827=0,2*MAX(6*F3827,75),(D3827-1)*2*MAX(6*F3827,75))/1000</f>
        <v>0.15</v>
      </c>
      <c r="M3827" t="str">
        <v>=</v>
      </c>
      <c r="N3827">
        <f>J3827+L3827</f>
        <v>1.23</v>
      </c>
      <c r="T3827" t="str">
        <v>x</v>
      </c>
      <c r="U3827">
        <f>0.006165*F3827^2</f>
        <v>0.6165</v>
      </c>
      <c r="V3827" t="str">
        <v>x</v>
      </c>
      <c r="W3827">
        <f>IF(D3808&gt;4*G3806,ROUND(MAX(D3808/4,2*G3806)/H3827,0)+1,0)</f>
        <v>0</v>
      </c>
      <c r="X3827" t="str">
        <v>x</v>
      </c>
      <c r="Y3827">
        <f>D3811</f>
        <v>1</v>
      </c>
      <c r="Z3827" t="str">
        <v>=</v>
      </c>
      <c r="AA3827">
        <f>N3827*U3827*W3827*Y3827</f>
        <v>0</v>
      </c>
    </row>
    <row r="3829">
      <c r="A3829" t="str">
        <f>A3805</f>
        <v>Lantai 2</v>
      </c>
      <c r="B3829">
        <f>B3805</f>
        <v>40</v>
      </c>
      <c r="C3829" t="str">
        <v>Kait Horizontal Tump.</v>
      </c>
      <c r="D3829">
        <f>VLOOKUP(D3805,'Detail Balok'!$C$10:$BJ$140,46,FALSE)</f>
        <v>0</v>
      </c>
      <c r="E3829" t="str">
        <v>D</v>
      </c>
      <c r="F3829">
        <f>VLOOKUP(D3805,'Detail Balok'!$C$10:$BJ$140,48,FALSE)</f>
        <v>0</v>
      </c>
      <c r="G3829" t="str">
        <v>-</v>
      </c>
      <c r="H3829">
        <f>VLOOKUP(D3805,'Detail Balok'!$C$10:$BJ$140,50,FALSE)</f>
        <v>100</v>
      </c>
      <c r="J3829">
        <f>(D3806-2*F$5)/1000</f>
        <v>0.12</v>
      </c>
      <c r="K3829" t="str">
        <v>+</v>
      </c>
      <c r="L3829">
        <f>IF(D3829=0,2*MAX(6*F3829,75),(D3829-1)*2*MAX(6*F3829,75))/1000</f>
        <v>0.15</v>
      </c>
      <c r="M3829" t="str">
        <v>=</v>
      </c>
      <c r="N3829">
        <f>J3829+L3829</f>
        <v>0.27</v>
      </c>
      <c r="T3829" t="str">
        <v>x</v>
      </c>
      <c r="U3829">
        <f>0.006165*F3829^2</f>
        <v>0</v>
      </c>
      <c r="V3829" t="str">
        <v>x</v>
      </c>
      <c r="W3829">
        <f>W3825</f>
        <v>12</v>
      </c>
      <c r="X3829" t="str">
        <v>x</v>
      </c>
      <c r="Y3829">
        <f>D3815</f>
        <v>4</v>
      </c>
      <c r="Z3829" t="str">
        <v>=</v>
      </c>
      <c r="AA3829">
        <f>N3829*U3829*W3829*Y3829</f>
        <v>0</v>
      </c>
    </row>
    <row r="3830">
      <c r="A3830" t="str">
        <f>A3805</f>
        <v>Lantai 2</v>
      </c>
      <c r="B3830">
        <f>B3805</f>
        <v>40</v>
      </c>
      <c r="C3830" t="str">
        <v>Kait Horizontal Lap.</v>
      </c>
      <c r="D3830">
        <f>VLOOKUP(D3805,'Detail Balok'!$C$10:$BJ$140,51,FALSE)</f>
        <v>0</v>
      </c>
      <c r="E3830" t="str">
        <v>D</v>
      </c>
      <c r="F3830">
        <f>VLOOKUP(D3805,'Detail Balok'!$C$10:$BJ$140,53,FALSE)</f>
        <v>0</v>
      </c>
      <c r="G3830" t="str">
        <v>-</v>
      </c>
      <c r="H3830">
        <f>VLOOKUP(D3805,'Detail Balok'!$C$10:$BJ$140,55,FALSE)</f>
        <v>100</v>
      </c>
      <c r="J3830">
        <f>(D3806-2*F$5)/1000</f>
        <v>0.12</v>
      </c>
      <c r="K3830" t="str">
        <v>+</v>
      </c>
      <c r="L3830">
        <f>IF(D3830=0,2*MAX(6*F3830,75),(D3830-1)*2*MAX(6*F3830,75))/1000</f>
        <v>0.15</v>
      </c>
      <c r="M3830" t="str">
        <v>=</v>
      </c>
      <c r="N3830">
        <f>J3830+L3830</f>
        <v>0.27</v>
      </c>
      <c r="T3830" t="str">
        <v>x</v>
      </c>
      <c r="U3830">
        <f>0.006165*F3830^2</f>
        <v>0</v>
      </c>
      <c r="V3830" t="str">
        <v>x</v>
      </c>
      <c r="W3830">
        <f>W3826</f>
        <v>0</v>
      </c>
      <c r="X3830" t="str">
        <v>x</v>
      </c>
      <c r="Y3830">
        <f>D3815</f>
        <v>4</v>
      </c>
      <c r="Z3830" t="str">
        <v>=</v>
      </c>
      <c r="AA3830">
        <f>N3830*U3830*W3830*Y3830</f>
        <v>0</v>
      </c>
    </row>
    <row r="3831">
      <c r="A3831" t="str">
        <f>A3805</f>
        <v>Lantai 2</v>
      </c>
      <c r="B3831">
        <f>B3805</f>
        <v>40</v>
      </c>
      <c r="C3831" t="str">
        <v>Kait Horizontal Tump.</v>
      </c>
      <c r="D3831">
        <f>VLOOKUP(D3805,'Detail Balok'!$C$10:$BJ$140,56,FALSE)</f>
        <v>0</v>
      </c>
      <c r="E3831" t="str">
        <v>D</v>
      </c>
      <c r="F3831">
        <f>VLOOKUP(D3805,'Detail Balok'!$C$10:$BJ$140,58,FALSE)</f>
        <v>0</v>
      </c>
      <c r="G3831" t="str">
        <v>-</v>
      </c>
      <c r="H3831">
        <f>VLOOKUP(D3805,'Detail Balok'!$C$10:$BJ$140,60,FALSE)</f>
        <v>100</v>
      </c>
      <c r="J3831">
        <f>(D3806-2*F$5)/1000</f>
        <v>0.12</v>
      </c>
      <c r="K3831" t="str">
        <v>+</v>
      </c>
      <c r="L3831">
        <f>IF(D3831=0,2*MAX(6*F3831,75),(D3831-1)*2*MAX(6*F3831,75))/1000</f>
        <v>0.15</v>
      </c>
      <c r="M3831" t="str">
        <v>=</v>
      </c>
      <c r="N3831">
        <f>J3831+L3831</f>
        <v>0.27</v>
      </c>
      <c r="T3831" t="str">
        <v>x</v>
      </c>
      <c r="U3831">
        <f>0.006165*F3831^2</f>
        <v>0</v>
      </c>
      <c r="V3831" t="str">
        <v>x</v>
      </c>
      <c r="W3831">
        <f>W3827</f>
        <v>0</v>
      </c>
      <c r="X3831" t="str">
        <v>x</v>
      </c>
      <c r="Y3831">
        <f>D3815</f>
        <v>4</v>
      </c>
      <c r="Z3831" t="str">
        <v>=</v>
      </c>
      <c r="AA3831">
        <f>N3831*U3831*W3831*Y3831</f>
        <v>0</v>
      </c>
    </row>
    <row r="3835">
      <c r="A3835" t="str">
        <f>A3805</f>
        <v>Lantai 2</v>
      </c>
      <c r="B3835">
        <f>B3805+1</f>
        <v>41</v>
      </c>
      <c r="C3835" t="str">
        <f>CONCATENATE(A3835," no. ",B3835)</f>
        <v>Lantai 2 no. 41</v>
      </c>
      <c r="D3835" t="str">
        <f>VLOOKUP(C3835,'Data Panjang Balok'!$C$9:$N$254,2,FALSE)</f>
        <v>B25-1</v>
      </c>
    </row>
    <row r="3836">
      <c r="C3836" t="str">
        <v>Dimensi</v>
      </c>
      <c r="D3836">
        <f>VLOOKUP(D3835,'Detail Balok'!$C$10:$AU$140,2,FALSE)</f>
        <v>200</v>
      </c>
      <c r="F3836" t="str">
        <v>x</v>
      </c>
      <c r="G3836">
        <f>VLOOKUP(D3835,'Detail Balok'!$C$10:$AU$140,3,FALSE)</f>
        <v>500</v>
      </c>
    </row>
    <row r="3837">
      <c r="C3837" t="str">
        <v>Panjang as ke as</v>
      </c>
      <c r="D3837">
        <f>VLOOKUP(C3835,'Data Panjang Balok'!$C$9:$N$254,4,FALSE)</f>
        <v>22000</v>
      </c>
    </row>
    <row r="3838">
      <c r="C3838" t="str">
        <v>Panjang netto</v>
      </c>
      <c r="D3838">
        <f>VLOOKUP(C3835,'Data Panjang Balok'!$C$9:$N$254,7,FALSE)</f>
        <v>22000</v>
      </c>
    </row>
    <row r="3839">
      <c r="C3839" t="str">
        <v>Kolom / balok kiri</v>
      </c>
      <c r="D3839">
        <f>VLOOKUP(C3835,'Data Panjang Balok'!$C$9:$N$254,9,FALSE)</f>
        <v>0</v>
      </c>
    </row>
    <row r="3840">
      <c r="C3840" t="str">
        <v>Kolom / balok kanan</v>
      </c>
      <c r="D3840">
        <f>VLOOKUP(C3835,'Data Panjang Balok'!$C$9:$N$254,10,FALSE)</f>
        <v>0</v>
      </c>
    </row>
    <row r="3841">
      <c r="C3841" t="str">
        <v>Jumlah</v>
      </c>
      <c r="D3841">
        <f>VLOOKUP(C3835,'Data Panjang Balok'!$C$9:$N$254,3,FALSE)</f>
        <v>1</v>
      </c>
    </row>
    <row r="3842">
      <c r="A3842" t="str">
        <f>A3835</f>
        <v>Lantai 2</v>
      </c>
      <c r="B3842">
        <f>B3835</f>
        <v>41</v>
      </c>
      <c r="C3842" t="str">
        <v>Tul Atas Tumpuan</v>
      </c>
      <c r="D3842">
        <f>VLOOKUP(D3835,'Detail Balok'!$C$10:$AU$140,4,FALSE)</f>
        <v>4</v>
      </c>
      <c r="E3842" t="str">
        <v>D</v>
      </c>
      <c r="F3842">
        <f>VLOOKUP(D3835,'Detail Balok'!$C$10:$AU$140,6,FALSE)</f>
        <v>16</v>
      </c>
      <c r="I3842" t="str">
        <v>(</v>
      </c>
      <c r="J3842">
        <f>+D3837/4/1000</f>
        <v>5.5</v>
      </c>
      <c r="K3842" t="str">
        <v>+</v>
      </c>
      <c r="L3842">
        <f>MAX(VLOOKUP(F3842,N$6:P$15,3,FALSE)/1000,2/3*D3839/1000)+F$16*F3842/1000</f>
        <v>0.192</v>
      </c>
      <c r="M3842" t="str">
        <v>=</v>
      </c>
      <c r="N3842">
        <f>J3842+L3842</f>
        <v>5.692</v>
      </c>
      <c r="O3842" t="str">
        <v>+</v>
      </c>
      <c r="P3842">
        <f>D3842-D3843</f>
        <v>0</v>
      </c>
      <c r="Q3842" t="str">
        <v>x</v>
      </c>
      <c r="R3842">
        <f>IF(P3842&gt;0,$F$18*F3842/1000,0)</f>
        <v>0</v>
      </c>
      <c r="S3842" t="str">
        <v>)</v>
      </c>
      <c r="T3842" t="str">
        <v>x</v>
      </c>
      <c r="U3842">
        <f>0.006165*F3842^2</f>
        <v>1.57824</v>
      </c>
      <c r="X3842" t="str">
        <v>x</v>
      </c>
      <c r="Y3842">
        <f>D3841</f>
        <v>1</v>
      </c>
      <c r="Z3842" t="str">
        <v>=</v>
      </c>
      <c r="AA3842">
        <f>IF(AA3845=0,(D3842*N3842+P3842*R3842)*U3842*Y3842,0)</f>
        <v>0</v>
      </c>
    </row>
    <row r="3843">
      <c r="A3843" t="str">
        <f>A3835</f>
        <v>Lantai 2</v>
      </c>
      <c r="B3843">
        <f>B3835</f>
        <v>41</v>
      </c>
      <c r="C3843" t="str">
        <v>Tul Atas Lapangan</v>
      </c>
      <c r="D3843">
        <f>VLOOKUP(D3835,'Detail Balok'!$C$10:$AU$140,7,FALSE)</f>
        <v>4</v>
      </c>
      <c r="E3843" t="str">
        <v>D</v>
      </c>
      <c r="F3843">
        <f>VLOOKUP(D3835,'Detail Balok'!$C$10:$AU$140,9,FALSE)</f>
        <v>16</v>
      </c>
      <c r="I3843" t="str">
        <v>(</v>
      </c>
      <c r="J3843">
        <f>+D3837/2/1000</f>
        <v>11</v>
      </c>
      <c r="K3843" t="str">
        <v>+</v>
      </c>
      <c r="M3843" t="str">
        <v>=</v>
      </c>
      <c r="N3843">
        <f>J3843+L3843</f>
        <v>11</v>
      </c>
      <c r="O3843" t="str">
        <v>+</v>
      </c>
      <c r="P3843">
        <f>MAX(D3843-D3842,D3843-D3844)</f>
        <v>0</v>
      </c>
      <c r="Q3843" t="str">
        <v>x</v>
      </c>
      <c r="R3843">
        <f>IF(P3843&gt;0,2*(1-2*$F$19-1/2)*D3838/1000,0)</f>
        <v>0</v>
      </c>
      <c r="S3843" t="str">
        <v>)</v>
      </c>
      <c r="T3843" t="str">
        <v>x</v>
      </c>
      <c r="U3843">
        <f>0.006165*F3843^2</f>
        <v>1.57824</v>
      </c>
      <c r="X3843" t="str">
        <v>x</v>
      </c>
      <c r="Y3843">
        <f>D3841</f>
        <v>1</v>
      </c>
      <c r="Z3843" t="str">
        <v>=</v>
      </c>
      <c r="AA3843">
        <f>IF(AA3845=0,(D3843*N3843+P3843*R3843)*U3843*Y3843,0)</f>
        <v>0</v>
      </c>
    </row>
    <row r="3844">
      <c r="A3844" t="str">
        <f>A3835</f>
        <v>Lantai 2</v>
      </c>
      <c r="B3844">
        <f>B3835</f>
        <v>41</v>
      </c>
      <c r="C3844" t="str">
        <v>Tul Atas Tumpuan</v>
      </c>
      <c r="D3844">
        <f>VLOOKUP(D3835,'Detail Balok'!$C$10:$AU$140,10,FALSE)</f>
        <v>4</v>
      </c>
      <c r="E3844" t="str">
        <v>D</v>
      </c>
      <c r="F3844">
        <f>VLOOKUP(D3835,'Detail Balok'!$C$10:$AU$140,12,FALSE)</f>
        <v>16</v>
      </c>
      <c r="I3844" t="str">
        <v>(</v>
      </c>
      <c r="J3844">
        <f>+D3837/4/1000</f>
        <v>5.5</v>
      </c>
      <c r="K3844" t="str">
        <v>+</v>
      </c>
      <c r="L3844">
        <f>MAX(VLOOKUP(F3844,N$6:P$15,3,FALSE)/1000,2/3*D3839/1000)+F$16*F3844/1000</f>
        <v>0.192</v>
      </c>
      <c r="M3844" t="str">
        <v>=</v>
      </c>
      <c r="N3844">
        <f>J3844+L3844</f>
        <v>5.692</v>
      </c>
      <c r="O3844" t="str">
        <v>+</v>
      </c>
      <c r="P3844">
        <f>D3844-D3843</f>
        <v>0</v>
      </c>
      <c r="Q3844" t="str">
        <v>x</v>
      </c>
      <c r="R3844">
        <f>IF(P3844&gt;0,$F$18*F3844/1000,0)</f>
        <v>0</v>
      </c>
      <c r="S3844" t="str">
        <v>)</v>
      </c>
      <c r="T3844" t="str">
        <v>x</v>
      </c>
      <c r="U3844">
        <f>0.006165*F3844^2</f>
        <v>1.57824</v>
      </c>
      <c r="X3844" t="str">
        <v>x</v>
      </c>
      <c r="Y3844">
        <f>D3841</f>
        <v>1</v>
      </c>
      <c r="Z3844" t="str">
        <v>=</v>
      </c>
      <c r="AA3844">
        <f>IF(AA3845=0,(D3844*N3844+P3844*R3844)*U3844*Y3844,0)</f>
        <v>0</v>
      </c>
    </row>
    <row r="3845">
      <c r="A3845" t="str">
        <f>A3835</f>
        <v>Lantai 2</v>
      </c>
      <c r="B3845">
        <f>B3835</f>
        <v>41</v>
      </c>
      <c r="D3845">
        <f>IF(AND(D3842=D3843,D3843=D3844,D3842=D3844),D3842,0)</f>
        <v>4</v>
      </c>
      <c r="E3845" t="str">
        <v>D</v>
      </c>
      <c r="F3845">
        <f>IF(AND(F3842=F3843,F3842=F3844,F3843=F3844),F3842,0)</f>
        <v>16</v>
      </c>
      <c r="L3845" t="str">
        <v>Total panjang per balok</v>
      </c>
      <c r="M3845" t="str">
        <v>=</v>
      </c>
      <c r="N3845">
        <f>IF(AND(D3842=D3843,D3842=D3844,D3843=D3844,F3842=F3843,F3842=F3844,F3843=F3844),SUM(N3842:N3844),0)</f>
        <v>22.384</v>
      </c>
      <c r="O3845" t="str">
        <v>+</v>
      </c>
      <c r="P3845">
        <f>IF(N3845&gt;12,ROUNDDOWN(N3845/12,0),0)</f>
        <v>1</v>
      </c>
      <c r="Q3845" t="str">
        <v>x</v>
      </c>
      <c r="R3845">
        <f>IF(P3845&gt;0,MAX(VLOOKUP(F3845,$D$6:$G$15,3,FALSE),600),0)/1000</f>
        <v>0.8</v>
      </c>
      <c r="T3845" t="str">
        <v>x</v>
      </c>
      <c r="U3845">
        <f>U3844</f>
        <v>1.57824</v>
      </c>
      <c r="V3845" t="str">
        <v>x</v>
      </c>
      <c r="W3845">
        <f>D3845</f>
        <v>4</v>
      </c>
      <c r="X3845" t="str">
        <v>x</v>
      </c>
      <c r="Y3845">
        <f>Y3844</f>
        <v>1</v>
      </c>
      <c r="Z3845" t="str">
        <v>=</v>
      </c>
      <c r="AA3845">
        <f>(N3845+P3845*R3845/1000)*U3845*W3845*Y3845</f>
        <v>141.31434700800003</v>
      </c>
    </row>
    <row r="3847">
      <c r="A3847" t="str">
        <f>A3835</f>
        <v>Lantai 2</v>
      </c>
      <c r="B3847">
        <f>B3835</f>
        <v>41</v>
      </c>
      <c r="C3847" t="str">
        <v>Tul Peminggang</v>
      </c>
      <c r="D3847">
        <f>VLOOKUP(D3835,'Detail Balok'!$C$10:$AU$140,13,FALSE)</f>
        <v>2</v>
      </c>
      <c r="E3847" t="str">
        <v>D</v>
      </c>
      <c r="F3847">
        <f>VLOOKUP(D3835,'Detail Balok'!$C$10:$AU$140,15,FALSE)</f>
        <v>10</v>
      </c>
      <c r="J3847">
        <f>+D3837/1000</f>
        <v>22</v>
      </c>
      <c r="K3847" t="str">
        <v>+</v>
      </c>
      <c r="L3847">
        <f>2*$F$16*F3847/1000</f>
        <v>0.24</v>
      </c>
      <c r="M3847" t="str">
        <v>=</v>
      </c>
      <c r="N3847">
        <f>J3847+L3847</f>
        <v>22.24</v>
      </c>
      <c r="O3847" t="str">
        <v>+</v>
      </c>
      <c r="P3847">
        <f>IF(N3847&gt;12,ROUNDDOWN(N3847/12,0),0)</f>
        <v>1</v>
      </c>
      <c r="Q3847" t="str">
        <v>x</v>
      </c>
      <c r="R3847">
        <f>IF(P3847&gt;0,MAX(VLOOKUP(F3847,$D$6:$G$15,3,FALSE),600),0)/1000</f>
        <v>0.6</v>
      </c>
      <c r="T3847" t="str">
        <v>x</v>
      </c>
      <c r="U3847">
        <f>0.006165*F3847^2</f>
        <v>0.6165</v>
      </c>
      <c r="V3847" t="str">
        <v>x</v>
      </c>
      <c r="W3847">
        <f>+D3847</f>
        <v>2</v>
      </c>
      <c r="X3847" t="str">
        <v>x</v>
      </c>
      <c r="Y3847">
        <f>D3841</f>
        <v>1</v>
      </c>
      <c r="Z3847" t="str">
        <v>=</v>
      </c>
      <c r="AA3847">
        <f>(N3847+P3847*R3847/1000)*U3847*W3847*Y3847</f>
        <v>27.422659799999998</v>
      </c>
    </row>
    <row r="3850">
      <c r="A3850" t="str">
        <f>A3835</f>
        <v>Lantai 2</v>
      </c>
      <c r="B3850">
        <f>B3835</f>
        <v>41</v>
      </c>
      <c r="C3850" t="str">
        <v>Tul Bawah Tumpuan</v>
      </c>
      <c r="D3850">
        <f>VLOOKUP(D3835,'Detail Balok'!$C$10:$AU$140,22,FALSE)</f>
        <v>4</v>
      </c>
      <c r="E3850" t="str">
        <v>D</v>
      </c>
      <c r="F3850">
        <f>VLOOKUP(D3835,'Detail Balok'!$C$10:$AU$140,24,FALSE)</f>
        <v>16</v>
      </c>
      <c r="I3850" t="str">
        <v>(</v>
      </c>
      <c r="J3850">
        <f>+J3842</f>
        <v>5.5</v>
      </c>
      <c r="K3850" t="str">
        <v>+</v>
      </c>
      <c r="L3850">
        <f>MAX(VLOOKUP(F3850,N$6:P$15,3,FALSE)/1000,2/3*D3840/1000)+F$16*F3850/1000</f>
        <v>0.192</v>
      </c>
      <c r="M3850" t="str">
        <v>=</v>
      </c>
      <c r="N3850">
        <f>J3850+L3850</f>
        <v>5.692</v>
      </c>
      <c r="O3850" t="str">
        <v>+</v>
      </c>
      <c r="P3850">
        <f>D3850-D3851</f>
        <v>0</v>
      </c>
      <c r="Q3850" t="str">
        <v>x</v>
      </c>
      <c r="R3850">
        <f>IF(P3850&gt;0,$F$18*F3850/1000,0)</f>
        <v>0</v>
      </c>
      <c r="S3850" t="str">
        <v>)</v>
      </c>
      <c r="T3850" t="str">
        <v>x</v>
      </c>
      <c r="U3850">
        <f>0.006165*F3850^2</f>
        <v>1.57824</v>
      </c>
      <c r="X3850" t="str">
        <v>x</v>
      </c>
      <c r="Y3850">
        <f>D3841</f>
        <v>1</v>
      </c>
      <c r="Z3850" t="str">
        <v>=</v>
      </c>
      <c r="AA3850">
        <f>IF(AA3853=0,(D3850*N3850+P3850*R3850)*U3850*Y3850,0)</f>
        <v>0</v>
      </c>
    </row>
    <row r="3851">
      <c r="A3851" t="str">
        <f>A3835</f>
        <v>Lantai 2</v>
      </c>
      <c r="B3851">
        <f>B3835</f>
        <v>41</v>
      </c>
      <c r="C3851" t="str">
        <v>Tul Bawah Lapangan</v>
      </c>
      <c r="D3851">
        <f>VLOOKUP(D3835,'Detail Balok'!$C$10:$AU$140,25,FALSE)</f>
        <v>4</v>
      </c>
      <c r="E3851" t="str">
        <v>D</v>
      </c>
      <c r="F3851">
        <f>VLOOKUP(D3835,'Detail Balok'!$C$10:$AU$140,27,FALSE)</f>
        <v>16</v>
      </c>
      <c r="I3851" t="str">
        <v>(</v>
      </c>
      <c r="J3851">
        <f>+J3843</f>
        <v>11</v>
      </c>
      <c r="K3851" t="str">
        <v>+</v>
      </c>
      <c r="M3851" t="str">
        <v>=</v>
      </c>
      <c r="N3851">
        <f>J3851+L3851</f>
        <v>11</v>
      </c>
      <c r="O3851" t="str">
        <v>+</v>
      </c>
      <c r="P3851">
        <f>MAX(D3851-D3850,D3851-D3852)</f>
        <v>0</v>
      </c>
      <c r="Q3851" t="str">
        <v>x</v>
      </c>
      <c r="R3851">
        <f>IF(P3851&gt;0,2*(1-2*$F$19-1/2)*D3838/1000,0)</f>
        <v>0</v>
      </c>
      <c r="S3851" t="str">
        <v>)</v>
      </c>
      <c r="T3851" t="str">
        <v>x</v>
      </c>
      <c r="U3851">
        <f>0.006165*F3851^2</f>
        <v>1.57824</v>
      </c>
      <c r="X3851" t="str">
        <v>x</v>
      </c>
      <c r="Y3851">
        <f>D3841</f>
        <v>1</v>
      </c>
      <c r="Z3851" t="str">
        <v>=</v>
      </c>
      <c r="AA3851">
        <f>IF(AA3853=0,(D3851*N3851+P3851*R3851)*U3851*Y3851,0)</f>
        <v>0</v>
      </c>
    </row>
    <row r="3852">
      <c r="A3852" t="str">
        <f>A3835</f>
        <v>Lantai 2</v>
      </c>
      <c r="B3852">
        <f>B3835</f>
        <v>41</v>
      </c>
      <c r="C3852" t="str">
        <v>Tul Bawah Tumpuan</v>
      </c>
      <c r="D3852">
        <f>VLOOKUP(D3835,'Detail Balok'!$C$10:$AU$140,28,FALSE)</f>
        <v>4</v>
      </c>
      <c r="E3852" t="str">
        <v>D</v>
      </c>
      <c r="F3852">
        <f>VLOOKUP(D3835,'Detail Balok'!$C$10:$AU$140,30,FALSE)</f>
        <v>16</v>
      </c>
      <c r="I3852" t="str">
        <v>(</v>
      </c>
      <c r="J3852">
        <f>+J3844</f>
        <v>5.5</v>
      </c>
      <c r="K3852" t="str">
        <v>+</v>
      </c>
      <c r="L3852">
        <f>MAX(VLOOKUP(F3852,N$6:P$15,3,FALSE)/1000,2/3*D3840/1000)+F$16*F3852/1000</f>
        <v>0.192</v>
      </c>
      <c r="M3852" t="str">
        <v>=</v>
      </c>
      <c r="N3852">
        <f>J3852+L3852</f>
        <v>5.692</v>
      </c>
      <c r="O3852" t="str">
        <v>+</v>
      </c>
      <c r="P3852">
        <f>D3852-D3851</f>
        <v>0</v>
      </c>
      <c r="Q3852" t="str">
        <v>x</v>
      </c>
      <c r="R3852">
        <f>IF(P3852&gt;0,$F$18*F3852/1000,0)</f>
        <v>0</v>
      </c>
      <c r="S3852" t="str">
        <v>)</v>
      </c>
      <c r="T3852" t="str">
        <v>x</v>
      </c>
      <c r="U3852">
        <f>0.006165*F3852^2</f>
        <v>1.57824</v>
      </c>
      <c r="X3852" t="str">
        <v>x</v>
      </c>
      <c r="Y3852">
        <f>D3841</f>
        <v>1</v>
      </c>
      <c r="Z3852" t="str">
        <v>=</v>
      </c>
      <c r="AA3852">
        <f>IF(AA3853=0,(D3852*N3852+P3852*R3852)*U3852*Y3852,0)</f>
        <v>0</v>
      </c>
    </row>
    <row r="3853">
      <c r="A3853" t="str">
        <f>A3835</f>
        <v>Lantai 2</v>
      </c>
      <c r="B3853">
        <f>B3835</f>
        <v>41</v>
      </c>
      <c r="D3853">
        <f>IF(AND(D3850=D3851,D3851=D3852,D3850=D3852),D3850,0)</f>
        <v>4</v>
      </c>
      <c r="E3853" t="str">
        <v>D</v>
      </c>
      <c r="F3853">
        <f>IF(AND(F3850=F3851,F3850=F3852,F3851=F3852),F3850,0)</f>
        <v>16</v>
      </c>
      <c r="L3853" t="str">
        <v>Total panjang per balok</v>
      </c>
      <c r="M3853" t="str">
        <v>=</v>
      </c>
      <c r="N3853">
        <f>IF(AND(D3850=D3851,D3850=D3852,D3851=D3852,F3850=F3851,F3850=F3852,F3851=F3852),SUM(N3850:N3852),0)</f>
        <v>22.384</v>
      </c>
      <c r="O3853" t="str">
        <v>+</v>
      </c>
      <c r="P3853">
        <f>IF(N3853&gt;12,ROUNDDOWN(N3853/12,0),0)</f>
        <v>1</v>
      </c>
      <c r="Q3853" t="str">
        <v>x</v>
      </c>
      <c r="R3853">
        <f>IF(P3853&gt;0,MAX(VLOOKUP(F3853,$D$6:$G$15,3,FALSE),600),0)/1000</f>
        <v>0.8</v>
      </c>
      <c r="T3853" t="str">
        <v>x</v>
      </c>
      <c r="U3853">
        <f>U3852</f>
        <v>1.57824</v>
      </c>
      <c r="V3853" t="str">
        <v>x</v>
      </c>
      <c r="W3853">
        <f>D3853</f>
        <v>4</v>
      </c>
      <c r="X3853" t="str">
        <v>x</v>
      </c>
      <c r="Y3853">
        <f>Y3852</f>
        <v>1</v>
      </c>
      <c r="Z3853" t="str">
        <v>=</v>
      </c>
      <c r="AA3853">
        <f>(N3853+P3853*R3853/1000)*U3853*W3853*Y3853</f>
        <v>141.31434700800003</v>
      </c>
    </row>
    <row r="3855">
      <c r="A3855" t="str">
        <f>A3835</f>
        <v>Lantai 2</v>
      </c>
      <c r="B3855">
        <f>B3835</f>
        <v>41</v>
      </c>
      <c r="C3855" t="str">
        <v>Sengkang Tumpuan</v>
      </c>
      <c r="D3855">
        <f>VLOOKUP(D3835,'Detail Balok'!$C$10:$AU$140,31,FALSE)</f>
        <v>0</v>
      </c>
      <c r="E3855" t="str">
        <v>D</v>
      </c>
      <c r="F3855">
        <f>VLOOKUP(D3835,'Detail Balok'!$C$10:$AU$140,33,FALSE)</f>
        <v>10</v>
      </c>
      <c r="G3855" t="str">
        <v>-</v>
      </c>
      <c r="H3855">
        <f>VLOOKUP(D3835,'Detail Balok'!$C$10:$AU$140,35,FALSE)</f>
        <v>150</v>
      </c>
      <c r="J3855">
        <f>(IF(D3855=0,(2*(D3836+G3836))-(F$5*8),IF(D3855=3,(2*(D3836+G3836))-(F$5*8)+(G3836-2*F$5),IF(D3855=4,(2*(D3836+G3836))-(F$5*8)+2*(G3836-2*F$5)))))/1000</f>
        <v>1.08</v>
      </c>
      <c r="K3855" t="str">
        <v>+</v>
      </c>
      <c r="L3855">
        <f>IF(D3855=0,2*MAX(6*F3855,75),(D3855-1)*2*MAX(6*F3855,75))/1000</f>
        <v>0.15</v>
      </c>
      <c r="M3855" t="str">
        <v>=</v>
      </c>
      <c r="N3855">
        <f>J3855+L3855</f>
        <v>1.23</v>
      </c>
      <c r="T3855" t="str">
        <v>x</v>
      </c>
      <c r="U3855">
        <f>0.006165*F3855^2</f>
        <v>0.6165</v>
      </c>
      <c r="V3855" t="str">
        <v>x</v>
      </c>
      <c r="W3855">
        <f>IF(D3838&gt;4*G3836,ROUND(MAX(D3838/4,2*G3836)/H3855,0)+1,ROUND(D3838/H3855,0)+1)</f>
        <v>38</v>
      </c>
      <c r="X3855" t="str">
        <v>x</v>
      </c>
      <c r="Y3855">
        <f>D3841</f>
        <v>1</v>
      </c>
      <c r="Z3855" t="str">
        <v>=</v>
      </c>
      <c r="AA3855">
        <f>N3855*U3855*W3855*Y3855</f>
        <v>28.81521</v>
      </c>
    </row>
    <row r="3856">
      <c r="A3856" t="str">
        <f>A3835</f>
        <v>Lantai 2</v>
      </c>
      <c r="B3856">
        <f>B3835</f>
        <v>41</v>
      </c>
      <c r="C3856" t="str">
        <v>Sengkang Lapangan</v>
      </c>
      <c r="D3856">
        <f>VLOOKUP(D3835,'Detail Balok'!$C$10:$AU$140,36,FALSE)</f>
        <v>0</v>
      </c>
      <c r="E3856" t="str">
        <v>D</v>
      </c>
      <c r="F3856">
        <f>VLOOKUP(D3835,'Detail Balok'!$C$10:$AU$140,38,FALSE)</f>
        <v>10</v>
      </c>
      <c r="G3856" t="str">
        <v>-</v>
      </c>
      <c r="H3856">
        <f>VLOOKUP(D3835,'Detail Balok'!$C$10:$AU$140,40,FALSE)</f>
        <v>200</v>
      </c>
      <c r="J3856">
        <f>(IF(D3856=0,(2*(D3836+G3836))-(F$5*8),IF(D3856=3,(2*(D3836+G3836))-(F$5*8)+(G3836-2*F$5),IF(D3856=4,(2*(D3836+G3836))-(F$5*8)+2*(G3836-2*F$5)))))/1000</f>
        <v>1.08</v>
      </c>
      <c r="K3856" t="str">
        <v>+</v>
      </c>
      <c r="L3856">
        <f>IF(D3856=0,2*MAX(6*F3856,75),(D3856-1)*2*MAX(6*F3856,75))/1000</f>
        <v>0.15</v>
      </c>
      <c r="M3856" t="str">
        <v>=</v>
      </c>
      <c r="N3856">
        <f>J3856+L3856</f>
        <v>1.23</v>
      </c>
      <c r="T3856" t="str">
        <v>x</v>
      </c>
      <c r="U3856">
        <f>0.006165*F3856^2</f>
        <v>0.6165</v>
      </c>
      <c r="V3856" t="str">
        <v>x</v>
      </c>
      <c r="W3856">
        <f>IF(D3838-MAX(D3838/4,2*G3836)*2&gt;0,ROUND((D3838-MAX(D3838/4,2*G3836)*2)/H3856,0),0)</f>
        <v>55</v>
      </c>
      <c r="X3856" t="str">
        <v>x</v>
      </c>
      <c r="Y3856">
        <f>D3841</f>
        <v>1</v>
      </c>
      <c r="Z3856" t="str">
        <v>=</v>
      </c>
      <c r="AA3856">
        <f>N3856*U3856*W3856*Y3856</f>
        <v>41.706225</v>
      </c>
    </row>
    <row r="3857">
      <c r="A3857" t="str">
        <f>A3835</f>
        <v>Lantai 2</v>
      </c>
      <c r="B3857">
        <f>B3835</f>
        <v>41</v>
      </c>
      <c r="C3857" t="str">
        <v>Sengkang Tumpuan</v>
      </c>
      <c r="D3857">
        <f>VLOOKUP(D3835,'Detail Balok'!$C$10:$AU$140,41,FALSE)</f>
        <v>0</v>
      </c>
      <c r="E3857" t="str">
        <v>D</v>
      </c>
      <c r="F3857">
        <f>VLOOKUP(D3835,'Detail Balok'!$C$10:$AU$140,43,FALSE)</f>
        <v>10</v>
      </c>
      <c r="G3857" t="str">
        <v>-</v>
      </c>
      <c r="H3857">
        <f>VLOOKUP(D3835,'Detail Balok'!$C$10:$AU$140,45,FALSE)</f>
        <v>150</v>
      </c>
      <c r="J3857">
        <f>(IF(D3857=0,(2*(D3836+G3836))-(F$5*8),IF(D3857=3,(2*(D3836+G3836))-(F$5*8)+(G3836-2*F$5),IF(D3857=4,(2*(D3836+G3836))-(F$5*8)+2*(G3836-2*F$5)))))/1000</f>
        <v>1.08</v>
      </c>
      <c r="K3857" t="str">
        <v>+</v>
      </c>
      <c r="L3857">
        <f>IF(D3857=0,2*MAX(6*F3857,75),(D3857-1)*2*MAX(6*F3857,75))/1000</f>
        <v>0.15</v>
      </c>
      <c r="M3857" t="str">
        <v>=</v>
      </c>
      <c r="N3857">
        <f>J3857+L3857</f>
        <v>1.23</v>
      </c>
      <c r="T3857" t="str">
        <v>x</v>
      </c>
      <c r="U3857">
        <f>0.006165*F3857^2</f>
        <v>0.6165</v>
      </c>
      <c r="V3857" t="str">
        <v>x</v>
      </c>
      <c r="W3857">
        <f>IF(D3838&gt;4*G3836,ROUND(MAX(D3838/4,2*G3836)/H3857,0)+1,0)</f>
        <v>38</v>
      </c>
      <c r="X3857" t="str">
        <v>x</v>
      </c>
      <c r="Y3857">
        <f>D3841</f>
        <v>1</v>
      </c>
      <c r="Z3857" t="str">
        <v>=</v>
      </c>
      <c r="AA3857">
        <f>N3857*U3857*W3857*Y3857</f>
        <v>28.81521</v>
      </c>
    </row>
    <row r="3859">
      <c r="A3859" t="str">
        <f>A3835</f>
        <v>Lantai 2</v>
      </c>
      <c r="B3859">
        <f>B3835</f>
        <v>41</v>
      </c>
      <c r="C3859" t="str">
        <v>Kait Horizontal Tump.</v>
      </c>
      <c r="D3859">
        <f>VLOOKUP(D3835,'Detail Balok'!$C$10:$BJ$140,46,FALSE)</f>
        <v>0</v>
      </c>
      <c r="E3859" t="str">
        <v>D</v>
      </c>
      <c r="F3859">
        <f>VLOOKUP(D3835,'Detail Balok'!$C$10:$BJ$140,48,FALSE)</f>
        <v>0</v>
      </c>
      <c r="G3859" t="str">
        <v>-</v>
      </c>
      <c r="H3859">
        <f>VLOOKUP(D3835,'Detail Balok'!$C$10:$BJ$140,50,FALSE)</f>
        <v>100</v>
      </c>
      <c r="J3859">
        <f>(D3836-2*F$5)/1000</f>
        <v>0.12</v>
      </c>
      <c r="K3859" t="str">
        <v>+</v>
      </c>
      <c r="L3859">
        <f>IF(D3859=0,2*MAX(6*F3859,75),(D3859-1)*2*MAX(6*F3859,75))/1000</f>
        <v>0.15</v>
      </c>
      <c r="M3859" t="str">
        <v>=</v>
      </c>
      <c r="N3859">
        <f>J3859+L3859</f>
        <v>0.27</v>
      </c>
      <c r="T3859" t="str">
        <v>x</v>
      </c>
      <c r="U3859">
        <f>0.006165*F3859^2</f>
        <v>0</v>
      </c>
      <c r="V3859" t="str">
        <v>x</v>
      </c>
      <c r="W3859">
        <f>W3855</f>
        <v>38</v>
      </c>
      <c r="X3859" t="str">
        <v>x</v>
      </c>
      <c r="Y3859">
        <f>D3845</f>
        <v>4</v>
      </c>
      <c r="Z3859" t="str">
        <v>=</v>
      </c>
      <c r="AA3859">
        <f>N3859*U3859*W3859*Y3859</f>
        <v>0</v>
      </c>
    </row>
    <row r="3860">
      <c r="A3860" t="str">
        <f>A3835</f>
        <v>Lantai 2</v>
      </c>
      <c r="B3860">
        <f>B3835</f>
        <v>41</v>
      </c>
      <c r="C3860" t="str">
        <v>Kait Horizontal Lap.</v>
      </c>
      <c r="D3860">
        <f>VLOOKUP(D3835,'Detail Balok'!$C$10:$BJ$140,51,FALSE)</f>
        <v>0</v>
      </c>
      <c r="E3860" t="str">
        <v>D</v>
      </c>
      <c r="F3860">
        <f>VLOOKUP(D3835,'Detail Balok'!$C$10:$BJ$140,53,FALSE)</f>
        <v>0</v>
      </c>
      <c r="G3860" t="str">
        <v>-</v>
      </c>
      <c r="H3860">
        <f>VLOOKUP(D3835,'Detail Balok'!$C$10:$BJ$140,55,FALSE)</f>
        <v>100</v>
      </c>
      <c r="J3860">
        <f>(D3836-2*F$5)/1000</f>
        <v>0.12</v>
      </c>
      <c r="K3860" t="str">
        <v>+</v>
      </c>
      <c r="L3860">
        <f>IF(D3860=0,2*MAX(6*F3860,75),(D3860-1)*2*MAX(6*F3860,75))/1000</f>
        <v>0.15</v>
      </c>
      <c r="M3860" t="str">
        <v>=</v>
      </c>
      <c r="N3860">
        <f>J3860+L3860</f>
        <v>0.27</v>
      </c>
      <c r="T3860" t="str">
        <v>x</v>
      </c>
      <c r="U3860">
        <f>0.006165*F3860^2</f>
        <v>0</v>
      </c>
      <c r="V3860" t="str">
        <v>x</v>
      </c>
      <c r="W3860">
        <f>W3856</f>
        <v>55</v>
      </c>
      <c r="X3860" t="str">
        <v>x</v>
      </c>
      <c r="Y3860">
        <f>D3845</f>
        <v>4</v>
      </c>
      <c r="Z3860" t="str">
        <v>=</v>
      </c>
      <c r="AA3860">
        <f>N3860*U3860*W3860*Y3860</f>
        <v>0</v>
      </c>
    </row>
    <row r="3861">
      <c r="A3861" t="str">
        <f>A3835</f>
        <v>Lantai 2</v>
      </c>
      <c r="B3861">
        <f>B3835</f>
        <v>41</v>
      </c>
      <c r="C3861" t="str">
        <v>Kait Horizontal Tump.</v>
      </c>
      <c r="D3861">
        <f>VLOOKUP(D3835,'Detail Balok'!$C$10:$BJ$140,56,FALSE)</f>
        <v>0</v>
      </c>
      <c r="E3861" t="str">
        <v>D</v>
      </c>
      <c r="F3861">
        <f>VLOOKUP(D3835,'Detail Balok'!$C$10:$BJ$140,58,FALSE)</f>
        <v>0</v>
      </c>
      <c r="G3861" t="str">
        <v>-</v>
      </c>
      <c r="H3861">
        <f>VLOOKUP(D3835,'Detail Balok'!$C$10:$BJ$140,60,FALSE)</f>
        <v>100</v>
      </c>
      <c r="J3861">
        <f>(D3836-2*F$5)/1000</f>
        <v>0.12</v>
      </c>
      <c r="K3861" t="str">
        <v>+</v>
      </c>
      <c r="L3861">
        <f>IF(D3861=0,2*MAX(6*F3861,75),(D3861-1)*2*MAX(6*F3861,75))/1000</f>
        <v>0.15</v>
      </c>
      <c r="M3861" t="str">
        <v>=</v>
      </c>
      <c r="N3861">
        <f>J3861+L3861</f>
        <v>0.27</v>
      </c>
      <c r="T3861" t="str">
        <v>x</v>
      </c>
      <c r="U3861">
        <f>0.006165*F3861^2</f>
        <v>0</v>
      </c>
      <c r="V3861" t="str">
        <v>x</v>
      </c>
      <c r="W3861">
        <f>W3857</f>
        <v>38</v>
      </c>
      <c r="X3861" t="str">
        <v>x</v>
      </c>
      <c r="Y3861">
        <f>D3845</f>
        <v>4</v>
      </c>
      <c r="Z3861" t="str">
        <v>=</v>
      </c>
      <c r="AA3861">
        <f>N3861*U3861*W3861*Y3861</f>
        <v>0</v>
      </c>
    </row>
    <row r="3865">
      <c r="A3865" t="str">
        <f>A3835</f>
        <v>Lantai 2</v>
      </c>
      <c r="B3865">
        <f>B3835+1</f>
        <v>42</v>
      </c>
      <c r="C3865" t="str">
        <f>CONCATENATE(A3865," no. ",B3865)</f>
        <v>Lantai 2 no. 42</v>
      </c>
      <c r="D3865" t="str">
        <f>VLOOKUP(C3865,'Data Panjang Balok'!$C$9:$N$254,2,FALSE)</f>
        <v>CL24-1</v>
      </c>
    </row>
    <row r="3866">
      <c r="C3866" t="str">
        <v>Dimensi</v>
      </c>
      <c r="D3866">
        <f>VLOOKUP(D3865,'Detail Balok'!$C$10:$AU$140,2,FALSE)</f>
        <v>200</v>
      </c>
      <c r="F3866" t="str">
        <v>x</v>
      </c>
      <c r="G3866">
        <f>VLOOKUP(D3865,'Detail Balok'!$C$10:$AU$140,3,FALSE)</f>
        <v>400</v>
      </c>
    </row>
    <row r="3867">
      <c r="C3867" t="str">
        <v>Panjang as ke as</v>
      </c>
      <c r="D3867">
        <f>VLOOKUP(C3865,'Data Panjang Balok'!$C$9:$N$254,4,FALSE)</f>
        <v>3090</v>
      </c>
    </row>
    <row r="3868">
      <c r="C3868" t="str">
        <v>Panjang netto</v>
      </c>
      <c r="D3868">
        <f>VLOOKUP(C3865,'Data Panjang Balok'!$C$9:$N$254,7,FALSE)</f>
        <v>3090</v>
      </c>
    </row>
    <row r="3869">
      <c r="C3869" t="str">
        <v>Kolom / balok kiri</v>
      </c>
      <c r="D3869">
        <f>VLOOKUP(C3865,'Data Panjang Balok'!$C$9:$N$254,9,FALSE)</f>
        <v>0</v>
      </c>
    </row>
    <row r="3870">
      <c r="C3870" t="str">
        <v>Kolom / balok kanan</v>
      </c>
      <c r="D3870">
        <f>VLOOKUP(C3865,'Data Panjang Balok'!$C$9:$N$254,10,FALSE)</f>
        <v>0</v>
      </c>
    </row>
    <row r="3871">
      <c r="C3871" t="str">
        <v>Jumlah</v>
      </c>
      <c r="D3871">
        <f>VLOOKUP(C3865,'Data Panjang Balok'!$C$9:$N$254,3,FALSE)</f>
        <v>1</v>
      </c>
    </row>
    <row r="3872">
      <c r="A3872" t="str">
        <f>A3865</f>
        <v>Lantai 2</v>
      </c>
      <c r="B3872">
        <f>B3865</f>
        <v>42</v>
      </c>
      <c r="C3872" t="str">
        <v>Tul Atas Tumpuan</v>
      </c>
      <c r="D3872">
        <f>VLOOKUP(D3865,'Detail Balok'!$C$10:$AU$140,4,FALSE)</f>
        <v>3</v>
      </c>
      <c r="E3872" t="str">
        <v>D</v>
      </c>
      <c r="F3872">
        <f>VLOOKUP(D3865,'Detail Balok'!$C$10:$AU$140,6,FALSE)</f>
        <v>16</v>
      </c>
      <c r="I3872" t="str">
        <v>(</v>
      </c>
      <c r="J3872">
        <f>+D3867/4/1000</f>
        <v>0.7725</v>
      </c>
      <c r="K3872" t="str">
        <v>+</v>
      </c>
      <c r="L3872">
        <f>MAX(VLOOKUP(F3872,N$6:P$15,3,FALSE)/1000,2/3*D3869/1000)+F$16*F3872/1000</f>
        <v>0.192</v>
      </c>
      <c r="M3872" t="str">
        <v>=</v>
      </c>
      <c r="N3872">
        <f>J3872+L3872</f>
        <v>0.9644999999999999</v>
      </c>
      <c r="O3872" t="str">
        <v>+</v>
      </c>
      <c r="P3872">
        <f>D3872-D3873</f>
        <v>0</v>
      </c>
      <c r="Q3872" t="str">
        <v>x</v>
      </c>
      <c r="R3872">
        <f>IF(P3872&gt;0,$F$18*F3872/1000,0)</f>
        <v>0</v>
      </c>
      <c r="S3872" t="str">
        <v>)</v>
      </c>
      <c r="T3872" t="str">
        <v>x</v>
      </c>
      <c r="U3872">
        <f>0.006165*F3872^2</f>
        <v>1.57824</v>
      </c>
      <c r="X3872" t="str">
        <v>x</v>
      </c>
      <c r="Y3872">
        <f>D3871</f>
        <v>1</v>
      </c>
      <c r="Z3872" t="str">
        <v>=</v>
      </c>
      <c r="AA3872">
        <f>IF(AA3875=0,(D3872*N3872+P3872*R3872)*U3872*Y3872,0)</f>
        <v>0</v>
      </c>
    </row>
    <row r="3873">
      <c r="A3873" t="str">
        <f>A3865</f>
        <v>Lantai 2</v>
      </c>
      <c r="B3873">
        <f>B3865</f>
        <v>42</v>
      </c>
      <c r="C3873" t="str">
        <v>Tul Atas Lapangan</v>
      </c>
      <c r="D3873">
        <f>VLOOKUP(D3865,'Detail Balok'!$C$10:$AU$140,7,FALSE)</f>
        <v>3</v>
      </c>
      <c r="E3873" t="str">
        <v>D</v>
      </c>
      <c r="F3873">
        <f>VLOOKUP(D3865,'Detail Balok'!$C$10:$AU$140,9,FALSE)</f>
        <v>16</v>
      </c>
      <c r="I3873" t="str">
        <v>(</v>
      </c>
      <c r="J3873">
        <f>+D3867/2/1000</f>
        <v>1.545</v>
      </c>
      <c r="K3873" t="str">
        <v>+</v>
      </c>
      <c r="M3873" t="str">
        <v>=</v>
      </c>
      <c r="N3873">
        <f>J3873+L3873</f>
        <v>1.545</v>
      </c>
      <c r="O3873" t="str">
        <v>+</v>
      </c>
      <c r="P3873">
        <f>MAX(D3873-D3872,D3873-D3874)</f>
        <v>0</v>
      </c>
      <c r="Q3873" t="str">
        <v>x</v>
      </c>
      <c r="R3873">
        <f>IF(P3873&gt;0,2*(1-2*$F$19-1/2)*D3868/1000,0)</f>
        <v>0</v>
      </c>
      <c r="S3873" t="str">
        <v>)</v>
      </c>
      <c r="T3873" t="str">
        <v>x</v>
      </c>
      <c r="U3873">
        <f>0.006165*F3873^2</f>
        <v>1.57824</v>
      </c>
      <c r="X3873" t="str">
        <v>x</v>
      </c>
      <c r="Y3873">
        <f>D3871</f>
        <v>1</v>
      </c>
      <c r="Z3873" t="str">
        <v>=</v>
      </c>
      <c r="AA3873">
        <f>IF(AA3875=0,(D3873*N3873+P3873*R3873)*U3873*Y3873,0)</f>
        <v>0</v>
      </c>
    </row>
    <row r="3874">
      <c r="A3874" t="str">
        <f>A3865</f>
        <v>Lantai 2</v>
      </c>
      <c r="B3874">
        <f>B3865</f>
        <v>42</v>
      </c>
      <c r="C3874" t="str">
        <v>Tul Atas Tumpuan</v>
      </c>
      <c r="D3874">
        <f>VLOOKUP(D3865,'Detail Balok'!$C$10:$AU$140,10,FALSE)</f>
        <v>3</v>
      </c>
      <c r="E3874" t="str">
        <v>D</v>
      </c>
      <c r="F3874">
        <f>VLOOKUP(D3865,'Detail Balok'!$C$10:$AU$140,12,FALSE)</f>
        <v>16</v>
      </c>
      <c r="I3874" t="str">
        <v>(</v>
      </c>
      <c r="J3874">
        <f>+D3867/4/1000</f>
        <v>0.7725</v>
      </c>
      <c r="K3874" t="str">
        <v>+</v>
      </c>
      <c r="L3874">
        <f>MAX(VLOOKUP(F3874,N$6:P$15,3,FALSE)/1000,2/3*D3869/1000)+F$16*F3874/1000</f>
        <v>0.192</v>
      </c>
      <c r="M3874" t="str">
        <v>=</v>
      </c>
      <c r="N3874">
        <f>J3874+L3874</f>
        <v>0.9644999999999999</v>
      </c>
      <c r="O3874" t="str">
        <v>+</v>
      </c>
      <c r="P3874">
        <f>D3874-D3873</f>
        <v>0</v>
      </c>
      <c r="Q3874" t="str">
        <v>x</v>
      </c>
      <c r="R3874">
        <f>IF(P3874&gt;0,$F$18*F3874/1000,0)</f>
        <v>0</v>
      </c>
      <c r="S3874" t="str">
        <v>)</v>
      </c>
      <c r="T3874" t="str">
        <v>x</v>
      </c>
      <c r="U3874">
        <f>0.006165*F3874^2</f>
        <v>1.57824</v>
      </c>
      <c r="X3874" t="str">
        <v>x</v>
      </c>
      <c r="Y3874">
        <f>D3871</f>
        <v>1</v>
      </c>
      <c r="Z3874" t="str">
        <v>=</v>
      </c>
      <c r="AA3874">
        <f>IF(AA3875=0,(D3874*N3874+P3874*R3874)*U3874*Y3874,0)</f>
        <v>0</v>
      </c>
    </row>
    <row r="3875">
      <c r="A3875" t="str">
        <f>A3865</f>
        <v>Lantai 2</v>
      </c>
      <c r="B3875">
        <f>B3865</f>
        <v>42</v>
      </c>
      <c r="D3875">
        <f>IF(AND(D3872=D3873,D3873=D3874,D3872=D3874),D3872,0)</f>
        <v>3</v>
      </c>
      <c r="E3875" t="str">
        <v>D</v>
      </c>
      <c r="F3875">
        <f>IF(AND(F3872=F3873,F3872=F3874,F3873=F3874),F3872,0)</f>
        <v>16</v>
      </c>
      <c r="L3875" t="str">
        <v>Total panjang per balok</v>
      </c>
      <c r="M3875" t="str">
        <v>=</v>
      </c>
      <c r="N3875">
        <f>IF(AND(D3872=D3873,D3872=D3874,D3873=D3874,F3872=F3873,F3872=F3874,F3873=F3874),SUM(N3872:N3874),0)</f>
        <v>3.474</v>
      </c>
      <c r="O3875" t="str">
        <v>+</v>
      </c>
      <c r="P3875">
        <f>IF(N3875&gt;12,ROUNDDOWN(N3875/12,0),0)</f>
        <v>0</v>
      </c>
      <c r="Q3875" t="str">
        <v>x</v>
      </c>
      <c r="R3875">
        <f>IF(P3875&gt;0,MAX(VLOOKUP(F3875,$D$6:$G$15,3,FALSE),600),0)/1000</f>
        <v>0</v>
      </c>
      <c r="T3875" t="str">
        <v>x</v>
      </c>
      <c r="U3875">
        <f>U3874</f>
        <v>1.57824</v>
      </c>
      <c r="V3875" t="str">
        <v>x</v>
      </c>
      <c r="W3875">
        <f>D3875</f>
        <v>3</v>
      </c>
      <c r="X3875" t="str">
        <v>x</v>
      </c>
      <c r="Y3875">
        <f>Y3874</f>
        <v>1</v>
      </c>
      <c r="Z3875" t="str">
        <v>=</v>
      </c>
      <c r="AA3875">
        <f>(N3875+P3875*R3875/1000)*U3875*W3875*Y3875</f>
        <v>16.44841728</v>
      </c>
    </row>
    <row r="3877">
      <c r="A3877" t="str">
        <f>A3865</f>
        <v>Lantai 2</v>
      </c>
      <c r="B3877">
        <f>B3865</f>
        <v>42</v>
      </c>
      <c r="C3877" t="str">
        <v>Tul Peminggang</v>
      </c>
      <c r="D3877">
        <f>VLOOKUP(D3865,'Detail Balok'!$C$10:$AU$140,13,FALSE)</f>
        <v>0</v>
      </c>
      <c r="E3877" t="str">
        <v>D</v>
      </c>
      <c r="F3877">
        <f>VLOOKUP(D3865,'Detail Balok'!$C$10:$AU$140,15,FALSE)</f>
        <v>8</v>
      </c>
      <c r="J3877">
        <f>+D3867/1000</f>
        <v>3.09</v>
      </c>
      <c r="K3877" t="str">
        <v>+</v>
      </c>
      <c r="L3877">
        <f>2*$F$16*F3877/1000</f>
        <v>0.192</v>
      </c>
      <c r="M3877" t="str">
        <v>=</v>
      </c>
      <c r="N3877">
        <f>J3877+L3877</f>
        <v>3.282</v>
      </c>
      <c r="O3877" t="str">
        <v>+</v>
      </c>
      <c r="P3877">
        <f>IF(N3877&gt;12,ROUNDDOWN(N3877/12,0),0)</f>
        <v>0</v>
      </c>
      <c r="Q3877" t="str">
        <v>x</v>
      </c>
      <c r="R3877">
        <f>IF(P3877&gt;0,MAX(VLOOKUP(F3877,$D$6:$G$15,3,FALSE),600),0)/1000</f>
        <v>0</v>
      </c>
      <c r="T3877" t="str">
        <v>x</v>
      </c>
      <c r="U3877">
        <f>0.006165*F3877^2</f>
        <v>0.39456</v>
      </c>
      <c r="V3877" t="str">
        <v>x</v>
      </c>
      <c r="W3877">
        <f>+D3877</f>
        <v>0</v>
      </c>
      <c r="X3877" t="str">
        <v>x</v>
      </c>
      <c r="Y3877">
        <f>D3871</f>
        <v>1</v>
      </c>
      <c r="Z3877" t="str">
        <v>=</v>
      </c>
      <c r="AA3877">
        <f>(N3877+P3877*R3877/1000)*U3877*W3877*Y3877</f>
        <v>0</v>
      </c>
    </row>
    <row r="3880">
      <c r="A3880" t="str">
        <f>A3865</f>
        <v>Lantai 2</v>
      </c>
      <c r="B3880">
        <f>B3865</f>
        <v>42</v>
      </c>
      <c r="C3880" t="str">
        <v>Tul Bawah Tumpuan</v>
      </c>
      <c r="D3880">
        <f>VLOOKUP(D3865,'Detail Balok'!$C$10:$AU$140,22,FALSE)</f>
        <v>3</v>
      </c>
      <c r="E3880" t="str">
        <v>D</v>
      </c>
      <c r="F3880">
        <f>VLOOKUP(D3865,'Detail Balok'!$C$10:$AU$140,24,FALSE)</f>
        <v>16</v>
      </c>
      <c r="I3880" t="str">
        <v>(</v>
      </c>
      <c r="J3880">
        <f>+J3872</f>
        <v>0.7725</v>
      </c>
      <c r="K3880" t="str">
        <v>+</v>
      </c>
      <c r="L3880">
        <f>MAX(VLOOKUP(F3880,N$6:P$15,3,FALSE)/1000,2/3*D3870/1000)+F$16*F3880/1000</f>
        <v>0.192</v>
      </c>
      <c r="M3880" t="str">
        <v>=</v>
      </c>
      <c r="N3880">
        <f>J3880+L3880</f>
        <v>0.9644999999999999</v>
      </c>
      <c r="O3880" t="str">
        <v>+</v>
      </c>
      <c r="P3880">
        <f>D3880-D3881</f>
        <v>0</v>
      </c>
      <c r="Q3880" t="str">
        <v>x</v>
      </c>
      <c r="R3880">
        <f>IF(P3880&gt;0,$F$18*F3880/1000,0)</f>
        <v>0</v>
      </c>
      <c r="S3880" t="str">
        <v>)</v>
      </c>
      <c r="T3880" t="str">
        <v>x</v>
      </c>
      <c r="U3880">
        <f>0.006165*F3880^2</f>
        <v>1.57824</v>
      </c>
      <c r="X3880" t="str">
        <v>x</v>
      </c>
      <c r="Y3880">
        <f>D3871</f>
        <v>1</v>
      </c>
      <c r="Z3880" t="str">
        <v>=</v>
      </c>
      <c r="AA3880">
        <f>IF(AA3883=0,(D3880*N3880+P3880*R3880)*U3880*Y3880,0)</f>
        <v>0</v>
      </c>
    </row>
    <row r="3881">
      <c r="A3881" t="str">
        <f>A3865</f>
        <v>Lantai 2</v>
      </c>
      <c r="B3881">
        <f>B3865</f>
        <v>42</v>
      </c>
      <c r="C3881" t="str">
        <v>Tul Bawah Lapangan</v>
      </c>
      <c r="D3881">
        <f>VLOOKUP(D3865,'Detail Balok'!$C$10:$AU$140,25,FALSE)</f>
        <v>3</v>
      </c>
      <c r="E3881" t="str">
        <v>D</v>
      </c>
      <c r="F3881">
        <f>VLOOKUP(D3865,'Detail Balok'!$C$10:$AU$140,27,FALSE)</f>
        <v>16</v>
      </c>
      <c r="I3881" t="str">
        <v>(</v>
      </c>
      <c r="J3881">
        <f>+J3873</f>
        <v>1.545</v>
      </c>
      <c r="K3881" t="str">
        <v>+</v>
      </c>
      <c r="M3881" t="str">
        <v>=</v>
      </c>
      <c r="N3881">
        <f>J3881+L3881</f>
        <v>1.545</v>
      </c>
      <c r="O3881" t="str">
        <v>+</v>
      </c>
      <c r="P3881">
        <f>MAX(D3881-D3880,D3881-D3882)</f>
        <v>0</v>
      </c>
      <c r="Q3881" t="str">
        <v>x</v>
      </c>
      <c r="R3881">
        <f>IF(P3881&gt;0,2*(1-2*$F$19-1/2)*D3868/1000,0)</f>
        <v>0</v>
      </c>
      <c r="S3881" t="str">
        <v>)</v>
      </c>
      <c r="T3881" t="str">
        <v>x</v>
      </c>
      <c r="U3881">
        <f>0.006165*F3881^2</f>
        <v>1.57824</v>
      </c>
      <c r="X3881" t="str">
        <v>x</v>
      </c>
      <c r="Y3881">
        <f>D3871</f>
        <v>1</v>
      </c>
      <c r="Z3881" t="str">
        <v>=</v>
      </c>
      <c r="AA3881">
        <f>IF(AA3883=0,(D3881*N3881+P3881*R3881)*U3881*Y3881,0)</f>
        <v>0</v>
      </c>
    </row>
    <row r="3882">
      <c r="A3882" t="str">
        <f>A3865</f>
        <v>Lantai 2</v>
      </c>
      <c r="B3882">
        <f>B3865</f>
        <v>42</v>
      </c>
      <c r="C3882" t="str">
        <v>Tul Bawah Tumpuan</v>
      </c>
      <c r="D3882">
        <f>VLOOKUP(D3865,'Detail Balok'!$C$10:$AU$140,28,FALSE)</f>
        <v>3</v>
      </c>
      <c r="E3882" t="str">
        <v>D</v>
      </c>
      <c r="F3882">
        <f>VLOOKUP(D3865,'Detail Balok'!$C$10:$AU$140,30,FALSE)</f>
        <v>16</v>
      </c>
      <c r="I3882" t="str">
        <v>(</v>
      </c>
      <c r="J3882">
        <f>+J3874</f>
        <v>0.7725</v>
      </c>
      <c r="K3882" t="str">
        <v>+</v>
      </c>
      <c r="L3882">
        <f>MAX(VLOOKUP(F3882,N$6:P$15,3,FALSE)/1000,2/3*D3870/1000)+F$16*F3882/1000</f>
        <v>0.192</v>
      </c>
      <c r="M3882" t="str">
        <v>=</v>
      </c>
      <c r="N3882">
        <f>J3882+L3882</f>
        <v>0.9644999999999999</v>
      </c>
      <c r="O3882" t="str">
        <v>+</v>
      </c>
      <c r="P3882">
        <f>D3882-D3881</f>
        <v>0</v>
      </c>
      <c r="Q3882" t="str">
        <v>x</v>
      </c>
      <c r="R3882">
        <f>IF(P3882&gt;0,$F$18*F3882/1000,0)</f>
        <v>0</v>
      </c>
      <c r="S3882" t="str">
        <v>)</v>
      </c>
      <c r="T3882" t="str">
        <v>x</v>
      </c>
      <c r="U3882">
        <f>0.006165*F3882^2</f>
        <v>1.57824</v>
      </c>
      <c r="X3882" t="str">
        <v>x</v>
      </c>
      <c r="Y3882">
        <f>D3871</f>
        <v>1</v>
      </c>
      <c r="Z3882" t="str">
        <v>=</v>
      </c>
      <c r="AA3882">
        <f>IF(AA3883=0,(D3882*N3882+P3882*R3882)*U3882*Y3882,0)</f>
        <v>0</v>
      </c>
    </row>
    <row r="3883">
      <c r="A3883" t="str">
        <f>A3865</f>
        <v>Lantai 2</v>
      </c>
      <c r="B3883">
        <f>B3865</f>
        <v>42</v>
      </c>
      <c r="D3883">
        <f>IF(AND(D3880=D3881,D3881=D3882,D3880=D3882),D3880,0)</f>
        <v>3</v>
      </c>
      <c r="E3883" t="str">
        <v>D</v>
      </c>
      <c r="F3883">
        <f>IF(AND(F3880=F3881,F3880=F3882,F3881=F3882),F3880,0)</f>
        <v>16</v>
      </c>
      <c r="L3883" t="str">
        <v>Total panjang per balok</v>
      </c>
      <c r="M3883" t="str">
        <v>=</v>
      </c>
      <c r="N3883">
        <f>IF(AND(D3880=D3881,D3880=D3882,D3881=D3882,F3880=F3881,F3880=F3882,F3881=F3882),SUM(N3880:N3882),0)</f>
        <v>3.474</v>
      </c>
      <c r="O3883" t="str">
        <v>+</v>
      </c>
      <c r="P3883">
        <f>IF(N3883&gt;12,ROUNDDOWN(N3883/12,0),0)</f>
        <v>0</v>
      </c>
      <c r="Q3883" t="str">
        <v>x</v>
      </c>
      <c r="R3883">
        <f>IF(P3883&gt;0,MAX(VLOOKUP(F3883,$D$6:$G$15,3,FALSE),600),0)/1000</f>
        <v>0</v>
      </c>
      <c r="T3883" t="str">
        <v>x</v>
      </c>
      <c r="U3883">
        <f>U3882</f>
        <v>1.57824</v>
      </c>
      <c r="V3883" t="str">
        <v>x</v>
      </c>
      <c r="W3883">
        <f>D3883</f>
        <v>3</v>
      </c>
      <c r="X3883" t="str">
        <v>x</v>
      </c>
      <c r="Y3883">
        <f>Y3882</f>
        <v>1</v>
      </c>
      <c r="Z3883" t="str">
        <v>=</v>
      </c>
      <c r="AA3883">
        <f>(N3883+P3883*R3883/1000)*U3883*W3883*Y3883</f>
        <v>16.44841728</v>
      </c>
    </row>
    <row r="3885">
      <c r="A3885" t="str">
        <f>A3865</f>
        <v>Lantai 2</v>
      </c>
      <c r="B3885">
        <f>B3865</f>
        <v>42</v>
      </c>
      <c r="C3885" t="str">
        <v>Sengkang Tumpuan</v>
      </c>
      <c r="D3885">
        <f>VLOOKUP(D3865,'Detail Balok'!$C$10:$AU$140,31,FALSE)</f>
        <v>0</v>
      </c>
      <c r="E3885" t="str">
        <v>D</v>
      </c>
      <c r="F3885">
        <f>VLOOKUP(D3865,'Detail Balok'!$C$10:$AU$140,33,FALSE)</f>
        <v>10</v>
      </c>
      <c r="G3885" t="str">
        <v>-</v>
      </c>
      <c r="H3885">
        <f>VLOOKUP(D3865,'Detail Balok'!$C$10:$AU$140,35,FALSE)</f>
        <v>100</v>
      </c>
      <c r="J3885">
        <f>(IF(D3885=0,(2*(D3866+G3866))-(F$5*8),IF(D3885=3,(2*(D3866+G3866))-(F$5*8)+(G3866-2*F$5),IF(D3885=4,(2*(D3866+G3866))-(F$5*8)+2*(G3866-2*F$5)))))/1000</f>
        <v>0.88</v>
      </c>
      <c r="K3885" t="str">
        <v>+</v>
      </c>
      <c r="L3885">
        <f>IF(D3885=0,2*MAX(6*F3885,75),(D3885-1)*2*MAX(6*F3885,75))/1000</f>
        <v>0.15</v>
      </c>
      <c r="M3885" t="str">
        <v>=</v>
      </c>
      <c r="N3885">
        <f>J3885+L3885</f>
        <v>1.03</v>
      </c>
      <c r="T3885" t="str">
        <v>x</v>
      </c>
      <c r="U3885">
        <f>0.006165*F3885^2</f>
        <v>0.6165</v>
      </c>
      <c r="V3885" t="str">
        <v>x</v>
      </c>
      <c r="W3885">
        <f>IF(D3868&gt;4*G3866,ROUND(MAX(D3868/4,2*G3866)/H3885,0)+1,ROUND(D3868/H3885,0)+1)</f>
        <v>9</v>
      </c>
      <c r="X3885" t="str">
        <v>x</v>
      </c>
      <c r="Y3885">
        <f>D3871</f>
        <v>1</v>
      </c>
      <c r="Z3885" t="str">
        <v>=</v>
      </c>
      <c r="AA3885">
        <f>N3885*U3885*W3885*Y3885</f>
        <v>5.714955000000001</v>
      </c>
    </row>
    <row r="3886">
      <c r="A3886" t="str">
        <f>A3865</f>
        <v>Lantai 2</v>
      </c>
      <c r="B3886">
        <f>B3865</f>
        <v>42</v>
      </c>
      <c r="C3886" t="str">
        <v>Sengkang Lapangan</v>
      </c>
      <c r="D3886">
        <f>VLOOKUP(D3865,'Detail Balok'!$C$10:$AU$140,36,FALSE)</f>
        <v>0</v>
      </c>
      <c r="E3886" t="str">
        <v>D</v>
      </c>
      <c r="F3886">
        <f>VLOOKUP(D3865,'Detail Balok'!$C$10:$AU$140,38,FALSE)</f>
        <v>10</v>
      </c>
      <c r="G3886" t="str">
        <v>-</v>
      </c>
      <c r="H3886">
        <f>VLOOKUP(D3865,'Detail Balok'!$C$10:$AU$140,40,FALSE)</f>
        <v>100</v>
      </c>
      <c r="J3886">
        <f>(IF(D3886=0,(2*(D3866+G3866))-(F$5*8),IF(D3886=3,(2*(D3866+G3866))-(F$5*8)+(G3866-2*F$5),IF(D3886=4,(2*(D3866+G3866))-(F$5*8)+2*(G3866-2*F$5)))))/1000</f>
        <v>0.88</v>
      </c>
      <c r="K3886" t="str">
        <v>+</v>
      </c>
      <c r="L3886">
        <f>IF(D3886=0,2*MAX(6*F3886,75),(D3886-1)*2*MAX(6*F3886,75))/1000</f>
        <v>0.15</v>
      </c>
      <c r="M3886" t="str">
        <v>=</v>
      </c>
      <c r="N3886">
        <f>J3886+L3886</f>
        <v>1.03</v>
      </c>
      <c r="T3886" t="str">
        <v>x</v>
      </c>
      <c r="U3886">
        <f>0.006165*F3886^2</f>
        <v>0.6165</v>
      </c>
      <c r="V3886" t="str">
        <v>x</v>
      </c>
      <c r="W3886">
        <f>IF(D3868-MAX(D3868/4,2*G3866)*2&gt;0,ROUND((D3868-MAX(D3868/4,2*G3866)*2)/H3886,0),0)</f>
        <v>15</v>
      </c>
      <c r="X3886" t="str">
        <v>x</v>
      </c>
      <c r="Y3886">
        <f>D3871</f>
        <v>1</v>
      </c>
      <c r="Z3886" t="str">
        <v>=</v>
      </c>
      <c r="AA3886">
        <f>N3886*U3886*W3886*Y3886</f>
        <v>9.524925000000001</v>
      </c>
    </row>
    <row r="3887">
      <c r="A3887" t="str">
        <f>A3865</f>
        <v>Lantai 2</v>
      </c>
      <c r="B3887">
        <f>B3865</f>
        <v>42</v>
      </c>
      <c r="C3887" t="str">
        <v>Sengkang Tumpuan</v>
      </c>
      <c r="D3887">
        <f>VLOOKUP(D3865,'Detail Balok'!$C$10:$AU$140,41,FALSE)</f>
        <v>0</v>
      </c>
      <c r="E3887" t="str">
        <v>D</v>
      </c>
      <c r="F3887">
        <f>VLOOKUP(D3865,'Detail Balok'!$C$10:$AU$140,43,FALSE)</f>
        <v>10</v>
      </c>
      <c r="G3887" t="str">
        <v>-</v>
      </c>
      <c r="H3887">
        <f>VLOOKUP(D3865,'Detail Balok'!$C$10:$AU$140,45,FALSE)</f>
        <v>100</v>
      </c>
      <c r="J3887">
        <f>(IF(D3887=0,(2*(D3866+G3866))-(F$5*8),IF(D3887=3,(2*(D3866+G3866))-(F$5*8)+(G3866-2*F$5),IF(D3887=4,(2*(D3866+G3866))-(F$5*8)+2*(G3866-2*F$5)))))/1000</f>
        <v>0.88</v>
      </c>
      <c r="K3887" t="str">
        <v>+</v>
      </c>
      <c r="L3887">
        <f>IF(D3887=0,2*MAX(6*F3887,75),(D3887-1)*2*MAX(6*F3887,75))/1000</f>
        <v>0.15</v>
      </c>
      <c r="M3887" t="str">
        <v>=</v>
      </c>
      <c r="N3887">
        <f>J3887+L3887</f>
        <v>1.03</v>
      </c>
      <c r="T3887" t="str">
        <v>x</v>
      </c>
      <c r="U3887">
        <f>0.006165*F3887^2</f>
        <v>0.6165</v>
      </c>
      <c r="V3887" t="str">
        <v>x</v>
      </c>
      <c r="W3887">
        <f>IF(D3868&gt;4*G3866,ROUND(MAX(D3868/4,2*G3866)/H3887,0)+1,0)</f>
        <v>9</v>
      </c>
      <c r="X3887" t="str">
        <v>x</v>
      </c>
      <c r="Y3887">
        <f>D3871</f>
        <v>1</v>
      </c>
      <c r="Z3887" t="str">
        <v>=</v>
      </c>
      <c r="AA3887">
        <f>N3887*U3887*W3887*Y3887</f>
        <v>5.714955000000001</v>
      </c>
    </row>
    <row r="3889">
      <c r="A3889" t="str">
        <f>A3865</f>
        <v>Lantai 2</v>
      </c>
      <c r="B3889">
        <f>B3865</f>
        <v>42</v>
      </c>
      <c r="C3889" t="str">
        <v>Kait Horizontal Tump.</v>
      </c>
      <c r="D3889">
        <f>VLOOKUP(D3865,'Detail Balok'!$C$10:$BJ$140,46,FALSE)</f>
        <v>0</v>
      </c>
      <c r="E3889" t="str">
        <v>D</v>
      </c>
      <c r="F3889">
        <f>VLOOKUP(D3865,'Detail Balok'!$C$10:$BJ$140,48,FALSE)</f>
        <v>0</v>
      </c>
      <c r="G3889" t="str">
        <v>-</v>
      </c>
      <c r="H3889">
        <f>VLOOKUP(D3865,'Detail Balok'!$C$10:$BJ$140,50,FALSE)</f>
        <v>100</v>
      </c>
      <c r="J3889">
        <f>(D3866-2*F$5)/1000</f>
        <v>0.12</v>
      </c>
      <c r="K3889" t="str">
        <v>+</v>
      </c>
      <c r="L3889">
        <f>IF(D3889=0,2*MAX(6*F3889,75),(D3889-1)*2*MAX(6*F3889,75))/1000</f>
        <v>0.15</v>
      </c>
      <c r="M3889" t="str">
        <v>=</v>
      </c>
      <c r="N3889">
        <f>J3889+L3889</f>
        <v>0.27</v>
      </c>
      <c r="T3889" t="str">
        <v>x</v>
      </c>
      <c r="U3889">
        <f>0.006165*F3889^2</f>
        <v>0</v>
      </c>
      <c r="V3889" t="str">
        <v>x</v>
      </c>
      <c r="W3889">
        <f>W3885</f>
        <v>9</v>
      </c>
      <c r="X3889" t="str">
        <v>x</v>
      </c>
      <c r="Y3889">
        <f>D3875</f>
        <v>3</v>
      </c>
      <c r="Z3889" t="str">
        <v>=</v>
      </c>
      <c r="AA3889">
        <f>N3889*U3889*W3889*Y3889</f>
        <v>0</v>
      </c>
    </row>
    <row r="3890">
      <c r="A3890" t="str">
        <f>A3865</f>
        <v>Lantai 2</v>
      </c>
      <c r="B3890">
        <f>B3865</f>
        <v>42</v>
      </c>
      <c r="C3890" t="str">
        <v>Kait Horizontal Lap.</v>
      </c>
      <c r="D3890">
        <f>VLOOKUP(D3865,'Detail Balok'!$C$10:$BJ$140,51,FALSE)</f>
        <v>0</v>
      </c>
      <c r="E3890" t="str">
        <v>D</v>
      </c>
      <c r="F3890">
        <f>VLOOKUP(D3865,'Detail Balok'!$C$10:$BJ$140,53,FALSE)</f>
        <v>0</v>
      </c>
      <c r="G3890" t="str">
        <v>-</v>
      </c>
      <c r="H3890">
        <f>VLOOKUP(D3865,'Detail Balok'!$C$10:$BJ$140,55,FALSE)</f>
        <v>100</v>
      </c>
      <c r="J3890">
        <f>(D3866-2*F$5)/1000</f>
        <v>0.12</v>
      </c>
      <c r="K3890" t="str">
        <v>+</v>
      </c>
      <c r="L3890">
        <f>IF(D3890=0,2*MAX(6*F3890,75),(D3890-1)*2*MAX(6*F3890,75))/1000</f>
        <v>0.15</v>
      </c>
      <c r="M3890" t="str">
        <v>=</v>
      </c>
      <c r="N3890">
        <f>J3890+L3890</f>
        <v>0.27</v>
      </c>
      <c r="T3890" t="str">
        <v>x</v>
      </c>
      <c r="U3890">
        <f>0.006165*F3890^2</f>
        <v>0</v>
      </c>
      <c r="V3890" t="str">
        <v>x</v>
      </c>
      <c r="W3890">
        <f>W3886</f>
        <v>15</v>
      </c>
      <c r="X3890" t="str">
        <v>x</v>
      </c>
      <c r="Y3890">
        <f>D3875</f>
        <v>3</v>
      </c>
      <c r="Z3890" t="str">
        <v>=</v>
      </c>
      <c r="AA3890">
        <f>N3890*U3890*W3890*Y3890</f>
        <v>0</v>
      </c>
    </row>
    <row r="3891">
      <c r="A3891" t="str">
        <f>A3865</f>
        <v>Lantai 2</v>
      </c>
      <c r="B3891">
        <f>B3865</f>
        <v>42</v>
      </c>
      <c r="C3891" t="str">
        <v>Kait Horizontal Tump.</v>
      </c>
      <c r="D3891">
        <f>VLOOKUP(D3865,'Detail Balok'!$C$10:$BJ$140,56,FALSE)</f>
        <v>0</v>
      </c>
      <c r="E3891" t="str">
        <v>D</v>
      </c>
      <c r="F3891">
        <f>VLOOKUP(D3865,'Detail Balok'!$C$10:$BJ$140,58,FALSE)</f>
        <v>0</v>
      </c>
      <c r="G3891" t="str">
        <v>-</v>
      </c>
      <c r="H3891">
        <f>VLOOKUP(D3865,'Detail Balok'!$C$10:$BJ$140,60,FALSE)</f>
        <v>100</v>
      </c>
      <c r="J3891">
        <f>(D3866-2*F$5)/1000</f>
        <v>0.12</v>
      </c>
      <c r="K3891" t="str">
        <v>+</v>
      </c>
      <c r="L3891">
        <f>IF(D3891=0,2*MAX(6*F3891,75),(D3891-1)*2*MAX(6*F3891,75))/1000</f>
        <v>0.15</v>
      </c>
      <c r="M3891" t="str">
        <v>=</v>
      </c>
      <c r="N3891">
        <f>J3891+L3891</f>
        <v>0.27</v>
      </c>
      <c r="T3891" t="str">
        <v>x</v>
      </c>
      <c r="U3891">
        <f>0.006165*F3891^2</f>
        <v>0</v>
      </c>
      <c r="V3891" t="str">
        <v>x</v>
      </c>
      <c r="W3891">
        <f>W3887</f>
        <v>9</v>
      </c>
      <c r="X3891" t="str">
        <v>x</v>
      </c>
      <c r="Y3891">
        <f>D3875</f>
        <v>3</v>
      </c>
      <c r="Z3891" t="str">
        <v>=</v>
      </c>
      <c r="AA3891">
        <f>N3891*U3891*W3891*Y3891</f>
        <v>0</v>
      </c>
    </row>
    <row r="3895">
      <c r="A3895" t="str">
        <f>A3865</f>
        <v>Lantai 2</v>
      </c>
      <c r="B3895">
        <f>B3865+1</f>
        <v>43</v>
      </c>
      <c r="C3895" t="str">
        <f>CONCATENATE(A3895," no. ",B3895)</f>
        <v>Lantai 2 no. 43</v>
      </c>
      <c r="D3895" t="str">
        <f>VLOOKUP(C3895,'Data Panjang Balok'!$C$9:$N$254,2,FALSE)</f>
        <v>CL24-1</v>
      </c>
    </row>
    <row r="3896">
      <c r="C3896" t="str">
        <v>Dimensi</v>
      </c>
      <c r="D3896">
        <f>VLOOKUP(D3895,'Detail Balok'!$C$10:$AU$140,2,FALSE)</f>
        <v>200</v>
      </c>
      <c r="F3896" t="str">
        <v>x</v>
      </c>
      <c r="G3896">
        <f>VLOOKUP(D3895,'Detail Balok'!$C$10:$AU$140,3,FALSE)</f>
        <v>400</v>
      </c>
    </row>
    <row r="3897">
      <c r="C3897" t="str">
        <v>Panjang as ke as</v>
      </c>
      <c r="D3897">
        <f>VLOOKUP(C3895,'Data Panjang Balok'!$C$9:$N$254,4,FALSE)</f>
        <v>3090</v>
      </c>
    </row>
    <row r="3898">
      <c r="C3898" t="str">
        <v>Panjang netto</v>
      </c>
      <c r="D3898">
        <f>VLOOKUP(C3895,'Data Panjang Balok'!$C$9:$N$254,7,FALSE)</f>
        <v>3090</v>
      </c>
    </row>
    <row r="3899">
      <c r="C3899" t="str">
        <v>Kolom / balok kiri</v>
      </c>
      <c r="D3899">
        <f>VLOOKUP(C3895,'Data Panjang Balok'!$C$9:$N$254,9,FALSE)</f>
        <v>0</v>
      </c>
    </row>
    <row r="3900">
      <c r="C3900" t="str">
        <v>Kolom / balok kanan</v>
      </c>
      <c r="D3900">
        <f>VLOOKUP(C3895,'Data Panjang Balok'!$C$9:$N$254,10,FALSE)</f>
        <v>0</v>
      </c>
    </row>
    <row r="3901">
      <c r="C3901" t="str">
        <v>Jumlah</v>
      </c>
      <c r="D3901">
        <f>VLOOKUP(C3895,'Data Panjang Balok'!$C$9:$N$254,3,FALSE)</f>
        <v>1</v>
      </c>
    </row>
    <row r="3902">
      <c r="A3902" t="str">
        <f>A3895</f>
        <v>Lantai 2</v>
      </c>
      <c r="B3902">
        <f>B3895</f>
        <v>43</v>
      </c>
      <c r="C3902" t="str">
        <v>Tul Atas Tumpuan</v>
      </c>
      <c r="D3902">
        <f>VLOOKUP(D3895,'Detail Balok'!$C$10:$AU$140,4,FALSE)</f>
        <v>3</v>
      </c>
      <c r="E3902" t="str">
        <v>D</v>
      </c>
      <c r="F3902">
        <f>VLOOKUP(D3895,'Detail Balok'!$C$10:$AU$140,6,FALSE)</f>
        <v>16</v>
      </c>
      <c r="I3902" t="str">
        <v>(</v>
      </c>
      <c r="J3902">
        <f>+D3897/4/1000</f>
        <v>0.7725</v>
      </c>
      <c r="K3902" t="str">
        <v>+</v>
      </c>
      <c r="L3902">
        <f>MAX(VLOOKUP(F3902,N$6:P$15,3,FALSE)/1000,2/3*D3899/1000)+F$16*F3902/1000</f>
        <v>0.192</v>
      </c>
      <c r="M3902" t="str">
        <v>=</v>
      </c>
      <c r="N3902">
        <f>J3902+L3902</f>
        <v>0.9644999999999999</v>
      </c>
      <c r="O3902" t="str">
        <v>+</v>
      </c>
      <c r="P3902">
        <f>D3902-D3903</f>
        <v>0</v>
      </c>
      <c r="Q3902" t="str">
        <v>x</v>
      </c>
      <c r="R3902">
        <f>IF(P3902&gt;0,$F$18*F3902/1000,0)</f>
        <v>0</v>
      </c>
      <c r="S3902" t="str">
        <v>)</v>
      </c>
      <c r="T3902" t="str">
        <v>x</v>
      </c>
      <c r="U3902">
        <f>0.006165*F3902^2</f>
        <v>1.57824</v>
      </c>
      <c r="X3902" t="str">
        <v>x</v>
      </c>
      <c r="Y3902">
        <f>D3901</f>
        <v>1</v>
      </c>
      <c r="Z3902" t="str">
        <v>=</v>
      </c>
      <c r="AA3902">
        <f>IF(AA3905=0,(D3902*N3902+P3902*R3902)*U3902*Y3902,0)</f>
        <v>0</v>
      </c>
    </row>
    <row r="3903">
      <c r="A3903" t="str">
        <f>A3895</f>
        <v>Lantai 2</v>
      </c>
      <c r="B3903">
        <f>B3895</f>
        <v>43</v>
      </c>
      <c r="C3903" t="str">
        <v>Tul Atas Lapangan</v>
      </c>
      <c r="D3903">
        <f>VLOOKUP(D3895,'Detail Balok'!$C$10:$AU$140,7,FALSE)</f>
        <v>3</v>
      </c>
      <c r="E3903" t="str">
        <v>D</v>
      </c>
      <c r="F3903">
        <f>VLOOKUP(D3895,'Detail Balok'!$C$10:$AU$140,9,FALSE)</f>
        <v>16</v>
      </c>
      <c r="I3903" t="str">
        <v>(</v>
      </c>
      <c r="J3903">
        <f>+D3897/2/1000</f>
        <v>1.545</v>
      </c>
      <c r="K3903" t="str">
        <v>+</v>
      </c>
      <c r="M3903" t="str">
        <v>=</v>
      </c>
      <c r="N3903">
        <f>J3903+L3903</f>
        <v>1.545</v>
      </c>
      <c r="O3903" t="str">
        <v>+</v>
      </c>
      <c r="P3903">
        <f>MAX(D3903-D3902,D3903-D3904)</f>
        <v>0</v>
      </c>
      <c r="Q3903" t="str">
        <v>x</v>
      </c>
      <c r="R3903">
        <f>IF(P3903&gt;0,2*(1-2*$F$19-1/2)*D3898/1000,0)</f>
        <v>0</v>
      </c>
      <c r="S3903" t="str">
        <v>)</v>
      </c>
      <c r="T3903" t="str">
        <v>x</v>
      </c>
      <c r="U3903">
        <f>0.006165*F3903^2</f>
        <v>1.57824</v>
      </c>
      <c r="X3903" t="str">
        <v>x</v>
      </c>
      <c r="Y3903">
        <f>D3901</f>
        <v>1</v>
      </c>
      <c r="Z3903" t="str">
        <v>=</v>
      </c>
      <c r="AA3903">
        <f>IF(AA3905=0,(D3903*N3903+P3903*R3903)*U3903*Y3903,0)</f>
        <v>0</v>
      </c>
    </row>
    <row r="3904">
      <c r="A3904" t="str">
        <f>A3895</f>
        <v>Lantai 2</v>
      </c>
      <c r="B3904">
        <f>B3895</f>
        <v>43</v>
      </c>
      <c r="C3904" t="str">
        <v>Tul Atas Tumpuan</v>
      </c>
      <c r="D3904">
        <f>VLOOKUP(D3895,'Detail Balok'!$C$10:$AU$140,10,FALSE)</f>
        <v>3</v>
      </c>
      <c r="E3904" t="str">
        <v>D</v>
      </c>
      <c r="F3904">
        <f>VLOOKUP(D3895,'Detail Balok'!$C$10:$AU$140,12,FALSE)</f>
        <v>16</v>
      </c>
      <c r="I3904" t="str">
        <v>(</v>
      </c>
      <c r="J3904">
        <f>+D3897/4/1000</f>
        <v>0.7725</v>
      </c>
      <c r="K3904" t="str">
        <v>+</v>
      </c>
      <c r="L3904">
        <f>MAX(VLOOKUP(F3904,N$6:P$15,3,FALSE)/1000,2/3*D3899/1000)+F$16*F3904/1000</f>
        <v>0.192</v>
      </c>
      <c r="M3904" t="str">
        <v>=</v>
      </c>
      <c r="N3904">
        <f>J3904+L3904</f>
        <v>0.9644999999999999</v>
      </c>
      <c r="O3904" t="str">
        <v>+</v>
      </c>
      <c r="P3904">
        <f>D3904-D3903</f>
        <v>0</v>
      </c>
      <c r="Q3904" t="str">
        <v>x</v>
      </c>
      <c r="R3904">
        <f>IF(P3904&gt;0,$F$18*F3904/1000,0)</f>
        <v>0</v>
      </c>
      <c r="S3904" t="str">
        <v>)</v>
      </c>
      <c r="T3904" t="str">
        <v>x</v>
      </c>
      <c r="U3904">
        <f>0.006165*F3904^2</f>
        <v>1.57824</v>
      </c>
      <c r="X3904" t="str">
        <v>x</v>
      </c>
      <c r="Y3904">
        <f>D3901</f>
        <v>1</v>
      </c>
      <c r="Z3904" t="str">
        <v>=</v>
      </c>
      <c r="AA3904">
        <f>IF(AA3905=0,(D3904*N3904+P3904*R3904)*U3904*Y3904,0)</f>
        <v>0</v>
      </c>
    </row>
    <row r="3905">
      <c r="A3905" t="str">
        <f>A3895</f>
        <v>Lantai 2</v>
      </c>
      <c r="B3905">
        <f>B3895</f>
        <v>43</v>
      </c>
      <c r="D3905">
        <f>IF(AND(D3902=D3903,D3903=D3904,D3902=D3904),D3902,0)</f>
        <v>3</v>
      </c>
      <c r="E3905" t="str">
        <v>D</v>
      </c>
      <c r="F3905">
        <f>IF(AND(F3902=F3903,F3902=F3904,F3903=F3904),F3902,0)</f>
        <v>16</v>
      </c>
      <c r="L3905" t="str">
        <v>Total panjang per balok</v>
      </c>
      <c r="M3905" t="str">
        <v>=</v>
      </c>
      <c r="N3905">
        <f>IF(AND(D3902=D3903,D3902=D3904,D3903=D3904,F3902=F3903,F3902=F3904,F3903=F3904),SUM(N3902:N3904),0)</f>
        <v>3.474</v>
      </c>
      <c r="O3905" t="str">
        <v>+</v>
      </c>
      <c r="P3905">
        <f>IF(N3905&gt;12,ROUNDDOWN(N3905/12,0),0)</f>
        <v>0</v>
      </c>
      <c r="Q3905" t="str">
        <v>x</v>
      </c>
      <c r="R3905">
        <f>IF(P3905&gt;0,MAX(VLOOKUP(F3905,$D$6:$G$15,3,FALSE),600),0)/1000</f>
        <v>0</v>
      </c>
      <c r="T3905" t="str">
        <v>x</v>
      </c>
      <c r="U3905">
        <f>U3904</f>
        <v>1.57824</v>
      </c>
      <c r="V3905" t="str">
        <v>x</v>
      </c>
      <c r="W3905">
        <f>D3905</f>
        <v>3</v>
      </c>
      <c r="X3905" t="str">
        <v>x</v>
      </c>
      <c r="Y3905">
        <f>Y3904</f>
        <v>1</v>
      </c>
      <c r="Z3905" t="str">
        <v>=</v>
      </c>
      <c r="AA3905">
        <f>(N3905+P3905*R3905/1000)*U3905*W3905*Y3905</f>
        <v>16.44841728</v>
      </c>
    </row>
    <row r="3907">
      <c r="A3907" t="str">
        <f>A3895</f>
        <v>Lantai 2</v>
      </c>
      <c r="B3907">
        <f>B3895</f>
        <v>43</v>
      </c>
      <c r="C3907" t="str">
        <v>Tul Peminggang</v>
      </c>
      <c r="D3907">
        <f>VLOOKUP(D3895,'Detail Balok'!$C$10:$AU$140,13,FALSE)</f>
        <v>0</v>
      </c>
      <c r="E3907" t="str">
        <v>D</v>
      </c>
      <c r="F3907">
        <f>VLOOKUP(D3895,'Detail Balok'!$C$10:$AU$140,15,FALSE)</f>
        <v>8</v>
      </c>
      <c r="J3907">
        <f>+D3897/1000</f>
        <v>3.09</v>
      </c>
      <c r="K3907" t="str">
        <v>+</v>
      </c>
      <c r="L3907">
        <f>2*$F$16*F3907/1000</f>
        <v>0.192</v>
      </c>
      <c r="M3907" t="str">
        <v>=</v>
      </c>
      <c r="N3907">
        <f>J3907+L3907</f>
        <v>3.282</v>
      </c>
      <c r="O3907" t="str">
        <v>+</v>
      </c>
      <c r="P3907">
        <f>IF(N3907&gt;12,ROUNDDOWN(N3907/12,0),0)</f>
        <v>0</v>
      </c>
      <c r="Q3907" t="str">
        <v>x</v>
      </c>
      <c r="R3907">
        <f>IF(P3907&gt;0,MAX(VLOOKUP(F3907,$D$6:$G$15,3,FALSE),600),0)/1000</f>
        <v>0</v>
      </c>
      <c r="T3907" t="str">
        <v>x</v>
      </c>
      <c r="U3907">
        <f>0.006165*F3907^2</f>
        <v>0.39456</v>
      </c>
      <c r="V3907" t="str">
        <v>x</v>
      </c>
      <c r="W3907">
        <f>+D3907</f>
        <v>0</v>
      </c>
      <c r="X3907" t="str">
        <v>x</v>
      </c>
      <c r="Y3907">
        <f>D3901</f>
        <v>1</v>
      </c>
      <c r="Z3907" t="str">
        <v>=</v>
      </c>
      <c r="AA3907">
        <f>(N3907+P3907*R3907/1000)*U3907*W3907*Y3907</f>
        <v>0</v>
      </c>
    </row>
    <row r="3910">
      <c r="A3910" t="str">
        <f>A3895</f>
        <v>Lantai 2</v>
      </c>
      <c r="B3910">
        <f>B3895</f>
        <v>43</v>
      </c>
      <c r="C3910" t="str">
        <v>Tul Bawah Tumpuan</v>
      </c>
      <c r="D3910">
        <f>VLOOKUP(D3895,'Detail Balok'!$C$10:$AU$140,22,FALSE)</f>
        <v>3</v>
      </c>
      <c r="E3910" t="str">
        <v>D</v>
      </c>
      <c r="F3910">
        <f>VLOOKUP(D3895,'Detail Balok'!$C$10:$AU$140,24,FALSE)</f>
        <v>16</v>
      </c>
      <c r="I3910" t="str">
        <v>(</v>
      </c>
      <c r="J3910">
        <f>+J3902</f>
        <v>0.7725</v>
      </c>
      <c r="K3910" t="str">
        <v>+</v>
      </c>
      <c r="L3910">
        <f>MAX(VLOOKUP(F3910,N$6:P$15,3,FALSE)/1000,2/3*D3900/1000)+F$16*F3910/1000</f>
        <v>0.192</v>
      </c>
      <c r="M3910" t="str">
        <v>=</v>
      </c>
      <c r="N3910">
        <f>J3910+L3910</f>
        <v>0.9644999999999999</v>
      </c>
      <c r="O3910" t="str">
        <v>+</v>
      </c>
      <c r="P3910">
        <f>D3910-D3911</f>
        <v>0</v>
      </c>
      <c r="Q3910" t="str">
        <v>x</v>
      </c>
      <c r="R3910">
        <f>IF(P3910&gt;0,$F$18*F3910/1000,0)</f>
        <v>0</v>
      </c>
      <c r="S3910" t="str">
        <v>)</v>
      </c>
      <c r="T3910" t="str">
        <v>x</v>
      </c>
      <c r="U3910">
        <f>0.006165*F3910^2</f>
        <v>1.57824</v>
      </c>
      <c r="X3910" t="str">
        <v>x</v>
      </c>
      <c r="Y3910">
        <f>D3901</f>
        <v>1</v>
      </c>
      <c r="Z3910" t="str">
        <v>=</v>
      </c>
      <c r="AA3910">
        <f>IF(AA3913=0,(D3910*N3910+P3910*R3910)*U3910*Y3910,0)</f>
        <v>0</v>
      </c>
    </row>
    <row r="3911">
      <c r="A3911" t="str">
        <f>A3895</f>
        <v>Lantai 2</v>
      </c>
      <c r="B3911">
        <f>B3895</f>
        <v>43</v>
      </c>
      <c r="C3911" t="str">
        <v>Tul Bawah Lapangan</v>
      </c>
      <c r="D3911">
        <f>VLOOKUP(D3895,'Detail Balok'!$C$10:$AU$140,25,FALSE)</f>
        <v>3</v>
      </c>
      <c r="E3911" t="str">
        <v>D</v>
      </c>
      <c r="F3911">
        <f>VLOOKUP(D3895,'Detail Balok'!$C$10:$AU$140,27,FALSE)</f>
        <v>16</v>
      </c>
      <c r="I3911" t="str">
        <v>(</v>
      </c>
      <c r="J3911">
        <f>+J3903</f>
        <v>1.545</v>
      </c>
      <c r="K3911" t="str">
        <v>+</v>
      </c>
      <c r="M3911" t="str">
        <v>=</v>
      </c>
      <c r="N3911">
        <f>J3911+L3911</f>
        <v>1.545</v>
      </c>
      <c r="O3911" t="str">
        <v>+</v>
      </c>
      <c r="P3911">
        <f>MAX(D3911-D3910,D3911-D3912)</f>
        <v>0</v>
      </c>
      <c r="Q3911" t="str">
        <v>x</v>
      </c>
      <c r="R3911">
        <f>IF(P3911&gt;0,2*(1-2*$F$19-1/2)*D3898/1000,0)</f>
        <v>0</v>
      </c>
      <c r="S3911" t="str">
        <v>)</v>
      </c>
      <c r="T3911" t="str">
        <v>x</v>
      </c>
      <c r="U3911">
        <f>0.006165*F3911^2</f>
        <v>1.57824</v>
      </c>
      <c r="X3911" t="str">
        <v>x</v>
      </c>
      <c r="Y3911">
        <f>D3901</f>
        <v>1</v>
      </c>
      <c r="Z3911" t="str">
        <v>=</v>
      </c>
      <c r="AA3911">
        <f>IF(AA3913=0,(D3911*N3911+P3911*R3911)*U3911*Y3911,0)</f>
        <v>0</v>
      </c>
    </row>
    <row r="3912">
      <c r="A3912" t="str">
        <f>A3895</f>
        <v>Lantai 2</v>
      </c>
      <c r="B3912">
        <f>B3895</f>
        <v>43</v>
      </c>
      <c r="C3912" t="str">
        <v>Tul Bawah Tumpuan</v>
      </c>
      <c r="D3912">
        <f>VLOOKUP(D3895,'Detail Balok'!$C$10:$AU$140,28,FALSE)</f>
        <v>3</v>
      </c>
      <c r="E3912" t="str">
        <v>D</v>
      </c>
      <c r="F3912">
        <f>VLOOKUP(D3895,'Detail Balok'!$C$10:$AU$140,30,FALSE)</f>
        <v>16</v>
      </c>
      <c r="I3912" t="str">
        <v>(</v>
      </c>
      <c r="J3912">
        <f>+J3904</f>
        <v>0.7725</v>
      </c>
      <c r="K3912" t="str">
        <v>+</v>
      </c>
      <c r="L3912">
        <f>MAX(VLOOKUP(F3912,N$6:P$15,3,FALSE)/1000,2/3*D3900/1000)+F$16*F3912/1000</f>
        <v>0.192</v>
      </c>
      <c r="M3912" t="str">
        <v>=</v>
      </c>
      <c r="N3912">
        <f>J3912+L3912</f>
        <v>0.9644999999999999</v>
      </c>
      <c r="O3912" t="str">
        <v>+</v>
      </c>
      <c r="P3912">
        <f>D3912-D3911</f>
        <v>0</v>
      </c>
      <c r="Q3912" t="str">
        <v>x</v>
      </c>
      <c r="R3912">
        <f>IF(P3912&gt;0,$F$18*F3912/1000,0)</f>
        <v>0</v>
      </c>
      <c r="S3912" t="str">
        <v>)</v>
      </c>
      <c r="T3912" t="str">
        <v>x</v>
      </c>
      <c r="U3912">
        <f>0.006165*F3912^2</f>
        <v>1.57824</v>
      </c>
      <c r="X3912" t="str">
        <v>x</v>
      </c>
      <c r="Y3912">
        <f>D3901</f>
        <v>1</v>
      </c>
      <c r="Z3912" t="str">
        <v>=</v>
      </c>
      <c r="AA3912">
        <f>IF(AA3913=0,(D3912*N3912+P3912*R3912)*U3912*Y3912,0)</f>
        <v>0</v>
      </c>
    </row>
    <row r="3913">
      <c r="A3913" t="str">
        <f>A3895</f>
        <v>Lantai 2</v>
      </c>
      <c r="B3913">
        <f>B3895</f>
        <v>43</v>
      </c>
      <c r="D3913">
        <f>IF(AND(D3910=D3911,D3911=D3912,D3910=D3912),D3910,0)</f>
        <v>3</v>
      </c>
      <c r="E3913" t="str">
        <v>D</v>
      </c>
      <c r="F3913">
        <f>IF(AND(F3910=F3911,F3910=F3912,F3911=F3912),F3910,0)</f>
        <v>16</v>
      </c>
      <c r="L3913" t="str">
        <v>Total panjang per balok</v>
      </c>
      <c r="M3913" t="str">
        <v>=</v>
      </c>
      <c r="N3913">
        <f>IF(AND(D3910=D3911,D3910=D3912,D3911=D3912,F3910=F3911,F3910=F3912,F3911=F3912),SUM(N3910:N3912),0)</f>
        <v>3.474</v>
      </c>
      <c r="O3913" t="str">
        <v>+</v>
      </c>
      <c r="P3913">
        <f>IF(N3913&gt;12,ROUNDDOWN(N3913/12,0),0)</f>
        <v>0</v>
      </c>
      <c r="Q3913" t="str">
        <v>x</v>
      </c>
      <c r="R3913">
        <f>IF(P3913&gt;0,MAX(VLOOKUP(F3913,$D$6:$G$15,3,FALSE),600),0)/1000</f>
        <v>0</v>
      </c>
      <c r="T3913" t="str">
        <v>x</v>
      </c>
      <c r="U3913">
        <f>U3912</f>
        <v>1.57824</v>
      </c>
      <c r="V3913" t="str">
        <v>x</v>
      </c>
      <c r="W3913">
        <f>D3913</f>
        <v>3</v>
      </c>
      <c r="X3913" t="str">
        <v>x</v>
      </c>
      <c r="Y3913">
        <f>Y3912</f>
        <v>1</v>
      </c>
      <c r="Z3913" t="str">
        <v>=</v>
      </c>
      <c r="AA3913">
        <f>(N3913+P3913*R3913/1000)*U3913*W3913*Y3913</f>
        <v>16.44841728</v>
      </c>
    </row>
    <row r="3915">
      <c r="A3915" t="str">
        <f>A3895</f>
        <v>Lantai 2</v>
      </c>
      <c r="B3915">
        <f>B3895</f>
        <v>43</v>
      </c>
      <c r="C3915" t="str">
        <v>Sengkang Tumpuan</v>
      </c>
      <c r="D3915">
        <f>VLOOKUP(D3895,'Detail Balok'!$C$10:$AU$140,31,FALSE)</f>
        <v>0</v>
      </c>
      <c r="E3915" t="str">
        <v>D</v>
      </c>
      <c r="F3915">
        <f>VLOOKUP(D3895,'Detail Balok'!$C$10:$AU$140,33,FALSE)</f>
        <v>10</v>
      </c>
      <c r="G3915" t="str">
        <v>-</v>
      </c>
      <c r="H3915">
        <f>VLOOKUP(D3895,'Detail Balok'!$C$10:$AU$140,35,FALSE)</f>
        <v>100</v>
      </c>
      <c r="J3915">
        <f>(IF(D3915=0,(2*(D3896+G3896))-(F$5*8),IF(D3915=3,(2*(D3896+G3896))-(F$5*8)+(G3896-2*F$5),IF(D3915=4,(2*(D3896+G3896))-(F$5*8)+2*(G3896-2*F$5)))))/1000</f>
        <v>0.88</v>
      </c>
      <c r="K3915" t="str">
        <v>+</v>
      </c>
      <c r="L3915">
        <f>IF(D3915=0,2*MAX(6*F3915,75),(D3915-1)*2*MAX(6*F3915,75))/1000</f>
        <v>0.15</v>
      </c>
      <c r="M3915" t="str">
        <v>=</v>
      </c>
      <c r="N3915">
        <f>J3915+L3915</f>
        <v>1.03</v>
      </c>
      <c r="T3915" t="str">
        <v>x</v>
      </c>
      <c r="U3915">
        <f>0.006165*F3915^2</f>
        <v>0.6165</v>
      </c>
      <c r="V3915" t="str">
        <v>x</v>
      </c>
      <c r="W3915">
        <f>IF(D3898&gt;4*G3896,ROUND(MAX(D3898/4,2*G3896)/H3915,0)+1,ROUND(D3898/H3915,0)+1)</f>
        <v>9</v>
      </c>
      <c r="X3915" t="str">
        <v>x</v>
      </c>
      <c r="Y3915">
        <f>D3901</f>
        <v>1</v>
      </c>
      <c r="Z3915" t="str">
        <v>=</v>
      </c>
      <c r="AA3915">
        <f>N3915*U3915*W3915*Y3915</f>
        <v>5.714955000000001</v>
      </c>
    </row>
    <row r="3916">
      <c r="A3916" t="str">
        <f>A3895</f>
        <v>Lantai 2</v>
      </c>
      <c r="B3916">
        <f>B3895</f>
        <v>43</v>
      </c>
      <c r="C3916" t="str">
        <v>Sengkang Lapangan</v>
      </c>
      <c r="D3916">
        <f>VLOOKUP(D3895,'Detail Balok'!$C$10:$AU$140,36,FALSE)</f>
        <v>0</v>
      </c>
      <c r="E3916" t="str">
        <v>D</v>
      </c>
      <c r="F3916">
        <f>VLOOKUP(D3895,'Detail Balok'!$C$10:$AU$140,38,FALSE)</f>
        <v>10</v>
      </c>
      <c r="G3916" t="str">
        <v>-</v>
      </c>
      <c r="H3916">
        <f>VLOOKUP(D3895,'Detail Balok'!$C$10:$AU$140,40,FALSE)</f>
        <v>100</v>
      </c>
      <c r="J3916">
        <f>(IF(D3916=0,(2*(D3896+G3896))-(F$5*8),IF(D3916=3,(2*(D3896+G3896))-(F$5*8)+(G3896-2*F$5),IF(D3916=4,(2*(D3896+G3896))-(F$5*8)+2*(G3896-2*F$5)))))/1000</f>
        <v>0.88</v>
      </c>
      <c r="K3916" t="str">
        <v>+</v>
      </c>
      <c r="L3916">
        <f>IF(D3916=0,2*MAX(6*F3916,75),(D3916-1)*2*MAX(6*F3916,75))/1000</f>
        <v>0.15</v>
      </c>
      <c r="M3916" t="str">
        <v>=</v>
      </c>
      <c r="N3916">
        <f>J3916+L3916</f>
        <v>1.03</v>
      </c>
      <c r="T3916" t="str">
        <v>x</v>
      </c>
      <c r="U3916">
        <f>0.006165*F3916^2</f>
        <v>0.6165</v>
      </c>
      <c r="V3916" t="str">
        <v>x</v>
      </c>
      <c r="W3916">
        <f>IF(D3898-MAX(D3898/4,2*G3896)*2&gt;0,ROUND((D3898-MAX(D3898/4,2*G3896)*2)/H3916,0),0)</f>
        <v>15</v>
      </c>
      <c r="X3916" t="str">
        <v>x</v>
      </c>
      <c r="Y3916">
        <f>D3901</f>
        <v>1</v>
      </c>
      <c r="Z3916" t="str">
        <v>=</v>
      </c>
      <c r="AA3916">
        <f>N3916*U3916*W3916*Y3916</f>
        <v>9.524925000000001</v>
      </c>
    </row>
    <row r="3917">
      <c r="A3917" t="str">
        <f>A3895</f>
        <v>Lantai 2</v>
      </c>
      <c r="B3917">
        <f>B3895</f>
        <v>43</v>
      </c>
      <c r="C3917" t="str">
        <v>Sengkang Tumpuan</v>
      </c>
      <c r="D3917">
        <f>VLOOKUP(D3895,'Detail Balok'!$C$10:$AU$140,41,FALSE)</f>
        <v>0</v>
      </c>
      <c r="E3917" t="str">
        <v>D</v>
      </c>
      <c r="F3917">
        <f>VLOOKUP(D3895,'Detail Balok'!$C$10:$AU$140,43,FALSE)</f>
        <v>10</v>
      </c>
      <c r="G3917" t="str">
        <v>-</v>
      </c>
      <c r="H3917">
        <f>VLOOKUP(D3895,'Detail Balok'!$C$10:$AU$140,45,FALSE)</f>
        <v>100</v>
      </c>
      <c r="J3917">
        <f>(IF(D3917=0,(2*(D3896+G3896))-(F$5*8),IF(D3917=3,(2*(D3896+G3896))-(F$5*8)+(G3896-2*F$5),IF(D3917=4,(2*(D3896+G3896))-(F$5*8)+2*(G3896-2*F$5)))))/1000</f>
        <v>0.88</v>
      </c>
      <c r="K3917" t="str">
        <v>+</v>
      </c>
      <c r="L3917">
        <f>IF(D3917=0,2*MAX(6*F3917,75),(D3917-1)*2*MAX(6*F3917,75))/1000</f>
        <v>0.15</v>
      </c>
      <c r="M3917" t="str">
        <v>=</v>
      </c>
      <c r="N3917">
        <f>J3917+L3917</f>
        <v>1.03</v>
      </c>
      <c r="T3917" t="str">
        <v>x</v>
      </c>
      <c r="U3917">
        <f>0.006165*F3917^2</f>
        <v>0.6165</v>
      </c>
      <c r="V3917" t="str">
        <v>x</v>
      </c>
      <c r="W3917">
        <f>IF(D3898&gt;4*G3896,ROUND(MAX(D3898/4,2*G3896)/H3917,0)+1,0)</f>
        <v>9</v>
      </c>
      <c r="X3917" t="str">
        <v>x</v>
      </c>
      <c r="Y3917">
        <f>D3901</f>
        <v>1</v>
      </c>
      <c r="Z3917" t="str">
        <v>=</v>
      </c>
      <c r="AA3917">
        <f>N3917*U3917*W3917*Y3917</f>
        <v>5.714955000000001</v>
      </c>
    </row>
    <row r="3919">
      <c r="A3919" t="str">
        <f>A3895</f>
        <v>Lantai 2</v>
      </c>
      <c r="B3919">
        <f>B3895</f>
        <v>43</v>
      </c>
      <c r="C3919" t="str">
        <v>Kait Horizontal Tump.</v>
      </c>
      <c r="D3919">
        <f>VLOOKUP(D3895,'Detail Balok'!$C$10:$BJ$140,46,FALSE)</f>
        <v>0</v>
      </c>
      <c r="E3919" t="str">
        <v>D</v>
      </c>
      <c r="F3919">
        <f>VLOOKUP(D3895,'Detail Balok'!$C$10:$BJ$140,48,FALSE)</f>
        <v>0</v>
      </c>
      <c r="G3919" t="str">
        <v>-</v>
      </c>
      <c r="H3919">
        <f>VLOOKUP(D3895,'Detail Balok'!$C$10:$BJ$140,50,FALSE)</f>
        <v>100</v>
      </c>
      <c r="J3919">
        <f>(D3896-2*F$5)/1000</f>
        <v>0.12</v>
      </c>
      <c r="K3919" t="str">
        <v>+</v>
      </c>
      <c r="L3919">
        <f>IF(D3919=0,2*MAX(6*F3919,75),(D3919-1)*2*MAX(6*F3919,75))/1000</f>
        <v>0.15</v>
      </c>
      <c r="M3919" t="str">
        <v>=</v>
      </c>
      <c r="N3919">
        <f>J3919+L3919</f>
        <v>0.27</v>
      </c>
      <c r="T3919" t="str">
        <v>x</v>
      </c>
      <c r="U3919">
        <f>0.006165*F3919^2</f>
        <v>0</v>
      </c>
      <c r="V3919" t="str">
        <v>x</v>
      </c>
      <c r="W3919">
        <f>W3915</f>
        <v>9</v>
      </c>
      <c r="X3919" t="str">
        <v>x</v>
      </c>
      <c r="Y3919">
        <f>D3905</f>
        <v>3</v>
      </c>
      <c r="Z3919" t="str">
        <v>=</v>
      </c>
      <c r="AA3919">
        <f>N3919*U3919*W3919*Y3919</f>
        <v>0</v>
      </c>
    </row>
    <row r="3920">
      <c r="A3920" t="str">
        <f>A3895</f>
        <v>Lantai 2</v>
      </c>
      <c r="B3920">
        <f>B3895</f>
        <v>43</v>
      </c>
      <c r="C3920" t="str">
        <v>Kait Horizontal Lap.</v>
      </c>
      <c r="D3920">
        <f>VLOOKUP(D3895,'Detail Balok'!$C$10:$BJ$140,51,FALSE)</f>
        <v>0</v>
      </c>
      <c r="E3920" t="str">
        <v>D</v>
      </c>
      <c r="F3920">
        <f>VLOOKUP(D3895,'Detail Balok'!$C$10:$BJ$140,53,FALSE)</f>
        <v>0</v>
      </c>
      <c r="G3920" t="str">
        <v>-</v>
      </c>
      <c r="H3920">
        <f>VLOOKUP(D3895,'Detail Balok'!$C$10:$BJ$140,55,FALSE)</f>
        <v>100</v>
      </c>
      <c r="J3920">
        <f>(D3896-2*F$5)/1000</f>
        <v>0.12</v>
      </c>
      <c r="K3920" t="str">
        <v>+</v>
      </c>
      <c r="L3920">
        <f>IF(D3920=0,2*MAX(6*F3920,75),(D3920-1)*2*MAX(6*F3920,75))/1000</f>
        <v>0.15</v>
      </c>
      <c r="M3920" t="str">
        <v>=</v>
      </c>
      <c r="N3920">
        <f>J3920+L3920</f>
        <v>0.27</v>
      </c>
      <c r="T3920" t="str">
        <v>x</v>
      </c>
      <c r="U3920">
        <f>0.006165*F3920^2</f>
        <v>0</v>
      </c>
      <c r="V3920" t="str">
        <v>x</v>
      </c>
      <c r="W3920">
        <f>W3916</f>
        <v>15</v>
      </c>
      <c r="X3920" t="str">
        <v>x</v>
      </c>
      <c r="Y3920">
        <f>D3905</f>
        <v>3</v>
      </c>
      <c r="Z3920" t="str">
        <v>=</v>
      </c>
      <c r="AA3920">
        <f>N3920*U3920*W3920*Y3920</f>
        <v>0</v>
      </c>
    </row>
    <row r="3921">
      <c r="A3921" t="str">
        <f>A3895</f>
        <v>Lantai 2</v>
      </c>
      <c r="B3921">
        <f>B3895</f>
        <v>43</v>
      </c>
      <c r="C3921" t="str">
        <v>Kait Horizontal Tump.</v>
      </c>
      <c r="D3921">
        <f>VLOOKUP(D3895,'Detail Balok'!$C$10:$BJ$140,56,FALSE)</f>
        <v>0</v>
      </c>
      <c r="E3921" t="str">
        <v>D</v>
      </c>
      <c r="F3921">
        <f>VLOOKUP(D3895,'Detail Balok'!$C$10:$BJ$140,58,FALSE)</f>
        <v>0</v>
      </c>
      <c r="G3921" t="str">
        <v>-</v>
      </c>
      <c r="H3921">
        <f>VLOOKUP(D3895,'Detail Balok'!$C$10:$BJ$140,60,FALSE)</f>
        <v>100</v>
      </c>
      <c r="J3921">
        <f>(D3896-2*F$5)/1000</f>
        <v>0.12</v>
      </c>
      <c r="K3921" t="str">
        <v>+</v>
      </c>
      <c r="L3921">
        <f>IF(D3921=0,2*MAX(6*F3921,75),(D3921-1)*2*MAX(6*F3921,75))/1000</f>
        <v>0.15</v>
      </c>
      <c r="M3921" t="str">
        <v>=</v>
      </c>
      <c r="N3921">
        <f>J3921+L3921</f>
        <v>0.27</v>
      </c>
      <c r="T3921" t="str">
        <v>x</v>
      </c>
      <c r="U3921">
        <f>0.006165*F3921^2</f>
        <v>0</v>
      </c>
      <c r="V3921" t="str">
        <v>x</v>
      </c>
      <c r="W3921">
        <f>W3917</f>
        <v>9</v>
      </c>
      <c r="X3921" t="str">
        <v>x</v>
      </c>
      <c r="Y3921">
        <f>D3905</f>
        <v>3</v>
      </c>
      <c r="Z3921" t="str">
        <v>=</v>
      </c>
      <c r="AA3921">
        <f>N3921*U3921*W3921*Y3921</f>
        <v>0</v>
      </c>
    </row>
    <row r="3925">
      <c r="A3925" t="str">
        <f>A3895</f>
        <v>Lantai 2</v>
      </c>
      <c r="B3925">
        <f>B3895+1</f>
        <v>44</v>
      </c>
      <c r="C3925" t="str">
        <f>CONCATENATE(A3925," no. ",B3925)</f>
        <v>Lantai 2 no. 44</v>
      </c>
      <c r="D3925" t="str">
        <f>VLOOKUP(C3925,'Data Panjang Balok'!$C$9:$N$254,2,FALSE)</f>
        <v>B25-1</v>
      </c>
    </row>
    <row r="3926">
      <c r="C3926" t="str">
        <v>Dimensi</v>
      </c>
      <c r="D3926">
        <f>VLOOKUP(D3925,'Detail Balok'!$C$10:$AU$140,2,FALSE)</f>
        <v>200</v>
      </c>
      <c r="F3926" t="str">
        <v>x</v>
      </c>
      <c r="G3926">
        <f>VLOOKUP(D3925,'Detail Balok'!$C$10:$AU$140,3,FALSE)</f>
        <v>500</v>
      </c>
    </row>
    <row r="3927">
      <c r="C3927" t="str">
        <v>Panjang as ke as</v>
      </c>
      <c r="D3927">
        <f>VLOOKUP(C3925,'Data Panjang Balok'!$C$9:$N$254,4,FALSE)</f>
        <v>6080</v>
      </c>
    </row>
    <row r="3928">
      <c r="C3928" t="str">
        <v>Panjang netto</v>
      </c>
      <c r="D3928">
        <f>VLOOKUP(C3925,'Data Panjang Balok'!$C$9:$N$254,7,FALSE)</f>
        <v>6080</v>
      </c>
    </row>
    <row r="3929">
      <c r="C3929" t="str">
        <v>Kolom / balok kiri</v>
      </c>
      <c r="D3929">
        <f>VLOOKUP(C3925,'Data Panjang Balok'!$C$9:$N$254,9,FALSE)</f>
        <v>0</v>
      </c>
    </row>
    <row r="3930">
      <c r="C3930" t="str">
        <v>Kolom / balok kanan</v>
      </c>
      <c r="D3930">
        <f>VLOOKUP(C3925,'Data Panjang Balok'!$C$9:$N$254,10,FALSE)</f>
        <v>0</v>
      </c>
    </row>
    <row r="3931">
      <c r="C3931" t="str">
        <v>Jumlah</v>
      </c>
      <c r="D3931">
        <f>VLOOKUP(C3925,'Data Panjang Balok'!$C$9:$N$254,3,FALSE)</f>
        <v>1</v>
      </c>
    </row>
    <row r="3932">
      <c r="A3932" t="str">
        <f>A3925</f>
        <v>Lantai 2</v>
      </c>
      <c r="B3932">
        <f>B3925</f>
        <v>44</v>
      </c>
      <c r="C3932" t="str">
        <v>Tul Atas Tumpuan</v>
      </c>
      <c r="D3932">
        <f>VLOOKUP(D3925,'Detail Balok'!$C$10:$AU$140,4,FALSE)</f>
        <v>4</v>
      </c>
      <c r="E3932" t="str">
        <v>D</v>
      </c>
      <c r="F3932">
        <f>VLOOKUP(D3925,'Detail Balok'!$C$10:$AU$140,6,FALSE)</f>
        <v>16</v>
      </c>
      <c r="I3932" t="str">
        <v>(</v>
      </c>
      <c r="J3932">
        <f>+D3927/4/1000</f>
        <v>1.52</v>
      </c>
      <c r="K3932" t="str">
        <v>+</v>
      </c>
      <c r="L3932">
        <f>MAX(VLOOKUP(F3932,N$6:P$15,3,FALSE)/1000,2/3*D3929/1000)+F$16*F3932/1000</f>
        <v>0.192</v>
      </c>
      <c r="M3932" t="str">
        <v>=</v>
      </c>
      <c r="N3932">
        <f>J3932+L3932</f>
        <v>1.712</v>
      </c>
      <c r="O3932" t="str">
        <v>+</v>
      </c>
      <c r="P3932">
        <f>D3932-D3933</f>
        <v>0</v>
      </c>
      <c r="Q3932" t="str">
        <v>x</v>
      </c>
      <c r="R3932">
        <f>IF(P3932&gt;0,$F$18*F3932/1000,0)</f>
        <v>0</v>
      </c>
      <c r="S3932" t="str">
        <v>)</v>
      </c>
      <c r="T3932" t="str">
        <v>x</v>
      </c>
      <c r="U3932">
        <f>0.006165*F3932^2</f>
        <v>1.57824</v>
      </c>
      <c r="X3932" t="str">
        <v>x</v>
      </c>
      <c r="Y3932">
        <f>D3931</f>
        <v>1</v>
      </c>
      <c r="Z3932" t="str">
        <v>=</v>
      </c>
      <c r="AA3932">
        <f>IF(AA3935=0,(D3932*N3932+P3932*R3932)*U3932*Y3932,0)</f>
        <v>0</v>
      </c>
    </row>
    <row r="3933">
      <c r="A3933" t="str">
        <f>A3925</f>
        <v>Lantai 2</v>
      </c>
      <c r="B3933">
        <f>B3925</f>
        <v>44</v>
      </c>
      <c r="C3933" t="str">
        <v>Tul Atas Lapangan</v>
      </c>
      <c r="D3933">
        <f>VLOOKUP(D3925,'Detail Balok'!$C$10:$AU$140,7,FALSE)</f>
        <v>4</v>
      </c>
      <c r="E3933" t="str">
        <v>D</v>
      </c>
      <c r="F3933">
        <f>VLOOKUP(D3925,'Detail Balok'!$C$10:$AU$140,9,FALSE)</f>
        <v>16</v>
      </c>
      <c r="I3933" t="str">
        <v>(</v>
      </c>
      <c r="J3933">
        <f>+D3927/2/1000</f>
        <v>3.04</v>
      </c>
      <c r="K3933" t="str">
        <v>+</v>
      </c>
      <c r="M3933" t="str">
        <v>=</v>
      </c>
      <c r="N3933">
        <f>J3933+L3933</f>
        <v>3.04</v>
      </c>
      <c r="O3933" t="str">
        <v>+</v>
      </c>
      <c r="P3933">
        <f>MAX(D3933-D3932,D3933-D3934)</f>
        <v>0</v>
      </c>
      <c r="Q3933" t="str">
        <v>x</v>
      </c>
      <c r="R3933">
        <f>IF(P3933&gt;0,2*(1-2*$F$19-1/2)*D3928/1000,0)</f>
        <v>0</v>
      </c>
      <c r="S3933" t="str">
        <v>)</v>
      </c>
      <c r="T3933" t="str">
        <v>x</v>
      </c>
      <c r="U3933">
        <f>0.006165*F3933^2</f>
        <v>1.57824</v>
      </c>
      <c r="X3933" t="str">
        <v>x</v>
      </c>
      <c r="Y3933">
        <f>D3931</f>
        <v>1</v>
      </c>
      <c r="Z3933" t="str">
        <v>=</v>
      </c>
      <c r="AA3933">
        <f>IF(AA3935=0,(D3933*N3933+P3933*R3933)*U3933*Y3933,0)</f>
        <v>0</v>
      </c>
    </row>
    <row r="3934">
      <c r="A3934" t="str">
        <f>A3925</f>
        <v>Lantai 2</v>
      </c>
      <c r="B3934">
        <f>B3925</f>
        <v>44</v>
      </c>
      <c r="C3934" t="str">
        <v>Tul Atas Tumpuan</v>
      </c>
      <c r="D3934">
        <f>VLOOKUP(D3925,'Detail Balok'!$C$10:$AU$140,10,FALSE)</f>
        <v>4</v>
      </c>
      <c r="E3934" t="str">
        <v>D</v>
      </c>
      <c r="F3934">
        <f>VLOOKUP(D3925,'Detail Balok'!$C$10:$AU$140,12,FALSE)</f>
        <v>16</v>
      </c>
      <c r="I3934" t="str">
        <v>(</v>
      </c>
      <c r="J3934">
        <f>+D3927/4/1000</f>
        <v>1.52</v>
      </c>
      <c r="K3934" t="str">
        <v>+</v>
      </c>
      <c r="L3934">
        <f>MAX(VLOOKUP(F3934,N$6:P$15,3,FALSE)/1000,2/3*D3929/1000)+F$16*F3934/1000</f>
        <v>0.192</v>
      </c>
      <c r="M3934" t="str">
        <v>=</v>
      </c>
      <c r="N3934">
        <f>J3934+L3934</f>
        <v>1.712</v>
      </c>
      <c r="O3934" t="str">
        <v>+</v>
      </c>
      <c r="P3934">
        <f>D3934-D3933</f>
        <v>0</v>
      </c>
      <c r="Q3934" t="str">
        <v>x</v>
      </c>
      <c r="R3934">
        <f>IF(P3934&gt;0,$F$18*F3934/1000,0)</f>
        <v>0</v>
      </c>
      <c r="S3934" t="str">
        <v>)</v>
      </c>
      <c r="T3934" t="str">
        <v>x</v>
      </c>
      <c r="U3934">
        <f>0.006165*F3934^2</f>
        <v>1.57824</v>
      </c>
      <c r="X3934" t="str">
        <v>x</v>
      </c>
      <c r="Y3934">
        <f>D3931</f>
        <v>1</v>
      </c>
      <c r="Z3934" t="str">
        <v>=</v>
      </c>
      <c r="AA3934">
        <f>IF(AA3935=0,(D3934*N3934+P3934*R3934)*U3934*Y3934,0)</f>
        <v>0</v>
      </c>
    </row>
    <row r="3935">
      <c r="A3935" t="str">
        <f>A3925</f>
        <v>Lantai 2</v>
      </c>
      <c r="B3935">
        <f>B3925</f>
        <v>44</v>
      </c>
      <c r="D3935">
        <f>IF(AND(D3932=D3933,D3933=D3934,D3932=D3934),D3932,0)</f>
        <v>4</v>
      </c>
      <c r="E3935" t="str">
        <v>D</v>
      </c>
      <c r="F3935">
        <f>IF(AND(F3932=F3933,F3932=F3934,F3933=F3934),F3932,0)</f>
        <v>16</v>
      </c>
      <c r="L3935" t="str">
        <v>Total panjang per balok</v>
      </c>
      <c r="M3935" t="str">
        <v>=</v>
      </c>
      <c r="N3935">
        <f>IF(AND(D3932=D3933,D3932=D3934,D3933=D3934,F3932=F3933,F3932=F3934,F3933=F3934),SUM(N3932:N3934),0)</f>
        <v>6.4639999999999995</v>
      </c>
      <c r="O3935" t="str">
        <v>+</v>
      </c>
      <c r="P3935">
        <f>IF(N3935&gt;12,ROUNDDOWN(N3935/12,0),0)</f>
        <v>0</v>
      </c>
      <c r="Q3935" t="str">
        <v>x</v>
      </c>
      <c r="R3935">
        <f>IF(P3935&gt;0,MAX(VLOOKUP(F3935,$D$6:$G$15,3,FALSE),600),0)/1000</f>
        <v>0</v>
      </c>
      <c r="T3935" t="str">
        <v>x</v>
      </c>
      <c r="U3935">
        <f>U3934</f>
        <v>1.57824</v>
      </c>
      <c r="V3935" t="str">
        <v>x</v>
      </c>
      <c r="W3935">
        <f>D3935</f>
        <v>4</v>
      </c>
      <c r="X3935" t="str">
        <v>x</v>
      </c>
      <c r="Y3935">
        <f>Y3934</f>
        <v>1</v>
      </c>
      <c r="Z3935" t="str">
        <v>=</v>
      </c>
      <c r="AA3935">
        <f>(N3935+P3935*R3935/1000)*U3935*W3935*Y3935</f>
        <v>40.80697344</v>
      </c>
    </row>
    <row r="3937">
      <c r="A3937" t="str">
        <f>A3925</f>
        <v>Lantai 2</v>
      </c>
      <c r="B3937">
        <f>B3925</f>
        <v>44</v>
      </c>
      <c r="C3937" t="str">
        <v>Tul Peminggang</v>
      </c>
      <c r="D3937">
        <f>VLOOKUP(D3925,'Detail Balok'!$C$10:$AU$140,13,FALSE)</f>
        <v>2</v>
      </c>
      <c r="E3937" t="str">
        <v>D</v>
      </c>
      <c r="F3937">
        <f>VLOOKUP(D3925,'Detail Balok'!$C$10:$AU$140,15,FALSE)</f>
        <v>10</v>
      </c>
      <c r="J3937">
        <f>+D3927/1000</f>
        <v>6.08</v>
      </c>
      <c r="K3937" t="str">
        <v>+</v>
      </c>
      <c r="L3937">
        <f>2*$F$16*F3937/1000</f>
        <v>0.24</v>
      </c>
      <c r="M3937" t="str">
        <v>=</v>
      </c>
      <c r="N3937">
        <f>J3937+L3937</f>
        <v>6.32</v>
      </c>
      <c r="O3937" t="str">
        <v>+</v>
      </c>
      <c r="P3937">
        <f>IF(N3937&gt;12,ROUNDDOWN(N3937/12,0),0)</f>
        <v>0</v>
      </c>
      <c r="Q3937" t="str">
        <v>x</v>
      </c>
      <c r="R3937">
        <f>IF(P3937&gt;0,MAX(VLOOKUP(F3937,$D$6:$G$15,3,FALSE),600),0)/1000</f>
        <v>0</v>
      </c>
      <c r="T3937" t="str">
        <v>x</v>
      </c>
      <c r="U3937">
        <f>0.006165*F3937^2</f>
        <v>0.6165</v>
      </c>
      <c r="V3937" t="str">
        <v>x</v>
      </c>
      <c r="W3937">
        <f>+D3937</f>
        <v>2</v>
      </c>
      <c r="X3937" t="str">
        <v>x</v>
      </c>
      <c r="Y3937">
        <f>D3931</f>
        <v>1</v>
      </c>
      <c r="Z3937" t="str">
        <v>=</v>
      </c>
      <c r="AA3937">
        <f>(N3937+P3937*R3937/1000)*U3937*W3937*Y3937</f>
        <v>7.792560000000001</v>
      </c>
    </row>
    <row r="3940">
      <c r="A3940" t="str">
        <f>A3925</f>
        <v>Lantai 2</v>
      </c>
      <c r="B3940">
        <f>B3925</f>
        <v>44</v>
      </c>
      <c r="C3940" t="str">
        <v>Tul Bawah Tumpuan</v>
      </c>
      <c r="D3940">
        <f>VLOOKUP(D3925,'Detail Balok'!$C$10:$AU$140,22,FALSE)</f>
        <v>4</v>
      </c>
      <c r="E3940" t="str">
        <v>D</v>
      </c>
      <c r="F3940">
        <f>VLOOKUP(D3925,'Detail Balok'!$C$10:$AU$140,24,FALSE)</f>
        <v>16</v>
      </c>
      <c r="I3940" t="str">
        <v>(</v>
      </c>
      <c r="J3940">
        <f>+J3932</f>
        <v>1.52</v>
      </c>
      <c r="K3940" t="str">
        <v>+</v>
      </c>
      <c r="L3940">
        <f>MAX(VLOOKUP(F3940,N$6:P$15,3,FALSE)/1000,2/3*D3930/1000)+F$16*F3940/1000</f>
        <v>0.192</v>
      </c>
      <c r="M3940" t="str">
        <v>=</v>
      </c>
      <c r="N3940">
        <f>J3940+L3940</f>
        <v>1.712</v>
      </c>
      <c r="O3940" t="str">
        <v>+</v>
      </c>
      <c r="P3940">
        <f>D3940-D3941</f>
        <v>0</v>
      </c>
      <c r="Q3940" t="str">
        <v>x</v>
      </c>
      <c r="R3940">
        <f>IF(P3940&gt;0,$F$18*F3940/1000,0)</f>
        <v>0</v>
      </c>
      <c r="S3940" t="str">
        <v>)</v>
      </c>
      <c r="T3940" t="str">
        <v>x</v>
      </c>
      <c r="U3940">
        <f>0.006165*F3940^2</f>
        <v>1.57824</v>
      </c>
      <c r="X3940" t="str">
        <v>x</v>
      </c>
      <c r="Y3940">
        <f>D3931</f>
        <v>1</v>
      </c>
      <c r="Z3940" t="str">
        <v>=</v>
      </c>
      <c r="AA3940">
        <f>IF(AA3943=0,(D3940*N3940+P3940*R3940)*U3940*Y3940,0)</f>
        <v>0</v>
      </c>
    </row>
    <row r="3941">
      <c r="A3941" t="str">
        <f>A3925</f>
        <v>Lantai 2</v>
      </c>
      <c r="B3941">
        <f>B3925</f>
        <v>44</v>
      </c>
      <c r="C3941" t="str">
        <v>Tul Bawah Lapangan</v>
      </c>
      <c r="D3941">
        <f>VLOOKUP(D3925,'Detail Balok'!$C$10:$AU$140,25,FALSE)</f>
        <v>4</v>
      </c>
      <c r="E3941" t="str">
        <v>D</v>
      </c>
      <c r="F3941">
        <f>VLOOKUP(D3925,'Detail Balok'!$C$10:$AU$140,27,FALSE)</f>
        <v>16</v>
      </c>
      <c r="I3941" t="str">
        <v>(</v>
      </c>
      <c r="J3941">
        <f>+J3933</f>
        <v>3.04</v>
      </c>
      <c r="K3941" t="str">
        <v>+</v>
      </c>
      <c r="M3941" t="str">
        <v>=</v>
      </c>
      <c r="N3941">
        <f>J3941+L3941</f>
        <v>3.04</v>
      </c>
      <c r="O3941" t="str">
        <v>+</v>
      </c>
      <c r="P3941">
        <f>MAX(D3941-D3940,D3941-D3942)</f>
        <v>0</v>
      </c>
      <c r="Q3941" t="str">
        <v>x</v>
      </c>
      <c r="R3941">
        <f>IF(P3941&gt;0,2*(1-2*$F$19-1/2)*D3928/1000,0)</f>
        <v>0</v>
      </c>
      <c r="S3941" t="str">
        <v>)</v>
      </c>
      <c r="T3941" t="str">
        <v>x</v>
      </c>
      <c r="U3941">
        <f>0.006165*F3941^2</f>
        <v>1.57824</v>
      </c>
      <c r="X3941" t="str">
        <v>x</v>
      </c>
      <c r="Y3941">
        <f>D3931</f>
        <v>1</v>
      </c>
      <c r="Z3941" t="str">
        <v>=</v>
      </c>
      <c r="AA3941">
        <f>IF(AA3943=0,(D3941*N3941+P3941*R3941)*U3941*Y3941,0)</f>
        <v>0</v>
      </c>
    </row>
    <row r="3942">
      <c r="A3942" t="str">
        <f>A3925</f>
        <v>Lantai 2</v>
      </c>
      <c r="B3942">
        <f>B3925</f>
        <v>44</v>
      </c>
      <c r="C3942" t="str">
        <v>Tul Bawah Tumpuan</v>
      </c>
      <c r="D3942">
        <f>VLOOKUP(D3925,'Detail Balok'!$C$10:$AU$140,28,FALSE)</f>
        <v>4</v>
      </c>
      <c r="E3942" t="str">
        <v>D</v>
      </c>
      <c r="F3942">
        <f>VLOOKUP(D3925,'Detail Balok'!$C$10:$AU$140,30,FALSE)</f>
        <v>16</v>
      </c>
      <c r="I3942" t="str">
        <v>(</v>
      </c>
      <c r="J3942">
        <f>+J3934</f>
        <v>1.52</v>
      </c>
      <c r="K3942" t="str">
        <v>+</v>
      </c>
      <c r="L3942">
        <f>MAX(VLOOKUP(F3942,N$6:P$15,3,FALSE)/1000,2/3*D3930/1000)+F$16*F3942/1000</f>
        <v>0.192</v>
      </c>
      <c r="M3942" t="str">
        <v>=</v>
      </c>
      <c r="N3942">
        <f>J3942+L3942</f>
        <v>1.712</v>
      </c>
      <c r="O3942" t="str">
        <v>+</v>
      </c>
      <c r="P3942">
        <f>D3942-D3941</f>
        <v>0</v>
      </c>
      <c r="Q3942" t="str">
        <v>x</v>
      </c>
      <c r="R3942">
        <f>IF(P3942&gt;0,$F$18*F3942/1000,0)</f>
        <v>0</v>
      </c>
      <c r="S3942" t="str">
        <v>)</v>
      </c>
      <c r="T3942" t="str">
        <v>x</v>
      </c>
      <c r="U3942">
        <f>0.006165*F3942^2</f>
        <v>1.57824</v>
      </c>
      <c r="X3942" t="str">
        <v>x</v>
      </c>
      <c r="Y3942">
        <f>D3931</f>
        <v>1</v>
      </c>
      <c r="Z3942" t="str">
        <v>=</v>
      </c>
      <c r="AA3942">
        <f>IF(AA3943=0,(D3942*N3942+P3942*R3942)*U3942*Y3942,0)</f>
        <v>0</v>
      </c>
    </row>
    <row r="3943">
      <c r="A3943" t="str">
        <f>A3925</f>
        <v>Lantai 2</v>
      </c>
      <c r="B3943">
        <f>B3925</f>
        <v>44</v>
      </c>
      <c r="D3943">
        <f>IF(AND(D3940=D3941,D3941=D3942,D3940=D3942),D3940,0)</f>
        <v>4</v>
      </c>
      <c r="E3943" t="str">
        <v>D</v>
      </c>
      <c r="F3943">
        <f>IF(AND(F3940=F3941,F3940=F3942,F3941=F3942),F3940,0)</f>
        <v>16</v>
      </c>
      <c r="L3943" t="str">
        <v>Total panjang per balok</v>
      </c>
      <c r="M3943" t="str">
        <v>=</v>
      </c>
      <c r="N3943">
        <f>IF(AND(D3940=D3941,D3940=D3942,D3941=D3942,F3940=F3941,F3940=F3942,F3941=F3942),SUM(N3940:N3942),0)</f>
        <v>6.4639999999999995</v>
      </c>
      <c r="O3943" t="str">
        <v>+</v>
      </c>
      <c r="P3943">
        <f>IF(N3943&gt;12,ROUNDDOWN(N3943/12,0),0)</f>
        <v>0</v>
      </c>
      <c r="Q3943" t="str">
        <v>x</v>
      </c>
      <c r="R3943">
        <f>IF(P3943&gt;0,MAX(VLOOKUP(F3943,$D$6:$G$15,3,FALSE),600),0)/1000</f>
        <v>0</v>
      </c>
      <c r="T3943" t="str">
        <v>x</v>
      </c>
      <c r="U3943">
        <f>U3942</f>
        <v>1.57824</v>
      </c>
      <c r="V3943" t="str">
        <v>x</v>
      </c>
      <c r="W3943">
        <f>D3943</f>
        <v>4</v>
      </c>
      <c r="X3943" t="str">
        <v>x</v>
      </c>
      <c r="Y3943">
        <f>Y3942</f>
        <v>1</v>
      </c>
      <c r="Z3943" t="str">
        <v>=</v>
      </c>
      <c r="AA3943">
        <f>(N3943+P3943*R3943/1000)*U3943*W3943*Y3943</f>
        <v>40.80697344</v>
      </c>
    </row>
    <row r="3945">
      <c r="A3945" t="str">
        <f>A3925</f>
        <v>Lantai 2</v>
      </c>
      <c r="B3945">
        <f>B3925</f>
        <v>44</v>
      </c>
      <c r="C3945" t="str">
        <v>Sengkang Tumpuan</v>
      </c>
      <c r="D3945">
        <f>VLOOKUP(D3925,'Detail Balok'!$C$10:$AU$140,31,FALSE)</f>
        <v>0</v>
      </c>
      <c r="E3945" t="str">
        <v>D</v>
      </c>
      <c r="F3945">
        <f>VLOOKUP(D3925,'Detail Balok'!$C$10:$AU$140,33,FALSE)</f>
        <v>10</v>
      </c>
      <c r="G3945" t="str">
        <v>-</v>
      </c>
      <c r="H3945">
        <f>VLOOKUP(D3925,'Detail Balok'!$C$10:$AU$140,35,FALSE)</f>
        <v>150</v>
      </c>
      <c r="J3945">
        <f>(IF(D3945=0,(2*(D3926+G3926))-(F$5*8),IF(D3945=3,(2*(D3926+G3926))-(F$5*8)+(G3926-2*F$5),IF(D3945=4,(2*(D3926+G3926))-(F$5*8)+2*(G3926-2*F$5)))))/1000</f>
        <v>1.08</v>
      </c>
      <c r="K3945" t="str">
        <v>+</v>
      </c>
      <c r="L3945">
        <f>IF(D3945=0,2*MAX(6*F3945,75),(D3945-1)*2*MAX(6*F3945,75))/1000</f>
        <v>0.15</v>
      </c>
      <c r="M3945" t="str">
        <v>=</v>
      </c>
      <c r="N3945">
        <f>J3945+L3945</f>
        <v>1.23</v>
      </c>
      <c r="T3945" t="str">
        <v>x</v>
      </c>
      <c r="U3945">
        <f>0.006165*F3945^2</f>
        <v>0.6165</v>
      </c>
      <c r="V3945" t="str">
        <v>x</v>
      </c>
      <c r="W3945">
        <f>IF(D3928&gt;4*G3926,ROUND(MAX(D3928/4,2*G3926)/H3945,0)+1,ROUND(D3928/H3945,0)+1)</f>
        <v>11</v>
      </c>
      <c r="X3945" t="str">
        <v>x</v>
      </c>
      <c r="Y3945">
        <f>D3931</f>
        <v>1</v>
      </c>
      <c r="Z3945" t="str">
        <v>=</v>
      </c>
      <c r="AA3945">
        <f>N3945*U3945*W3945*Y3945</f>
        <v>8.341245</v>
      </c>
    </row>
    <row r="3946">
      <c r="A3946" t="str">
        <f>A3925</f>
        <v>Lantai 2</v>
      </c>
      <c r="B3946">
        <f>B3925</f>
        <v>44</v>
      </c>
      <c r="C3946" t="str">
        <v>Sengkang Lapangan</v>
      </c>
      <c r="D3946">
        <f>VLOOKUP(D3925,'Detail Balok'!$C$10:$AU$140,36,FALSE)</f>
        <v>0</v>
      </c>
      <c r="E3946" t="str">
        <v>D</v>
      </c>
      <c r="F3946">
        <f>VLOOKUP(D3925,'Detail Balok'!$C$10:$AU$140,38,FALSE)</f>
        <v>10</v>
      </c>
      <c r="G3946" t="str">
        <v>-</v>
      </c>
      <c r="H3946">
        <f>VLOOKUP(D3925,'Detail Balok'!$C$10:$AU$140,40,FALSE)</f>
        <v>200</v>
      </c>
      <c r="J3946">
        <f>(IF(D3946=0,(2*(D3926+G3926))-(F$5*8),IF(D3946=3,(2*(D3926+G3926))-(F$5*8)+(G3926-2*F$5),IF(D3946=4,(2*(D3926+G3926))-(F$5*8)+2*(G3926-2*F$5)))))/1000</f>
        <v>1.08</v>
      </c>
      <c r="K3946" t="str">
        <v>+</v>
      </c>
      <c r="L3946">
        <f>IF(D3946=0,2*MAX(6*F3946,75),(D3946-1)*2*MAX(6*F3946,75))/1000</f>
        <v>0.15</v>
      </c>
      <c r="M3946" t="str">
        <v>=</v>
      </c>
      <c r="N3946">
        <f>J3946+L3946</f>
        <v>1.23</v>
      </c>
      <c r="T3946" t="str">
        <v>x</v>
      </c>
      <c r="U3946">
        <f>0.006165*F3946^2</f>
        <v>0.6165</v>
      </c>
      <c r="V3946" t="str">
        <v>x</v>
      </c>
      <c r="W3946">
        <f>IF(D3928-MAX(D3928/4,2*G3926)*2&gt;0,ROUND((D3928-MAX(D3928/4,2*G3926)*2)/H3946,0),0)</f>
        <v>15</v>
      </c>
      <c r="X3946" t="str">
        <v>x</v>
      </c>
      <c r="Y3946">
        <f>D3931</f>
        <v>1</v>
      </c>
      <c r="Z3946" t="str">
        <v>=</v>
      </c>
      <c r="AA3946">
        <f>N3946*U3946*W3946*Y3946</f>
        <v>11.374425</v>
      </c>
    </row>
    <row r="3947">
      <c r="A3947" t="str">
        <f>A3925</f>
        <v>Lantai 2</v>
      </c>
      <c r="B3947">
        <f>B3925</f>
        <v>44</v>
      </c>
      <c r="C3947" t="str">
        <v>Sengkang Tumpuan</v>
      </c>
      <c r="D3947">
        <f>VLOOKUP(D3925,'Detail Balok'!$C$10:$AU$140,41,FALSE)</f>
        <v>0</v>
      </c>
      <c r="E3947" t="str">
        <v>D</v>
      </c>
      <c r="F3947">
        <f>VLOOKUP(D3925,'Detail Balok'!$C$10:$AU$140,43,FALSE)</f>
        <v>10</v>
      </c>
      <c r="G3947" t="str">
        <v>-</v>
      </c>
      <c r="H3947">
        <f>VLOOKUP(D3925,'Detail Balok'!$C$10:$AU$140,45,FALSE)</f>
        <v>150</v>
      </c>
      <c r="J3947">
        <f>(IF(D3947=0,(2*(D3926+G3926))-(F$5*8),IF(D3947=3,(2*(D3926+G3926))-(F$5*8)+(G3926-2*F$5),IF(D3947=4,(2*(D3926+G3926))-(F$5*8)+2*(G3926-2*F$5)))))/1000</f>
        <v>1.08</v>
      </c>
      <c r="K3947" t="str">
        <v>+</v>
      </c>
      <c r="L3947">
        <f>IF(D3947=0,2*MAX(6*F3947,75),(D3947-1)*2*MAX(6*F3947,75))/1000</f>
        <v>0.15</v>
      </c>
      <c r="M3947" t="str">
        <v>=</v>
      </c>
      <c r="N3947">
        <f>J3947+L3947</f>
        <v>1.23</v>
      </c>
      <c r="T3947" t="str">
        <v>x</v>
      </c>
      <c r="U3947">
        <f>0.006165*F3947^2</f>
        <v>0.6165</v>
      </c>
      <c r="V3947" t="str">
        <v>x</v>
      </c>
      <c r="W3947">
        <f>IF(D3928&gt;4*G3926,ROUND(MAX(D3928/4,2*G3926)/H3947,0)+1,0)</f>
        <v>11</v>
      </c>
      <c r="X3947" t="str">
        <v>x</v>
      </c>
      <c r="Y3947">
        <f>D3931</f>
        <v>1</v>
      </c>
      <c r="Z3947" t="str">
        <v>=</v>
      </c>
      <c r="AA3947">
        <f>N3947*U3947*W3947*Y3947</f>
        <v>8.341245</v>
      </c>
    </row>
    <row r="3949">
      <c r="A3949" t="str">
        <f>A3925</f>
        <v>Lantai 2</v>
      </c>
      <c r="B3949">
        <f>B3925</f>
        <v>44</v>
      </c>
      <c r="C3949" t="str">
        <v>Kait Horizontal Tump.</v>
      </c>
      <c r="D3949">
        <f>VLOOKUP(D3925,'Detail Balok'!$C$10:$BJ$140,46,FALSE)</f>
        <v>0</v>
      </c>
      <c r="E3949" t="str">
        <v>D</v>
      </c>
      <c r="F3949">
        <f>VLOOKUP(D3925,'Detail Balok'!$C$10:$BJ$140,48,FALSE)</f>
        <v>0</v>
      </c>
      <c r="G3949" t="str">
        <v>-</v>
      </c>
      <c r="H3949">
        <f>VLOOKUP(D3925,'Detail Balok'!$C$10:$BJ$140,50,FALSE)</f>
        <v>100</v>
      </c>
      <c r="J3949">
        <f>(D3926-2*F$5)/1000</f>
        <v>0.12</v>
      </c>
      <c r="K3949" t="str">
        <v>+</v>
      </c>
      <c r="L3949">
        <f>IF(D3949=0,2*MAX(6*F3949,75),(D3949-1)*2*MAX(6*F3949,75))/1000</f>
        <v>0.15</v>
      </c>
      <c r="M3949" t="str">
        <v>=</v>
      </c>
      <c r="N3949">
        <f>J3949+L3949</f>
        <v>0.27</v>
      </c>
      <c r="T3949" t="str">
        <v>x</v>
      </c>
      <c r="U3949">
        <f>0.006165*F3949^2</f>
        <v>0</v>
      </c>
      <c r="V3949" t="str">
        <v>x</v>
      </c>
      <c r="W3949">
        <f>W3945</f>
        <v>11</v>
      </c>
      <c r="X3949" t="str">
        <v>x</v>
      </c>
      <c r="Y3949">
        <f>D3935</f>
        <v>4</v>
      </c>
      <c r="Z3949" t="str">
        <v>=</v>
      </c>
      <c r="AA3949">
        <f>N3949*U3949*W3949*Y3949</f>
        <v>0</v>
      </c>
    </row>
    <row r="3950">
      <c r="A3950" t="str">
        <f>A3925</f>
        <v>Lantai 2</v>
      </c>
      <c r="B3950">
        <f>B3925</f>
        <v>44</v>
      </c>
      <c r="C3950" t="str">
        <v>Kait Horizontal Lap.</v>
      </c>
      <c r="D3950">
        <f>VLOOKUP(D3925,'Detail Balok'!$C$10:$BJ$140,51,FALSE)</f>
        <v>0</v>
      </c>
      <c r="E3950" t="str">
        <v>D</v>
      </c>
      <c r="F3950">
        <f>VLOOKUP(D3925,'Detail Balok'!$C$10:$BJ$140,53,FALSE)</f>
        <v>0</v>
      </c>
      <c r="G3950" t="str">
        <v>-</v>
      </c>
      <c r="H3950">
        <f>VLOOKUP(D3925,'Detail Balok'!$C$10:$BJ$140,55,FALSE)</f>
        <v>100</v>
      </c>
      <c r="J3950">
        <f>(D3926-2*F$5)/1000</f>
        <v>0.12</v>
      </c>
      <c r="K3950" t="str">
        <v>+</v>
      </c>
      <c r="L3950">
        <f>IF(D3950=0,2*MAX(6*F3950,75),(D3950-1)*2*MAX(6*F3950,75))/1000</f>
        <v>0.15</v>
      </c>
      <c r="M3950" t="str">
        <v>=</v>
      </c>
      <c r="N3950">
        <f>J3950+L3950</f>
        <v>0.27</v>
      </c>
      <c r="T3950" t="str">
        <v>x</v>
      </c>
      <c r="U3950">
        <f>0.006165*F3950^2</f>
        <v>0</v>
      </c>
      <c r="V3950" t="str">
        <v>x</v>
      </c>
      <c r="W3950">
        <f>W3946</f>
        <v>15</v>
      </c>
      <c r="X3950" t="str">
        <v>x</v>
      </c>
      <c r="Y3950">
        <f>D3935</f>
        <v>4</v>
      </c>
      <c r="Z3950" t="str">
        <v>=</v>
      </c>
      <c r="AA3950">
        <f>N3950*U3950*W3950*Y3950</f>
        <v>0</v>
      </c>
    </row>
    <row r="3951">
      <c r="A3951" t="str">
        <f>A3925</f>
        <v>Lantai 2</v>
      </c>
      <c r="B3951">
        <f>B3925</f>
        <v>44</v>
      </c>
      <c r="C3951" t="str">
        <v>Kait Horizontal Tump.</v>
      </c>
      <c r="D3951">
        <f>VLOOKUP(D3925,'Detail Balok'!$C$10:$BJ$140,56,FALSE)</f>
        <v>0</v>
      </c>
      <c r="E3951" t="str">
        <v>D</v>
      </c>
      <c r="F3951">
        <f>VLOOKUP(D3925,'Detail Balok'!$C$10:$BJ$140,58,FALSE)</f>
        <v>0</v>
      </c>
      <c r="G3951" t="str">
        <v>-</v>
      </c>
      <c r="H3951">
        <f>VLOOKUP(D3925,'Detail Balok'!$C$10:$BJ$140,60,FALSE)</f>
        <v>100</v>
      </c>
      <c r="J3951">
        <f>(D3926-2*F$5)/1000</f>
        <v>0.12</v>
      </c>
      <c r="K3951" t="str">
        <v>+</v>
      </c>
      <c r="L3951">
        <f>IF(D3951=0,2*MAX(6*F3951,75),(D3951-1)*2*MAX(6*F3951,75))/1000</f>
        <v>0.15</v>
      </c>
      <c r="M3951" t="str">
        <v>=</v>
      </c>
      <c r="N3951">
        <f>J3951+L3951</f>
        <v>0.27</v>
      </c>
      <c r="T3951" t="str">
        <v>x</v>
      </c>
      <c r="U3951">
        <f>0.006165*F3951^2</f>
        <v>0</v>
      </c>
      <c r="V3951" t="str">
        <v>x</v>
      </c>
      <c r="W3951">
        <f>W3947</f>
        <v>11</v>
      </c>
      <c r="X3951" t="str">
        <v>x</v>
      </c>
      <c r="Y3951">
        <f>D3935</f>
        <v>4</v>
      </c>
      <c r="Z3951" t="str">
        <v>=</v>
      </c>
      <c r="AA3951">
        <f>N3951*U3951*W3951*Y3951</f>
        <v>0</v>
      </c>
    </row>
    <row r="3955">
      <c r="A3955" t="str">
        <f>A3925</f>
        <v>Lantai 2</v>
      </c>
      <c r="B3955">
        <f>B3925+1</f>
        <v>45</v>
      </c>
      <c r="C3955" t="str">
        <f>CONCATENATE(A3955," no. ",B3955)</f>
        <v>Lantai 2 no. 45</v>
      </c>
      <c r="D3955" t="str">
        <f>VLOOKUP(C3955,'Data Panjang Balok'!$C$9:$N$254,2,FALSE)</f>
        <v>B24-1</v>
      </c>
    </row>
    <row r="3956">
      <c r="C3956" t="str">
        <v>Dimensi</v>
      </c>
      <c r="D3956">
        <f>VLOOKUP(D3955,'Detail Balok'!$C$10:$AU$140,2,FALSE)</f>
        <v>200</v>
      </c>
      <c r="F3956" t="str">
        <v>x</v>
      </c>
      <c r="G3956">
        <f>VLOOKUP(D3955,'Detail Balok'!$C$10:$AU$140,3,FALSE)</f>
        <v>400</v>
      </c>
    </row>
    <row r="3957">
      <c r="C3957" t="str">
        <v>Panjang as ke as</v>
      </c>
      <c r="D3957">
        <f>VLOOKUP(C3955,'Data Panjang Balok'!$C$9:$N$254,4,FALSE)</f>
        <v>2125</v>
      </c>
    </row>
    <row r="3958">
      <c r="C3958" t="str">
        <v>Panjang netto</v>
      </c>
      <c r="D3958">
        <f>VLOOKUP(C3955,'Data Panjang Balok'!$C$9:$N$254,7,FALSE)</f>
        <v>2125</v>
      </c>
    </row>
    <row r="3959">
      <c r="C3959" t="str">
        <v>Kolom / balok kiri</v>
      </c>
      <c r="D3959">
        <f>VLOOKUP(C3955,'Data Panjang Balok'!$C$9:$N$254,9,FALSE)</f>
        <v>0</v>
      </c>
    </row>
    <row r="3960">
      <c r="C3960" t="str">
        <v>Kolom / balok kanan</v>
      </c>
      <c r="D3960">
        <f>VLOOKUP(C3955,'Data Panjang Balok'!$C$9:$N$254,10,FALSE)</f>
        <v>0</v>
      </c>
    </row>
    <row r="3961">
      <c r="C3961" t="str">
        <v>Jumlah</v>
      </c>
      <c r="D3961">
        <f>VLOOKUP(C3955,'Data Panjang Balok'!$C$9:$N$254,3,FALSE)</f>
        <v>1</v>
      </c>
    </row>
    <row r="3962">
      <c r="A3962" t="str">
        <f>A3955</f>
        <v>Lantai 2</v>
      </c>
      <c r="B3962">
        <f>B3955</f>
        <v>45</v>
      </c>
      <c r="C3962" t="str">
        <v>Tul Atas Tumpuan</v>
      </c>
      <c r="D3962">
        <f>VLOOKUP(D3955,'Detail Balok'!$C$10:$AU$140,4,FALSE)</f>
        <v>3</v>
      </c>
      <c r="E3962" t="str">
        <v>D</v>
      </c>
      <c r="F3962">
        <f>VLOOKUP(D3955,'Detail Balok'!$C$10:$AU$140,6,FALSE)</f>
        <v>13</v>
      </c>
      <c r="I3962" t="str">
        <v>(</v>
      </c>
      <c r="J3962">
        <f>+D3957/4/1000</f>
        <v>0.53125</v>
      </c>
      <c r="K3962" t="str">
        <v>+</v>
      </c>
      <c r="L3962">
        <f>MAX(VLOOKUP(F3962,N$6:P$15,3,FALSE)/1000,2/3*D3959/1000)+F$16*F3962/1000</f>
        <v>0.156</v>
      </c>
      <c r="M3962" t="str">
        <v>=</v>
      </c>
      <c r="N3962">
        <f>J3962+L3962</f>
        <v>0.68725</v>
      </c>
      <c r="O3962" t="str">
        <v>+</v>
      </c>
      <c r="P3962">
        <f>D3962-D3963</f>
        <v>0</v>
      </c>
      <c r="Q3962" t="str">
        <v>x</v>
      </c>
      <c r="R3962">
        <f>IF(P3962&gt;0,$F$18*F3962/1000,0)</f>
        <v>0</v>
      </c>
      <c r="S3962" t="str">
        <v>)</v>
      </c>
      <c r="T3962" t="str">
        <v>x</v>
      </c>
      <c r="U3962">
        <f>0.006165*F3962^2</f>
        <v>1.041885</v>
      </c>
      <c r="X3962" t="str">
        <v>x</v>
      </c>
      <c r="Y3962">
        <f>D3961</f>
        <v>1</v>
      </c>
      <c r="Z3962" t="str">
        <v>=</v>
      </c>
      <c r="AA3962">
        <f>IF(AA3965=0,(D3962*N3962+P3962*R3962)*U3962*Y3962,0)</f>
        <v>0</v>
      </c>
    </row>
    <row r="3963">
      <c r="A3963" t="str">
        <f>A3955</f>
        <v>Lantai 2</v>
      </c>
      <c r="B3963">
        <f>B3955</f>
        <v>45</v>
      </c>
      <c r="C3963" t="str">
        <v>Tul Atas Lapangan</v>
      </c>
      <c r="D3963">
        <f>VLOOKUP(D3955,'Detail Balok'!$C$10:$AU$140,7,FALSE)</f>
        <v>3</v>
      </c>
      <c r="E3963" t="str">
        <v>D</v>
      </c>
      <c r="F3963">
        <f>VLOOKUP(D3955,'Detail Balok'!$C$10:$AU$140,9,FALSE)</f>
        <v>13</v>
      </c>
      <c r="I3963" t="str">
        <v>(</v>
      </c>
      <c r="J3963">
        <f>+D3957/2/1000</f>
        <v>1.0625</v>
      </c>
      <c r="K3963" t="str">
        <v>+</v>
      </c>
      <c r="M3963" t="str">
        <v>=</v>
      </c>
      <c r="N3963">
        <f>J3963+L3963</f>
        <v>1.0625</v>
      </c>
      <c r="O3963" t="str">
        <v>+</v>
      </c>
      <c r="P3963">
        <f>MAX(D3963-D3962,D3963-D3964)</f>
        <v>0</v>
      </c>
      <c r="Q3963" t="str">
        <v>x</v>
      </c>
      <c r="R3963">
        <f>IF(P3963&gt;0,2*(1-2*$F$19-1/2)*D3958/1000,0)</f>
        <v>0</v>
      </c>
      <c r="S3963" t="str">
        <v>)</v>
      </c>
      <c r="T3963" t="str">
        <v>x</v>
      </c>
      <c r="U3963">
        <f>0.006165*F3963^2</f>
        <v>1.041885</v>
      </c>
      <c r="X3963" t="str">
        <v>x</v>
      </c>
      <c r="Y3963">
        <f>D3961</f>
        <v>1</v>
      </c>
      <c r="Z3963" t="str">
        <v>=</v>
      </c>
      <c r="AA3963">
        <f>IF(AA3965=0,(D3963*N3963+P3963*R3963)*U3963*Y3963,0)</f>
        <v>0</v>
      </c>
    </row>
    <row r="3964">
      <c r="A3964" t="str">
        <f>A3955</f>
        <v>Lantai 2</v>
      </c>
      <c r="B3964">
        <f>B3955</f>
        <v>45</v>
      </c>
      <c r="C3964" t="str">
        <v>Tul Atas Tumpuan</v>
      </c>
      <c r="D3964">
        <f>VLOOKUP(D3955,'Detail Balok'!$C$10:$AU$140,10,FALSE)</f>
        <v>3</v>
      </c>
      <c r="E3964" t="str">
        <v>D</v>
      </c>
      <c r="F3964">
        <f>VLOOKUP(D3955,'Detail Balok'!$C$10:$AU$140,12,FALSE)</f>
        <v>13</v>
      </c>
      <c r="I3964" t="str">
        <v>(</v>
      </c>
      <c r="J3964">
        <f>+D3957/4/1000</f>
        <v>0.53125</v>
      </c>
      <c r="K3964" t="str">
        <v>+</v>
      </c>
      <c r="L3964">
        <f>MAX(VLOOKUP(F3964,N$6:P$15,3,FALSE)/1000,2/3*D3959/1000)+F$16*F3964/1000</f>
        <v>0.156</v>
      </c>
      <c r="M3964" t="str">
        <v>=</v>
      </c>
      <c r="N3964">
        <f>J3964+L3964</f>
        <v>0.68725</v>
      </c>
      <c r="O3964" t="str">
        <v>+</v>
      </c>
      <c r="P3964">
        <f>D3964-D3963</f>
        <v>0</v>
      </c>
      <c r="Q3964" t="str">
        <v>x</v>
      </c>
      <c r="R3964">
        <f>IF(P3964&gt;0,$F$18*F3964/1000,0)</f>
        <v>0</v>
      </c>
      <c r="S3964" t="str">
        <v>)</v>
      </c>
      <c r="T3964" t="str">
        <v>x</v>
      </c>
      <c r="U3964">
        <f>0.006165*F3964^2</f>
        <v>1.041885</v>
      </c>
      <c r="X3964" t="str">
        <v>x</v>
      </c>
      <c r="Y3964">
        <f>D3961</f>
        <v>1</v>
      </c>
      <c r="Z3964" t="str">
        <v>=</v>
      </c>
      <c r="AA3964">
        <f>IF(AA3965=0,(D3964*N3964+P3964*R3964)*U3964*Y3964,0)</f>
        <v>0</v>
      </c>
    </row>
    <row r="3965">
      <c r="A3965" t="str">
        <f>A3955</f>
        <v>Lantai 2</v>
      </c>
      <c r="B3965">
        <f>B3955</f>
        <v>45</v>
      </c>
      <c r="D3965">
        <f>IF(AND(D3962=D3963,D3963=D3964,D3962=D3964),D3962,0)</f>
        <v>3</v>
      </c>
      <c r="E3965" t="str">
        <v>D</v>
      </c>
      <c r="F3965">
        <f>IF(AND(F3962=F3963,F3962=F3964,F3963=F3964),F3962,0)</f>
        <v>13</v>
      </c>
      <c r="L3965" t="str">
        <v>Total panjang per balok</v>
      </c>
      <c r="M3965" t="str">
        <v>=</v>
      </c>
      <c r="N3965">
        <f>IF(AND(D3962=D3963,D3962=D3964,D3963=D3964,F3962=F3963,F3962=F3964,F3963=F3964),SUM(N3962:N3964),0)</f>
        <v>2.4370000000000003</v>
      </c>
      <c r="O3965" t="str">
        <v>+</v>
      </c>
      <c r="P3965">
        <f>IF(N3965&gt;12,ROUNDDOWN(N3965/12,0),0)</f>
        <v>0</v>
      </c>
      <c r="Q3965" t="str">
        <v>x</v>
      </c>
      <c r="R3965">
        <f>IF(P3965&gt;0,MAX(VLOOKUP(F3965,$D$6:$G$15,3,FALSE),600),0)/1000</f>
        <v>0</v>
      </c>
      <c r="T3965" t="str">
        <v>x</v>
      </c>
      <c r="U3965">
        <f>U3964</f>
        <v>1.041885</v>
      </c>
      <c r="V3965" t="str">
        <v>x</v>
      </c>
      <c r="W3965">
        <f>D3965</f>
        <v>3</v>
      </c>
      <c r="X3965" t="str">
        <v>x</v>
      </c>
      <c r="Y3965">
        <f>Y3964</f>
        <v>1</v>
      </c>
      <c r="Z3965" t="str">
        <v>=</v>
      </c>
      <c r="AA3965">
        <f>(N3965+P3965*R3965/1000)*U3965*W3965*Y3965</f>
        <v>7.617221235000001</v>
      </c>
    </row>
    <row r="3967">
      <c r="A3967" t="str">
        <f>A3955</f>
        <v>Lantai 2</v>
      </c>
      <c r="B3967">
        <f>B3955</f>
        <v>45</v>
      </c>
      <c r="C3967" t="str">
        <v>Tul Peminggang</v>
      </c>
      <c r="D3967">
        <f>VLOOKUP(D3955,'Detail Balok'!$C$10:$AU$140,13,FALSE)</f>
        <v>0</v>
      </c>
      <c r="E3967" t="str">
        <v>D</v>
      </c>
      <c r="F3967">
        <f>VLOOKUP(D3955,'Detail Balok'!$C$10:$AU$140,15,FALSE)</f>
        <v>8</v>
      </c>
      <c r="J3967">
        <f>+D3957/1000</f>
        <v>2.125</v>
      </c>
      <c r="K3967" t="str">
        <v>+</v>
      </c>
      <c r="L3967">
        <f>2*$F$16*F3967/1000</f>
        <v>0.192</v>
      </c>
      <c r="M3967" t="str">
        <v>=</v>
      </c>
      <c r="N3967">
        <f>J3967+L3967</f>
        <v>2.317</v>
      </c>
      <c r="O3967" t="str">
        <v>+</v>
      </c>
      <c r="P3967">
        <f>IF(N3967&gt;12,ROUNDDOWN(N3967/12,0),0)</f>
        <v>0</v>
      </c>
      <c r="Q3967" t="str">
        <v>x</v>
      </c>
      <c r="R3967">
        <f>IF(P3967&gt;0,MAX(VLOOKUP(F3967,$D$6:$G$15,3,FALSE),600),0)/1000</f>
        <v>0</v>
      </c>
      <c r="T3967" t="str">
        <v>x</v>
      </c>
      <c r="U3967">
        <f>0.006165*F3967^2</f>
        <v>0.39456</v>
      </c>
      <c r="V3967" t="str">
        <v>x</v>
      </c>
      <c r="W3967">
        <f>+D3967</f>
        <v>0</v>
      </c>
      <c r="X3967" t="str">
        <v>x</v>
      </c>
      <c r="Y3967">
        <f>D3961</f>
        <v>1</v>
      </c>
      <c r="Z3967" t="str">
        <v>=</v>
      </c>
      <c r="AA3967">
        <f>(N3967+P3967*R3967/1000)*U3967*W3967*Y3967</f>
        <v>0</v>
      </c>
    </row>
    <row r="3970">
      <c r="A3970" t="str">
        <f>A3955</f>
        <v>Lantai 2</v>
      </c>
      <c r="B3970">
        <f>B3955</f>
        <v>45</v>
      </c>
      <c r="C3970" t="str">
        <v>Tul Bawah Tumpuan</v>
      </c>
      <c r="D3970">
        <f>VLOOKUP(D3955,'Detail Balok'!$C$10:$AU$140,22,FALSE)</f>
        <v>3</v>
      </c>
      <c r="E3970" t="str">
        <v>D</v>
      </c>
      <c r="F3970">
        <f>VLOOKUP(D3955,'Detail Balok'!$C$10:$AU$140,24,FALSE)</f>
        <v>13</v>
      </c>
      <c r="I3970" t="str">
        <v>(</v>
      </c>
      <c r="J3970">
        <f>+J3962</f>
        <v>0.53125</v>
      </c>
      <c r="K3970" t="str">
        <v>+</v>
      </c>
      <c r="L3970">
        <f>MAX(VLOOKUP(F3970,N$6:P$15,3,FALSE)/1000,2/3*D3960/1000)+F$16*F3970/1000</f>
        <v>0.156</v>
      </c>
      <c r="M3970" t="str">
        <v>=</v>
      </c>
      <c r="N3970">
        <f>J3970+L3970</f>
        <v>0.68725</v>
      </c>
      <c r="O3970" t="str">
        <v>+</v>
      </c>
      <c r="P3970">
        <f>D3970-D3971</f>
        <v>0</v>
      </c>
      <c r="Q3970" t="str">
        <v>x</v>
      </c>
      <c r="R3970">
        <f>IF(P3970&gt;0,$F$18*F3970/1000,0)</f>
        <v>0</v>
      </c>
      <c r="S3970" t="str">
        <v>)</v>
      </c>
      <c r="T3970" t="str">
        <v>x</v>
      </c>
      <c r="U3970">
        <f>0.006165*F3970^2</f>
        <v>1.041885</v>
      </c>
      <c r="X3970" t="str">
        <v>x</v>
      </c>
      <c r="Y3970">
        <f>D3961</f>
        <v>1</v>
      </c>
      <c r="Z3970" t="str">
        <v>=</v>
      </c>
      <c r="AA3970">
        <f>IF(AA3973=0,(D3970*N3970+P3970*R3970)*U3970*Y3970,0)</f>
        <v>0</v>
      </c>
    </row>
    <row r="3971">
      <c r="A3971" t="str">
        <f>A3955</f>
        <v>Lantai 2</v>
      </c>
      <c r="B3971">
        <f>B3955</f>
        <v>45</v>
      </c>
      <c r="C3971" t="str">
        <v>Tul Bawah Lapangan</v>
      </c>
      <c r="D3971">
        <f>VLOOKUP(D3955,'Detail Balok'!$C$10:$AU$140,25,FALSE)</f>
        <v>3</v>
      </c>
      <c r="E3971" t="str">
        <v>D</v>
      </c>
      <c r="F3971">
        <f>VLOOKUP(D3955,'Detail Balok'!$C$10:$AU$140,27,FALSE)</f>
        <v>13</v>
      </c>
      <c r="I3971" t="str">
        <v>(</v>
      </c>
      <c r="J3971">
        <f>+J3963</f>
        <v>1.0625</v>
      </c>
      <c r="K3971" t="str">
        <v>+</v>
      </c>
      <c r="M3971" t="str">
        <v>=</v>
      </c>
      <c r="N3971">
        <f>J3971+L3971</f>
        <v>1.0625</v>
      </c>
      <c r="O3971" t="str">
        <v>+</v>
      </c>
      <c r="P3971">
        <f>MAX(D3971-D3970,D3971-D3972)</f>
        <v>0</v>
      </c>
      <c r="Q3971" t="str">
        <v>x</v>
      </c>
      <c r="R3971">
        <f>IF(P3971&gt;0,2*(1-2*$F$19-1/2)*D3958/1000,0)</f>
        <v>0</v>
      </c>
      <c r="S3971" t="str">
        <v>)</v>
      </c>
      <c r="T3971" t="str">
        <v>x</v>
      </c>
      <c r="U3971">
        <f>0.006165*F3971^2</f>
        <v>1.041885</v>
      </c>
      <c r="X3971" t="str">
        <v>x</v>
      </c>
      <c r="Y3971">
        <f>D3961</f>
        <v>1</v>
      </c>
      <c r="Z3971" t="str">
        <v>=</v>
      </c>
      <c r="AA3971">
        <f>IF(AA3973=0,(D3971*N3971+P3971*R3971)*U3971*Y3971,0)</f>
        <v>0</v>
      </c>
    </row>
    <row r="3972">
      <c r="A3972" t="str">
        <f>A3955</f>
        <v>Lantai 2</v>
      </c>
      <c r="B3972">
        <f>B3955</f>
        <v>45</v>
      </c>
      <c r="C3972" t="str">
        <v>Tul Bawah Tumpuan</v>
      </c>
      <c r="D3972">
        <f>VLOOKUP(D3955,'Detail Balok'!$C$10:$AU$140,28,FALSE)</f>
        <v>3</v>
      </c>
      <c r="E3972" t="str">
        <v>D</v>
      </c>
      <c r="F3972">
        <f>VLOOKUP(D3955,'Detail Balok'!$C$10:$AU$140,30,FALSE)</f>
        <v>13</v>
      </c>
      <c r="I3972" t="str">
        <v>(</v>
      </c>
      <c r="J3972">
        <f>+J3964</f>
        <v>0.53125</v>
      </c>
      <c r="K3972" t="str">
        <v>+</v>
      </c>
      <c r="L3972">
        <f>MAX(VLOOKUP(F3972,N$6:P$15,3,FALSE)/1000,2/3*D3960/1000)+F$16*F3972/1000</f>
        <v>0.156</v>
      </c>
      <c r="M3972" t="str">
        <v>=</v>
      </c>
      <c r="N3972">
        <f>J3972+L3972</f>
        <v>0.68725</v>
      </c>
      <c r="O3972" t="str">
        <v>+</v>
      </c>
      <c r="P3972">
        <f>D3972-D3971</f>
        <v>0</v>
      </c>
      <c r="Q3972" t="str">
        <v>x</v>
      </c>
      <c r="R3972">
        <f>IF(P3972&gt;0,$F$18*F3972/1000,0)</f>
        <v>0</v>
      </c>
      <c r="S3972" t="str">
        <v>)</v>
      </c>
      <c r="T3972" t="str">
        <v>x</v>
      </c>
      <c r="U3972">
        <f>0.006165*F3972^2</f>
        <v>1.041885</v>
      </c>
      <c r="X3972" t="str">
        <v>x</v>
      </c>
      <c r="Y3972">
        <f>D3961</f>
        <v>1</v>
      </c>
      <c r="Z3972" t="str">
        <v>=</v>
      </c>
      <c r="AA3972">
        <f>IF(AA3973=0,(D3972*N3972+P3972*R3972)*U3972*Y3972,0)</f>
        <v>0</v>
      </c>
    </row>
    <row r="3973">
      <c r="A3973" t="str">
        <f>A3955</f>
        <v>Lantai 2</v>
      </c>
      <c r="B3973">
        <f>B3955</f>
        <v>45</v>
      </c>
      <c r="D3973">
        <f>IF(AND(D3970=D3971,D3971=D3972,D3970=D3972),D3970,0)</f>
        <v>3</v>
      </c>
      <c r="E3973" t="str">
        <v>D</v>
      </c>
      <c r="F3973">
        <f>IF(AND(F3970=F3971,F3970=F3972,F3971=F3972),F3970,0)</f>
        <v>13</v>
      </c>
      <c r="L3973" t="str">
        <v>Total panjang per balok</v>
      </c>
      <c r="M3973" t="str">
        <v>=</v>
      </c>
      <c r="N3973">
        <f>IF(AND(D3970=D3971,D3970=D3972,D3971=D3972,F3970=F3971,F3970=F3972,F3971=F3972),SUM(N3970:N3972),0)</f>
        <v>2.4370000000000003</v>
      </c>
      <c r="O3973" t="str">
        <v>+</v>
      </c>
      <c r="P3973">
        <f>IF(N3973&gt;12,ROUNDDOWN(N3973/12,0),0)</f>
        <v>0</v>
      </c>
      <c r="Q3973" t="str">
        <v>x</v>
      </c>
      <c r="R3973">
        <f>IF(P3973&gt;0,MAX(VLOOKUP(F3973,$D$6:$G$15,3,FALSE),600),0)/1000</f>
        <v>0</v>
      </c>
      <c r="T3973" t="str">
        <v>x</v>
      </c>
      <c r="U3973">
        <f>U3972</f>
        <v>1.041885</v>
      </c>
      <c r="V3973" t="str">
        <v>x</v>
      </c>
      <c r="W3973">
        <f>D3973</f>
        <v>3</v>
      </c>
      <c r="X3973" t="str">
        <v>x</v>
      </c>
      <c r="Y3973">
        <f>Y3972</f>
        <v>1</v>
      </c>
      <c r="Z3973" t="str">
        <v>=</v>
      </c>
      <c r="AA3973">
        <f>(N3973+P3973*R3973/1000)*U3973*W3973*Y3973</f>
        <v>7.617221235000001</v>
      </c>
    </row>
    <row r="3975">
      <c r="A3975" t="str">
        <f>A3955</f>
        <v>Lantai 2</v>
      </c>
      <c r="B3975">
        <f>B3955</f>
        <v>45</v>
      </c>
      <c r="C3975" t="str">
        <v>Sengkang Tumpuan</v>
      </c>
      <c r="D3975">
        <f>VLOOKUP(D3955,'Detail Balok'!$C$10:$AU$140,31,FALSE)</f>
        <v>0</v>
      </c>
      <c r="E3975" t="str">
        <v>D</v>
      </c>
      <c r="F3975">
        <f>VLOOKUP(D3955,'Detail Balok'!$C$10:$AU$140,33,FALSE)</f>
        <v>10</v>
      </c>
      <c r="G3975" t="str">
        <v>-</v>
      </c>
      <c r="H3975">
        <f>VLOOKUP(D3955,'Detail Balok'!$C$10:$AU$140,35,FALSE)</f>
        <v>100</v>
      </c>
      <c r="J3975">
        <f>(IF(D3975=0,(2*(D3956+G3956))-(F$5*8),IF(D3975=3,(2*(D3956+G3956))-(F$5*8)+(G3956-2*F$5),IF(D3975=4,(2*(D3956+G3956))-(F$5*8)+2*(G3956-2*F$5)))))/1000</f>
        <v>0.88</v>
      </c>
      <c r="K3975" t="str">
        <v>+</v>
      </c>
      <c r="L3975">
        <f>IF(D3975=0,2*MAX(6*F3975,75),(D3975-1)*2*MAX(6*F3975,75))/1000</f>
        <v>0.15</v>
      </c>
      <c r="M3975" t="str">
        <v>=</v>
      </c>
      <c r="N3975">
        <f>J3975+L3975</f>
        <v>1.03</v>
      </c>
      <c r="T3975" t="str">
        <v>x</v>
      </c>
      <c r="U3975">
        <f>0.006165*F3975^2</f>
        <v>0.6165</v>
      </c>
      <c r="V3975" t="str">
        <v>x</v>
      </c>
      <c r="W3975">
        <f>IF(D3958&gt;4*G3956,ROUND(MAX(D3958/4,2*G3956)/H3975,0)+1,ROUND(D3958/H3975,0)+1)</f>
        <v>9</v>
      </c>
      <c r="X3975" t="str">
        <v>x</v>
      </c>
      <c r="Y3975">
        <f>D3961</f>
        <v>1</v>
      </c>
      <c r="Z3975" t="str">
        <v>=</v>
      </c>
      <c r="AA3975">
        <f>N3975*U3975*W3975*Y3975</f>
        <v>5.714955000000001</v>
      </c>
    </row>
    <row r="3976">
      <c r="A3976" t="str">
        <f>A3955</f>
        <v>Lantai 2</v>
      </c>
      <c r="B3976">
        <f>B3955</f>
        <v>45</v>
      </c>
      <c r="C3976" t="str">
        <v>Sengkang Lapangan</v>
      </c>
      <c r="D3976">
        <f>VLOOKUP(D3955,'Detail Balok'!$C$10:$AU$140,36,FALSE)</f>
        <v>0</v>
      </c>
      <c r="E3976" t="str">
        <v>D</v>
      </c>
      <c r="F3976">
        <f>VLOOKUP(D3955,'Detail Balok'!$C$10:$AU$140,38,FALSE)</f>
        <v>10</v>
      </c>
      <c r="G3976" t="str">
        <v>-</v>
      </c>
      <c r="H3976">
        <f>VLOOKUP(D3955,'Detail Balok'!$C$10:$AU$140,40,FALSE)</f>
        <v>200</v>
      </c>
      <c r="J3976">
        <f>(IF(D3976=0,(2*(D3956+G3956))-(F$5*8),IF(D3976=3,(2*(D3956+G3956))-(F$5*8)+(G3956-2*F$5),IF(D3976=4,(2*(D3956+G3956))-(F$5*8)+2*(G3956-2*F$5)))))/1000</f>
        <v>0.88</v>
      </c>
      <c r="K3976" t="str">
        <v>+</v>
      </c>
      <c r="L3976">
        <f>IF(D3976=0,2*MAX(6*F3976,75),(D3976-1)*2*MAX(6*F3976,75))/1000</f>
        <v>0.15</v>
      </c>
      <c r="M3976" t="str">
        <v>=</v>
      </c>
      <c r="N3976">
        <f>J3976+L3976</f>
        <v>1.03</v>
      </c>
      <c r="T3976" t="str">
        <v>x</v>
      </c>
      <c r="U3976">
        <f>0.006165*F3976^2</f>
        <v>0.6165</v>
      </c>
      <c r="V3976" t="str">
        <v>x</v>
      </c>
      <c r="W3976">
        <f>IF(D3958-MAX(D3958/4,2*G3956)*2&gt;0,ROUND((D3958-MAX(D3958/4,2*G3956)*2)/H3976,0),0)</f>
        <v>3</v>
      </c>
      <c r="X3976" t="str">
        <v>x</v>
      </c>
      <c r="Y3976">
        <f>D3961</f>
        <v>1</v>
      </c>
      <c r="Z3976" t="str">
        <v>=</v>
      </c>
      <c r="AA3976">
        <f>N3976*U3976*W3976*Y3976</f>
        <v>1.9049850000000004</v>
      </c>
    </row>
    <row r="3977">
      <c r="A3977" t="str">
        <f>A3955</f>
        <v>Lantai 2</v>
      </c>
      <c r="B3977">
        <f>B3955</f>
        <v>45</v>
      </c>
      <c r="C3977" t="str">
        <v>Sengkang Tumpuan</v>
      </c>
      <c r="D3977">
        <f>VLOOKUP(D3955,'Detail Balok'!$C$10:$AU$140,41,FALSE)</f>
        <v>0</v>
      </c>
      <c r="E3977" t="str">
        <v>D</v>
      </c>
      <c r="F3977">
        <f>VLOOKUP(D3955,'Detail Balok'!$C$10:$AU$140,43,FALSE)</f>
        <v>10</v>
      </c>
      <c r="G3977" t="str">
        <v>-</v>
      </c>
      <c r="H3977">
        <f>VLOOKUP(D3955,'Detail Balok'!$C$10:$AU$140,45,FALSE)</f>
        <v>100</v>
      </c>
      <c r="J3977">
        <f>(IF(D3977=0,(2*(D3956+G3956))-(F$5*8),IF(D3977=3,(2*(D3956+G3956))-(F$5*8)+(G3956-2*F$5),IF(D3977=4,(2*(D3956+G3956))-(F$5*8)+2*(G3956-2*F$5)))))/1000</f>
        <v>0.88</v>
      </c>
      <c r="K3977" t="str">
        <v>+</v>
      </c>
      <c r="L3977">
        <f>IF(D3977=0,2*MAX(6*F3977,75),(D3977-1)*2*MAX(6*F3977,75))/1000</f>
        <v>0.15</v>
      </c>
      <c r="M3977" t="str">
        <v>=</v>
      </c>
      <c r="N3977">
        <f>J3977+L3977</f>
        <v>1.03</v>
      </c>
      <c r="T3977" t="str">
        <v>x</v>
      </c>
      <c r="U3977">
        <f>0.006165*F3977^2</f>
        <v>0.6165</v>
      </c>
      <c r="V3977" t="str">
        <v>x</v>
      </c>
      <c r="W3977">
        <f>IF(D3958&gt;4*G3956,ROUND(MAX(D3958/4,2*G3956)/H3977,0)+1,0)</f>
        <v>9</v>
      </c>
      <c r="X3977" t="str">
        <v>x</v>
      </c>
      <c r="Y3977">
        <f>D3961</f>
        <v>1</v>
      </c>
      <c r="Z3977" t="str">
        <v>=</v>
      </c>
      <c r="AA3977">
        <f>N3977*U3977*W3977*Y3977</f>
        <v>5.714955000000001</v>
      </c>
    </row>
    <row r="3979">
      <c r="A3979" t="str">
        <f>A3955</f>
        <v>Lantai 2</v>
      </c>
      <c r="B3979">
        <f>B3955</f>
        <v>45</v>
      </c>
      <c r="C3979" t="str">
        <v>Kait Horizontal Tump.</v>
      </c>
      <c r="D3979">
        <f>VLOOKUP(D3955,'Detail Balok'!$C$10:$BJ$140,46,FALSE)</f>
        <v>0</v>
      </c>
      <c r="E3979" t="str">
        <v>D</v>
      </c>
      <c r="F3979">
        <f>VLOOKUP(D3955,'Detail Balok'!$C$10:$BJ$140,48,FALSE)</f>
        <v>0</v>
      </c>
      <c r="G3979" t="str">
        <v>-</v>
      </c>
      <c r="H3979">
        <f>VLOOKUP(D3955,'Detail Balok'!$C$10:$BJ$140,50,FALSE)</f>
        <v>100</v>
      </c>
      <c r="J3979">
        <f>(D3956-2*F$5)/1000</f>
        <v>0.12</v>
      </c>
      <c r="K3979" t="str">
        <v>+</v>
      </c>
      <c r="L3979">
        <f>IF(D3979=0,2*MAX(6*F3979,75),(D3979-1)*2*MAX(6*F3979,75))/1000</f>
        <v>0.15</v>
      </c>
      <c r="M3979" t="str">
        <v>=</v>
      </c>
      <c r="N3979">
        <f>J3979+L3979</f>
        <v>0.27</v>
      </c>
      <c r="T3979" t="str">
        <v>x</v>
      </c>
      <c r="U3979">
        <f>0.006165*F3979^2</f>
        <v>0</v>
      </c>
      <c r="V3979" t="str">
        <v>x</v>
      </c>
      <c r="W3979">
        <f>W3975</f>
        <v>9</v>
      </c>
      <c r="X3979" t="str">
        <v>x</v>
      </c>
      <c r="Y3979">
        <f>D3965</f>
        <v>3</v>
      </c>
      <c r="Z3979" t="str">
        <v>=</v>
      </c>
      <c r="AA3979">
        <f>N3979*U3979*W3979*Y3979</f>
        <v>0</v>
      </c>
    </row>
    <row r="3980">
      <c r="A3980" t="str">
        <f>A3955</f>
        <v>Lantai 2</v>
      </c>
      <c r="B3980">
        <f>B3955</f>
        <v>45</v>
      </c>
      <c r="C3980" t="str">
        <v>Kait Horizontal Lap.</v>
      </c>
      <c r="D3980">
        <f>VLOOKUP(D3955,'Detail Balok'!$C$10:$BJ$140,51,FALSE)</f>
        <v>0</v>
      </c>
      <c r="E3980" t="str">
        <v>D</v>
      </c>
      <c r="F3980">
        <f>VLOOKUP(D3955,'Detail Balok'!$C$10:$BJ$140,53,FALSE)</f>
        <v>0</v>
      </c>
      <c r="G3980" t="str">
        <v>-</v>
      </c>
      <c r="H3980">
        <f>VLOOKUP(D3955,'Detail Balok'!$C$10:$BJ$140,55,FALSE)</f>
        <v>100</v>
      </c>
      <c r="J3980">
        <f>(D3956-2*F$5)/1000</f>
        <v>0.12</v>
      </c>
      <c r="K3980" t="str">
        <v>+</v>
      </c>
      <c r="L3980">
        <f>IF(D3980=0,2*MAX(6*F3980,75),(D3980-1)*2*MAX(6*F3980,75))/1000</f>
        <v>0.15</v>
      </c>
      <c r="M3980" t="str">
        <v>=</v>
      </c>
      <c r="N3980">
        <f>J3980+L3980</f>
        <v>0.27</v>
      </c>
      <c r="T3980" t="str">
        <v>x</v>
      </c>
      <c r="U3980">
        <f>0.006165*F3980^2</f>
        <v>0</v>
      </c>
      <c r="V3980" t="str">
        <v>x</v>
      </c>
      <c r="W3980">
        <f>W3976</f>
        <v>3</v>
      </c>
      <c r="X3980" t="str">
        <v>x</v>
      </c>
      <c r="Y3980">
        <f>D3965</f>
        <v>3</v>
      </c>
      <c r="Z3980" t="str">
        <v>=</v>
      </c>
      <c r="AA3980">
        <f>N3980*U3980*W3980*Y3980</f>
        <v>0</v>
      </c>
    </row>
    <row r="3981">
      <c r="A3981" t="str">
        <f>A3955</f>
        <v>Lantai 2</v>
      </c>
      <c r="B3981">
        <f>B3955</f>
        <v>45</v>
      </c>
      <c r="C3981" t="str">
        <v>Kait Horizontal Tump.</v>
      </c>
      <c r="D3981">
        <f>VLOOKUP(D3955,'Detail Balok'!$C$10:$BJ$140,56,FALSE)</f>
        <v>0</v>
      </c>
      <c r="E3981" t="str">
        <v>D</v>
      </c>
      <c r="F3981">
        <f>VLOOKUP(D3955,'Detail Balok'!$C$10:$BJ$140,58,FALSE)</f>
        <v>0</v>
      </c>
      <c r="G3981" t="str">
        <v>-</v>
      </c>
      <c r="H3981">
        <f>VLOOKUP(D3955,'Detail Balok'!$C$10:$BJ$140,60,FALSE)</f>
        <v>100</v>
      </c>
      <c r="J3981">
        <f>(D3956-2*F$5)/1000</f>
        <v>0.12</v>
      </c>
      <c r="K3981" t="str">
        <v>+</v>
      </c>
      <c r="L3981">
        <f>IF(D3981=0,2*MAX(6*F3981,75),(D3981-1)*2*MAX(6*F3981,75))/1000</f>
        <v>0.15</v>
      </c>
      <c r="M3981" t="str">
        <v>=</v>
      </c>
      <c r="N3981">
        <f>J3981+L3981</f>
        <v>0.27</v>
      </c>
      <c r="T3981" t="str">
        <v>x</v>
      </c>
      <c r="U3981">
        <f>0.006165*F3981^2</f>
        <v>0</v>
      </c>
      <c r="V3981" t="str">
        <v>x</v>
      </c>
      <c r="W3981">
        <f>W3977</f>
        <v>9</v>
      </c>
      <c r="X3981" t="str">
        <v>x</v>
      </c>
      <c r="Y3981">
        <f>D3965</f>
        <v>3</v>
      </c>
      <c r="Z3981" t="str">
        <v>=</v>
      </c>
      <c r="AA3981">
        <f>N3981*U3981*W3981*Y3981</f>
        <v>0</v>
      </c>
    </row>
    <row r="3985">
      <c r="A3985" t="str">
        <f>A3955</f>
        <v>Lantai 2</v>
      </c>
      <c r="B3985">
        <f>B3955+1</f>
        <v>46</v>
      </c>
      <c r="C3985" t="str">
        <f>CONCATENATE(A3985," no. ",B3985)</f>
        <v>Lantai 2 no. 46</v>
      </c>
      <c r="D3985" t="str">
        <f>VLOOKUP(C3985,'Data Panjang Balok'!$C$9:$N$254,2,FALSE)</f>
        <v>B24-1</v>
      </c>
    </row>
    <row r="3986">
      <c r="C3986" t="str">
        <v>Dimensi</v>
      </c>
      <c r="D3986">
        <f>VLOOKUP(D3985,'Detail Balok'!$C$10:$AU$140,2,FALSE)</f>
        <v>200</v>
      </c>
      <c r="F3986" t="str">
        <v>x</v>
      </c>
      <c r="G3986">
        <f>VLOOKUP(D3985,'Detail Balok'!$C$10:$AU$140,3,FALSE)</f>
        <v>400</v>
      </c>
    </row>
    <row r="3987">
      <c r="C3987" t="str">
        <v>Panjang as ke as</v>
      </c>
      <c r="D3987">
        <f>VLOOKUP(C3985,'Data Panjang Balok'!$C$9:$N$254,4,FALSE)</f>
        <v>900</v>
      </c>
    </row>
    <row r="3988">
      <c r="C3988" t="str">
        <v>Panjang netto</v>
      </c>
      <c r="D3988">
        <f>VLOOKUP(C3985,'Data Panjang Balok'!$C$9:$N$254,7,FALSE)</f>
        <v>900</v>
      </c>
    </row>
    <row r="3989">
      <c r="C3989" t="str">
        <v>Kolom / balok kiri</v>
      </c>
      <c r="D3989">
        <f>VLOOKUP(C3985,'Data Panjang Balok'!$C$9:$N$254,9,FALSE)</f>
        <v>0</v>
      </c>
    </row>
    <row r="3990">
      <c r="C3990" t="str">
        <v>Kolom / balok kanan</v>
      </c>
      <c r="D3990">
        <f>VLOOKUP(C3985,'Data Panjang Balok'!$C$9:$N$254,10,FALSE)</f>
        <v>0</v>
      </c>
    </row>
    <row r="3991">
      <c r="C3991" t="str">
        <v>Jumlah</v>
      </c>
      <c r="D3991">
        <f>VLOOKUP(C3985,'Data Panjang Balok'!$C$9:$N$254,3,FALSE)</f>
        <v>1</v>
      </c>
    </row>
    <row r="3992">
      <c r="A3992" t="str">
        <f>A3985</f>
        <v>Lantai 2</v>
      </c>
      <c r="B3992">
        <f>B3985</f>
        <v>46</v>
      </c>
      <c r="C3992" t="str">
        <v>Tul Atas Tumpuan</v>
      </c>
      <c r="D3992">
        <f>VLOOKUP(D3985,'Detail Balok'!$C$10:$AU$140,4,FALSE)</f>
        <v>3</v>
      </c>
      <c r="E3992" t="str">
        <v>D</v>
      </c>
      <c r="F3992">
        <f>VLOOKUP(D3985,'Detail Balok'!$C$10:$AU$140,6,FALSE)</f>
        <v>13</v>
      </c>
      <c r="I3992" t="str">
        <v>(</v>
      </c>
      <c r="J3992">
        <f>+D3987/4/1000</f>
        <v>0.225</v>
      </c>
      <c r="K3992" t="str">
        <v>+</v>
      </c>
      <c r="L3992">
        <f>MAX(VLOOKUP(F3992,N$6:P$15,3,FALSE)/1000,2/3*D3989/1000)+F$16*F3992/1000</f>
        <v>0.156</v>
      </c>
      <c r="M3992" t="str">
        <v>=</v>
      </c>
      <c r="N3992">
        <f>J3992+L3992</f>
        <v>0.381</v>
      </c>
      <c r="O3992" t="str">
        <v>+</v>
      </c>
      <c r="P3992">
        <f>D3992-D3993</f>
        <v>0</v>
      </c>
      <c r="Q3992" t="str">
        <v>x</v>
      </c>
      <c r="R3992">
        <f>IF(P3992&gt;0,$F$18*F3992/1000,0)</f>
        <v>0</v>
      </c>
      <c r="S3992" t="str">
        <v>)</v>
      </c>
      <c r="T3992" t="str">
        <v>x</v>
      </c>
      <c r="U3992">
        <f>0.006165*F3992^2</f>
        <v>1.041885</v>
      </c>
      <c r="X3992" t="str">
        <v>x</v>
      </c>
      <c r="Y3992">
        <f>D3991</f>
        <v>1</v>
      </c>
      <c r="Z3992" t="str">
        <v>=</v>
      </c>
      <c r="AA3992">
        <f>IF(AA3995=0,(D3992*N3992+P3992*R3992)*U3992*Y3992,0)</f>
        <v>0</v>
      </c>
    </row>
    <row r="3993">
      <c r="A3993" t="str">
        <f>A3985</f>
        <v>Lantai 2</v>
      </c>
      <c r="B3993">
        <f>B3985</f>
        <v>46</v>
      </c>
      <c r="C3993" t="str">
        <v>Tul Atas Lapangan</v>
      </c>
      <c r="D3993">
        <f>VLOOKUP(D3985,'Detail Balok'!$C$10:$AU$140,7,FALSE)</f>
        <v>3</v>
      </c>
      <c r="E3993" t="str">
        <v>D</v>
      </c>
      <c r="F3993">
        <f>VLOOKUP(D3985,'Detail Balok'!$C$10:$AU$140,9,FALSE)</f>
        <v>13</v>
      </c>
      <c r="I3993" t="str">
        <v>(</v>
      </c>
      <c r="J3993">
        <f>+D3987/2/1000</f>
        <v>0.45</v>
      </c>
      <c r="K3993" t="str">
        <v>+</v>
      </c>
      <c r="M3993" t="str">
        <v>=</v>
      </c>
      <c r="N3993">
        <f>J3993+L3993</f>
        <v>0.45</v>
      </c>
      <c r="O3993" t="str">
        <v>+</v>
      </c>
      <c r="P3993">
        <f>MAX(D3993-D3992,D3993-D3994)</f>
        <v>0</v>
      </c>
      <c r="Q3993" t="str">
        <v>x</v>
      </c>
      <c r="R3993">
        <f>IF(P3993&gt;0,2*(1-2*$F$19-1/2)*D3988/1000,0)</f>
        <v>0</v>
      </c>
      <c r="S3993" t="str">
        <v>)</v>
      </c>
      <c r="T3993" t="str">
        <v>x</v>
      </c>
      <c r="U3993">
        <f>0.006165*F3993^2</f>
        <v>1.041885</v>
      </c>
      <c r="X3993" t="str">
        <v>x</v>
      </c>
      <c r="Y3993">
        <f>D3991</f>
        <v>1</v>
      </c>
      <c r="Z3993" t="str">
        <v>=</v>
      </c>
      <c r="AA3993">
        <f>IF(AA3995=0,(D3993*N3993+P3993*R3993)*U3993*Y3993,0)</f>
        <v>0</v>
      </c>
    </row>
    <row r="3994">
      <c r="A3994" t="str">
        <f>A3985</f>
        <v>Lantai 2</v>
      </c>
      <c r="B3994">
        <f>B3985</f>
        <v>46</v>
      </c>
      <c r="C3994" t="str">
        <v>Tul Atas Tumpuan</v>
      </c>
      <c r="D3994">
        <f>VLOOKUP(D3985,'Detail Balok'!$C$10:$AU$140,10,FALSE)</f>
        <v>3</v>
      </c>
      <c r="E3994" t="str">
        <v>D</v>
      </c>
      <c r="F3994">
        <f>VLOOKUP(D3985,'Detail Balok'!$C$10:$AU$140,12,FALSE)</f>
        <v>13</v>
      </c>
      <c r="I3994" t="str">
        <v>(</v>
      </c>
      <c r="J3994">
        <f>+D3987/4/1000</f>
        <v>0.225</v>
      </c>
      <c r="K3994" t="str">
        <v>+</v>
      </c>
      <c r="L3994">
        <f>MAX(VLOOKUP(F3994,N$6:P$15,3,FALSE)/1000,2/3*D3989/1000)+F$16*F3994/1000</f>
        <v>0.156</v>
      </c>
      <c r="M3994" t="str">
        <v>=</v>
      </c>
      <c r="N3994">
        <f>J3994+L3994</f>
        <v>0.381</v>
      </c>
      <c r="O3994" t="str">
        <v>+</v>
      </c>
      <c r="P3994">
        <f>D3994-D3993</f>
        <v>0</v>
      </c>
      <c r="Q3994" t="str">
        <v>x</v>
      </c>
      <c r="R3994">
        <f>IF(P3994&gt;0,$F$18*F3994/1000,0)</f>
        <v>0</v>
      </c>
      <c r="S3994" t="str">
        <v>)</v>
      </c>
      <c r="T3994" t="str">
        <v>x</v>
      </c>
      <c r="U3994">
        <f>0.006165*F3994^2</f>
        <v>1.041885</v>
      </c>
      <c r="X3994" t="str">
        <v>x</v>
      </c>
      <c r="Y3994">
        <f>D3991</f>
        <v>1</v>
      </c>
      <c r="Z3994" t="str">
        <v>=</v>
      </c>
      <c r="AA3994">
        <f>IF(AA3995=0,(D3994*N3994+P3994*R3994)*U3994*Y3994,0)</f>
        <v>0</v>
      </c>
    </row>
    <row r="3995">
      <c r="A3995" t="str">
        <f>A3985</f>
        <v>Lantai 2</v>
      </c>
      <c r="B3995">
        <f>B3985</f>
        <v>46</v>
      </c>
      <c r="D3995">
        <f>IF(AND(D3992=D3993,D3993=D3994,D3992=D3994),D3992,0)</f>
        <v>3</v>
      </c>
      <c r="E3995" t="str">
        <v>D</v>
      </c>
      <c r="F3995">
        <f>IF(AND(F3992=F3993,F3992=F3994,F3993=F3994),F3992,0)</f>
        <v>13</v>
      </c>
      <c r="L3995" t="str">
        <v>Total panjang per balok</v>
      </c>
      <c r="M3995" t="str">
        <v>=</v>
      </c>
      <c r="N3995">
        <f>IF(AND(D3992=D3993,D3992=D3994,D3993=D3994,F3992=F3993,F3992=F3994,F3993=F3994),SUM(N3992:N3994),0)</f>
        <v>1.212</v>
      </c>
      <c r="O3995" t="str">
        <v>+</v>
      </c>
      <c r="P3995">
        <f>IF(N3995&gt;12,ROUNDDOWN(N3995/12,0),0)</f>
        <v>0</v>
      </c>
      <c r="Q3995" t="str">
        <v>x</v>
      </c>
      <c r="R3995">
        <f>IF(P3995&gt;0,MAX(VLOOKUP(F3995,$D$6:$G$15,3,FALSE),600),0)/1000</f>
        <v>0</v>
      </c>
      <c r="T3995" t="str">
        <v>x</v>
      </c>
      <c r="U3995">
        <f>U3994</f>
        <v>1.041885</v>
      </c>
      <c r="V3995" t="str">
        <v>x</v>
      </c>
      <c r="W3995">
        <f>D3995</f>
        <v>3</v>
      </c>
      <c r="X3995" t="str">
        <v>x</v>
      </c>
      <c r="Y3995">
        <f>Y3994</f>
        <v>1</v>
      </c>
      <c r="Z3995" t="str">
        <v>=</v>
      </c>
      <c r="AA3995">
        <f>(N3995+P3995*R3995/1000)*U3995*W3995*Y3995</f>
        <v>3.78829386</v>
      </c>
    </row>
    <row r="3997">
      <c r="A3997" t="str">
        <f>A3985</f>
        <v>Lantai 2</v>
      </c>
      <c r="B3997">
        <f>B3985</f>
        <v>46</v>
      </c>
      <c r="C3997" t="str">
        <v>Tul Peminggang</v>
      </c>
      <c r="D3997">
        <f>VLOOKUP(D3985,'Detail Balok'!$C$10:$AU$140,13,FALSE)</f>
        <v>0</v>
      </c>
      <c r="E3997" t="str">
        <v>D</v>
      </c>
      <c r="F3997">
        <f>VLOOKUP(D3985,'Detail Balok'!$C$10:$AU$140,15,FALSE)</f>
        <v>8</v>
      </c>
      <c r="J3997">
        <f>+D3987/1000</f>
        <v>0.9</v>
      </c>
      <c r="K3997" t="str">
        <v>+</v>
      </c>
      <c r="L3997">
        <f>2*$F$16*F3997/1000</f>
        <v>0.192</v>
      </c>
      <c r="M3997" t="str">
        <v>=</v>
      </c>
      <c r="N3997">
        <f>J3997+L3997</f>
        <v>1.092</v>
      </c>
      <c r="O3997" t="str">
        <v>+</v>
      </c>
      <c r="P3997">
        <f>IF(N3997&gt;12,ROUNDDOWN(N3997/12,0),0)</f>
        <v>0</v>
      </c>
      <c r="Q3997" t="str">
        <v>x</v>
      </c>
      <c r="R3997">
        <f>IF(P3997&gt;0,MAX(VLOOKUP(F3997,$D$6:$G$15,3,FALSE),600),0)/1000</f>
        <v>0</v>
      </c>
      <c r="T3997" t="str">
        <v>x</v>
      </c>
      <c r="U3997">
        <f>0.006165*F3997^2</f>
        <v>0.39456</v>
      </c>
      <c r="V3997" t="str">
        <v>x</v>
      </c>
      <c r="W3997">
        <f>+D3997</f>
        <v>0</v>
      </c>
      <c r="X3997" t="str">
        <v>x</v>
      </c>
      <c r="Y3997">
        <f>D3991</f>
        <v>1</v>
      </c>
      <c r="Z3997" t="str">
        <v>=</v>
      </c>
      <c r="AA3997">
        <f>(N3997+P3997*R3997/1000)*U3997*W3997*Y3997</f>
        <v>0</v>
      </c>
    </row>
    <row r="4000">
      <c r="A4000" t="str">
        <f>A3985</f>
        <v>Lantai 2</v>
      </c>
      <c r="B4000">
        <f>B3985</f>
        <v>46</v>
      </c>
      <c r="C4000" t="str">
        <v>Tul Bawah Tumpuan</v>
      </c>
      <c r="D4000">
        <f>VLOOKUP(D3985,'Detail Balok'!$C$10:$AU$140,22,FALSE)</f>
        <v>3</v>
      </c>
      <c r="E4000" t="str">
        <v>D</v>
      </c>
      <c r="F4000">
        <f>VLOOKUP(D3985,'Detail Balok'!$C$10:$AU$140,24,FALSE)</f>
        <v>13</v>
      </c>
      <c r="I4000" t="str">
        <v>(</v>
      </c>
      <c r="J4000">
        <f>+J3992</f>
        <v>0.225</v>
      </c>
      <c r="K4000" t="str">
        <v>+</v>
      </c>
      <c r="L4000">
        <f>MAX(VLOOKUP(F4000,N$6:P$15,3,FALSE)/1000,2/3*D3990/1000)+F$16*F4000/1000</f>
        <v>0.156</v>
      </c>
      <c r="M4000" t="str">
        <v>=</v>
      </c>
      <c r="N4000">
        <f>J4000+L4000</f>
        <v>0.381</v>
      </c>
      <c r="O4000" t="str">
        <v>+</v>
      </c>
      <c r="P4000">
        <f>D4000-D4001</f>
        <v>0</v>
      </c>
      <c r="Q4000" t="str">
        <v>x</v>
      </c>
      <c r="R4000">
        <f>IF(P4000&gt;0,$F$18*F4000/1000,0)</f>
        <v>0</v>
      </c>
      <c r="S4000" t="str">
        <v>)</v>
      </c>
      <c r="T4000" t="str">
        <v>x</v>
      </c>
      <c r="U4000">
        <f>0.006165*F4000^2</f>
        <v>1.041885</v>
      </c>
      <c r="X4000" t="str">
        <v>x</v>
      </c>
      <c r="Y4000">
        <f>D3991</f>
        <v>1</v>
      </c>
      <c r="Z4000" t="str">
        <v>=</v>
      </c>
      <c r="AA4000">
        <f>IF(AA4003=0,(D4000*N4000+P4000*R4000)*U4000*Y4000,0)</f>
        <v>0</v>
      </c>
    </row>
    <row r="4001">
      <c r="A4001" t="str">
        <f>A3985</f>
        <v>Lantai 2</v>
      </c>
      <c r="B4001">
        <f>B3985</f>
        <v>46</v>
      </c>
      <c r="C4001" t="str">
        <v>Tul Bawah Lapangan</v>
      </c>
      <c r="D4001">
        <f>VLOOKUP(D3985,'Detail Balok'!$C$10:$AU$140,25,FALSE)</f>
        <v>3</v>
      </c>
      <c r="E4001" t="str">
        <v>D</v>
      </c>
      <c r="F4001">
        <f>VLOOKUP(D3985,'Detail Balok'!$C$10:$AU$140,27,FALSE)</f>
        <v>13</v>
      </c>
      <c r="I4001" t="str">
        <v>(</v>
      </c>
      <c r="J4001">
        <f>+J3993</f>
        <v>0.45</v>
      </c>
      <c r="K4001" t="str">
        <v>+</v>
      </c>
      <c r="M4001" t="str">
        <v>=</v>
      </c>
      <c r="N4001">
        <f>J4001+L4001</f>
        <v>0.45</v>
      </c>
      <c r="O4001" t="str">
        <v>+</v>
      </c>
      <c r="P4001">
        <f>MAX(D4001-D4000,D4001-D4002)</f>
        <v>0</v>
      </c>
      <c r="Q4001" t="str">
        <v>x</v>
      </c>
      <c r="R4001">
        <f>IF(P4001&gt;0,2*(1-2*$F$19-1/2)*D3988/1000,0)</f>
        <v>0</v>
      </c>
      <c r="S4001" t="str">
        <v>)</v>
      </c>
      <c r="T4001" t="str">
        <v>x</v>
      </c>
      <c r="U4001">
        <f>0.006165*F4001^2</f>
        <v>1.041885</v>
      </c>
      <c r="X4001" t="str">
        <v>x</v>
      </c>
      <c r="Y4001">
        <f>D3991</f>
        <v>1</v>
      </c>
      <c r="Z4001" t="str">
        <v>=</v>
      </c>
      <c r="AA4001">
        <f>IF(AA4003=0,(D4001*N4001+P4001*R4001)*U4001*Y4001,0)</f>
        <v>0</v>
      </c>
    </row>
    <row r="4002">
      <c r="A4002" t="str">
        <f>A3985</f>
        <v>Lantai 2</v>
      </c>
      <c r="B4002">
        <f>B3985</f>
        <v>46</v>
      </c>
      <c r="C4002" t="str">
        <v>Tul Bawah Tumpuan</v>
      </c>
      <c r="D4002">
        <f>VLOOKUP(D3985,'Detail Balok'!$C$10:$AU$140,28,FALSE)</f>
        <v>3</v>
      </c>
      <c r="E4002" t="str">
        <v>D</v>
      </c>
      <c r="F4002">
        <f>VLOOKUP(D3985,'Detail Balok'!$C$10:$AU$140,30,FALSE)</f>
        <v>13</v>
      </c>
      <c r="I4002" t="str">
        <v>(</v>
      </c>
      <c r="J4002">
        <f>+J3994</f>
        <v>0.225</v>
      </c>
      <c r="K4002" t="str">
        <v>+</v>
      </c>
      <c r="L4002">
        <f>MAX(VLOOKUP(F4002,N$6:P$15,3,FALSE)/1000,2/3*D3990/1000)+F$16*F4002/1000</f>
        <v>0.156</v>
      </c>
      <c r="M4002" t="str">
        <v>=</v>
      </c>
      <c r="N4002">
        <f>J4002+L4002</f>
        <v>0.381</v>
      </c>
      <c r="O4002" t="str">
        <v>+</v>
      </c>
      <c r="P4002">
        <f>D4002-D4001</f>
        <v>0</v>
      </c>
      <c r="Q4002" t="str">
        <v>x</v>
      </c>
      <c r="R4002">
        <f>IF(P4002&gt;0,$F$18*F4002/1000,0)</f>
        <v>0</v>
      </c>
      <c r="S4002" t="str">
        <v>)</v>
      </c>
      <c r="T4002" t="str">
        <v>x</v>
      </c>
      <c r="U4002">
        <f>0.006165*F4002^2</f>
        <v>1.041885</v>
      </c>
      <c r="X4002" t="str">
        <v>x</v>
      </c>
      <c r="Y4002">
        <f>D3991</f>
        <v>1</v>
      </c>
      <c r="Z4002" t="str">
        <v>=</v>
      </c>
      <c r="AA4002">
        <f>IF(AA4003=0,(D4002*N4002+P4002*R4002)*U4002*Y4002,0)</f>
        <v>0</v>
      </c>
    </row>
    <row r="4003">
      <c r="A4003" t="str">
        <f>A3985</f>
        <v>Lantai 2</v>
      </c>
      <c r="B4003">
        <f>B3985</f>
        <v>46</v>
      </c>
      <c r="D4003">
        <f>IF(AND(D4000=D4001,D4001=D4002,D4000=D4002),D4000,0)</f>
        <v>3</v>
      </c>
      <c r="E4003" t="str">
        <v>D</v>
      </c>
      <c r="F4003">
        <f>IF(AND(F4000=F4001,F4000=F4002,F4001=F4002),F4000,0)</f>
        <v>13</v>
      </c>
      <c r="L4003" t="str">
        <v>Total panjang per balok</v>
      </c>
      <c r="M4003" t="str">
        <v>=</v>
      </c>
      <c r="N4003">
        <f>IF(AND(D4000=D4001,D4000=D4002,D4001=D4002,F4000=F4001,F4000=F4002,F4001=F4002),SUM(N4000:N4002),0)</f>
        <v>1.212</v>
      </c>
      <c r="O4003" t="str">
        <v>+</v>
      </c>
      <c r="P4003">
        <f>IF(N4003&gt;12,ROUNDDOWN(N4003/12,0),0)</f>
        <v>0</v>
      </c>
      <c r="Q4003" t="str">
        <v>x</v>
      </c>
      <c r="R4003">
        <f>IF(P4003&gt;0,MAX(VLOOKUP(F4003,$D$6:$G$15,3,FALSE),600),0)/1000</f>
        <v>0</v>
      </c>
      <c r="T4003" t="str">
        <v>x</v>
      </c>
      <c r="U4003">
        <f>U4002</f>
        <v>1.041885</v>
      </c>
      <c r="V4003" t="str">
        <v>x</v>
      </c>
      <c r="W4003">
        <f>D4003</f>
        <v>3</v>
      </c>
      <c r="X4003" t="str">
        <v>x</v>
      </c>
      <c r="Y4003">
        <f>Y4002</f>
        <v>1</v>
      </c>
      <c r="Z4003" t="str">
        <v>=</v>
      </c>
      <c r="AA4003">
        <f>(N4003+P4003*R4003/1000)*U4003*W4003*Y4003</f>
        <v>3.78829386</v>
      </c>
    </row>
    <row r="4005">
      <c r="A4005" t="str">
        <f>A3985</f>
        <v>Lantai 2</v>
      </c>
      <c r="B4005">
        <f>B3985</f>
        <v>46</v>
      </c>
      <c r="C4005" t="str">
        <v>Sengkang Tumpuan</v>
      </c>
      <c r="D4005">
        <f>VLOOKUP(D3985,'Detail Balok'!$C$10:$AU$140,31,FALSE)</f>
        <v>0</v>
      </c>
      <c r="E4005" t="str">
        <v>D</v>
      </c>
      <c r="F4005">
        <f>VLOOKUP(D3985,'Detail Balok'!$C$10:$AU$140,33,FALSE)</f>
        <v>10</v>
      </c>
      <c r="G4005" t="str">
        <v>-</v>
      </c>
      <c r="H4005">
        <f>VLOOKUP(D3985,'Detail Balok'!$C$10:$AU$140,35,FALSE)</f>
        <v>100</v>
      </c>
      <c r="J4005">
        <f>(IF(D4005=0,(2*(D3986+G3986))-(F$5*8),IF(D4005=3,(2*(D3986+G3986))-(F$5*8)+(G3986-2*F$5),IF(D4005=4,(2*(D3986+G3986))-(F$5*8)+2*(G3986-2*F$5)))))/1000</f>
        <v>0.88</v>
      </c>
      <c r="K4005" t="str">
        <v>+</v>
      </c>
      <c r="L4005">
        <f>IF(D4005=0,2*MAX(6*F4005,75),(D4005-1)*2*MAX(6*F4005,75))/1000</f>
        <v>0.15</v>
      </c>
      <c r="M4005" t="str">
        <v>=</v>
      </c>
      <c r="N4005">
        <f>J4005+L4005</f>
        <v>1.03</v>
      </c>
      <c r="T4005" t="str">
        <v>x</v>
      </c>
      <c r="U4005">
        <f>0.006165*F4005^2</f>
        <v>0.6165</v>
      </c>
      <c r="V4005" t="str">
        <v>x</v>
      </c>
      <c r="W4005">
        <f>IF(D3988&gt;4*G3986,ROUND(MAX(D3988/4,2*G3986)/H4005,0)+1,ROUND(D3988/H4005,0)+1)</f>
        <v>10</v>
      </c>
      <c r="X4005" t="str">
        <v>x</v>
      </c>
      <c r="Y4005">
        <f>D3991</f>
        <v>1</v>
      </c>
      <c r="Z4005" t="str">
        <v>=</v>
      </c>
      <c r="AA4005">
        <f>N4005*U4005*W4005*Y4005</f>
        <v>6.349950000000001</v>
      </c>
    </row>
    <row r="4006">
      <c r="A4006" t="str">
        <f>A3985</f>
        <v>Lantai 2</v>
      </c>
      <c r="B4006">
        <f>B3985</f>
        <v>46</v>
      </c>
      <c r="C4006" t="str">
        <v>Sengkang Lapangan</v>
      </c>
      <c r="D4006">
        <f>VLOOKUP(D3985,'Detail Balok'!$C$10:$AU$140,36,FALSE)</f>
        <v>0</v>
      </c>
      <c r="E4006" t="str">
        <v>D</v>
      </c>
      <c r="F4006">
        <f>VLOOKUP(D3985,'Detail Balok'!$C$10:$AU$140,38,FALSE)</f>
        <v>10</v>
      </c>
      <c r="G4006" t="str">
        <v>-</v>
      </c>
      <c r="H4006">
        <f>VLOOKUP(D3985,'Detail Balok'!$C$10:$AU$140,40,FALSE)</f>
        <v>200</v>
      </c>
      <c r="J4006">
        <f>(IF(D4006=0,(2*(D3986+G3986))-(F$5*8),IF(D4006=3,(2*(D3986+G3986))-(F$5*8)+(G3986-2*F$5),IF(D4006=4,(2*(D3986+G3986))-(F$5*8)+2*(G3986-2*F$5)))))/1000</f>
        <v>0.88</v>
      </c>
      <c r="K4006" t="str">
        <v>+</v>
      </c>
      <c r="L4006">
        <f>IF(D4006=0,2*MAX(6*F4006,75),(D4006-1)*2*MAX(6*F4006,75))/1000</f>
        <v>0.15</v>
      </c>
      <c r="M4006" t="str">
        <v>=</v>
      </c>
      <c r="N4006">
        <f>J4006+L4006</f>
        <v>1.03</v>
      </c>
      <c r="T4006" t="str">
        <v>x</v>
      </c>
      <c r="U4006">
        <f>0.006165*F4006^2</f>
        <v>0.6165</v>
      </c>
      <c r="V4006" t="str">
        <v>x</v>
      </c>
      <c r="W4006">
        <f>IF(D3988-MAX(D3988/4,2*G3986)*2&gt;0,ROUND((D3988-MAX(D3988/4,2*G3986)*2)/H4006,0),0)</f>
        <v>0</v>
      </c>
      <c r="X4006" t="str">
        <v>x</v>
      </c>
      <c r="Y4006">
        <f>D3991</f>
        <v>1</v>
      </c>
      <c r="Z4006" t="str">
        <v>=</v>
      </c>
      <c r="AA4006">
        <f>N4006*U4006*W4006*Y4006</f>
        <v>0</v>
      </c>
    </row>
    <row r="4007">
      <c r="A4007" t="str">
        <f>A3985</f>
        <v>Lantai 2</v>
      </c>
      <c r="B4007">
        <f>B3985</f>
        <v>46</v>
      </c>
      <c r="C4007" t="str">
        <v>Sengkang Tumpuan</v>
      </c>
      <c r="D4007">
        <f>VLOOKUP(D3985,'Detail Balok'!$C$10:$AU$140,41,FALSE)</f>
        <v>0</v>
      </c>
      <c r="E4007" t="str">
        <v>D</v>
      </c>
      <c r="F4007">
        <f>VLOOKUP(D3985,'Detail Balok'!$C$10:$AU$140,43,FALSE)</f>
        <v>10</v>
      </c>
      <c r="G4007" t="str">
        <v>-</v>
      </c>
      <c r="H4007">
        <f>VLOOKUP(D3985,'Detail Balok'!$C$10:$AU$140,45,FALSE)</f>
        <v>100</v>
      </c>
      <c r="J4007">
        <f>(IF(D4007=0,(2*(D3986+G3986))-(F$5*8),IF(D4007=3,(2*(D3986+G3986))-(F$5*8)+(G3986-2*F$5),IF(D4007=4,(2*(D3986+G3986))-(F$5*8)+2*(G3986-2*F$5)))))/1000</f>
        <v>0.88</v>
      </c>
      <c r="K4007" t="str">
        <v>+</v>
      </c>
      <c r="L4007">
        <f>IF(D4007=0,2*MAX(6*F4007,75),(D4007-1)*2*MAX(6*F4007,75))/1000</f>
        <v>0.15</v>
      </c>
      <c r="M4007" t="str">
        <v>=</v>
      </c>
      <c r="N4007">
        <f>J4007+L4007</f>
        <v>1.03</v>
      </c>
      <c r="T4007" t="str">
        <v>x</v>
      </c>
      <c r="U4007">
        <f>0.006165*F4007^2</f>
        <v>0.6165</v>
      </c>
      <c r="V4007" t="str">
        <v>x</v>
      </c>
      <c r="W4007">
        <f>IF(D3988&gt;4*G3986,ROUND(MAX(D3988/4,2*G3986)/H4007,0)+1,0)</f>
        <v>0</v>
      </c>
      <c r="X4007" t="str">
        <v>x</v>
      </c>
      <c r="Y4007">
        <f>D3991</f>
        <v>1</v>
      </c>
      <c r="Z4007" t="str">
        <v>=</v>
      </c>
      <c r="AA4007">
        <f>N4007*U4007*W4007*Y4007</f>
        <v>0</v>
      </c>
    </row>
    <row r="4009">
      <c r="A4009" t="str">
        <f>A3985</f>
        <v>Lantai 2</v>
      </c>
      <c r="B4009">
        <f>B3985</f>
        <v>46</v>
      </c>
      <c r="C4009" t="str">
        <v>Kait Horizontal Tump.</v>
      </c>
      <c r="D4009">
        <f>VLOOKUP(D3985,'Detail Balok'!$C$10:$BJ$140,46,FALSE)</f>
        <v>0</v>
      </c>
      <c r="E4009" t="str">
        <v>D</v>
      </c>
      <c r="F4009">
        <f>VLOOKUP(D3985,'Detail Balok'!$C$10:$BJ$140,48,FALSE)</f>
        <v>0</v>
      </c>
      <c r="G4009" t="str">
        <v>-</v>
      </c>
      <c r="H4009">
        <f>VLOOKUP(D3985,'Detail Balok'!$C$10:$BJ$140,50,FALSE)</f>
        <v>100</v>
      </c>
      <c r="J4009">
        <f>(D3986-2*F$5)/1000</f>
        <v>0.12</v>
      </c>
      <c r="K4009" t="str">
        <v>+</v>
      </c>
      <c r="L4009">
        <f>IF(D4009=0,2*MAX(6*F4009,75),(D4009-1)*2*MAX(6*F4009,75))/1000</f>
        <v>0.15</v>
      </c>
      <c r="M4009" t="str">
        <v>=</v>
      </c>
      <c r="N4009">
        <f>J4009+L4009</f>
        <v>0.27</v>
      </c>
      <c r="T4009" t="str">
        <v>x</v>
      </c>
      <c r="U4009">
        <f>0.006165*F4009^2</f>
        <v>0</v>
      </c>
      <c r="V4009" t="str">
        <v>x</v>
      </c>
      <c r="W4009">
        <f>W4005</f>
        <v>10</v>
      </c>
      <c r="X4009" t="str">
        <v>x</v>
      </c>
      <c r="Y4009">
        <f>D3995</f>
        <v>3</v>
      </c>
      <c r="Z4009" t="str">
        <v>=</v>
      </c>
      <c r="AA4009">
        <f>N4009*U4009*W4009*Y4009</f>
        <v>0</v>
      </c>
    </row>
    <row r="4010">
      <c r="A4010" t="str">
        <f>A3985</f>
        <v>Lantai 2</v>
      </c>
      <c r="B4010">
        <f>B3985</f>
        <v>46</v>
      </c>
      <c r="C4010" t="str">
        <v>Kait Horizontal Lap.</v>
      </c>
      <c r="D4010">
        <f>VLOOKUP(D3985,'Detail Balok'!$C$10:$BJ$140,51,FALSE)</f>
        <v>0</v>
      </c>
      <c r="E4010" t="str">
        <v>D</v>
      </c>
      <c r="F4010">
        <f>VLOOKUP(D3985,'Detail Balok'!$C$10:$BJ$140,53,FALSE)</f>
        <v>0</v>
      </c>
      <c r="G4010" t="str">
        <v>-</v>
      </c>
      <c r="H4010">
        <f>VLOOKUP(D3985,'Detail Balok'!$C$10:$BJ$140,55,FALSE)</f>
        <v>100</v>
      </c>
      <c r="J4010">
        <f>(D3986-2*F$5)/1000</f>
        <v>0.12</v>
      </c>
      <c r="K4010" t="str">
        <v>+</v>
      </c>
      <c r="L4010">
        <f>IF(D4010=0,2*MAX(6*F4010,75),(D4010-1)*2*MAX(6*F4010,75))/1000</f>
        <v>0.15</v>
      </c>
      <c r="M4010" t="str">
        <v>=</v>
      </c>
      <c r="N4010">
        <f>J4010+L4010</f>
        <v>0.27</v>
      </c>
      <c r="T4010" t="str">
        <v>x</v>
      </c>
      <c r="U4010">
        <f>0.006165*F4010^2</f>
        <v>0</v>
      </c>
      <c r="V4010" t="str">
        <v>x</v>
      </c>
      <c r="W4010">
        <f>W4006</f>
        <v>0</v>
      </c>
      <c r="X4010" t="str">
        <v>x</v>
      </c>
      <c r="Y4010">
        <f>D3995</f>
        <v>3</v>
      </c>
      <c r="Z4010" t="str">
        <v>=</v>
      </c>
      <c r="AA4010">
        <f>N4010*U4010*W4010*Y4010</f>
        <v>0</v>
      </c>
    </row>
    <row r="4011">
      <c r="A4011" t="str">
        <f>A3985</f>
        <v>Lantai 2</v>
      </c>
      <c r="B4011">
        <f>B3985</f>
        <v>46</v>
      </c>
      <c r="C4011" t="str">
        <v>Kait Horizontal Tump.</v>
      </c>
      <c r="D4011">
        <f>VLOOKUP(D3985,'Detail Balok'!$C$10:$BJ$140,56,FALSE)</f>
        <v>0</v>
      </c>
      <c r="E4011" t="str">
        <v>D</v>
      </c>
      <c r="F4011">
        <f>VLOOKUP(D3985,'Detail Balok'!$C$10:$BJ$140,58,FALSE)</f>
        <v>0</v>
      </c>
      <c r="G4011" t="str">
        <v>-</v>
      </c>
      <c r="H4011">
        <f>VLOOKUP(D3985,'Detail Balok'!$C$10:$BJ$140,60,FALSE)</f>
        <v>100</v>
      </c>
      <c r="J4011">
        <f>(D3986-2*F$5)/1000</f>
        <v>0.12</v>
      </c>
      <c r="K4011" t="str">
        <v>+</v>
      </c>
      <c r="L4011">
        <f>IF(D4011=0,2*MAX(6*F4011,75),(D4011-1)*2*MAX(6*F4011,75))/1000</f>
        <v>0.15</v>
      </c>
      <c r="M4011" t="str">
        <v>=</v>
      </c>
      <c r="N4011">
        <f>J4011+L4011</f>
        <v>0.27</v>
      </c>
      <c r="T4011" t="str">
        <v>x</v>
      </c>
      <c r="U4011">
        <f>0.006165*F4011^2</f>
        <v>0</v>
      </c>
      <c r="V4011" t="str">
        <v>x</v>
      </c>
      <c r="W4011">
        <f>W4007</f>
        <v>0</v>
      </c>
      <c r="X4011" t="str">
        <v>x</v>
      </c>
      <c r="Y4011">
        <f>D3995</f>
        <v>3</v>
      </c>
      <c r="Z4011" t="str">
        <v>=</v>
      </c>
      <c r="AA4011">
        <f>N4011*U4011*W4011*Y4011</f>
        <v>0</v>
      </c>
    </row>
    <row r="4015">
      <c r="A4015" t="str">
        <f>A3985</f>
        <v>Lantai 2</v>
      </c>
      <c r="B4015">
        <f>B3985+1</f>
        <v>47</v>
      </c>
      <c r="C4015" t="str">
        <f>CONCATENATE(A4015," no. ",B4015)</f>
        <v>Lantai 2 no. 47</v>
      </c>
      <c r="D4015" t="str">
        <f>VLOOKUP(C4015,'Data Panjang Balok'!$C$9:$N$254,2,FALSE)</f>
        <v>B24-1</v>
      </c>
    </row>
    <row r="4016">
      <c r="C4016" t="str">
        <v>Dimensi</v>
      </c>
      <c r="D4016">
        <f>VLOOKUP(D4015,'Detail Balok'!$C$10:$AU$140,2,FALSE)</f>
        <v>200</v>
      </c>
      <c r="F4016" t="str">
        <v>x</v>
      </c>
      <c r="G4016">
        <f>VLOOKUP(D4015,'Detail Balok'!$C$10:$AU$140,3,FALSE)</f>
        <v>400</v>
      </c>
    </row>
    <row r="4017">
      <c r="C4017" t="str">
        <v>Panjang as ke as</v>
      </c>
      <c r="D4017">
        <f>VLOOKUP(C4015,'Data Panjang Balok'!$C$9:$N$254,4,FALSE)</f>
        <v>2125</v>
      </c>
    </row>
    <row r="4018">
      <c r="C4018" t="str">
        <v>Panjang netto</v>
      </c>
      <c r="D4018">
        <f>VLOOKUP(C4015,'Data Panjang Balok'!$C$9:$N$254,7,FALSE)</f>
        <v>2125</v>
      </c>
    </row>
    <row r="4019">
      <c r="C4019" t="str">
        <v>Kolom / balok kiri</v>
      </c>
      <c r="D4019">
        <f>VLOOKUP(C4015,'Data Panjang Balok'!$C$9:$N$254,9,FALSE)</f>
        <v>0</v>
      </c>
    </row>
    <row r="4020">
      <c r="C4020" t="str">
        <v>Kolom / balok kanan</v>
      </c>
      <c r="D4020">
        <f>VLOOKUP(C4015,'Data Panjang Balok'!$C$9:$N$254,10,FALSE)</f>
        <v>0</v>
      </c>
    </row>
    <row r="4021">
      <c r="C4021" t="str">
        <v>Jumlah</v>
      </c>
      <c r="D4021">
        <f>VLOOKUP(C4015,'Data Panjang Balok'!$C$9:$N$254,3,FALSE)</f>
        <v>1</v>
      </c>
    </row>
    <row r="4022">
      <c r="A4022" t="str">
        <f>A4015</f>
        <v>Lantai 2</v>
      </c>
      <c r="B4022">
        <f>B4015</f>
        <v>47</v>
      </c>
      <c r="C4022" t="str">
        <v>Tul Atas Tumpuan</v>
      </c>
      <c r="D4022">
        <f>VLOOKUP(D4015,'Detail Balok'!$C$10:$AU$140,4,FALSE)</f>
        <v>3</v>
      </c>
      <c r="E4022" t="str">
        <v>D</v>
      </c>
      <c r="F4022">
        <f>VLOOKUP(D4015,'Detail Balok'!$C$10:$AU$140,6,FALSE)</f>
        <v>13</v>
      </c>
      <c r="I4022" t="str">
        <v>(</v>
      </c>
      <c r="J4022">
        <f>+D4017/4/1000</f>
        <v>0.53125</v>
      </c>
      <c r="K4022" t="str">
        <v>+</v>
      </c>
      <c r="L4022">
        <f>MAX(VLOOKUP(F4022,N$6:P$15,3,FALSE)/1000,2/3*D4019/1000)+F$16*F4022/1000</f>
        <v>0.156</v>
      </c>
      <c r="M4022" t="str">
        <v>=</v>
      </c>
      <c r="N4022">
        <f>J4022+L4022</f>
        <v>0.68725</v>
      </c>
      <c r="O4022" t="str">
        <v>+</v>
      </c>
      <c r="P4022">
        <f>D4022-D4023</f>
        <v>0</v>
      </c>
      <c r="Q4022" t="str">
        <v>x</v>
      </c>
      <c r="R4022">
        <f>IF(P4022&gt;0,$F$18*F4022/1000,0)</f>
        <v>0</v>
      </c>
      <c r="S4022" t="str">
        <v>)</v>
      </c>
      <c r="T4022" t="str">
        <v>x</v>
      </c>
      <c r="U4022">
        <f>0.006165*F4022^2</f>
        <v>1.041885</v>
      </c>
      <c r="X4022" t="str">
        <v>x</v>
      </c>
      <c r="Y4022">
        <f>D4021</f>
        <v>1</v>
      </c>
      <c r="Z4022" t="str">
        <v>=</v>
      </c>
      <c r="AA4022">
        <f>IF(AA4025=0,(D4022*N4022+P4022*R4022)*U4022*Y4022,0)</f>
        <v>0</v>
      </c>
    </row>
    <row r="4023">
      <c r="A4023" t="str">
        <f>A4015</f>
        <v>Lantai 2</v>
      </c>
      <c r="B4023">
        <f>B4015</f>
        <v>47</v>
      </c>
      <c r="C4023" t="str">
        <v>Tul Atas Lapangan</v>
      </c>
      <c r="D4023">
        <f>VLOOKUP(D4015,'Detail Balok'!$C$10:$AU$140,7,FALSE)</f>
        <v>3</v>
      </c>
      <c r="E4023" t="str">
        <v>D</v>
      </c>
      <c r="F4023">
        <f>VLOOKUP(D4015,'Detail Balok'!$C$10:$AU$140,9,FALSE)</f>
        <v>13</v>
      </c>
      <c r="I4023" t="str">
        <v>(</v>
      </c>
      <c r="J4023">
        <f>+D4017/2/1000</f>
        <v>1.0625</v>
      </c>
      <c r="K4023" t="str">
        <v>+</v>
      </c>
      <c r="M4023" t="str">
        <v>=</v>
      </c>
      <c r="N4023">
        <f>J4023+L4023</f>
        <v>1.0625</v>
      </c>
      <c r="O4023" t="str">
        <v>+</v>
      </c>
      <c r="P4023">
        <f>MAX(D4023-D4022,D4023-D4024)</f>
        <v>0</v>
      </c>
      <c r="Q4023" t="str">
        <v>x</v>
      </c>
      <c r="R4023">
        <f>IF(P4023&gt;0,2*(1-2*$F$19-1/2)*D4018/1000,0)</f>
        <v>0</v>
      </c>
      <c r="S4023" t="str">
        <v>)</v>
      </c>
      <c r="T4023" t="str">
        <v>x</v>
      </c>
      <c r="U4023">
        <f>0.006165*F4023^2</f>
        <v>1.041885</v>
      </c>
      <c r="X4023" t="str">
        <v>x</v>
      </c>
      <c r="Y4023">
        <f>D4021</f>
        <v>1</v>
      </c>
      <c r="Z4023" t="str">
        <v>=</v>
      </c>
      <c r="AA4023">
        <f>IF(AA4025=0,(D4023*N4023+P4023*R4023)*U4023*Y4023,0)</f>
        <v>0</v>
      </c>
    </row>
    <row r="4024">
      <c r="A4024" t="str">
        <f>A4015</f>
        <v>Lantai 2</v>
      </c>
      <c r="B4024">
        <f>B4015</f>
        <v>47</v>
      </c>
      <c r="C4024" t="str">
        <v>Tul Atas Tumpuan</v>
      </c>
      <c r="D4024">
        <f>VLOOKUP(D4015,'Detail Balok'!$C$10:$AU$140,10,FALSE)</f>
        <v>3</v>
      </c>
      <c r="E4024" t="str">
        <v>D</v>
      </c>
      <c r="F4024">
        <f>VLOOKUP(D4015,'Detail Balok'!$C$10:$AU$140,12,FALSE)</f>
        <v>13</v>
      </c>
      <c r="I4024" t="str">
        <v>(</v>
      </c>
      <c r="J4024">
        <f>+D4017/4/1000</f>
        <v>0.53125</v>
      </c>
      <c r="K4024" t="str">
        <v>+</v>
      </c>
      <c r="L4024">
        <f>MAX(VLOOKUP(F4024,N$6:P$15,3,FALSE)/1000,2/3*D4019/1000)+F$16*F4024/1000</f>
        <v>0.156</v>
      </c>
      <c r="M4024" t="str">
        <v>=</v>
      </c>
      <c r="N4024">
        <f>J4024+L4024</f>
        <v>0.68725</v>
      </c>
      <c r="O4024" t="str">
        <v>+</v>
      </c>
      <c r="P4024">
        <f>D4024-D4023</f>
        <v>0</v>
      </c>
      <c r="Q4024" t="str">
        <v>x</v>
      </c>
      <c r="R4024">
        <f>IF(P4024&gt;0,$F$18*F4024/1000,0)</f>
        <v>0</v>
      </c>
      <c r="S4024" t="str">
        <v>)</v>
      </c>
      <c r="T4024" t="str">
        <v>x</v>
      </c>
      <c r="U4024">
        <f>0.006165*F4024^2</f>
        <v>1.041885</v>
      </c>
      <c r="X4024" t="str">
        <v>x</v>
      </c>
      <c r="Y4024">
        <f>D4021</f>
        <v>1</v>
      </c>
      <c r="Z4024" t="str">
        <v>=</v>
      </c>
      <c r="AA4024">
        <f>IF(AA4025=0,(D4024*N4024+P4024*R4024)*U4024*Y4024,0)</f>
        <v>0</v>
      </c>
    </row>
    <row r="4025">
      <c r="A4025" t="str">
        <f>A4015</f>
        <v>Lantai 2</v>
      </c>
      <c r="B4025">
        <f>B4015</f>
        <v>47</v>
      </c>
      <c r="D4025">
        <f>IF(AND(D4022=D4023,D4023=D4024,D4022=D4024),D4022,0)</f>
        <v>3</v>
      </c>
      <c r="E4025" t="str">
        <v>D</v>
      </c>
      <c r="F4025">
        <f>IF(AND(F4022=F4023,F4022=F4024,F4023=F4024),F4022,0)</f>
        <v>13</v>
      </c>
      <c r="L4025" t="str">
        <v>Total panjang per balok</v>
      </c>
      <c r="M4025" t="str">
        <v>=</v>
      </c>
      <c r="N4025">
        <f>IF(AND(D4022=D4023,D4022=D4024,D4023=D4024,F4022=F4023,F4022=F4024,F4023=F4024),SUM(N4022:N4024),0)</f>
        <v>2.4370000000000003</v>
      </c>
      <c r="O4025" t="str">
        <v>+</v>
      </c>
      <c r="P4025">
        <f>IF(N4025&gt;12,ROUNDDOWN(N4025/12,0),0)</f>
        <v>0</v>
      </c>
      <c r="Q4025" t="str">
        <v>x</v>
      </c>
      <c r="R4025">
        <f>IF(P4025&gt;0,MAX(VLOOKUP(F4025,$D$6:$G$15,3,FALSE),600),0)/1000</f>
        <v>0</v>
      </c>
      <c r="T4025" t="str">
        <v>x</v>
      </c>
      <c r="U4025">
        <f>U4024</f>
        <v>1.041885</v>
      </c>
      <c r="V4025" t="str">
        <v>x</v>
      </c>
      <c r="W4025">
        <f>D4025</f>
        <v>3</v>
      </c>
      <c r="X4025" t="str">
        <v>x</v>
      </c>
      <c r="Y4025">
        <f>Y4024</f>
        <v>1</v>
      </c>
      <c r="Z4025" t="str">
        <v>=</v>
      </c>
      <c r="AA4025">
        <f>(N4025+P4025*R4025/1000)*U4025*W4025*Y4025</f>
        <v>7.617221235000001</v>
      </c>
    </row>
    <row r="4027">
      <c r="A4027" t="str">
        <f>A4015</f>
        <v>Lantai 2</v>
      </c>
      <c r="B4027">
        <f>B4015</f>
        <v>47</v>
      </c>
      <c r="C4027" t="str">
        <v>Tul Peminggang</v>
      </c>
      <c r="D4027">
        <f>VLOOKUP(D4015,'Detail Balok'!$C$10:$AU$140,13,FALSE)</f>
        <v>0</v>
      </c>
      <c r="E4027" t="str">
        <v>D</v>
      </c>
      <c r="F4027">
        <f>VLOOKUP(D4015,'Detail Balok'!$C$10:$AU$140,15,FALSE)</f>
        <v>8</v>
      </c>
      <c r="J4027">
        <f>+D4017/1000</f>
        <v>2.125</v>
      </c>
      <c r="K4027" t="str">
        <v>+</v>
      </c>
      <c r="L4027">
        <f>2*$F$16*F4027/1000</f>
        <v>0.192</v>
      </c>
      <c r="M4027" t="str">
        <v>=</v>
      </c>
      <c r="N4027">
        <f>J4027+L4027</f>
        <v>2.317</v>
      </c>
      <c r="O4027" t="str">
        <v>+</v>
      </c>
      <c r="P4027">
        <f>IF(N4027&gt;12,ROUNDDOWN(N4027/12,0),0)</f>
        <v>0</v>
      </c>
      <c r="Q4027" t="str">
        <v>x</v>
      </c>
      <c r="R4027">
        <f>IF(P4027&gt;0,MAX(VLOOKUP(F4027,$D$6:$G$15,3,FALSE),600),0)/1000</f>
        <v>0</v>
      </c>
      <c r="T4027" t="str">
        <v>x</v>
      </c>
      <c r="U4027">
        <f>0.006165*F4027^2</f>
        <v>0.39456</v>
      </c>
      <c r="V4027" t="str">
        <v>x</v>
      </c>
      <c r="W4027">
        <f>+D4027</f>
        <v>0</v>
      </c>
      <c r="X4027" t="str">
        <v>x</v>
      </c>
      <c r="Y4027">
        <f>D4021</f>
        <v>1</v>
      </c>
      <c r="Z4027" t="str">
        <v>=</v>
      </c>
      <c r="AA4027">
        <f>(N4027+P4027*R4027/1000)*U4027*W4027*Y4027</f>
        <v>0</v>
      </c>
    </row>
    <row r="4030">
      <c r="A4030" t="str">
        <f>A4015</f>
        <v>Lantai 2</v>
      </c>
      <c r="B4030">
        <f>B4015</f>
        <v>47</v>
      </c>
      <c r="C4030" t="str">
        <v>Tul Bawah Tumpuan</v>
      </c>
      <c r="D4030">
        <f>VLOOKUP(D4015,'Detail Balok'!$C$10:$AU$140,22,FALSE)</f>
        <v>3</v>
      </c>
      <c r="E4030" t="str">
        <v>D</v>
      </c>
      <c r="F4030">
        <f>VLOOKUP(D4015,'Detail Balok'!$C$10:$AU$140,24,FALSE)</f>
        <v>13</v>
      </c>
      <c r="I4030" t="str">
        <v>(</v>
      </c>
      <c r="J4030">
        <f>+J4022</f>
        <v>0.53125</v>
      </c>
      <c r="K4030" t="str">
        <v>+</v>
      </c>
      <c r="L4030">
        <f>MAX(VLOOKUP(F4030,N$6:P$15,3,FALSE)/1000,2/3*D4020/1000)+F$16*F4030/1000</f>
        <v>0.156</v>
      </c>
      <c r="M4030" t="str">
        <v>=</v>
      </c>
      <c r="N4030">
        <f>J4030+L4030</f>
        <v>0.68725</v>
      </c>
      <c r="O4030" t="str">
        <v>+</v>
      </c>
      <c r="P4030">
        <f>D4030-D4031</f>
        <v>0</v>
      </c>
      <c r="Q4030" t="str">
        <v>x</v>
      </c>
      <c r="R4030">
        <f>IF(P4030&gt;0,$F$18*F4030/1000,0)</f>
        <v>0</v>
      </c>
      <c r="S4030" t="str">
        <v>)</v>
      </c>
      <c r="T4030" t="str">
        <v>x</v>
      </c>
      <c r="U4030">
        <f>0.006165*F4030^2</f>
        <v>1.041885</v>
      </c>
      <c r="X4030" t="str">
        <v>x</v>
      </c>
      <c r="Y4030">
        <f>D4021</f>
        <v>1</v>
      </c>
      <c r="Z4030" t="str">
        <v>=</v>
      </c>
      <c r="AA4030">
        <f>IF(AA4033=0,(D4030*N4030+P4030*R4030)*U4030*Y4030,0)</f>
        <v>0</v>
      </c>
    </row>
    <row r="4031">
      <c r="A4031" t="str">
        <f>A4015</f>
        <v>Lantai 2</v>
      </c>
      <c r="B4031">
        <f>B4015</f>
        <v>47</v>
      </c>
      <c r="C4031" t="str">
        <v>Tul Bawah Lapangan</v>
      </c>
      <c r="D4031">
        <f>VLOOKUP(D4015,'Detail Balok'!$C$10:$AU$140,25,FALSE)</f>
        <v>3</v>
      </c>
      <c r="E4031" t="str">
        <v>D</v>
      </c>
      <c r="F4031">
        <f>VLOOKUP(D4015,'Detail Balok'!$C$10:$AU$140,27,FALSE)</f>
        <v>13</v>
      </c>
      <c r="I4031" t="str">
        <v>(</v>
      </c>
      <c r="J4031">
        <f>+J4023</f>
        <v>1.0625</v>
      </c>
      <c r="K4031" t="str">
        <v>+</v>
      </c>
      <c r="M4031" t="str">
        <v>=</v>
      </c>
      <c r="N4031">
        <f>J4031+L4031</f>
        <v>1.0625</v>
      </c>
      <c r="O4031" t="str">
        <v>+</v>
      </c>
      <c r="P4031">
        <f>MAX(D4031-D4030,D4031-D4032)</f>
        <v>0</v>
      </c>
      <c r="Q4031" t="str">
        <v>x</v>
      </c>
      <c r="R4031">
        <f>IF(P4031&gt;0,2*(1-2*$F$19-1/2)*D4018/1000,0)</f>
        <v>0</v>
      </c>
      <c r="S4031" t="str">
        <v>)</v>
      </c>
      <c r="T4031" t="str">
        <v>x</v>
      </c>
      <c r="U4031">
        <f>0.006165*F4031^2</f>
        <v>1.041885</v>
      </c>
      <c r="X4031" t="str">
        <v>x</v>
      </c>
      <c r="Y4031">
        <f>D4021</f>
        <v>1</v>
      </c>
      <c r="Z4031" t="str">
        <v>=</v>
      </c>
      <c r="AA4031">
        <f>IF(AA4033=0,(D4031*N4031+P4031*R4031)*U4031*Y4031,0)</f>
        <v>0</v>
      </c>
    </row>
    <row r="4032">
      <c r="A4032" t="str">
        <f>A4015</f>
        <v>Lantai 2</v>
      </c>
      <c r="B4032">
        <f>B4015</f>
        <v>47</v>
      </c>
      <c r="C4032" t="str">
        <v>Tul Bawah Tumpuan</v>
      </c>
      <c r="D4032">
        <f>VLOOKUP(D4015,'Detail Balok'!$C$10:$AU$140,28,FALSE)</f>
        <v>3</v>
      </c>
      <c r="E4032" t="str">
        <v>D</v>
      </c>
      <c r="F4032">
        <f>VLOOKUP(D4015,'Detail Balok'!$C$10:$AU$140,30,FALSE)</f>
        <v>13</v>
      </c>
      <c r="I4032" t="str">
        <v>(</v>
      </c>
      <c r="J4032">
        <f>+J4024</f>
        <v>0.53125</v>
      </c>
      <c r="K4032" t="str">
        <v>+</v>
      </c>
      <c r="L4032">
        <f>MAX(VLOOKUP(F4032,N$6:P$15,3,FALSE)/1000,2/3*D4020/1000)+F$16*F4032/1000</f>
        <v>0.156</v>
      </c>
      <c r="M4032" t="str">
        <v>=</v>
      </c>
      <c r="N4032">
        <f>J4032+L4032</f>
        <v>0.68725</v>
      </c>
      <c r="O4032" t="str">
        <v>+</v>
      </c>
      <c r="P4032">
        <f>D4032-D4031</f>
        <v>0</v>
      </c>
      <c r="Q4032" t="str">
        <v>x</v>
      </c>
      <c r="R4032">
        <f>IF(P4032&gt;0,$F$18*F4032/1000,0)</f>
        <v>0</v>
      </c>
      <c r="S4032" t="str">
        <v>)</v>
      </c>
      <c r="T4032" t="str">
        <v>x</v>
      </c>
      <c r="U4032">
        <f>0.006165*F4032^2</f>
        <v>1.041885</v>
      </c>
      <c r="X4032" t="str">
        <v>x</v>
      </c>
      <c r="Y4032">
        <f>D4021</f>
        <v>1</v>
      </c>
      <c r="Z4032" t="str">
        <v>=</v>
      </c>
      <c r="AA4032">
        <f>IF(AA4033=0,(D4032*N4032+P4032*R4032)*U4032*Y4032,0)</f>
        <v>0</v>
      </c>
    </row>
    <row r="4033">
      <c r="A4033" t="str">
        <f>A4015</f>
        <v>Lantai 2</v>
      </c>
      <c r="B4033">
        <f>B4015</f>
        <v>47</v>
      </c>
      <c r="D4033">
        <f>IF(AND(D4030=D4031,D4031=D4032,D4030=D4032),D4030,0)</f>
        <v>3</v>
      </c>
      <c r="E4033" t="str">
        <v>D</v>
      </c>
      <c r="F4033">
        <f>IF(AND(F4030=F4031,F4030=F4032,F4031=F4032),F4030,0)</f>
        <v>13</v>
      </c>
      <c r="L4033" t="str">
        <v>Total panjang per balok</v>
      </c>
      <c r="M4033" t="str">
        <v>=</v>
      </c>
      <c r="N4033">
        <f>IF(AND(D4030=D4031,D4030=D4032,D4031=D4032,F4030=F4031,F4030=F4032,F4031=F4032),SUM(N4030:N4032),0)</f>
        <v>2.4370000000000003</v>
      </c>
      <c r="O4033" t="str">
        <v>+</v>
      </c>
      <c r="P4033">
        <f>IF(N4033&gt;12,ROUNDDOWN(N4033/12,0),0)</f>
        <v>0</v>
      </c>
      <c r="Q4033" t="str">
        <v>x</v>
      </c>
      <c r="R4033">
        <f>IF(P4033&gt;0,MAX(VLOOKUP(F4033,$D$6:$G$15,3,FALSE),600),0)/1000</f>
        <v>0</v>
      </c>
      <c r="T4033" t="str">
        <v>x</v>
      </c>
      <c r="U4033">
        <f>U4032</f>
        <v>1.041885</v>
      </c>
      <c r="V4033" t="str">
        <v>x</v>
      </c>
      <c r="W4033">
        <f>D4033</f>
        <v>3</v>
      </c>
      <c r="X4033" t="str">
        <v>x</v>
      </c>
      <c r="Y4033">
        <f>Y4032</f>
        <v>1</v>
      </c>
      <c r="Z4033" t="str">
        <v>=</v>
      </c>
      <c r="AA4033">
        <f>(N4033+P4033*R4033/1000)*U4033*W4033*Y4033</f>
        <v>7.617221235000001</v>
      </c>
    </row>
    <row r="4035">
      <c r="A4035" t="str">
        <f>A4015</f>
        <v>Lantai 2</v>
      </c>
      <c r="B4035">
        <f>B4015</f>
        <v>47</v>
      </c>
      <c r="C4035" t="str">
        <v>Sengkang Tumpuan</v>
      </c>
      <c r="D4035">
        <f>VLOOKUP(D4015,'Detail Balok'!$C$10:$AU$140,31,FALSE)</f>
        <v>0</v>
      </c>
      <c r="E4035" t="str">
        <v>D</v>
      </c>
      <c r="F4035">
        <f>VLOOKUP(D4015,'Detail Balok'!$C$10:$AU$140,33,FALSE)</f>
        <v>10</v>
      </c>
      <c r="G4035" t="str">
        <v>-</v>
      </c>
      <c r="H4035">
        <f>VLOOKUP(D4015,'Detail Balok'!$C$10:$AU$140,35,FALSE)</f>
        <v>100</v>
      </c>
      <c r="J4035">
        <f>(IF(D4035=0,(2*(D4016+G4016))-(F$5*8),IF(D4035=3,(2*(D4016+G4016))-(F$5*8)+(G4016-2*F$5),IF(D4035=4,(2*(D4016+G4016))-(F$5*8)+2*(G4016-2*F$5)))))/1000</f>
        <v>0.88</v>
      </c>
      <c r="K4035" t="str">
        <v>+</v>
      </c>
      <c r="L4035">
        <f>IF(D4035=0,2*MAX(6*F4035,75),(D4035-1)*2*MAX(6*F4035,75))/1000</f>
        <v>0.15</v>
      </c>
      <c r="M4035" t="str">
        <v>=</v>
      </c>
      <c r="N4035">
        <f>J4035+L4035</f>
        <v>1.03</v>
      </c>
      <c r="T4035" t="str">
        <v>x</v>
      </c>
      <c r="U4035">
        <f>0.006165*F4035^2</f>
        <v>0.6165</v>
      </c>
      <c r="V4035" t="str">
        <v>x</v>
      </c>
      <c r="W4035">
        <f>IF(D4018&gt;4*G4016,ROUND(MAX(D4018/4,2*G4016)/H4035,0)+1,ROUND(D4018/H4035,0)+1)</f>
        <v>9</v>
      </c>
      <c r="X4035" t="str">
        <v>x</v>
      </c>
      <c r="Y4035">
        <f>D4021</f>
        <v>1</v>
      </c>
      <c r="Z4035" t="str">
        <v>=</v>
      </c>
      <c r="AA4035">
        <f>N4035*U4035*W4035*Y4035</f>
        <v>5.714955000000001</v>
      </c>
    </row>
    <row r="4036">
      <c r="A4036" t="str">
        <f>A4015</f>
        <v>Lantai 2</v>
      </c>
      <c r="B4036">
        <f>B4015</f>
        <v>47</v>
      </c>
      <c r="C4036" t="str">
        <v>Sengkang Lapangan</v>
      </c>
      <c r="D4036">
        <f>VLOOKUP(D4015,'Detail Balok'!$C$10:$AU$140,36,FALSE)</f>
        <v>0</v>
      </c>
      <c r="E4036" t="str">
        <v>D</v>
      </c>
      <c r="F4036">
        <f>VLOOKUP(D4015,'Detail Balok'!$C$10:$AU$140,38,FALSE)</f>
        <v>10</v>
      </c>
      <c r="G4036" t="str">
        <v>-</v>
      </c>
      <c r="H4036">
        <f>VLOOKUP(D4015,'Detail Balok'!$C$10:$AU$140,40,FALSE)</f>
        <v>200</v>
      </c>
      <c r="J4036">
        <f>(IF(D4036=0,(2*(D4016+G4016))-(F$5*8),IF(D4036=3,(2*(D4016+G4016))-(F$5*8)+(G4016-2*F$5),IF(D4036=4,(2*(D4016+G4016))-(F$5*8)+2*(G4016-2*F$5)))))/1000</f>
        <v>0.88</v>
      </c>
      <c r="K4036" t="str">
        <v>+</v>
      </c>
      <c r="L4036">
        <f>IF(D4036=0,2*MAX(6*F4036,75),(D4036-1)*2*MAX(6*F4036,75))/1000</f>
        <v>0.15</v>
      </c>
      <c r="M4036" t="str">
        <v>=</v>
      </c>
      <c r="N4036">
        <f>J4036+L4036</f>
        <v>1.03</v>
      </c>
      <c r="T4036" t="str">
        <v>x</v>
      </c>
      <c r="U4036">
        <f>0.006165*F4036^2</f>
        <v>0.6165</v>
      </c>
      <c r="V4036" t="str">
        <v>x</v>
      </c>
      <c r="W4036">
        <f>IF(D4018-MAX(D4018/4,2*G4016)*2&gt;0,ROUND((D4018-MAX(D4018/4,2*G4016)*2)/H4036,0),0)</f>
        <v>3</v>
      </c>
      <c r="X4036" t="str">
        <v>x</v>
      </c>
      <c r="Y4036">
        <f>D4021</f>
        <v>1</v>
      </c>
      <c r="Z4036" t="str">
        <v>=</v>
      </c>
      <c r="AA4036">
        <f>N4036*U4036*W4036*Y4036</f>
        <v>1.9049850000000004</v>
      </c>
    </row>
    <row r="4037">
      <c r="A4037" t="str">
        <f>A4015</f>
        <v>Lantai 2</v>
      </c>
      <c r="B4037">
        <f>B4015</f>
        <v>47</v>
      </c>
      <c r="C4037" t="str">
        <v>Sengkang Tumpuan</v>
      </c>
      <c r="D4037">
        <f>VLOOKUP(D4015,'Detail Balok'!$C$10:$AU$140,41,FALSE)</f>
        <v>0</v>
      </c>
      <c r="E4037" t="str">
        <v>D</v>
      </c>
      <c r="F4037">
        <f>VLOOKUP(D4015,'Detail Balok'!$C$10:$AU$140,43,FALSE)</f>
        <v>10</v>
      </c>
      <c r="G4037" t="str">
        <v>-</v>
      </c>
      <c r="H4037">
        <f>VLOOKUP(D4015,'Detail Balok'!$C$10:$AU$140,45,FALSE)</f>
        <v>100</v>
      </c>
      <c r="J4037">
        <f>(IF(D4037=0,(2*(D4016+G4016))-(F$5*8),IF(D4037=3,(2*(D4016+G4016))-(F$5*8)+(G4016-2*F$5),IF(D4037=4,(2*(D4016+G4016))-(F$5*8)+2*(G4016-2*F$5)))))/1000</f>
        <v>0.88</v>
      </c>
      <c r="K4037" t="str">
        <v>+</v>
      </c>
      <c r="L4037">
        <f>IF(D4037=0,2*MAX(6*F4037,75),(D4037-1)*2*MAX(6*F4037,75))/1000</f>
        <v>0.15</v>
      </c>
      <c r="M4037" t="str">
        <v>=</v>
      </c>
      <c r="N4037">
        <f>J4037+L4037</f>
        <v>1.03</v>
      </c>
      <c r="T4037" t="str">
        <v>x</v>
      </c>
      <c r="U4037">
        <f>0.006165*F4037^2</f>
        <v>0.6165</v>
      </c>
      <c r="V4037" t="str">
        <v>x</v>
      </c>
      <c r="W4037">
        <f>IF(D4018&gt;4*G4016,ROUND(MAX(D4018/4,2*G4016)/H4037,0)+1,0)</f>
        <v>9</v>
      </c>
      <c r="X4037" t="str">
        <v>x</v>
      </c>
      <c r="Y4037">
        <f>D4021</f>
        <v>1</v>
      </c>
      <c r="Z4037" t="str">
        <v>=</v>
      </c>
      <c r="AA4037">
        <f>N4037*U4037*W4037*Y4037</f>
        <v>5.714955000000001</v>
      </c>
    </row>
    <row r="4039">
      <c r="A4039" t="str">
        <f>A4015</f>
        <v>Lantai 2</v>
      </c>
      <c r="B4039">
        <f>B4015</f>
        <v>47</v>
      </c>
      <c r="C4039" t="str">
        <v>Kait Horizontal Tump.</v>
      </c>
      <c r="D4039">
        <f>VLOOKUP(D4015,'Detail Balok'!$C$10:$BJ$140,46,FALSE)</f>
        <v>0</v>
      </c>
      <c r="E4039" t="str">
        <v>D</v>
      </c>
      <c r="F4039">
        <f>VLOOKUP(D4015,'Detail Balok'!$C$10:$BJ$140,48,FALSE)</f>
        <v>0</v>
      </c>
      <c r="G4039" t="str">
        <v>-</v>
      </c>
      <c r="H4039">
        <f>VLOOKUP(D4015,'Detail Balok'!$C$10:$BJ$140,50,FALSE)</f>
        <v>100</v>
      </c>
      <c r="J4039">
        <f>(D4016-2*F$5)/1000</f>
        <v>0.12</v>
      </c>
      <c r="K4039" t="str">
        <v>+</v>
      </c>
      <c r="L4039">
        <f>IF(D4039=0,2*MAX(6*F4039,75),(D4039-1)*2*MAX(6*F4039,75))/1000</f>
        <v>0.15</v>
      </c>
      <c r="M4039" t="str">
        <v>=</v>
      </c>
      <c r="N4039">
        <f>J4039+L4039</f>
        <v>0.27</v>
      </c>
      <c r="T4039" t="str">
        <v>x</v>
      </c>
      <c r="U4039">
        <f>0.006165*F4039^2</f>
        <v>0</v>
      </c>
      <c r="V4039" t="str">
        <v>x</v>
      </c>
      <c r="W4039">
        <f>W4035</f>
        <v>9</v>
      </c>
      <c r="X4039" t="str">
        <v>x</v>
      </c>
      <c r="Y4039">
        <f>D4025</f>
        <v>3</v>
      </c>
      <c r="Z4039" t="str">
        <v>=</v>
      </c>
      <c r="AA4039">
        <f>N4039*U4039*W4039*Y4039</f>
        <v>0</v>
      </c>
    </row>
    <row r="4040">
      <c r="A4040" t="str">
        <f>A4015</f>
        <v>Lantai 2</v>
      </c>
      <c r="B4040">
        <f>B4015</f>
        <v>47</v>
      </c>
      <c r="C4040" t="str">
        <v>Kait Horizontal Lap.</v>
      </c>
      <c r="D4040">
        <f>VLOOKUP(D4015,'Detail Balok'!$C$10:$BJ$140,51,FALSE)</f>
        <v>0</v>
      </c>
      <c r="E4040" t="str">
        <v>D</v>
      </c>
      <c r="F4040">
        <f>VLOOKUP(D4015,'Detail Balok'!$C$10:$BJ$140,53,FALSE)</f>
        <v>0</v>
      </c>
      <c r="G4040" t="str">
        <v>-</v>
      </c>
      <c r="H4040">
        <f>VLOOKUP(D4015,'Detail Balok'!$C$10:$BJ$140,55,FALSE)</f>
        <v>100</v>
      </c>
      <c r="J4040">
        <f>(D4016-2*F$5)/1000</f>
        <v>0.12</v>
      </c>
      <c r="K4040" t="str">
        <v>+</v>
      </c>
      <c r="L4040">
        <f>IF(D4040=0,2*MAX(6*F4040,75),(D4040-1)*2*MAX(6*F4040,75))/1000</f>
        <v>0.15</v>
      </c>
      <c r="M4040" t="str">
        <v>=</v>
      </c>
      <c r="N4040">
        <f>J4040+L4040</f>
        <v>0.27</v>
      </c>
      <c r="T4040" t="str">
        <v>x</v>
      </c>
      <c r="U4040">
        <f>0.006165*F4040^2</f>
        <v>0</v>
      </c>
      <c r="V4040" t="str">
        <v>x</v>
      </c>
      <c r="W4040">
        <f>W4036</f>
        <v>3</v>
      </c>
      <c r="X4040" t="str">
        <v>x</v>
      </c>
      <c r="Y4040">
        <f>D4025</f>
        <v>3</v>
      </c>
      <c r="Z4040" t="str">
        <v>=</v>
      </c>
      <c r="AA4040">
        <f>N4040*U4040*W4040*Y4040</f>
        <v>0</v>
      </c>
    </row>
    <row r="4041">
      <c r="A4041" t="str">
        <f>A4015</f>
        <v>Lantai 2</v>
      </c>
      <c r="B4041">
        <f>B4015</f>
        <v>47</v>
      </c>
      <c r="C4041" t="str">
        <v>Kait Horizontal Tump.</v>
      </c>
      <c r="D4041">
        <f>VLOOKUP(D4015,'Detail Balok'!$C$10:$BJ$140,56,FALSE)</f>
        <v>0</v>
      </c>
      <c r="E4041" t="str">
        <v>D</v>
      </c>
      <c r="F4041">
        <f>VLOOKUP(D4015,'Detail Balok'!$C$10:$BJ$140,58,FALSE)</f>
        <v>0</v>
      </c>
      <c r="G4041" t="str">
        <v>-</v>
      </c>
      <c r="H4041">
        <f>VLOOKUP(D4015,'Detail Balok'!$C$10:$BJ$140,60,FALSE)</f>
        <v>100</v>
      </c>
      <c r="J4041">
        <f>(D4016-2*F$5)/1000</f>
        <v>0.12</v>
      </c>
      <c r="K4041" t="str">
        <v>+</v>
      </c>
      <c r="L4041">
        <f>IF(D4041=0,2*MAX(6*F4041,75),(D4041-1)*2*MAX(6*F4041,75))/1000</f>
        <v>0.15</v>
      </c>
      <c r="M4041" t="str">
        <v>=</v>
      </c>
      <c r="N4041">
        <f>J4041+L4041</f>
        <v>0.27</v>
      </c>
      <c r="T4041" t="str">
        <v>x</v>
      </c>
      <c r="U4041">
        <f>0.006165*F4041^2</f>
        <v>0</v>
      </c>
      <c r="V4041" t="str">
        <v>x</v>
      </c>
      <c r="W4041">
        <f>W4037</f>
        <v>9</v>
      </c>
      <c r="X4041" t="str">
        <v>x</v>
      </c>
      <c r="Y4041">
        <f>D4025</f>
        <v>3</v>
      </c>
      <c r="Z4041" t="str">
        <v>=</v>
      </c>
      <c r="AA4041">
        <f>N4041*U4041*W4041*Y4041</f>
        <v>0</v>
      </c>
    </row>
    <row r="4045">
      <c r="A4045" t="str">
        <f>A4015</f>
        <v>Lantai 2</v>
      </c>
      <c r="B4045">
        <f>B4015+1</f>
        <v>48</v>
      </c>
      <c r="C4045" t="str">
        <f>CONCATENATE(A4045," no. ",B4045)</f>
        <v>Lantai 2 no. 48</v>
      </c>
      <c r="D4045" t="str">
        <f>VLOOKUP(C4045,'Data Panjang Balok'!$C$9:$N$254,2,FALSE)</f>
        <v>B24-1</v>
      </c>
    </row>
    <row r="4046">
      <c r="C4046" t="str">
        <v>Dimensi</v>
      </c>
      <c r="D4046">
        <f>VLOOKUP(D4045,'Detail Balok'!$C$10:$AU$140,2,FALSE)</f>
        <v>200</v>
      </c>
      <c r="F4046" t="str">
        <v>x</v>
      </c>
      <c r="G4046">
        <f>VLOOKUP(D4045,'Detail Balok'!$C$10:$AU$140,3,FALSE)</f>
        <v>400</v>
      </c>
    </row>
    <row r="4047">
      <c r="C4047" t="str">
        <v>Panjang as ke as</v>
      </c>
      <c r="D4047">
        <f>VLOOKUP(C4045,'Data Panjang Balok'!$C$9:$N$254,4,FALSE)</f>
        <v>900</v>
      </c>
    </row>
    <row r="4048">
      <c r="C4048" t="str">
        <v>Panjang netto</v>
      </c>
      <c r="D4048">
        <f>VLOOKUP(C4045,'Data Panjang Balok'!$C$9:$N$254,7,FALSE)</f>
        <v>900</v>
      </c>
    </row>
    <row r="4049">
      <c r="C4049" t="str">
        <v>Kolom / balok kiri</v>
      </c>
      <c r="D4049">
        <f>VLOOKUP(C4045,'Data Panjang Balok'!$C$9:$N$254,9,FALSE)</f>
        <v>0</v>
      </c>
    </row>
    <row r="4050">
      <c r="C4050" t="str">
        <v>Kolom / balok kanan</v>
      </c>
      <c r="D4050">
        <f>VLOOKUP(C4045,'Data Panjang Balok'!$C$9:$N$254,10,FALSE)</f>
        <v>0</v>
      </c>
    </row>
    <row r="4051">
      <c r="C4051" t="str">
        <v>Jumlah</v>
      </c>
      <c r="D4051">
        <f>VLOOKUP(C4045,'Data Panjang Balok'!$C$9:$N$254,3,FALSE)</f>
        <v>1</v>
      </c>
    </row>
    <row r="4052">
      <c r="A4052" t="str">
        <f>A4045</f>
        <v>Lantai 2</v>
      </c>
      <c r="B4052">
        <f>B4045</f>
        <v>48</v>
      </c>
      <c r="C4052" t="str">
        <v>Tul Atas Tumpuan</v>
      </c>
      <c r="D4052">
        <f>VLOOKUP(D4045,'Detail Balok'!$C$10:$AU$140,4,FALSE)</f>
        <v>3</v>
      </c>
      <c r="E4052" t="str">
        <v>D</v>
      </c>
      <c r="F4052">
        <f>VLOOKUP(D4045,'Detail Balok'!$C$10:$AU$140,6,FALSE)</f>
        <v>13</v>
      </c>
      <c r="I4052" t="str">
        <v>(</v>
      </c>
      <c r="J4052">
        <f>+D4047/4/1000</f>
        <v>0.225</v>
      </c>
      <c r="K4052" t="str">
        <v>+</v>
      </c>
      <c r="L4052">
        <f>MAX(VLOOKUP(F4052,N$6:P$15,3,FALSE)/1000,2/3*D4049/1000)+F$16*F4052/1000</f>
        <v>0.156</v>
      </c>
      <c r="M4052" t="str">
        <v>=</v>
      </c>
      <c r="N4052">
        <f>J4052+L4052</f>
        <v>0.381</v>
      </c>
      <c r="O4052" t="str">
        <v>+</v>
      </c>
      <c r="P4052">
        <f>D4052-D4053</f>
        <v>0</v>
      </c>
      <c r="Q4052" t="str">
        <v>x</v>
      </c>
      <c r="R4052">
        <f>IF(P4052&gt;0,$F$18*F4052/1000,0)</f>
        <v>0</v>
      </c>
      <c r="S4052" t="str">
        <v>)</v>
      </c>
      <c r="T4052" t="str">
        <v>x</v>
      </c>
      <c r="U4052">
        <f>0.006165*F4052^2</f>
        <v>1.041885</v>
      </c>
      <c r="X4052" t="str">
        <v>x</v>
      </c>
      <c r="Y4052">
        <f>D4051</f>
        <v>1</v>
      </c>
      <c r="Z4052" t="str">
        <v>=</v>
      </c>
      <c r="AA4052">
        <f>IF(AA4055=0,(D4052*N4052+P4052*R4052)*U4052*Y4052,0)</f>
        <v>0</v>
      </c>
    </row>
    <row r="4053">
      <c r="A4053" t="str">
        <f>A4045</f>
        <v>Lantai 2</v>
      </c>
      <c r="B4053">
        <f>B4045</f>
        <v>48</v>
      </c>
      <c r="C4053" t="str">
        <v>Tul Atas Lapangan</v>
      </c>
      <c r="D4053">
        <f>VLOOKUP(D4045,'Detail Balok'!$C$10:$AU$140,7,FALSE)</f>
        <v>3</v>
      </c>
      <c r="E4053" t="str">
        <v>D</v>
      </c>
      <c r="F4053">
        <f>VLOOKUP(D4045,'Detail Balok'!$C$10:$AU$140,9,FALSE)</f>
        <v>13</v>
      </c>
      <c r="I4053" t="str">
        <v>(</v>
      </c>
      <c r="J4053">
        <f>+D4047/2/1000</f>
        <v>0.45</v>
      </c>
      <c r="K4053" t="str">
        <v>+</v>
      </c>
      <c r="M4053" t="str">
        <v>=</v>
      </c>
      <c r="N4053">
        <f>J4053+L4053</f>
        <v>0.45</v>
      </c>
      <c r="O4053" t="str">
        <v>+</v>
      </c>
      <c r="P4053">
        <f>MAX(D4053-D4052,D4053-D4054)</f>
        <v>0</v>
      </c>
      <c r="Q4053" t="str">
        <v>x</v>
      </c>
      <c r="R4053">
        <f>IF(P4053&gt;0,2*(1-2*$F$19-1/2)*D4048/1000,0)</f>
        <v>0</v>
      </c>
      <c r="S4053" t="str">
        <v>)</v>
      </c>
      <c r="T4053" t="str">
        <v>x</v>
      </c>
      <c r="U4053">
        <f>0.006165*F4053^2</f>
        <v>1.041885</v>
      </c>
      <c r="X4053" t="str">
        <v>x</v>
      </c>
      <c r="Y4053">
        <f>D4051</f>
        <v>1</v>
      </c>
      <c r="Z4053" t="str">
        <v>=</v>
      </c>
      <c r="AA4053">
        <f>IF(AA4055=0,(D4053*N4053+P4053*R4053)*U4053*Y4053,0)</f>
        <v>0</v>
      </c>
    </row>
    <row r="4054">
      <c r="A4054" t="str">
        <f>A4045</f>
        <v>Lantai 2</v>
      </c>
      <c r="B4054">
        <f>B4045</f>
        <v>48</v>
      </c>
      <c r="C4054" t="str">
        <v>Tul Atas Tumpuan</v>
      </c>
      <c r="D4054">
        <f>VLOOKUP(D4045,'Detail Balok'!$C$10:$AU$140,10,FALSE)</f>
        <v>3</v>
      </c>
      <c r="E4054" t="str">
        <v>D</v>
      </c>
      <c r="F4054">
        <f>VLOOKUP(D4045,'Detail Balok'!$C$10:$AU$140,12,FALSE)</f>
        <v>13</v>
      </c>
      <c r="I4054" t="str">
        <v>(</v>
      </c>
      <c r="J4054">
        <f>+D4047/4/1000</f>
        <v>0.225</v>
      </c>
      <c r="K4054" t="str">
        <v>+</v>
      </c>
      <c r="L4054">
        <f>MAX(VLOOKUP(F4054,N$6:P$15,3,FALSE)/1000,2/3*D4049/1000)+F$16*F4054/1000</f>
        <v>0.156</v>
      </c>
      <c r="M4054" t="str">
        <v>=</v>
      </c>
      <c r="N4054">
        <f>J4054+L4054</f>
        <v>0.381</v>
      </c>
      <c r="O4054" t="str">
        <v>+</v>
      </c>
      <c r="P4054">
        <f>D4054-D4053</f>
        <v>0</v>
      </c>
      <c r="Q4054" t="str">
        <v>x</v>
      </c>
      <c r="R4054">
        <f>IF(P4054&gt;0,$F$18*F4054/1000,0)</f>
        <v>0</v>
      </c>
      <c r="S4054" t="str">
        <v>)</v>
      </c>
      <c r="T4054" t="str">
        <v>x</v>
      </c>
      <c r="U4054">
        <f>0.006165*F4054^2</f>
        <v>1.041885</v>
      </c>
      <c r="X4054" t="str">
        <v>x</v>
      </c>
      <c r="Y4054">
        <f>D4051</f>
        <v>1</v>
      </c>
      <c r="Z4054" t="str">
        <v>=</v>
      </c>
      <c r="AA4054">
        <f>IF(AA4055=0,(D4054*N4054+P4054*R4054)*U4054*Y4054,0)</f>
        <v>0</v>
      </c>
    </row>
    <row r="4055">
      <c r="A4055" t="str">
        <f>A4045</f>
        <v>Lantai 2</v>
      </c>
      <c r="B4055">
        <f>B4045</f>
        <v>48</v>
      </c>
      <c r="D4055">
        <f>IF(AND(D4052=D4053,D4053=D4054,D4052=D4054),D4052,0)</f>
        <v>3</v>
      </c>
      <c r="E4055" t="str">
        <v>D</v>
      </c>
      <c r="F4055">
        <f>IF(AND(F4052=F4053,F4052=F4054,F4053=F4054),F4052,0)</f>
        <v>13</v>
      </c>
      <c r="L4055" t="str">
        <v>Total panjang per balok</v>
      </c>
      <c r="M4055" t="str">
        <v>=</v>
      </c>
      <c r="N4055">
        <f>IF(AND(D4052=D4053,D4052=D4054,D4053=D4054,F4052=F4053,F4052=F4054,F4053=F4054),SUM(N4052:N4054),0)</f>
        <v>1.212</v>
      </c>
      <c r="O4055" t="str">
        <v>+</v>
      </c>
      <c r="P4055">
        <f>IF(N4055&gt;12,ROUNDDOWN(N4055/12,0),0)</f>
        <v>0</v>
      </c>
      <c r="Q4055" t="str">
        <v>x</v>
      </c>
      <c r="R4055">
        <f>IF(P4055&gt;0,MAX(VLOOKUP(F4055,$D$6:$G$15,3,FALSE),600),0)/1000</f>
        <v>0</v>
      </c>
      <c r="T4055" t="str">
        <v>x</v>
      </c>
      <c r="U4055">
        <f>U4054</f>
        <v>1.041885</v>
      </c>
      <c r="V4055" t="str">
        <v>x</v>
      </c>
      <c r="W4055">
        <f>D4055</f>
        <v>3</v>
      </c>
      <c r="X4055" t="str">
        <v>x</v>
      </c>
      <c r="Y4055">
        <f>Y4054</f>
        <v>1</v>
      </c>
      <c r="Z4055" t="str">
        <v>=</v>
      </c>
      <c r="AA4055">
        <f>(N4055+P4055*R4055/1000)*U4055*W4055*Y4055</f>
        <v>3.78829386</v>
      </c>
    </row>
    <row r="4057">
      <c r="A4057" t="str">
        <f>A4045</f>
        <v>Lantai 2</v>
      </c>
      <c r="B4057">
        <f>B4045</f>
        <v>48</v>
      </c>
      <c r="C4057" t="str">
        <v>Tul Peminggang</v>
      </c>
      <c r="D4057">
        <f>VLOOKUP(D4045,'Detail Balok'!$C$10:$AU$140,13,FALSE)</f>
        <v>0</v>
      </c>
      <c r="E4057" t="str">
        <v>D</v>
      </c>
      <c r="F4057">
        <f>VLOOKUP(D4045,'Detail Balok'!$C$10:$AU$140,15,FALSE)</f>
        <v>8</v>
      </c>
      <c r="J4057">
        <f>+D4047/1000</f>
        <v>0.9</v>
      </c>
      <c r="K4057" t="str">
        <v>+</v>
      </c>
      <c r="L4057">
        <f>2*$F$16*F4057/1000</f>
        <v>0.192</v>
      </c>
      <c r="M4057" t="str">
        <v>=</v>
      </c>
      <c r="N4057">
        <f>J4057+L4057</f>
        <v>1.092</v>
      </c>
      <c r="O4057" t="str">
        <v>+</v>
      </c>
      <c r="P4057">
        <f>IF(N4057&gt;12,ROUNDDOWN(N4057/12,0),0)</f>
        <v>0</v>
      </c>
      <c r="Q4057" t="str">
        <v>x</v>
      </c>
      <c r="R4057">
        <f>IF(P4057&gt;0,MAX(VLOOKUP(F4057,$D$6:$G$15,3,FALSE),600),0)/1000</f>
        <v>0</v>
      </c>
      <c r="T4057" t="str">
        <v>x</v>
      </c>
      <c r="U4057">
        <f>0.006165*F4057^2</f>
        <v>0.39456</v>
      </c>
      <c r="V4057" t="str">
        <v>x</v>
      </c>
      <c r="W4057">
        <f>+D4057</f>
        <v>0</v>
      </c>
      <c r="X4057" t="str">
        <v>x</v>
      </c>
      <c r="Y4057">
        <f>D4051</f>
        <v>1</v>
      </c>
      <c r="Z4057" t="str">
        <v>=</v>
      </c>
      <c r="AA4057">
        <f>(N4057+P4057*R4057/1000)*U4057*W4057*Y4057</f>
        <v>0</v>
      </c>
    </row>
    <row r="4060">
      <c r="A4060" t="str">
        <f>A4045</f>
        <v>Lantai 2</v>
      </c>
      <c r="B4060">
        <f>B4045</f>
        <v>48</v>
      </c>
      <c r="C4060" t="str">
        <v>Tul Bawah Tumpuan</v>
      </c>
      <c r="D4060">
        <f>VLOOKUP(D4045,'Detail Balok'!$C$10:$AU$140,22,FALSE)</f>
        <v>3</v>
      </c>
      <c r="E4060" t="str">
        <v>D</v>
      </c>
      <c r="F4060">
        <f>VLOOKUP(D4045,'Detail Balok'!$C$10:$AU$140,24,FALSE)</f>
        <v>13</v>
      </c>
      <c r="I4060" t="str">
        <v>(</v>
      </c>
      <c r="J4060">
        <f>+J4052</f>
        <v>0.225</v>
      </c>
      <c r="K4060" t="str">
        <v>+</v>
      </c>
      <c r="L4060">
        <f>MAX(VLOOKUP(F4060,N$6:P$15,3,FALSE)/1000,2/3*D4050/1000)+F$16*F4060/1000</f>
        <v>0.156</v>
      </c>
      <c r="M4060" t="str">
        <v>=</v>
      </c>
      <c r="N4060">
        <f>J4060+L4060</f>
        <v>0.381</v>
      </c>
      <c r="O4060" t="str">
        <v>+</v>
      </c>
      <c r="P4060">
        <f>D4060-D4061</f>
        <v>0</v>
      </c>
      <c r="Q4060" t="str">
        <v>x</v>
      </c>
      <c r="R4060">
        <f>IF(P4060&gt;0,$F$18*F4060/1000,0)</f>
        <v>0</v>
      </c>
      <c r="S4060" t="str">
        <v>)</v>
      </c>
      <c r="T4060" t="str">
        <v>x</v>
      </c>
      <c r="U4060">
        <f>0.006165*F4060^2</f>
        <v>1.041885</v>
      </c>
      <c r="X4060" t="str">
        <v>x</v>
      </c>
      <c r="Y4060">
        <f>D4051</f>
        <v>1</v>
      </c>
      <c r="Z4060" t="str">
        <v>=</v>
      </c>
      <c r="AA4060">
        <f>IF(AA4063=0,(D4060*N4060+P4060*R4060)*U4060*Y4060,0)</f>
        <v>0</v>
      </c>
    </row>
    <row r="4061">
      <c r="A4061" t="str">
        <f>A4045</f>
        <v>Lantai 2</v>
      </c>
      <c r="B4061">
        <f>B4045</f>
        <v>48</v>
      </c>
      <c r="C4061" t="str">
        <v>Tul Bawah Lapangan</v>
      </c>
      <c r="D4061">
        <f>VLOOKUP(D4045,'Detail Balok'!$C$10:$AU$140,25,FALSE)</f>
        <v>3</v>
      </c>
      <c r="E4061" t="str">
        <v>D</v>
      </c>
      <c r="F4061">
        <f>VLOOKUP(D4045,'Detail Balok'!$C$10:$AU$140,27,FALSE)</f>
        <v>13</v>
      </c>
      <c r="I4061" t="str">
        <v>(</v>
      </c>
      <c r="J4061">
        <f>+J4053</f>
        <v>0.45</v>
      </c>
      <c r="K4061" t="str">
        <v>+</v>
      </c>
      <c r="M4061" t="str">
        <v>=</v>
      </c>
      <c r="N4061">
        <f>J4061+L4061</f>
        <v>0.45</v>
      </c>
      <c r="O4061" t="str">
        <v>+</v>
      </c>
      <c r="P4061">
        <f>MAX(D4061-D4060,D4061-D4062)</f>
        <v>0</v>
      </c>
      <c r="Q4061" t="str">
        <v>x</v>
      </c>
      <c r="R4061">
        <f>IF(P4061&gt;0,2*(1-2*$F$19-1/2)*D4048/1000,0)</f>
        <v>0</v>
      </c>
      <c r="S4061" t="str">
        <v>)</v>
      </c>
      <c r="T4061" t="str">
        <v>x</v>
      </c>
      <c r="U4061">
        <f>0.006165*F4061^2</f>
        <v>1.041885</v>
      </c>
      <c r="X4061" t="str">
        <v>x</v>
      </c>
      <c r="Y4061">
        <f>D4051</f>
        <v>1</v>
      </c>
      <c r="Z4061" t="str">
        <v>=</v>
      </c>
      <c r="AA4061">
        <f>IF(AA4063=0,(D4061*N4061+P4061*R4061)*U4061*Y4061,0)</f>
        <v>0</v>
      </c>
    </row>
    <row r="4062">
      <c r="A4062" t="str">
        <f>A4045</f>
        <v>Lantai 2</v>
      </c>
      <c r="B4062">
        <f>B4045</f>
        <v>48</v>
      </c>
      <c r="C4062" t="str">
        <v>Tul Bawah Tumpuan</v>
      </c>
      <c r="D4062">
        <f>VLOOKUP(D4045,'Detail Balok'!$C$10:$AU$140,28,FALSE)</f>
        <v>3</v>
      </c>
      <c r="E4062" t="str">
        <v>D</v>
      </c>
      <c r="F4062">
        <f>VLOOKUP(D4045,'Detail Balok'!$C$10:$AU$140,30,FALSE)</f>
        <v>13</v>
      </c>
      <c r="I4062" t="str">
        <v>(</v>
      </c>
      <c r="J4062">
        <f>+J4054</f>
        <v>0.225</v>
      </c>
      <c r="K4062" t="str">
        <v>+</v>
      </c>
      <c r="L4062">
        <f>MAX(VLOOKUP(F4062,N$6:P$15,3,FALSE)/1000,2/3*D4050/1000)+F$16*F4062/1000</f>
        <v>0.156</v>
      </c>
      <c r="M4062" t="str">
        <v>=</v>
      </c>
      <c r="N4062">
        <f>J4062+L4062</f>
        <v>0.381</v>
      </c>
      <c r="O4062" t="str">
        <v>+</v>
      </c>
      <c r="P4062">
        <f>D4062-D4061</f>
        <v>0</v>
      </c>
      <c r="Q4062" t="str">
        <v>x</v>
      </c>
      <c r="R4062">
        <f>IF(P4062&gt;0,$F$18*F4062/1000,0)</f>
        <v>0</v>
      </c>
      <c r="S4062" t="str">
        <v>)</v>
      </c>
      <c r="T4062" t="str">
        <v>x</v>
      </c>
      <c r="U4062">
        <f>0.006165*F4062^2</f>
        <v>1.041885</v>
      </c>
      <c r="X4062" t="str">
        <v>x</v>
      </c>
      <c r="Y4062">
        <f>D4051</f>
        <v>1</v>
      </c>
      <c r="Z4062" t="str">
        <v>=</v>
      </c>
      <c r="AA4062">
        <f>IF(AA4063=0,(D4062*N4062+P4062*R4062)*U4062*Y4062,0)</f>
        <v>0</v>
      </c>
    </row>
    <row r="4063">
      <c r="A4063" t="str">
        <f>A4045</f>
        <v>Lantai 2</v>
      </c>
      <c r="B4063">
        <f>B4045</f>
        <v>48</v>
      </c>
      <c r="D4063">
        <f>IF(AND(D4060=D4061,D4061=D4062,D4060=D4062),D4060,0)</f>
        <v>3</v>
      </c>
      <c r="E4063" t="str">
        <v>D</v>
      </c>
      <c r="F4063">
        <f>IF(AND(F4060=F4061,F4060=F4062,F4061=F4062),F4060,0)</f>
        <v>13</v>
      </c>
      <c r="L4063" t="str">
        <v>Total panjang per balok</v>
      </c>
      <c r="M4063" t="str">
        <v>=</v>
      </c>
      <c r="N4063">
        <f>IF(AND(D4060=D4061,D4060=D4062,D4061=D4062,F4060=F4061,F4060=F4062,F4061=F4062),SUM(N4060:N4062),0)</f>
        <v>1.212</v>
      </c>
      <c r="O4063" t="str">
        <v>+</v>
      </c>
      <c r="P4063">
        <f>IF(N4063&gt;12,ROUNDDOWN(N4063/12,0),0)</f>
        <v>0</v>
      </c>
      <c r="Q4063" t="str">
        <v>x</v>
      </c>
      <c r="R4063">
        <f>IF(P4063&gt;0,MAX(VLOOKUP(F4063,$D$6:$G$15,3,FALSE),600),0)/1000</f>
        <v>0</v>
      </c>
      <c r="T4063" t="str">
        <v>x</v>
      </c>
      <c r="U4063">
        <f>U4062</f>
        <v>1.041885</v>
      </c>
      <c r="V4063" t="str">
        <v>x</v>
      </c>
      <c r="W4063">
        <f>D4063</f>
        <v>3</v>
      </c>
      <c r="X4063" t="str">
        <v>x</v>
      </c>
      <c r="Y4063">
        <f>Y4062</f>
        <v>1</v>
      </c>
      <c r="Z4063" t="str">
        <v>=</v>
      </c>
      <c r="AA4063">
        <f>(N4063+P4063*R4063/1000)*U4063*W4063*Y4063</f>
        <v>3.78829386</v>
      </c>
    </row>
    <row r="4065">
      <c r="A4065" t="str">
        <f>A4045</f>
        <v>Lantai 2</v>
      </c>
      <c r="B4065">
        <f>B4045</f>
        <v>48</v>
      </c>
      <c r="C4065" t="str">
        <v>Sengkang Tumpuan</v>
      </c>
      <c r="D4065">
        <f>VLOOKUP(D4045,'Detail Balok'!$C$10:$AU$140,31,FALSE)</f>
        <v>0</v>
      </c>
      <c r="E4065" t="str">
        <v>D</v>
      </c>
      <c r="F4065">
        <f>VLOOKUP(D4045,'Detail Balok'!$C$10:$AU$140,33,FALSE)</f>
        <v>10</v>
      </c>
      <c r="G4065" t="str">
        <v>-</v>
      </c>
      <c r="H4065">
        <f>VLOOKUP(D4045,'Detail Balok'!$C$10:$AU$140,35,FALSE)</f>
        <v>100</v>
      </c>
      <c r="J4065">
        <f>(IF(D4065=0,(2*(D4046+G4046))-(F$5*8),IF(D4065=3,(2*(D4046+G4046))-(F$5*8)+(G4046-2*F$5),IF(D4065=4,(2*(D4046+G4046))-(F$5*8)+2*(G4046-2*F$5)))))/1000</f>
        <v>0.88</v>
      </c>
      <c r="K4065" t="str">
        <v>+</v>
      </c>
      <c r="L4065">
        <f>IF(D4065=0,2*MAX(6*F4065,75),(D4065-1)*2*MAX(6*F4065,75))/1000</f>
        <v>0.15</v>
      </c>
      <c r="M4065" t="str">
        <v>=</v>
      </c>
      <c r="N4065">
        <f>J4065+L4065</f>
        <v>1.03</v>
      </c>
      <c r="T4065" t="str">
        <v>x</v>
      </c>
      <c r="U4065">
        <f>0.006165*F4065^2</f>
        <v>0.6165</v>
      </c>
      <c r="V4065" t="str">
        <v>x</v>
      </c>
      <c r="W4065">
        <f>IF(D4048&gt;4*G4046,ROUND(MAX(D4048/4,2*G4046)/H4065,0)+1,ROUND(D4048/H4065,0)+1)</f>
        <v>10</v>
      </c>
      <c r="X4065" t="str">
        <v>x</v>
      </c>
      <c r="Y4065">
        <f>D4051</f>
        <v>1</v>
      </c>
      <c r="Z4065" t="str">
        <v>=</v>
      </c>
      <c r="AA4065">
        <f>N4065*U4065*W4065*Y4065</f>
        <v>6.349950000000001</v>
      </c>
    </row>
    <row r="4066">
      <c r="A4066" t="str">
        <f>A4045</f>
        <v>Lantai 2</v>
      </c>
      <c r="B4066">
        <f>B4045</f>
        <v>48</v>
      </c>
      <c r="C4066" t="str">
        <v>Sengkang Lapangan</v>
      </c>
      <c r="D4066">
        <f>VLOOKUP(D4045,'Detail Balok'!$C$10:$AU$140,36,FALSE)</f>
        <v>0</v>
      </c>
      <c r="E4066" t="str">
        <v>D</v>
      </c>
      <c r="F4066">
        <f>VLOOKUP(D4045,'Detail Balok'!$C$10:$AU$140,38,FALSE)</f>
        <v>10</v>
      </c>
      <c r="G4066" t="str">
        <v>-</v>
      </c>
      <c r="H4066">
        <f>VLOOKUP(D4045,'Detail Balok'!$C$10:$AU$140,40,FALSE)</f>
        <v>200</v>
      </c>
      <c r="J4066">
        <f>(IF(D4066=0,(2*(D4046+G4046))-(F$5*8),IF(D4066=3,(2*(D4046+G4046))-(F$5*8)+(G4046-2*F$5),IF(D4066=4,(2*(D4046+G4046))-(F$5*8)+2*(G4046-2*F$5)))))/1000</f>
        <v>0.88</v>
      </c>
      <c r="K4066" t="str">
        <v>+</v>
      </c>
      <c r="L4066">
        <f>IF(D4066=0,2*MAX(6*F4066,75),(D4066-1)*2*MAX(6*F4066,75))/1000</f>
        <v>0.15</v>
      </c>
      <c r="M4066" t="str">
        <v>=</v>
      </c>
      <c r="N4066">
        <f>J4066+L4066</f>
        <v>1.03</v>
      </c>
      <c r="T4066" t="str">
        <v>x</v>
      </c>
      <c r="U4066">
        <f>0.006165*F4066^2</f>
        <v>0.6165</v>
      </c>
      <c r="V4066" t="str">
        <v>x</v>
      </c>
      <c r="W4066">
        <f>IF(D4048-MAX(D4048/4,2*G4046)*2&gt;0,ROUND((D4048-MAX(D4048/4,2*G4046)*2)/H4066,0),0)</f>
        <v>0</v>
      </c>
      <c r="X4066" t="str">
        <v>x</v>
      </c>
      <c r="Y4066">
        <f>D4051</f>
        <v>1</v>
      </c>
      <c r="Z4066" t="str">
        <v>=</v>
      </c>
      <c r="AA4066">
        <f>N4066*U4066*W4066*Y4066</f>
        <v>0</v>
      </c>
    </row>
    <row r="4067">
      <c r="A4067" t="str">
        <f>A4045</f>
        <v>Lantai 2</v>
      </c>
      <c r="B4067">
        <f>B4045</f>
        <v>48</v>
      </c>
      <c r="C4067" t="str">
        <v>Sengkang Tumpuan</v>
      </c>
      <c r="D4067">
        <f>VLOOKUP(D4045,'Detail Balok'!$C$10:$AU$140,41,FALSE)</f>
        <v>0</v>
      </c>
      <c r="E4067" t="str">
        <v>D</v>
      </c>
      <c r="F4067">
        <f>VLOOKUP(D4045,'Detail Balok'!$C$10:$AU$140,43,FALSE)</f>
        <v>10</v>
      </c>
      <c r="G4067" t="str">
        <v>-</v>
      </c>
      <c r="H4067">
        <f>VLOOKUP(D4045,'Detail Balok'!$C$10:$AU$140,45,FALSE)</f>
        <v>100</v>
      </c>
      <c r="J4067">
        <f>(IF(D4067=0,(2*(D4046+G4046))-(F$5*8),IF(D4067=3,(2*(D4046+G4046))-(F$5*8)+(G4046-2*F$5),IF(D4067=4,(2*(D4046+G4046))-(F$5*8)+2*(G4046-2*F$5)))))/1000</f>
        <v>0.88</v>
      </c>
      <c r="K4067" t="str">
        <v>+</v>
      </c>
      <c r="L4067">
        <f>IF(D4067=0,2*MAX(6*F4067,75),(D4067-1)*2*MAX(6*F4067,75))/1000</f>
        <v>0.15</v>
      </c>
      <c r="M4067" t="str">
        <v>=</v>
      </c>
      <c r="N4067">
        <f>J4067+L4067</f>
        <v>1.03</v>
      </c>
      <c r="T4067" t="str">
        <v>x</v>
      </c>
      <c r="U4067">
        <f>0.006165*F4067^2</f>
        <v>0.6165</v>
      </c>
      <c r="V4067" t="str">
        <v>x</v>
      </c>
      <c r="W4067">
        <f>IF(D4048&gt;4*G4046,ROUND(MAX(D4048/4,2*G4046)/H4067,0)+1,0)</f>
        <v>0</v>
      </c>
      <c r="X4067" t="str">
        <v>x</v>
      </c>
      <c r="Y4067">
        <f>D4051</f>
        <v>1</v>
      </c>
      <c r="Z4067" t="str">
        <v>=</v>
      </c>
      <c r="AA4067">
        <f>N4067*U4067*W4067*Y4067</f>
        <v>0</v>
      </c>
    </row>
    <row r="4069">
      <c r="A4069" t="str">
        <f>A4045</f>
        <v>Lantai 2</v>
      </c>
      <c r="B4069">
        <f>B4045</f>
        <v>48</v>
      </c>
      <c r="C4069" t="str">
        <v>Kait Horizontal Tump.</v>
      </c>
      <c r="D4069">
        <f>VLOOKUP(D4045,'Detail Balok'!$C$10:$BJ$140,46,FALSE)</f>
        <v>0</v>
      </c>
      <c r="E4069" t="str">
        <v>D</v>
      </c>
      <c r="F4069">
        <f>VLOOKUP(D4045,'Detail Balok'!$C$10:$BJ$140,48,FALSE)</f>
        <v>0</v>
      </c>
      <c r="G4069" t="str">
        <v>-</v>
      </c>
      <c r="H4069">
        <f>VLOOKUP(D4045,'Detail Balok'!$C$10:$BJ$140,50,FALSE)</f>
        <v>100</v>
      </c>
      <c r="J4069">
        <f>(D4046-2*F$5)/1000</f>
        <v>0.12</v>
      </c>
      <c r="K4069" t="str">
        <v>+</v>
      </c>
      <c r="L4069">
        <f>IF(D4069=0,2*MAX(6*F4069,75),(D4069-1)*2*MAX(6*F4069,75))/1000</f>
        <v>0.15</v>
      </c>
      <c r="M4069" t="str">
        <v>=</v>
      </c>
      <c r="N4069">
        <f>J4069+L4069</f>
        <v>0.27</v>
      </c>
      <c r="T4069" t="str">
        <v>x</v>
      </c>
      <c r="U4069">
        <f>0.006165*F4069^2</f>
        <v>0</v>
      </c>
      <c r="V4069" t="str">
        <v>x</v>
      </c>
      <c r="W4069">
        <f>W4065</f>
        <v>10</v>
      </c>
      <c r="X4069" t="str">
        <v>x</v>
      </c>
      <c r="Y4069">
        <f>D4055</f>
        <v>3</v>
      </c>
      <c r="Z4069" t="str">
        <v>=</v>
      </c>
      <c r="AA4069">
        <f>N4069*U4069*W4069*Y4069</f>
        <v>0</v>
      </c>
    </row>
    <row r="4070">
      <c r="A4070" t="str">
        <f>A4045</f>
        <v>Lantai 2</v>
      </c>
      <c r="B4070">
        <f>B4045</f>
        <v>48</v>
      </c>
      <c r="C4070" t="str">
        <v>Kait Horizontal Lap.</v>
      </c>
      <c r="D4070">
        <f>VLOOKUP(D4045,'Detail Balok'!$C$10:$BJ$140,51,FALSE)</f>
        <v>0</v>
      </c>
      <c r="E4070" t="str">
        <v>D</v>
      </c>
      <c r="F4070">
        <f>VLOOKUP(D4045,'Detail Balok'!$C$10:$BJ$140,53,FALSE)</f>
        <v>0</v>
      </c>
      <c r="G4070" t="str">
        <v>-</v>
      </c>
      <c r="H4070">
        <f>VLOOKUP(D4045,'Detail Balok'!$C$10:$BJ$140,55,FALSE)</f>
        <v>100</v>
      </c>
      <c r="J4070">
        <f>(D4046-2*F$5)/1000</f>
        <v>0.12</v>
      </c>
      <c r="K4070" t="str">
        <v>+</v>
      </c>
      <c r="L4070">
        <f>IF(D4070=0,2*MAX(6*F4070,75),(D4070-1)*2*MAX(6*F4070,75))/1000</f>
        <v>0.15</v>
      </c>
      <c r="M4070" t="str">
        <v>=</v>
      </c>
      <c r="N4070">
        <f>J4070+L4070</f>
        <v>0.27</v>
      </c>
      <c r="T4070" t="str">
        <v>x</v>
      </c>
      <c r="U4070">
        <f>0.006165*F4070^2</f>
        <v>0</v>
      </c>
      <c r="V4070" t="str">
        <v>x</v>
      </c>
      <c r="W4070">
        <f>W4066</f>
        <v>0</v>
      </c>
      <c r="X4070" t="str">
        <v>x</v>
      </c>
      <c r="Y4070">
        <f>D4055</f>
        <v>3</v>
      </c>
      <c r="Z4070" t="str">
        <v>=</v>
      </c>
      <c r="AA4070">
        <f>N4070*U4070*W4070*Y4070</f>
        <v>0</v>
      </c>
    </row>
    <row r="4071">
      <c r="A4071" t="str">
        <f>A4045</f>
        <v>Lantai 2</v>
      </c>
      <c r="B4071">
        <f>B4045</f>
        <v>48</v>
      </c>
      <c r="C4071" t="str">
        <v>Kait Horizontal Tump.</v>
      </c>
      <c r="D4071">
        <f>VLOOKUP(D4045,'Detail Balok'!$C$10:$BJ$140,56,FALSE)</f>
        <v>0</v>
      </c>
      <c r="E4071" t="str">
        <v>D</v>
      </c>
      <c r="F4071">
        <f>VLOOKUP(D4045,'Detail Balok'!$C$10:$BJ$140,58,FALSE)</f>
        <v>0</v>
      </c>
      <c r="G4071" t="str">
        <v>-</v>
      </c>
      <c r="H4071">
        <f>VLOOKUP(D4045,'Detail Balok'!$C$10:$BJ$140,60,FALSE)</f>
        <v>100</v>
      </c>
      <c r="J4071">
        <f>(D4046-2*F$5)/1000</f>
        <v>0.12</v>
      </c>
      <c r="K4071" t="str">
        <v>+</v>
      </c>
      <c r="L4071">
        <f>IF(D4071=0,2*MAX(6*F4071,75),(D4071-1)*2*MAX(6*F4071,75))/1000</f>
        <v>0.15</v>
      </c>
      <c r="M4071" t="str">
        <v>=</v>
      </c>
      <c r="N4071">
        <f>J4071+L4071</f>
        <v>0.27</v>
      </c>
      <c r="T4071" t="str">
        <v>x</v>
      </c>
      <c r="U4071">
        <f>0.006165*F4071^2</f>
        <v>0</v>
      </c>
      <c r="V4071" t="str">
        <v>x</v>
      </c>
      <c r="W4071">
        <f>W4067</f>
        <v>0</v>
      </c>
      <c r="X4071" t="str">
        <v>x</v>
      </c>
      <c r="Y4071">
        <f>D4055</f>
        <v>3</v>
      </c>
      <c r="Z4071" t="str">
        <v>=</v>
      </c>
      <c r="AA4071">
        <f>N4071*U4071*W4071*Y4071</f>
        <v>0</v>
      </c>
    </row>
    <row r="4075">
      <c r="A4075" t="str">
        <f>A4045</f>
        <v>Lantai 2</v>
      </c>
      <c r="B4075">
        <f>B4045+1</f>
        <v>49</v>
      </c>
      <c r="C4075" t="str">
        <f>CONCATENATE(A4075," no. ",B4075)</f>
        <v>Lantai 2 no. 49</v>
      </c>
      <c r="D4075" t="str">
        <f>VLOOKUP(C4075,'Data Panjang Balok'!$C$9:$N$254,2,FALSE)</f>
        <v>B25-1</v>
      </c>
    </row>
    <row r="4076">
      <c r="C4076" t="str">
        <v>Dimensi</v>
      </c>
      <c r="D4076">
        <f>VLOOKUP(D4075,'Detail Balok'!$C$10:$AU$140,2,FALSE)</f>
        <v>200</v>
      </c>
      <c r="F4076" t="str">
        <v>x</v>
      </c>
      <c r="G4076">
        <f>VLOOKUP(D4075,'Detail Balok'!$C$10:$AU$140,3,FALSE)</f>
        <v>500</v>
      </c>
    </row>
    <row r="4077">
      <c r="C4077" t="str">
        <v>Panjang as ke as</v>
      </c>
      <c r="D4077">
        <f>VLOOKUP(C4075,'Data Panjang Balok'!$C$9:$N$254,4,FALSE)</f>
        <v>4805</v>
      </c>
    </row>
    <row r="4078">
      <c r="C4078" t="str">
        <v>Panjang netto</v>
      </c>
      <c r="D4078">
        <f>VLOOKUP(C4075,'Data Panjang Balok'!$C$9:$N$254,7,FALSE)</f>
        <v>4805</v>
      </c>
    </row>
    <row r="4079">
      <c r="C4079" t="str">
        <v>Kolom / balok kiri</v>
      </c>
      <c r="D4079">
        <f>VLOOKUP(C4075,'Data Panjang Balok'!$C$9:$N$254,9,FALSE)</f>
        <v>0</v>
      </c>
    </row>
    <row r="4080">
      <c r="C4080" t="str">
        <v>Kolom / balok kanan</v>
      </c>
      <c r="D4080">
        <f>VLOOKUP(C4075,'Data Panjang Balok'!$C$9:$N$254,10,FALSE)</f>
        <v>0</v>
      </c>
    </row>
    <row r="4081">
      <c r="C4081" t="str">
        <v>Jumlah</v>
      </c>
      <c r="D4081">
        <f>VLOOKUP(C4075,'Data Panjang Balok'!$C$9:$N$254,3,FALSE)</f>
        <v>1</v>
      </c>
    </row>
    <row r="4082">
      <c r="A4082" t="str">
        <f>A4075</f>
        <v>Lantai 2</v>
      </c>
      <c r="B4082">
        <f>B4075</f>
        <v>49</v>
      </c>
      <c r="C4082" t="str">
        <v>Tul Atas Tumpuan</v>
      </c>
      <c r="D4082">
        <f>VLOOKUP(D4075,'Detail Balok'!$C$10:$AU$140,4,FALSE)</f>
        <v>4</v>
      </c>
      <c r="E4082" t="str">
        <v>D</v>
      </c>
      <c r="F4082">
        <f>VLOOKUP(D4075,'Detail Balok'!$C$10:$AU$140,6,FALSE)</f>
        <v>16</v>
      </c>
      <c r="I4082" t="str">
        <v>(</v>
      </c>
      <c r="J4082">
        <f>+D4077/4/1000</f>
        <v>1.20125</v>
      </c>
      <c r="K4082" t="str">
        <v>+</v>
      </c>
      <c r="L4082">
        <f>MAX(VLOOKUP(F4082,N$6:P$15,3,FALSE)/1000,2/3*D4079/1000)+F$16*F4082/1000</f>
        <v>0.192</v>
      </c>
      <c r="M4082" t="str">
        <v>=</v>
      </c>
      <c r="N4082">
        <f>J4082+L4082</f>
        <v>1.3932499999999999</v>
      </c>
      <c r="O4082" t="str">
        <v>+</v>
      </c>
      <c r="P4082">
        <f>D4082-D4083</f>
        <v>0</v>
      </c>
      <c r="Q4082" t="str">
        <v>x</v>
      </c>
      <c r="R4082">
        <f>IF(P4082&gt;0,$F$18*F4082/1000,0)</f>
        <v>0</v>
      </c>
      <c r="S4082" t="str">
        <v>)</v>
      </c>
      <c r="T4082" t="str">
        <v>x</v>
      </c>
      <c r="U4082">
        <f>0.006165*F4082^2</f>
        <v>1.57824</v>
      </c>
      <c r="X4082" t="str">
        <v>x</v>
      </c>
      <c r="Y4082">
        <f>D4081</f>
        <v>1</v>
      </c>
      <c r="Z4082" t="str">
        <v>=</v>
      </c>
      <c r="AA4082">
        <f>IF(AA4085=0,(D4082*N4082+P4082*R4082)*U4082*Y4082,0)</f>
        <v>0</v>
      </c>
    </row>
    <row r="4083">
      <c r="A4083" t="str">
        <f>A4075</f>
        <v>Lantai 2</v>
      </c>
      <c r="B4083">
        <f>B4075</f>
        <v>49</v>
      </c>
      <c r="C4083" t="str">
        <v>Tul Atas Lapangan</v>
      </c>
      <c r="D4083">
        <f>VLOOKUP(D4075,'Detail Balok'!$C$10:$AU$140,7,FALSE)</f>
        <v>4</v>
      </c>
      <c r="E4083" t="str">
        <v>D</v>
      </c>
      <c r="F4083">
        <f>VLOOKUP(D4075,'Detail Balok'!$C$10:$AU$140,9,FALSE)</f>
        <v>16</v>
      </c>
      <c r="I4083" t="str">
        <v>(</v>
      </c>
      <c r="J4083">
        <f>+D4077/2/1000</f>
        <v>2.4025</v>
      </c>
      <c r="K4083" t="str">
        <v>+</v>
      </c>
      <c r="M4083" t="str">
        <v>=</v>
      </c>
      <c r="N4083">
        <f>J4083+L4083</f>
        <v>2.4025</v>
      </c>
      <c r="O4083" t="str">
        <v>+</v>
      </c>
      <c r="P4083">
        <f>MAX(D4083-D4082,D4083-D4084)</f>
        <v>0</v>
      </c>
      <c r="Q4083" t="str">
        <v>x</v>
      </c>
      <c r="R4083">
        <f>IF(P4083&gt;0,2*(1-2*$F$19-1/2)*D4078/1000,0)</f>
        <v>0</v>
      </c>
      <c r="S4083" t="str">
        <v>)</v>
      </c>
      <c r="T4083" t="str">
        <v>x</v>
      </c>
      <c r="U4083">
        <f>0.006165*F4083^2</f>
        <v>1.57824</v>
      </c>
      <c r="X4083" t="str">
        <v>x</v>
      </c>
      <c r="Y4083">
        <f>D4081</f>
        <v>1</v>
      </c>
      <c r="Z4083" t="str">
        <v>=</v>
      </c>
      <c r="AA4083">
        <f>IF(AA4085=0,(D4083*N4083+P4083*R4083)*U4083*Y4083,0)</f>
        <v>0</v>
      </c>
    </row>
    <row r="4084">
      <c r="A4084" t="str">
        <f>A4075</f>
        <v>Lantai 2</v>
      </c>
      <c r="B4084">
        <f>B4075</f>
        <v>49</v>
      </c>
      <c r="C4084" t="str">
        <v>Tul Atas Tumpuan</v>
      </c>
      <c r="D4084">
        <f>VLOOKUP(D4075,'Detail Balok'!$C$10:$AU$140,10,FALSE)</f>
        <v>4</v>
      </c>
      <c r="E4084" t="str">
        <v>D</v>
      </c>
      <c r="F4084">
        <f>VLOOKUP(D4075,'Detail Balok'!$C$10:$AU$140,12,FALSE)</f>
        <v>16</v>
      </c>
      <c r="I4084" t="str">
        <v>(</v>
      </c>
      <c r="J4084">
        <f>+D4077/4/1000</f>
        <v>1.20125</v>
      </c>
      <c r="K4084" t="str">
        <v>+</v>
      </c>
      <c r="L4084">
        <f>MAX(VLOOKUP(F4084,N$6:P$15,3,FALSE)/1000,2/3*D4079/1000)+F$16*F4084/1000</f>
        <v>0.192</v>
      </c>
      <c r="M4084" t="str">
        <v>=</v>
      </c>
      <c r="N4084">
        <f>J4084+L4084</f>
        <v>1.3932499999999999</v>
      </c>
      <c r="O4084" t="str">
        <v>+</v>
      </c>
      <c r="P4084">
        <f>D4084-D4083</f>
        <v>0</v>
      </c>
      <c r="Q4084" t="str">
        <v>x</v>
      </c>
      <c r="R4084">
        <f>IF(P4084&gt;0,$F$18*F4084/1000,0)</f>
        <v>0</v>
      </c>
      <c r="S4084" t="str">
        <v>)</v>
      </c>
      <c r="T4084" t="str">
        <v>x</v>
      </c>
      <c r="U4084">
        <f>0.006165*F4084^2</f>
        <v>1.57824</v>
      </c>
      <c r="X4084" t="str">
        <v>x</v>
      </c>
      <c r="Y4084">
        <f>D4081</f>
        <v>1</v>
      </c>
      <c r="Z4084" t="str">
        <v>=</v>
      </c>
      <c r="AA4084">
        <f>IF(AA4085=0,(D4084*N4084+P4084*R4084)*U4084*Y4084,0)</f>
        <v>0</v>
      </c>
    </row>
    <row r="4085">
      <c r="A4085" t="str">
        <f>A4075</f>
        <v>Lantai 2</v>
      </c>
      <c r="B4085">
        <f>B4075</f>
        <v>49</v>
      </c>
      <c r="D4085">
        <f>IF(AND(D4082=D4083,D4083=D4084,D4082=D4084),D4082,0)</f>
        <v>4</v>
      </c>
      <c r="E4085" t="str">
        <v>D</v>
      </c>
      <c r="F4085">
        <f>IF(AND(F4082=F4083,F4082=F4084,F4083=F4084),F4082,0)</f>
        <v>16</v>
      </c>
      <c r="L4085" t="str">
        <v>Total panjang per balok</v>
      </c>
      <c r="M4085" t="str">
        <v>=</v>
      </c>
      <c r="N4085">
        <f>IF(AND(D4082=D4083,D4082=D4084,D4083=D4084,F4082=F4083,F4082=F4084,F4083=F4084),SUM(N4082:N4084),0)</f>
        <v>5.189</v>
      </c>
      <c r="O4085" t="str">
        <v>+</v>
      </c>
      <c r="P4085">
        <f>IF(N4085&gt;12,ROUNDDOWN(N4085/12,0),0)</f>
        <v>0</v>
      </c>
      <c r="Q4085" t="str">
        <v>x</v>
      </c>
      <c r="R4085">
        <f>IF(P4085&gt;0,MAX(VLOOKUP(F4085,$D$6:$G$15,3,FALSE),600),0)/1000</f>
        <v>0</v>
      </c>
      <c r="T4085" t="str">
        <v>x</v>
      </c>
      <c r="U4085">
        <f>U4084</f>
        <v>1.57824</v>
      </c>
      <c r="V4085" t="str">
        <v>x</v>
      </c>
      <c r="W4085">
        <f>D4085</f>
        <v>4</v>
      </c>
      <c r="X4085" t="str">
        <v>x</v>
      </c>
      <c r="Y4085">
        <f>Y4084</f>
        <v>1</v>
      </c>
      <c r="Z4085" t="str">
        <v>=</v>
      </c>
      <c r="AA4085">
        <f>(N4085+P4085*R4085/1000)*U4085*W4085*Y4085</f>
        <v>32.757949440000004</v>
      </c>
    </row>
    <row r="4087">
      <c r="A4087" t="str">
        <f>A4075</f>
        <v>Lantai 2</v>
      </c>
      <c r="B4087">
        <f>B4075</f>
        <v>49</v>
      </c>
      <c r="C4087" t="str">
        <v>Tul Peminggang</v>
      </c>
      <c r="D4087">
        <f>VLOOKUP(D4075,'Detail Balok'!$C$10:$AU$140,13,FALSE)</f>
        <v>2</v>
      </c>
      <c r="E4087" t="str">
        <v>D</v>
      </c>
      <c r="F4087">
        <f>VLOOKUP(D4075,'Detail Balok'!$C$10:$AU$140,15,FALSE)</f>
        <v>10</v>
      </c>
      <c r="J4087">
        <f>+D4077/1000</f>
        <v>4.805</v>
      </c>
      <c r="K4087" t="str">
        <v>+</v>
      </c>
      <c r="L4087">
        <f>2*$F$16*F4087/1000</f>
        <v>0.24</v>
      </c>
      <c r="M4087" t="str">
        <v>=</v>
      </c>
      <c r="N4087">
        <f>J4087+L4087</f>
        <v>5.045</v>
      </c>
      <c r="O4087" t="str">
        <v>+</v>
      </c>
      <c r="P4087">
        <f>IF(N4087&gt;12,ROUNDDOWN(N4087/12,0),0)</f>
        <v>0</v>
      </c>
      <c r="Q4087" t="str">
        <v>x</v>
      </c>
      <c r="R4087">
        <f>IF(P4087&gt;0,MAX(VLOOKUP(F4087,$D$6:$G$15,3,FALSE),600),0)/1000</f>
        <v>0</v>
      </c>
      <c r="T4087" t="str">
        <v>x</v>
      </c>
      <c r="U4087">
        <f>0.006165*F4087^2</f>
        <v>0.6165</v>
      </c>
      <c r="V4087" t="str">
        <v>x</v>
      </c>
      <c r="W4087">
        <f>+D4087</f>
        <v>2</v>
      </c>
      <c r="X4087" t="str">
        <v>x</v>
      </c>
      <c r="Y4087">
        <f>D4081</f>
        <v>1</v>
      </c>
      <c r="Z4087" t="str">
        <v>=</v>
      </c>
      <c r="AA4087">
        <f>(N4087+P4087*R4087/1000)*U4087*W4087*Y4087</f>
        <v>6.220485</v>
      </c>
    </row>
    <row r="4090">
      <c r="A4090" t="str">
        <f>A4075</f>
        <v>Lantai 2</v>
      </c>
      <c r="B4090">
        <f>B4075</f>
        <v>49</v>
      </c>
      <c r="C4090" t="str">
        <v>Tul Bawah Tumpuan</v>
      </c>
      <c r="D4090">
        <f>VLOOKUP(D4075,'Detail Balok'!$C$10:$AU$140,22,FALSE)</f>
        <v>4</v>
      </c>
      <c r="E4090" t="str">
        <v>D</v>
      </c>
      <c r="F4090">
        <f>VLOOKUP(D4075,'Detail Balok'!$C$10:$AU$140,24,FALSE)</f>
        <v>16</v>
      </c>
      <c r="I4090" t="str">
        <v>(</v>
      </c>
      <c r="J4090">
        <f>+J4082</f>
        <v>1.20125</v>
      </c>
      <c r="K4090" t="str">
        <v>+</v>
      </c>
      <c r="L4090">
        <f>MAX(VLOOKUP(F4090,N$6:P$15,3,FALSE)/1000,2/3*D4080/1000)+F$16*F4090/1000</f>
        <v>0.192</v>
      </c>
      <c r="M4090" t="str">
        <v>=</v>
      </c>
      <c r="N4090">
        <f>J4090+L4090</f>
        <v>1.3932499999999999</v>
      </c>
      <c r="O4090" t="str">
        <v>+</v>
      </c>
      <c r="P4090">
        <f>D4090-D4091</f>
        <v>0</v>
      </c>
      <c r="Q4090" t="str">
        <v>x</v>
      </c>
      <c r="R4090">
        <f>IF(P4090&gt;0,$F$18*F4090/1000,0)</f>
        <v>0</v>
      </c>
      <c r="S4090" t="str">
        <v>)</v>
      </c>
      <c r="T4090" t="str">
        <v>x</v>
      </c>
      <c r="U4090">
        <f>0.006165*F4090^2</f>
        <v>1.57824</v>
      </c>
      <c r="X4090" t="str">
        <v>x</v>
      </c>
      <c r="Y4090">
        <f>D4081</f>
        <v>1</v>
      </c>
      <c r="Z4090" t="str">
        <v>=</v>
      </c>
      <c r="AA4090">
        <f>IF(AA4093=0,(D4090*N4090+P4090*R4090)*U4090*Y4090,0)</f>
        <v>0</v>
      </c>
    </row>
    <row r="4091">
      <c r="A4091" t="str">
        <f>A4075</f>
        <v>Lantai 2</v>
      </c>
      <c r="B4091">
        <f>B4075</f>
        <v>49</v>
      </c>
      <c r="C4091" t="str">
        <v>Tul Bawah Lapangan</v>
      </c>
      <c r="D4091">
        <f>VLOOKUP(D4075,'Detail Balok'!$C$10:$AU$140,25,FALSE)</f>
        <v>4</v>
      </c>
      <c r="E4091" t="str">
        <v>D</v>
      </c>
      <c r="F4091">
        <f>VLOOKUP(D4075,'Detail Balok'!$C$10:$AU$140,27,FALSE)</f>
        <v>16</v>
      </c>
      <c r="I4091" t="str">
        <v>(</v>
      </c>
      <c r="J4091">
        <f>+J4083</f>
        <v>2.4025</v>
      </c>
      <c r="K4091" t="str">
        <v>+</v>
      </c>
      <c r="M4091" t="str">
        <v>=</v>
      </c>
      <c r="N4091">
        <f>J4091+L4091</f>
        <v>2.4025</v>
      </c>
      <c r="O4091" t="str">
        <v>+</v>
      </c>
      <c r="P4091">
        <f>MAX(D4091-D4090,D4091-D4092)</f>
        <v>0</v>
      </c>
      <c r="Q4091" t="str">
        <v>x</v>
      </c>
      <c r="R4091">
        <f>IF(P4091&gt;0,2*(1-2*$F$19-1/2)*D4078/1000,0)</f>
        <v>0</v>
      </c>
      <c r="S4091" t="str">
        <v>)</v>
      </c>
      <c r="T4091" t="str">
        <v>x</v>
      </c>
      <c r="U4091">
        <f>0.006165*F4091^2</f>
        <v>1.57824</v>
      </c>
      <c r="X4091" t="str">
        <v>x</v>
      </c>
      <c r="Y4091">
        <f>D4081</f>
        <v>1</v>
      </c>
      <c r="Z4091" t="str">
        <v>=</v>
      </c>
      <c r="AA4091">
        <f>IF(AA4093=0,(D4091*N4091+P4091*R4091)*U4091*Y4091,0)</f>
        <v>0</v>
      </c>
    </row>
    <row r="4092">
      <c r="A4092" t="str">
        <f>A4075</f>
        <v>Lantai 2</v>
      </c>
      <c r="B4092">
        <f>B4075</f>
        <v>49</v>
      </c>
      <c r="C4092" t="str">
        <v>Tul Bawah Tumpuan</v>
      </c>
      <c r="D4092">
        <f>VLOOKUP(D4075,'Detail Balok'!$C$10:$AU$140,28,FALSE)</f>
        <v>4</v>
      </c>
      <c r="E4092" t="str">
        <v>D</v>
      </c>
      <c r="F4092">
        <f>VLOOKUP(D4075,'Detail Balok'!$C$10:$AU$140,30,FALSE)</f>
        <v>16</v>
      </c>
      <c r="I4092" t="str">
        <v>(</v>
      </c>
      <c r="J4092">
        <f>+J4084</f>
        <v>1.20125</v>
      </c>
      <c r="K4092" t="str">
        <v>+</v>
      </c>
      <c r="L4092">
        <f>MAX(VLOOKUP(F4092,N$6:P$15,3,FALSE)/1000,2/3*D4080/1000)+F$16*F4092/1000</f>
        <v>0.192</v>
      </c>
      <c r="M4092" t="str">
        <v>=</v>
      </c>
      <c r="N4092">
        <f>J4092+L4092</f>
        <v>1.3932499999999999</v>
      </c>
      <c r="O4092" t="str">
        <v>+</v>
      </c>
      <c r="P4092">
        <f>D4092-D4091</f>
        <v>0</v>
      </c>
      <c r="Q4092" t="str">
        <v>x</v>
      </c>
      <c r="R4092">
        <f>IF(P4092&gt;0,$F$18*F4092/1000,0)</f>
        <v>0</v>
      </c>
      <c r="S4092" t="str">
        <v>)</v>
      </c>
      <c r="T4092" t="str">
        <v>x</v>
      </c>
      <c r="U4092">
        <f>0.006165*F4092^2</f>
        <v>1.57824</v>
      </c>
      <c r="X4092" t="str">
        <v>x</v>
      </c>
      <c r="Y4092">
        <f>D4081</f>
        <v>1</v>
      </c>
      <c r="Z4092" t="str">
        <v>=</v>
      </c>
      <c r="AA4092">
        <f>IF(AA4093=0,(D4092*N4092+P4092*R4092)*U4092*Y4092,0)</f>
        <v>0</v>
      </c>
    </row>
    <row r="4093">
      <c r="A4093" t="str">
        <f>A4075</f>
        <v>Lantai 2</v>
      </c>
      <c r="B4093">
        <f>B4075</f>
        <v>49</v>
      </c>
      <c r="D4093">
        <f>IF(AND(D4090=D4091,D4091=D4092,D4090=D4092),D4090,0)</f>
        <v>4</v>
      </c>
      <c r="E4093" t="str">
        <v>D</v>
      </c>
      <c r="F4093">
        <f>IF(AND(F4090=F4091,F4090=F4092,F4091=F4092),F4090,0)</f>
        <v>16</v>
      </c>
      <c r="L4093" t="str">
        <v>Total panjang per balok</v>
      </c>
      <c r="M4093" t="str">
        <v>=</v>
      </c>
      <c r="N4093">
        <f>IF(AND(D4090=D4091,D4090=D4092,D4091=D4092,F4090=F4091,F4090=F4092,F4091=F4092),SUM(N4090:N4092),0)</f>
        <v>5.189</v>
      </c>
      <c r="O4093" t="str">
        <v>+</v>
      </c>
      <c r="P4093">
        <f>IF(N4093&gt;12,ROUNDDOWN(N4093/12,0),0)</f>
        <v>0</v>
      </c>
      <c r="Q4093" t="str">
        <v>x</v>
      </c>
      <c r="R4093">
        <f>IF(P4093&gt;0,MAX(VLOOKUP(F4093,$D$6:$G$15,3,FALSE),600),0)/1000</f>
        <v>0</v>
      </c>
      <c r="T4093" t="str">
        <v>x</v>
      </c>
      <c r="U4093">
        <f>U4092</f>
        <v>1.57824</v>
      </c>
      <c r="V4093" t="str">
        <v>x</v>
      </c>
      <c r="W4093">
        <f>D4093</f>
        <v>4</v>
      </c>
      <c r="X4093" t="str">
        <v>x</v>
      </c>
      <c r="Y4093">
        <f>Y4092</f>
        <v>1</v>
      </c>
      <c r="Z4093" t="str">
        <v>=</v>
      </c>
      <c r="AA4093">
        <f>(N4093+P4093*R4093/1000)*U4093*W4093*Y4093</f>
        <v>32.757949440000004</v>
      </c>
    </row>
    <row r="4095">
      <c r="A4095" t="str">
        <f>A4075</f>
        <v>Lantai 2</v>
      </c>
      <c r="B4095">
        <f>B4075</f>
        <v>49</v>
      </c>
      <c r="C4095" t="str">
        <v>Sengkang Tumpuan</v>
      </c>
      <c r="D4095">
        <f>VLOOKUP(D4075,'Detail Balok'!$C$10:$AU$140,31,FALSE)</f>
        <v>0</v>
      </c>
      <c r="E4095" t="str">
        <v>D</v>
      </c>
      <c r="F4095">
        <f>VLOOKUP(D4075,'Detail Balok'!$C$10:$AU$140,33,FALSE)</f>
        <v>10</v>
      </c>
      <c r="G4095" t="str">
        <v>-</v>
      </c>
      <c r="H4095">
        <f>VLOOKUP(D4075,'Detail Balok'!$C$10:$AU$140,35,FALSE)</f>
        <v>150</v>
      </c>
      <c r="J4095">
        <f>(IF(D4095=0,(2*(D4076+G4076))-(F$5*8),IF(D4095=3,(2*(D4076+G4076))-(F$5*8)+(G4076-2*F$5),IF(D4095=4,(2*(D4076+G4076))-(F$5*8)+2*(G4076-2*F$5)))))/1000</f>
        <v>1.08</v>
      </c>
      <c r="K4095" t="str">
        <v>+</v>
      </c>
      <c r="L4095">
        <f>IF(D4095=0,2*MAX(6*F4095,75),(D4095-1)*2*MAX(6*F4095,75))/1000</f>
        <v>0.15</v>
      </c>
      <c r="M4095" t="str">
        <v>=</v>
      </c>
      <c r="N4095">
        <f>J4095+L4095</f>
        <v>1.23</v>
      </c>
      <c r="T4095" t="str">
        <v>x</v>
      </c>
      <c r="U4095">
        <f>0.006165*F4095^2</f>
        <v>0.6165</v>
      </c>
      <c r="V4095" t="str">
        <v>x</v>
      </c>
      <c r="W4095">
        <f>IF(D4078&gt;4*G4076,ROUND(MAX(D4078/4,2*G4076)/H4095,0)+1,ROUND(D4078/H4095,0)+1)</f>
        <v>9</v>
      </c>
      <c r="X4095" t="str">
        <v>x</v>
      </c>
      <c r="Y4095">
        <f>D4081</f>
        <v>1</v>
      </c>
      <c r="Z4095" t="str">
        <v>=</v>
      </c>
      <c r="AA4095">
        <f>N4095*U4095*W4095*Y4095</f>
        <v>6.824655000000001</v>
      </c>
    </row>
    <row r="4096">
      <c r="A4096" t="str">
        <f>A4075</f>
        <v>Lantai 2</v>
      </c>
      <c r="B4096">
        <f>B4075</f>
        <v>49</v>
      </c>
      <c r="C4096" t="str">
        <v>Sengkang Lapangan</v>
      </c>
      <c r="D4096">
        <f>VLOOKUP(D4075,'Detail Balok'!$C$10:$AU$140,36,FALSE)</f>
        <v>0</v>
      </c>
      <c r="E4096" t="str">
        <v>D</v>
      </c>
      <c r="F4096">
        <f>VLOOKUP(D4075,'Detail Balok'!$C$10:$AU$140,38,FALSE)</f>
        <v>10</v>
      </c>
      <c r="G4096" t="str">
        <v>-</v>
      </c>
      <c r="H4096">
        <f>VLOOKUP(D4075,'Detail Balok'!$C$10:$AU$140,40,FALSE)</f>
        <v>200</v>
      </c>
      <c r="J4096">
        <f>(IF(D4096=0,(2*(D4076+G4076))-(F$5*8),IF(D4096=3,(2*(D4076+G4076))-(F$5*8)+(G4076-2*F$5),IF(D4096=4,(2*(D4076+G4076))-(F$5*8)+2*(G4076-2*F$5)))))/1000</f>
        <v>1.08</v>
      </c>
      <c r="K4096" t="str">
        <v>+</v>
      </c>
      <c r="L4096">
        <f>IF(D4096=0,2*MAX(6*F4096,75),(D4096-1)*2*MAX(6*F4096,75))/1000</f>
        <v>0.15</v>
      </c>
      <c r="M4096" t="str">
        <v>=</v>
      </c>
      <c r="N4096">
        <f>J4096+L4096</f>
        <v>1.23</v>
      </c>
      <c r="T4096" t="str">
        <v>x</v>
      </c>
      <c r="U4096">
        <f>0.006165*F4096^2</f>
        <v>0.6165</v>
      </c>
      <c r="V4096" t="str">
        <v>x</v>
      </c>
      <c r="W4096">
        <f>IF(D4078-MAX(D4078/4,2*G4076)*2&gt;0,ROUND((D4078-MAX(D4078/4,2*G4076)*2)/H4096,0),0)</f>
        <v>12</v>
      </c>
      <c r="X4096" t="str">
        <v>x</v>
      </c>
      <c r="Y4096">
        <f>D4081</f>
        <v>1</v>
      </c>
      <c r="Z4096" t="str">
        <v>=</v>
      </c>
      <c r="AA4096">
        <f>N4096*U4096*W4096*Y4096</f>
        <v>9.099540000000001</v>
      </c>
    </row>
    <row r="4097">
      <c r="A4097" t="str">
        <f>A4075</f>
        <v>Lantai 2</v>
      </c>
      <c r="B4097">
        <f>B4075</f>
        <v>49</v>
      </c>
      <c r="C4097" t="str">
        <v>Sengkang Tumpuan</v>
      </c>
      <c r="D4097">
        <f>VLOOKUP(D4075,'Detail Balok'!$C$10:$AU$140,41,FALSE)</f>
        <v>0</v>
      </c>
      <c r="E4097" t="str">
        <v>D</v>
      </c>
      <c r="F4097">
        <f>VLOOKUP(D4075,'Detail Balok'!$C$10:$AU$140,43,FALSE)</f>
        <v>10</v>
      </c>
      <c r="G4097" t="str">
        <v>-</v>
      </c>
      <c r="H4097">
        <f>VLOOKUP(D4075,'Detail Balok'!$C$10:$AU$140,45,FALSE)</f>
        <v>150</v>
      </c>
      <c r="J4097">
        <f>(IF(D4097=0,(2*(D4076+G4076))-(F$5*8),IF(D4097=3,(2*(D4076+G4076))-(F$5*8)+(G4076-2*F$5),IF(D4097=4,(2*(D4076+G4076))-(F$5*8)+2*(G4076-2*F$5)))))/1000</f>
        <v>1.08</v>
      </c>
      <c r="K4097" t="str">
        <v>+</v>
      </c>
      <c r="L4097">
        <f>IF(D4097=0,2*MAX(6*F4097,75),(D4097-1)*2*MAX(6*F4097,75))/1000</f>
        <v>0.15</v>
      </c>
      <c r="M4097" t="str">
        <v>=</v>
      </c>
      <c r="N4097">
        <f>J4097+L4097</f>
        <v>1.23</v>
      </c>
      <c r="T4097" t="str">
        <v>x</v>
      </c>
      <c r="U4097">
        <f>0.006165*F4097^2</f>
        <v>0.6165</v>
      </c>
      <c r="V4097" t="str">
        <v>x</v>
      </c>
      <c r="W4097">
        <f>IF(D4078&gt;4*G4076,ROUND(MAX(D4078/4,2*G4076)/H4097,0)+1,0)</f>
        <v>9</v>
      </c>
      <c r="X4097" t="str">
        <v>x</v>
      </c>
      <c r="Y4097">
        <f>D4081</f>
        <v>1</v>
      </c>
      <c r="Z4097" t="str">
        <v>=</v>
      </c>
      <c r="AA4097">
        <f>N4097*U4097*W4097*Y4097</f>
        <v>6.824655000000001</v>
      </c>
    </row>
    <row r="4099">
      <c r="A4099" t="str">
        <f>A4075</f>
        <v>Lantai 2</v>
      </c>
      <c r="B4099">
        <f>B4075</f>
        <v>49</v>
      </c>
      <c r="C4099" t="str">
        <v>Kait Horizontal Tump.</v>
      </c>
      <c r="D4099">
        <f>VLOOKUP(D4075,'Detail Balok'!$C$10:$BJ$140,46,FALSE)</f>
        <v>0</v>
      </c>
      <c r="E4099" t="str">
        <v>D</v>
      </c>
      <c r="F4099">
        <f>VLOOKUP(D4075,'Detail Balok'!$C$10:$BJ$140,48,FALSE)</f>
        <v>0</v>
      </c>
      <c r="G4099" t="str">
        <v>-</v>
      </c>
      <c r="H4099">
        <f>VLOOKUP(D4075,'Detail Balok'!$C$10:$BJ$140,50,FALSE)</f>
        <v>100</v>
      </c>
      <c r="J4099">
        <f>(D4076-2*F$5)/1000</f>
        <v>0.12</v>
      </c>
      <c r="K4099" t="str">
        <v>+</v>
      </c>
      <c r="L4099">
        <f>IF(D4099=0,2*MAX(6*F4099,75),(D4099-1)*2*MAX(6*F4099,75))/1000</f>
        <v>0.15</v>
      </c>
      <c r="M4099" t="str">
        <v>=</v>
      </c>
      <c r="N4099">
        <f>J4099+L4099</f>
        <v>0.27</v>
      </c>
      <c r="T4099" t="str">
        <v>x</v>
      </c>
      <c r="U4099">
        <f>0.006165*F4099^2</f>
        <v>0</v>
      </c>
      <c r="V4099" t="str">
        <v>x</v>
      </c>
      <c r="W4099">
        <f>W4095</f>
        <v>9</v>
      </c>
      <c r="X4099" t="str">
        <v>x</v>
      </c>
      <c r="Y4099">
        <f>D4085</f>
        <v>4</v>
      </c>
      <c r="Z4099" t="str">
        <v>=</v>
      </c>
      <c r="AA4099">
        <f>N4099*U4099*W4099*Y4099</f>
        <v>0</v>
      </c>
    </row>
    <row r="4100">
      <c r="A4100" t="str">
        <f>A4075</f>
        <v>Lantai 2</v>
      </c>
      <c r="B4100">
        <f>B4075</f>
        <v>49</v>
      </c>
      <c r="C4100" t="str">
        <v>Kait Horizontal Lap.</v>
      </c>
      <c r="D4100">
        <f>VLOOKUP(D4075,'Detail Balok'!$C$10:$BJ$140,51,FALSE)</f>
        <v>0</v>
      </c>
      <c r="E4100" t="str">
        <v>D</v>
      </c>
      <c r="F4100">
        <f>VLOOKUP(D4075,'Detail Balok'!$C$10:$BJ$140,53,FALSE)</f>
        <v>0</v>
      </c>
      <c r="G4100" t="str">
        <v>-</v>
      </c>
      <c r="H4100">
        <f>VLOOKUP(D4075,'Detail Balok'!$C$10:$BJ$140,55,FALSE)</f>
        <v>100</v>
      </c>
      <c r="J4100">
        <f>(D4076-2*F$5)/1000</f>
        <v>0.12</v>
      </c>
      <c r="K4100" t="str">
        <v>+</v>
      </c>
      <c r="L4100">
        <f>IF(D4100=0,2*MAX(6*F4100,75),(D4100-1)*2*MAX(6*F4100,75))/1000</f>
        <v>0.15</v>
      </c>
      <c r="M4100" t="str">
        <v>=</v>
      </c>
      <c r="N4100">
        <f>J4100+L4100</f>
        <v>0.27</v>
      </c>
      <c r="T4100" t="str">
        <v>x</v>
      </c>
      <c r="U4100">
        <f>0.006165*F4100^2</f>
        <v>0</v>
      </c>
      <c r="V4100" t="str">
        <v>x</v>
      </c>
      <c r="W4100">
        <f>W4096</f>
        <v>12</v>
      </c>
      <c r="X4100" t="str">
        <v>x</v>
      </c>
      <c r="Y4100">
        <f>D4085</f>
        <v>4</v>
      </c>
      <c r="Z4100" t="str">
        <v>=</v>
      </c>
      <c r="AA4100">
        <f>N4100*U4100*W4100*Y4100</f>
        <v>0</v>
      </c>
    </row>
    <row r="4101">
      <c r="A4101" t="str">
        <f>A4075</f>
        <v>Lantai 2</v>
      </c>
      <c r="B4101">
        <f>B4075</f>
        <v>49</v>
      </c>
      <c r="C4101" t="str">
        <v>Kait Horizontal Tump.</v>
      </c>
      <c r="D4101">
        <f>VLOOKUP(D4075,'Detail Balok'!$C$10:$BJ$140,56,FALSE)</f>
        <v>0</v>
      </c>
      <c r="E4101" t="str">
        <v>D</v>
      </c>
      <c r="F4101">
        <f>VLOOKUP(D4075,'Detail Balok'!$C$10:$BJ$140,58,FALSE)</f>
        <v>0</v>
      </c>
      <c r="G4101" t="str">
        <v>-</v>
      </c>
      <c r="H4101">
        <f>VLOOKUP(D4075,'Detail Balok'!$C$10:$BJ$140,60,FALSE)</f>
        <v>100</v>
      </c>
      <c r="J4101">
        <f>(D4076-2*F$5)/1000</f>
        <v>0.12</v>
      </c>
      <c r="K4101" t="str">
        <v>+</v>
      </c>
      <c r="L4101">
        <f>IF(D4101=0,2*MAX(6*F4101,75),(D4101-1)*2*MAX(6*F4101,75))/1000</f>
        <v>0.15</v>
      </c>
      <c r="M4101" t="str">
        <v>=</v>
      </c>
      <c r="N4101">
        <f>J4101+L4101</f>
        <v>0.27</v>
      </c>
      <c r="T4101" t="str">
        <v>x</v>
      </c>
      <c r="U4101">
        <f>0.006165*F4101^2</f>
        <v>0</v>
      </c>
      <c r="V4101" t="str">
        <v>x</v>
      </c>
      <c r="W4101">
        <f>W4097</f>
        <v>9</v>
      </c>
      <c r="X4101" t="str">
        <v>x</v>
      </c>
      <c r="Y4101">
        <f>D4085</f>
        <v>4</v>
      </c>
      <c r="Z4101" t="str">
        <v>=</v>
      </c>
      <c r="AA4101">
        <f>N4101*U4101*W4101*Y4101</f>
        <v>0</v>
      </c>
    </row>
    <row r="4105">
      <c r="A4105" t="str">
        <f>A4075</f>
        <v>Lantai 2</v>
      </c>
      <c r="B4105">
        <f>B4075+1</f>
        <v>50</v>
      </c>
      <c r="C4105" t="str">
        <f>CONCATENATE(A4105," no. ",B4105)</f>
        <v>Lantai 2 no. 50</v>
      </c>
      <c r="D4105" t="str">
        <f>VLOOKUP(C4105,'Data Panjang Balok'!$C$9:$N$254,2,FALSE)</f>
        <v>B25-1</v>
      </c>
    </row>
    <row r="4106">
      <c r="C4106" t="str">
        <v>Dimensi</v>
      </c>
      <c r="D4106">
        <f>VLOOKUP(D4105,'Detail Balok'!$C$10:$AU$140,2,FALSE)</f>
        <v>200</v>
      </c>
      <c r="F4106" t="str">
        <v>x</v>
      </c>
      <c r="G4106">
        <f>VLOOKUP(D4105,'Detail Balok'!$C$10:$AU$140,3,FALSE)</f>
        <v>500</v>
      </c>
    </row>
    <row r="4107">
      <c r="C4107" t="str">
        <v>Panjang as ke as</v>
      </c>
      <c r="D4107">
        <f>VLOOKUP(C4105,'Data Panjang Balok'!$C$9:$N$254,4,FALSE)</f>
        <v>6650</v>
      </c>
    </row>
    <row r="4108">
      <c r="C4108" t="str">
        <v>Panjang netto</v>
      </c>
      <c r="D4108">
        <f>VLOOKUP(C4105,'Data Panjang Balok'!$C$9:$N$254,7,FALSE)</f>
        <v>6650</v>
      </c>
    </row>
    <row r="4109">
      <c r="C4109" t="str">
        <v>Kolom / balok kiri</v>
      </c>
      <c r="D4109">
        <f>VLOOKUP(C4105,'Data Panjang Balok'!$C$9:$N$254,9,FALSE)</f>
        <v>0</v>
      </c>
    </row>
    <row r="4110">
      <c r="C4110" t="str">
        <v>Kolom / balok kanan</v>
      </c>
      <c r="D4110">
        <f>VLOOKUP(C4105,'Data Panjang Balok'!$C$9:$N$254,10,FALSE)</f>
        <v>0</v>
      </c>
    </row>
    <row r="4111">
      <c r="C4111" t="str">
        <v>Jumlah</v>
      </c>
      <c r="D4111">
        <f>VLOOKUP(C4105,'Data Panjang Balok'!$C$9:$N$254,3,FALSE)</f>
        <v>1</v>
      </c>
    </row>
    <row r="4112">
      <c r="A4112" t="str">
        <f>A4105</f>
        <v>Lantai 2</v>
      </c>
      <c r="B4112">
        <f>B4105</f>
        <v>50</v>
      </c>
      <c r="C4112" t="str">
        <v>Tul Atas Tumpuan</v>
      </c>
      <c r="D4112">
        <f>VLOOKUP(D4105,'Detail Balok'!$C$10:$AU$140,4,FALSE)</f>
        <v>4</v>
      </c>
      <c r="E4112" t="str">
        <v>D</v>
      </c>
      <c r="F4112">
        <f>VLOOKUP(D4105,'Detail Balok'!$C$10:$AU$140,6,FALSE)</f>
        <v>16</v>
      </c>
      <c r="I4112" t="str">
        <v>(</v>
      </c>
      <c r="J4112">
        <f>+D4107/4/1000</f>
        <v>1.6625</v>
      </c>
      <c r="K4112" t="str">
        <v>+</v>
      </c>
      <c r="L4112">
        <f>MAX(VLOOKUP(F4112,N$6:P$15,3,FALSE)/1000,2/3*D4109/1000)+F$16*F4112/1000</f>
        <v>0.192</v>
      </c>
      <c r="M4112" t="str">
        <v>=</v>
      </c>
      <c r="N4112">
        <f>J4112+L4112</f>
        <v>1.8545</v>
      </c>
      <c r="O4112" t="str">
        <v>+</v>
      </c>
      <c r="P4112">
        <f>D4112-D4113</f>
        <v>0</v>
      </c>
      <c r="Q4112" t="str">
        <v>x</v>
      </c>
      <c r="R4112">
        <f>IF(P4112&gt;0,$F$18*F4112/1000,0)</f>
        <v>0</v>
      </c>
      <c r="S4112" t="str">
        <v>)</v>
      </c>
      <c r="T4112" t="str">
        <v>x</v>
      </c>
      <c r="U4112">
        <f>0.006165*F4112^2</f>
        <v>1.57824</v>
      </c>
      <c r="X4112" t="str">
        <v>x</v>
      </c>
      <c r="Y4112">
        <f>D4111</f>
        <v>1</v>
      </c>
      <c r="Z4112" t="str">
        <v>=</v>
      </c>
      <c r="AA4112">
        <f>IF(AA4115=0,(D4112*N4112+P4112*R4112)*U4112*Y4112,0)</f>
        <v>0</v>
      </c>
    </row>
    <row r="4113">
      <c r="A4113" t="str">
        <f>A4105</f>
        <v>Lantai 2</v>
      </c>
      <c r="B4113">
        <f>B4105</f>
        <v>50</v>
      </c>
      <c r="C4113" t="str">
        <v>Tul Atas Lapangan</v>
      </c>
      <c r="D4113">
        <f>VLOOKUP(D4105,'Detail Balok'!$C$10:$AU$140,7,FALSE)</f>
        <v>4</v>
      </c>
      <c r="E4113" t="str">
        <v>D</v>
      </c>
      <c r="F4113">
        <f>VLOOKUP(D4105,'Detail Balok'!$C$10:$AU$140,9,FALSE)</f>
        <v>16</v>
      </c>
      <c r="I4113" t="str">
        <v>(</v>
      </c>
      <c r="J4113">
        <f>+D4107/2/1000</f>
        <v>3.325</v>
      </c>
      <c r="K4113" t="str">
        <v>+</v>
      </c>
      <c r="M4113" t="str">
        <v>=</v>
      </c>
      <c r="N4113">
        <f>J4113+L4113</f>
        <v>3.325</v>
      </c>
      <c r="O4113" t="str">
        <v>+</v>
      </c>
      <c r="P4113">
        <f>MAX(D4113-D4112,D4113-D4114)</f>
        <v>0</v>
      </c>
      <c r="Q4113" t="str">
        <v>x</v>
      </c>
      <c r="R4113">
        <f>IF(P4113&gt;0,2*(1-2*$F$19-1/2)*D4108/1000,0)</f>
        <v>0</v>
      </c>
      <c r="S4113" t="str">
        <v>)</v>
      </c>
      <c r="T4113" t="str">
        <v>x</v>
      </c>
      <c r="U4113">
        <f>0.006165*F4113^2</f>
        <v>1.57824</v>
      </c>
      <c r="X4113" t="str">
        <v>x</v>
      </c>
      <c r="Y4113">
        <f>D4111</f>
        <v>1</v>
      </c>
      <c r="Z4113" t="str">
        <v>=</v>
      </c>
      <c r="AA4113">
        <f>IF(AA4115=0,(D4113*N4113+P4113*R4113)*U4113*Y4113,0)</f>
        <v>0</v>
      </c>
    </row>
    <row r="4114">
      <c r="A4114" t="str">
        <f>A4105</f>
        <v>Lantai 2</v>
      </c>
      <c r="B4114">
        <f>B4105</f>
        <v>50</v>
      </c>
      <c r="C4114" t="str">
        <v>Tul Atas Tumpuan</v>
      </c>
      <c r="D4114">
        <f>VLOOKUP(D4105,'Detail Balok'!$C$10:$AU$140,10,FALSE)</f>
        <v>4</v>
      </c>
      <c r="E4114" t="str">
        <v>D</v>
      </c>
      <c r="F4114">
        <f>VLOOKUP(D4105,'Detail Balok'!$C$10:$AU$140,12,FALSE)</f>
        <v>16</v>
      </c>
      <c r="I4114" t="str">
        <v>(</v>
      </c>
      <c r="J4114">
        <f>+D4107/4/1000</f>
        <v>1.6625</v>
      </c>
      <c r="K4114" t="str">
        <v>+</v>
      </c>
      <c r="L4114">
        <f>MAX(VLOOKUP(F4114,N$6:P$15,3,FALSE)/1000,2/3*D4109/1000)+F$16*F4114/1000</f>
        <v>0.192</v>
      </c>
      <c r="M4114" t="str">
        <v>=</v>
      </c>
      <c r="N4114">
        <f>J4114+L4114</f>
        <v>1.8545</v>
      </c>
      <c r="O4114" t="str">
        <v>+</v>
      </c>
      <c r="P4114">
        <f>D4114-D4113</f>
        <v>0</v>
      </c>
      <c r="Q4114" t="str">
        <v>x</v>
      </c>
      <c r="R4114">
        <f>IF(P4114&gt;0,$F$18*F4114/1000,0)</f>
        <v>0</v>
      </c>
      <c r="S4114" t="str">
        <v>)</v>
      </c>
      <c r="T4114" t="str">
        <v>x</v>
      </c>
      <c r="U4114">
        <f>0.006165*F4114^2</f>
        <v>1.57824</v>
      </c>
      <c r="X4114" t="str">
        <v>x</v>
      </c>
      <c r="Y4114">
        <f>D4111</f>
        <v>1</v>
      </c>
      <c r="Z4114" t="str">
        <v>=</v>
      </c>
      <c r="AA4114">
        <f>IF(AA4115=0,(D4114*N4114+P4114*R4114)*U4114*Y4114,0)</f>
        <v>0</v>
      </c>
    </row>
    <row r="4115">
      <c r="A4115" t="str">
        <f>A4105</f>
        <v>Lantai 2</v>
      </c>
      <c r="B4115">
        <f>B4105</f>
        <v>50</v>
      </c>
      <c r="D4115">
        <f>IF(AND(D4112=D4113,D4113=D4114,D4112=D4114),D4112,0)</f>
        <v>4</v>
      </c>
      <c r="E4115" t="str">
        <v>D</v>
      </c>
      <c r="F4115">
        <f>IF(AND(F4112=F4113,F4112=F4114,F4113=F4114),F4112,0)</f>
        <v>16</v>
      </c>
      <c r="L4115" t="str">
        <v>Total panjang per balok</v>
      </c>
      <c r="M4115" t="str">
        <v>=</v>
      </c>
      <c r="N4115">
        <f>IF(AND(D4112=D4113,D4112=D4114,D4113=D4114,F4112=F4113,F4112=F4114,F4113=F4114),SUM(N4112:N4114),0)</f>
        <v>7.034</v>
      </c>
      <c r="O4115" t="str">
        <v>+</v>
      </c>
      <c r="P4115">
        <f>IF(N4115&gt;12,ROUNDDOWN(N4115/12,0),0)</f>
        <v>0</v>
      </c>
      <c r="Q4115" t="str">
        <v>x</v>
      </c>
      <c r="R4115">
        <f>IF(P4115&gt;0,MAX(VLOOKUP(F4115,$D$6:$G$15,3,FALSE),600),0)/1000</f>
        <v>0</v>
      </c>
      <c r="T4115" t="str">
        <v>x</v>
      </c>
      <c r="U4115">
        <f>U4114</f>
        <v>1.57824</v>
      </c>
      <c r="V4115" t="str">
        <v>x</v>
      </c>
      <c r="W4115">
        <f>D4115</f>
        <v>4</v>
      </c>
      <c r="X4115" t="str">
        <v>x</v>
      </c>
      <c r="Y4115">
        <f>Y4114</f>
        <v>1</v>
      </c>
      <c r="Z4115" t="str">
        <v>=</v>
      </c>
      <c r="AA4115">
        <f>(N4115+P4115*R4115/1000)*U4115*W4115*Y4115</f>
        <v>44.40536064</v>
      </c>
    </row>
    <row r="4117">
      <c r="A4117" t="str">
        <f>A4105</f>
        <v>Lantai 2</v>
      </c>
      <c r="B4117">
        <f>B4105</f>
        <v>50</v>
      </c>
      <c r="C4117" t="str">
        <v>Tul Peminggang</v>
      </c>
      <c r="D4117">
        <f>VLOOKUP(D4105,'Detail Balok'!$C$10:$AU$140,13,FALSE)</f>
        <v>2</v>
      </c>
      <c r="E4117" t="str">
        <v>D</v>
      </c>
      <c r="F4117">
        <f>VLOOKUP(D4105,'Detail Balok'!$C$10:$AU$140,15,FALSE)</f>
        <v>10</v>
      </c>
      <c r="J4117">
        <f>+D4107/1000</f>
        <v>6.65</v>
      </c>
      <c r="K4117" t="str">
        <v>+</v>
      </c>
      <c r="L4117">
        <f>2*$F$16*F4117/1000</f>
        <v>0.24</v>
      </c>
      <c r="M4117" t="str">
        <v>=</v>
      </c>
      <c r="N4117">
        <f>J4117+L4117</f>
        <v>6.890000000000001</v>
      </c>
      <c r="O4117" t="str">
        <v>+</v>
      </c>
      <c r="P4117">
        <f>IF(N4117&gt;12,ROUNDDOWN(N4117/12,0),0)</f>
        <v>0</v>
      </c>
      <c r="Q4117" t="str">
        <v>x</v>
      </c>
      <c r="R4117">
        <f>IF(P4117&gt;0,MAX(VLOOKUP(F4117,$D$6:$G$15,3,FALSE),600),0)/1000</f>
        <v>0</v>
      </c>
      <c r="T4117" t="str">
        <v>x</v>
      </c>
      <c r="U4117">
        <f>0.006165*F4117^2</f>
        <v>0.6165</v>
      </c>
      <c r="V4117" t="str">
        <v>x</v>
      </c>
      <c r="W4117">
        <f>+D4117</f>
        <v>2</v>
      </c>
      <c r="X4117" t="str">
        <v>x</v>
      </c>
      <c r="Y4117">
        <f>D4111</f>
        <v>1</v>
      </c>
      <c r="Z4117" t="str">
        <v>=</v>
      </c>
      <c r="AA4117">
        <f>(N4117+P4117*R4117/1000)*U4117*W4117*Y4117</f>
        <v>8.495370000000001</v>
      </c>
    </row>
    <row r="4120">
      <c r="A4120" t="str">
        <f>A4105</f>
        <v>Lantai 2</v>
      </c>
      <c r="B4120">
        <f>B4105</f>
        <v>50</v>
      </c>
      <c r="C4120" t="str">
        <v>Tul Bawah Tumpuan</v>
      </c>
      <c r="D4120">
        <f>VLOOKUP(D4105,'Detail Balok'!$C$10:$AU$140,22,FALSE)</f>
        <v>4</v>
      </c>
      <c r="E4120" t="str">
        <v>D</v>
      </c>
      <c r="F4120">
        <f>VLOOKUP(D4105,'Detail Balok'!$C$10:$AU$140,24,FALSE)</f>
        <v>16</v>
      </c>
      <c r="I4120" t="str">
        <v>(</v>
      </c>
      <c r="J4120">
        <f>+J4112</f>
        <v>1.6625</v>
      </c>
      <c r="K4120" t="str">
        <v>+</v>
      </c>
      <c r="L4120">
        <f>MAX(VLOOKUP(F4120,N$6:P$15,3,FALSE)/1000,2/3*D4110/1000)+F$16*F4120/1000</f>
        <v>0.192</v>
      </c>
      <c r="M4120" t="str">
        <v>=</v>
      </c>
      <c r="N4120">
        <f>J4120+L4120</f>
        <v>1.8545</v>
      </c>
      <c r="O4120" t="str">
        <v>+</v>
      </c>
      <c r="P4120">
        <f>D4120-D4121</f>
        <v>0</v>
      </c>
      <c r="Q4120" t="str">
        <v>x</v>
      </c>
      <c r="R4120">
        <f>IF(P4120&gt;0,$F$18*F4120/1000,0)</f>
        <v>0</v>
      </c>
      <c r="S4120" t="str">
        <v>)</v>
      </c>
      <c r="T4120" t="str">
        <v>x</v>
      </c>
      <c r="U4120">
        <f>0.006165*F4120^2</f>
        <v>1.57824</v>
      </c>
      <c r="X4120" t="str">
        <v>x</v>
      </c>
      <c r="Y4120">
        <f>D4111</f>
        <v>1</v>
      </c>
      <c r="Z4120" t="str">
        <v>=</v>
      </c>
      <c r="AA4120">
        <f>IF(AA4123=0,(D4120*N4120+P4120*R4120)*U4120*Y4120,0)</f>
        <v>0</v>
      </c>
    </row>
    <row r="4121">
      <c r="A4121" t="str">
        <f>A4105</f>
        <v>Lantai 2</v>
      </c>
      <c r="B4121">
        <f>B4105</f>
        <v>50</v>
      </c>
      <c r="C4121" t="str">
        <v>Tul Bawah Lapangan</v>
      </c>
      <c r="D4121">
        <f>VLOOKUP(D4105,'Detail Balok'!$C$10:$AU$140,25,FALSE)</f>
        <v>4</v>
      </c>
      <c r="E4121" t="str">
        <v>D</v>
      </c>
      <c r="F4121">
        <f>VLOOKUP(D4105,'Detail Balok'!$C$10:$AU$140,27,FALSE)</f>
        <v>16</v>
      </c>
      <c r="I4121" t="str">
        <v>(</v>
      </c>
      <c r="J4121">
        <f>+J4113</f>
        <v>3.325</v>
      </c>
      <c r="K4121" t="str">
        <v>+</v>
      </c>
      <c r="M4121" t="str">
        <v>=</v>
      </c>
      <c r="N4121">
        <f>J4121+L4121</f>
        <v>3.325</v>
      </c>
      <c r="O4121" t="str">
        <v>+</v>
      </c>
      <c r="P4121">
        <f>MAX(D4121-D4120,D4121-D4122)</f>
        <v>0</v>
      </c>
      <c r="Q4121" t="str">
        <v>x</v>
      </c>
      <c r="R4121">
        <f>IF(P4121&gt;0,2*(1-2*$F$19-1/2)*D4108/1000,0)</f>
        <v>0</v>
      </c>
      <c r="S4121" t="str">
        <v>)</v>
      </c>
      <c r="T4121" t="str">
        <v>x</v>
      </c>
      <c r="U4121">
        <f>0.006165*F4121^2</f>
        <v>1.57824</v>
      </c>
      <c r="X4121" t="str">
        <v>x</v>
      </c>
      <c r="Y4121">
        <f>D4111</f>
        <v>1</v>
      </c>
      <c r="Z4121" t="str">
        <v>=</v>
      </c>
      <c r="AA4121">
        <f>IF(AA4123=0,(D4121*N4121+P4121*R4121)*U4121*Y4121,0)</f>
        <v>0</v>
      </c>
    </row>
    <row r="4122">
      <c r="A4122" t="str">
        <f>A4105</f>
        <v>Lantai 2</v>
      </c>
      <c r="B4122">
        <f>B4105</f>
        <v>50</v>
      </c>
      <c r="C4122" t="str">
        <v>Tul Bawah Tumpuan</v>
      </c>
      <c r="D4122">
        <f>VLOOKUP(D4105,'Detail Balok'!$C$10:$AU$140,28,FALSE)</f>
        <v>4</v>
      </c>
      <c r="E4122" t="str">
        <v>D</v>
      </c>
      <c r="F4122">
        <f>VLOOKUP(D4105,'Detail Balok'!$C$10:$AU$140,30,FALSE)</f>
        <v>16</v>
      </c>
      <c r="I4122" t="str">
        <v>(</v>
      </c>
      <c r="J4122">
        <f>+J4114</f>
        <v>1.6625</v>
      </c>
      <c r="K4122" t="str">
        <v>+</v>
      </c>
      <c r="L4122">
        <f>MAX(VLOOKUP(F4122,N$6:P$15,3,FALSE)/1000,2/3*D4110/1000)+F$16*F4122/1000</f>
        <v>0.192</v>
      </c>
      <c r="M4122" t="str">
        <v>=</v>
      </c>
      <c r="N4122">
        <f>J4122+L4122</f>
        <v>1.8545</v>
      </c>
      <c r="O4122" t="str">
        <v>+</v>
      </c>
      <c r="P4122">
        <f>D4122-D4121</f>
        <v>0</v>
      </c>
      <c r="Q4122" t="str">
        <v>x</v>
      </c>
      <c r="R4122">
        <f>IF(P4122&gt;0,$F$18*F4122/1000,0)</f>
        <v>0</v>
      </c>
      <c r="S4122" t="str">
        <v>)</v>
      </c>
      <c r="T4122" t="str">
        <v>x</v>
      </c>
      <c r="U4122">
        <f>0.006165*F4122^2</f>
        <v>1.57824</v>
      </c>
      <c r="X4122" t="str">
        <v>x</v>
      </c>
      <c r="Y4122">
        <f>D4111</f>
        <v>1</v>
      </c>
      <c r="Z4122" t="str">
        <v>=</v>
      </c>
      <c r="AA4122">
        <f>IF(AA4123=0,(D4122*N4122+P4122*R4122)*U4122*Y4122,0)</f>
        <v>0</v>
      </c>
    </row>
    <row r="4123">
      <c r="A4123" t="str">
        <f>A4105</f>
        <v>Lantai 2</v>
      </c>
      <c r="B4123">
        <f>B4105</f>
        <v>50</v>
      </c>
      <c r="D4123">
        <f>IF(AND(D4120=D4121,D4121=D4122,D4120=D4122),D4120,0)</f>
        <v>4</v>
      </c>
      <c r="E4123" t="str">
        <v>D</v>
      </c>
      <c r="F4123">
        <f>IF(AND(F4120=F4121,F4120=F4122,F4121=F4122),F4120,0)</f>
        <v>16</v>
      </c>
      <c r="L4123" t="str">
        <v>Total panjang per balok</v>
      </c>
      <c r="M4123" t="str">
        <v>=</v>
      </c>
      <c r="N4123">
        <f>IF(AND(D4120=D4121,D4120=D4122,D4121=D4122,F4120=F4121,F4120=F4122,F4121=F4122),SUM(N4120:N4122),0)</f>
        <v>7.034</v>
      </c>
      <c r="O4123" t="str">
        <v>+</v>
      </c>
      <c r="P4123">
        <f>IF(N4123&gt;12,ROUNDDOWN(N4123/12,0),0)</f>
        <v>0</v>
      </c>
      <c r="Q4123" t="str">
        <v>x</v>
      </c>
      <c r="R4123">
        <f>IF(P4123&gt;0,MAX(VLOOKUP(F4123,$D$6:$G$15,3,FALSE),600),0)/1000</f>
        <v>0</v>
      </c>
      <c r="T4123" t="str">
        <v>x</v>
      </c>
      <c r="U4123">
        <f>U4122</f>
        <v>1.57824</v>
      </c>
      <c r="V4123" t="str">
        <v>x</v>
      </c>
      <c r="W4123">
        <f>D4123</f>
        <v>4</v>
      </c>
      <c r="X4123" t="str">
        <v>x</v>
      </c>
      <c r="Y4123">
        <f>Y4122</f>
        <v>1</v>
      </c>
      <c r="Z4123" t="str">
        <v>=</v>
      </c>
      <c r="AA4123">
        <f>(N4123+P4123*R4123/1000)*U4123*W4123*Y4123</f>
        <v>44.40536064</v>
      </c>
    </row>
    <row r="4125">
      <c r="A4125" t="str">
        <f>A4105</f>
        <v>Lantai 2</v>
      </c>
      <c r="B4125">
        <f>B4105</f>
        <v>50</v>
      </c>
      <c r="C4125" t="str">
        <v>Sengkang Tumpuan</v>
      </c>
      <c r="D4125">
        <f>VLOOKUP(D4105,'Detail Balok'!$C$10:$AU$140,31,FALSE)</f>
        <v>0</v>
      </c>
      <c r="E4125" t="str">
        <v>D</v>
      </c>
      <c r="F4125">
        <f>VLOOKUP(D4105,'Detail Balok'!$C$10:$AU$140,33,FALSE)</f>
        <v>10</v>
      </c>
      <c r="G4125" t="str">
        <v>-</v>
      </c>
      <c r="H4125">
        <f>VLOOKUP(D4105,'Detail Balok'!$C$10:$AU$140,35,FALSE)</f>
        <v>150</v>
      </c>
      <c r="J4125">
        <f>(IF(D4125=0,(2*(D4106+G4106))-(F$5*8),IF(D4125=3,(2*(D4106+G4106))-(F$5*8)+(G4106-2*F$5),IF(D4125=4,(2*(D4106+G4106))-(F$5*8)+2*(G4106-2*F$5)))))/1000</f>
        <v>1.08</v>
      </c>
      <c r="K4125" t="str">
        <v>+</v>
      </c>
      <c r="L4125">
        <f>IF(D4125=0,2*MAX(6*F4125,75),(D4125-1)*2*MAX(6*F4125,75))/1000</f>
        <v>0.15</v>
      </c>
      <c r="M4125" t="str">
        <v>=</v>
      </c>
      <c r="N4125">
        <f>J4125+L4125</f>
        <v>1.23</v>
      </c>
      <c r="T4125" t="str">
        <v>x</v>
      </c>
      <c r="U4125">
        <f>0.006165*F4125^2</f>
        <v>0.6165</v>
      </c>
      <c r="V4125" t="str">
        <v>x</v>
      </c>
      <c r="W4125">
        <f>IF(D4108&gt;4*G4106,ROUND(MAX(D4108/4,2*G4106)/H4125,0)+1,ROUND(D4108/H4125,0)+1)</f>
        <v>12</v>
      </c>
      <c r="X4125" t="str">
        <v>x</v>
      </c>
      <c r="Y4125">
        <f>D4111</f>
        <v>1</v>
      </c>
      <c r="Z4125" t="str">
        <v>=</v>
      </c>
      <c r="AA4125">
        <f>N4125*U4125*W4125*Y4125</f>
        <v>9.099540000000001</v>
      </c>
    </row>
    <row r="4126">
      <c r="A4126" t="str">
        <f>A4105</f>
        <v>Lantai 2</v>
      </c>
      <c r="B4126">
        <f>B4105</f>
        <v>50</v>
      </c>
      <c r="C4126" t="str">
        <v>Sengkang Lapangan</v>
      </c>
      <c r="D4126">
        <f>VLOOKUP(D4105,'Detail Balok'!$C$10:$AU$140,36,FALSE)</f>
        <v>0</v>
      </c>
      <c r="E4126" t="str">
        <v>D</v>
      </c>
      <c r="F4126">
        <f>VLOOKUP(D4105,'Detail Balok'!$C$10:$AU$140,38,FALSE)</f>
        <v>10</v>
      </c>
      <c r="G4126" t="str">
        <v>-</v>
      </c>
      <c r="H4126">
        <f>VLOOKUP(D4105,'Detail Balok'!$C$10:$AU$140,40,FALSE)</f>
        <v>200</v>
      </c>
      <c r="J4126">
        <f>(IF(D4126=0,(2*(D4106+G4106))-(F$5*8),IF(D4126=3,(2*(D4106+G4106))-(F$5*8)+(G4106-2*F$5),IF(D4126=4,(2*(D4106+G4106))-(F$5*8)+2*(G4106-2*F$5)))))/1000</f>
        <v>1.08</v>
      </c>
      <c r="K4126" t="str">
        <v>+</v>
      </c>
      <c r="L4126">
        <f>IF(D4126=0,2*MAX(6*F4126,75),(D4126-1)*2*MAX(6*F4126,75))/1000</f>
        <v>0.15</v>
      </c>
      <c r="M4126" t="str">
        <v>=</v>
      </c>
      <c r="N4126">
        <f>J4126+L4126</f>
        <v>1.23</v>
      </c>
      <c r="T4126" t="str">
        <v>x</v>
      </c>
      <c r="U4126">
        <f>0.006165*F4126^2</f>
        <v>0.6165</v>
      </c>
      <c r="V4126" t="str">
        <v>x</v>
      </c>
      <c r="W4126">
        <f>IF(D4108-MAX(D4108/4,2*G4106)*2&gt;0,ROUND((D4108-MAX(D4108/4,2*G4106)*2)/H4126,0),0)</f>
        <v>17</v>
      </c>
      <c r="X4126" t="str">
        <v>x</v>
      </c>
      <c r="Y4126">
        <f>D4111</f>
        <v>1</v>
      </c>
      <c r="Z4126" t="str">
        <v>=</v>
      </c>
      <c r="AA4126">
        <f>N4126*U4126*W4126*Y4126</f>
        <v>12.891015000000001</v>
      </c>
    </row>
    <row r="4127">
      <c r="A4127" t="str">
        <f>A4105</f>
        <v>Lantai 2</v>
      </c>
      <c r="B4127">
        <f>B4105</f>
        <v>50</v>
      </c>
      <c r="C4127" t="str">
        <v>Sengkang Tumpuan</v>
      </c>
      <c r="D4127">
        <f>VLOOKUP(D4105,'Detail Balok'!$C$10:$AU$140,41,FALSE)</f>
        <v>0</v>
      </c>
      <c r="E4127" t="str">
        <v>D</v>
      </c>
      <c r="F4127">
        <f>VLOOKUP(D4105,'Detail Balok'!$C$10:$AU$140,43,FALSE)</f>
        <v>10</v>
      </c>
      <c r="G4127" t="str">
        <v>-</v>
      </c>
      <c r="H4127">
        <f>VLOOKUP(D4105,'Detail Balok'!$C$10:$AU$140,45,FALSE)</f>
        <v>150</v>
      </c>
      <c r="J4127">
        <f>(IF(D4127=0,(2*(D4106+G4106))-(F$5*8),IF(D4127=3,(2*(D4106+G4106))-(F$5*8)+(G4106-2*F$5),IF(D4127=4,(2*(D4106+G4106))-(F$5*8)+2*(G4106-2*F$5)))))/1000</f>
        <v>1.08</v>
      </c>
      <c r="K4127" t="str">
        <v>+</v>
      </c>
      <c r="L4127">
        <f>IF(D4127=0,2*MAX(6*F4127,75),(D4127-1)*2*MAX(6*F4127,75))/1000</f>
        <v>0.15</v>
      </c>
      <c r="M4127" t="str">
        <v>=</v>
      </c>
      <c r="N4127">
        <f>J4127+L4127</f>
        <v>1.23</v>
      </c>
      <c r="T4127" t="str">
        <v>x</v>
      </c>
      <c r="U4127">
        <f>0.006165*F4127^2</f>
        <v>0.6165</v>
      </c>
      <c r="V4127" t="str">
        <v>x</v>
      </c>
      <c r="W4127">
        <f>IF(D4108&gt;4*G4106,ROUND(MAX(D4108/4,2*G4106)/H4127,0)+1,0)</f>
        <v>12</v>
      </c>
      <c r="X4127" t="str">
        <v>x</v>
      </c>
      <c r="Y4127">
        <f>D4111</f>
        <v>1</v>
      </c>
      <c r="Z4127" t="str">
        <v>=</v>
      </c>
      <c r="AA4127">
        <f>N4127*U4127*W4127*Y4127</f>
        <v>9.099540000000001</v>
      </c>
    </row>
    <row r="4129">
      <c r="A4129" t="str">
        <f>A4105</f>
        <v>Lantai 2</v>
      </c>
      <c r="B4129">
        <f>B4105</f>
        <v>50</v>
      </c>
      <c r="C4129" t="str">
        <v>Kait Horizontal Tump.</v>
      </c>
      <c r="D4129">
        <f>VLOOKUP(D4105,'Detail Balok'!$C$10:$BJ$140,46,FALSE)</f>
        <v>0</v>
      </c>
      <c r="E4129" t="str">
        <v>D</v>
      </c>
      <c r="F4129">
        <f>VLOOKUP(D4105,'Detail Balok'!$C$10:$BJ$140,48,FALSE)</f>
        <v>0</v>
      </c>
      <c r="G4129" t="str">
        <v>-</v>
      </c>
      <c r="H4129">
        <f>VLOOKUP(D4105,'Detail Balok'!$C$10:$BJ$140,50,FALSE)</f>
        <v>100</v>
      </c>
      <c r="J4129">
        <f>(D4106-2*F$5)/1000</f>
        <v>0.12</v>
      </c>
      <c r="K4129" t="str">
        <v>+</v>
      </c>
      <c r="L4129">
        <f>IF(D4129=0,2*MAX(6*F4129,75),(D4129-1)*2*MAX(6*F4129,75))/1000</f>
        <v>0.15</v>
      </c>
      <c r="M4129" t="str">
        <v>=</v>
      </c>
      <c r="N4129">
        <f>J4129+L4129</f>
        <v>0.27</v>
      </c>
      <c r="T4129" t="str">
        <v>x</v>
      </c>
      <c r="U4129">
        <f>0.006165*F4129^2</f>
        <v>0</v>
      </c>
      <c r="V4129" t="str">
        <v>x</v>
      </c>
      <c r="W4129">
        <f>W4125</f>
        <v>12</v>
      </c>
      <c r="X4129" t="str">
        <v>x</v>
      </c>
      <c r="Y4129">
        <f>D4115</f>
        <v>4</v>
      </c>
      <c r="Z4129" t="str">
        <v>=</v>
      </c>
      <c r="AA4129">
        <f>N4129*U4129*W4129*Y4129</f>
        <v>0</v>
      </c>
    </row>
    <row r="4130">
      <c r="A4130" t="str">
        <f>A4105</f>
        <v>Lantai 2</v>
      </c>
      <c r="B4130">
        <f>B4105</f>
        <v>50</v>
      </c>
      <c r="C4130" t="str">
        <v>Kait Horizontal Lap.</v>
      </c>
      <c r="D4130">
        <f>VLOOKUP(D4105,'Detail Balok'!$C$10:$BJ$140,51,FALSE)</f>
        <v>0</v>
      </c>
      <c r="E4130" t="str">
        <v>D</v>
      </c>
      <c r="F4130">
        <f>VLOOKUP(D4105,'Detail Balok'!$C$10:$BJ$140,53,FALSE)</f>
        <v>0</v>
      </c>
      <c r="G4130" t="str">
        <v>-</v>
      </c>
      <c r="H4130">
        <f>VLOOKUP(D4105,'Detail Balok'!$C$10:$BJ$140,55,FALSE)</f>
        <v>100</v>
      </c>
      <c r="J4130">
        <f>(D4106-2*F$5)/1000</f>
        <v>0.12</v>
      </c>
      <c r="K4130" t="str">
        <v>+</v>
      </c>
      <c r="L4130">
        <f>IF(D4130=0,2*MAX(6*F4130,75),(D4130-1)*2*MAX(6*F4130,75))/1000</f>
        <v>0.15</v>
      </c>
      <c r="M4130" t="str">
        <v>=</v>
      </c>
      <c r="N4130">
        <f>J4130+L4130</f>
        <v>0.27</v>
      </c>
      <c r="T4130" t="str">
        <v>x</v>
      </c>
      <c r="U4130">
        <f>0.006165*F4130^2</f>
        <v>0</v>
      </c>
      <c r="V4130" t="str">
        <v>x</v>
      </c>
      <c r="W4130">
        <f>W4126</f>
        <v>17</v>
      </c>
      <c r="X4130" t="str">
        <v>x</v>
      </c>
      <c r="Y4130">
        <f>D4115</f>
        <v>4</v>
      </c>
      <c r="Z4130" t="str">
        <v>=</v>
      </c>
      <c r="AA4130">
        <f>N4130*U4130*W4130*Y4130</f>
        <v>0</v>
      </c>
    </row>
    <row r="4131">
      <c r="A4131" t="str">
        <f>A4105</f>
        <v>Lantai 2</v>
      </c>
      <c r="B4131">
        <f>B4105</f>
        <v>50</v>
      </c>
      <c r="C4131" t="str">
        <v>Kait Horizontal Tump.</v>
      </c>
      <c r="D4131">
        <f>VLOOKUP(D4105,'Detail Balok'!$C$10:$BJ$140,56,FALSE)</f>
        <v>0</v>
      </c>
      <c r="E4131" t="str">
        <v>D</v>
      </c>
      <c r="F4131">
        <f>VLOOKUP(D4105,'Detail Balok'!$C$10:$BJ$140,58,FALSE)</f>
        <v>0</v>
      </c>
      <c r="G4131" t="str">
        <v>-</v>
      </c>
      <c r="H4131">
        <f>VLOOKUP(D4105,'Detail Balok'!$C$10:$BJ$140,60,FALSE)</f>
        <v>100</v>
      </c>
      <c r="J4131">
        <f>(D4106-2*F$5)/1000</f>
        <v>0.12</v>
      </c>
      <c r="K4131" t="str">
        <v>+</v>
      </c>
      <c r="L4131">
        <f>IF(D4131=0,2*MAX(6*F4131,75),(D4131-1)*2*MAX(6*F4131,75))/1000</f>
        <v>0.15</v>
      </c>
      <c r="M4131" t="str">
        <v>=</v>
      </c>
      <c r="N4131">
        <f>J4131+L4131</f>
        <v>0.27</v>
      </c>
      <c r="T4131" t="str">
        <v>x</v>
      </c>
      <c r="U4131">
        <f>0.006165*F4131^2</f>
        <v>0</v>
      </c>
      <c r="V4131" t="str">
        <v>x</v>
      </c>
      <c r="W4131">
        <f>W4127</f>
        <v>12</v>
      </c>
      <c r="X4131" t="str">
        <v>x</v>
      </c>
      <c r="Y4131">
        <f>D4115</f>
        <v>4</v>
      </c>
      <c r="Z4131" t="str">
        <v>=</v>
      </c>
      <c r="AA4131">
        <f>N4131*U4131*W4131*Y4131</f>
        <v>0</v>
      </c>
    </row>
    <row r="4135">
      <c r="A4135" t="str">
        <f>A4105</f>
        <v>Lantai 2</v>
      </c>
      <c r="B4135">
        <f>B4105+1</f>
        <v>51</v>
      </c>
      <c r="C4135" t="str">
        <f>CONCATENATE(A4135," no. ",B4135)</f>
        <v>Lantai 2 no. 51</v>
      </c>
      <c r="D4135" t="str">
        <f>VLOOKUP(C4135,'Data Panjang Balok'!$C$9:$N$254,2,FALSE)</f>
        <v>B25-1</v>
      </c>
    </row>
    <row r="4136">
      <c r="C4136" t="str">
        <v>Dimensi</v>
      </c>
      <c r="D4136">
        <f>VLOOKUP(D4135,'Detail Balok'!$C$10:$AU$140,2,FALSE)</f>
        <v>200</v>
      </c>
      <c r="F4136" t="str">
        <v>x</v>
      </c>
      <c r="G4136">
        <f>VLOOKUP(D4135,'Detail Balok'!$C$10:$AU$140,3,FALSE)</f>
        <v>500</v>
      </c>
    </row>
    <row r="4137">
      <c r="C4137" t="str">
        <v>Panjang as ke as</v>
      </c>
      <c r="D4137">
        <f>VLOOKUP(C4135,'Data Panjang Balok'!$C$9:$N$254,4,FALSE)</f>
        <v>6650</v>
      </c>
    </row>
    <row r="4138">
      <c r="C4138" t="str">
        <v>Panjang netto</v>
      </c>
      <c r="D4138">
        <f>VLOOKUP(C4135,'Data Panjang Balok'!$C$9:$N$254,7,FALSE)</f>
        <v>6650</v>
      </c>
    </row>
    <row r="4139">
      <c r="C4139" t="str">
        <v>Kolom / balok kiri</v>
      </c>
      <c r="D4139">
        <f>VLOOKUP(C4135,'Data Panjang Balok'!$C$9:$N$254,9,FALSE)</f>
        <v>0</v>
      </c>
    </row>
    <row r="4140">
      <c r="C4140" t="str">
        <v>Kolom / balok kanan</v>
      </c>
      <c r="D4140">
        <f>VLOOKUP(C4135,'Data Panjang Balok'!$C$9:$N$254,10,FALSE)</f>
        <v>0</v>
      </c>
    </row>
    <row r="4141">
      <c r="C4141" t="str">
        <v>Jumlah</v>
      </c>
      <c r="D4141">
        <f>VLOOKUP(C4135,'Data Panjang Balok'!$C$9:$N$254,3,FALSE)</f>
        <v>1</v>
      </c>
    </row>
    <row r="4142">
      <c r="A4142" t="str">
        <f>A4135</f>
        <v>Lantai 2</v>
      </c>
      <c r="B4142">
        <f>B4135</f>
        <v>51</v>
      </c>
      <c r="C4142" t="str">
        <v>Tul Atas Tumpuan</v>
      </c>
      <c r="D4142">
        <f>VLOOKUP(D4135,'Detail Balok'!$C$10:$AU$140,4,FALSE)</f>
        <v>4</v>
      </c>
      <c r="E4142" t="str">
        <v>D</v>
      </c>
      <c r="F4142">
        <f>VLOOKUP(D4135,'Detail Balok'!$C$10:$AU$140,6,FALSE)</f>
        <v>16</v>
      </c>
      <c r="I4142" t="str">
        <v>(</v>
      </c>
      <c r="J4142">
        <f>+D4137/4/1000</f>
        <v>1.6625</v>
      </c>
      <c r="K4142" t="str">
        <v>+</v>
      </c>
      <c r="L4142">
        <f>MAX(VLOOKUP(F4142,N$6:P$15,3,FALSE)/1000,2/3*D4139/1000)+F$16*F4142/1000</f>
        <v>0.192</v>
      </c>
      <c r="M4142" t="str">
        <v>=</v>
      </c>
      <c r="N4142">
        <f>J4142+L4142</f>
        <v>1.8545</v>
      </c>
      <c r="O4142" t="str">
        <v>+</v>
      </c>
      <c r="P4142">
        <f>D4142-D4143</f>
        <v>0</v>
      </c>
      <c r="Q4142" t="str">
        <v>x</v>
      </c>
      <c r="R4142">
        <f>IF(P4142&gt;0,$F$18*F4142/1000,0)</f>
        <v>0</v>
      </c>
      <c r="S4142" t="str">
        <v>)</v>
      </c>
      <c r="T4142" t="str">
        <v>x</v>
      </c>
      <c r="U4142">
        <f>0.006165*F4142^2</f>
        <v>1.57824</v>
      </c>
      <c r="X4142" t="str">
        <v>x</v>
      </c>
      <c r="Y4142">
        <f>D4141</f>
        <v>1</v>
      </c>
      <c r="Z4142" t="str">
        <v>=</v>
      </c>
      <c r="AA4142">
        <f>IF(AA4145=0,(D4142*N4142+P4142*R4142)*U4142*Y4142,0)</f>
        <v>0</v>
      </c>
    </row>
    <row r="4143">
      <c r="A4143" t="str">
        <f>A4135</f>
        <v>Lantai 2</v>
      </c>
      <c r="B4143">
        <f>B4135</f>
        <v>51</v>
      </c>
      <c r="C4143" t="str">
        <v>Tul Atas Lapangan</v>
      </c>
      <c r="D4143">
        <f>VLOOKUP(D4135,'Detail Balok'!$C$10:$AU$140,7,FALSE)</f>
        <v>4</v>
      </c>
      <c r="E4143" t="str">
        <v>D</v>
      </c>
      <c r="F4143">
        <f>VLOOKUP(D4135,'Detail Balok'!$C$10:$AU$140,9,FALSE)</f>
        <v>16</v>
      </c>
      <c r="I4143" t="str">
        <v>(</v>
      </c>
      <c r="J4143">
        <f>+D4137/2/1000</f>
        <v>3.325</v>
      </c>
      <c r="K4143" t="str">
        <v>+</v>
      </c>
      <c r="M4143" t="str">
        <v>=</v>
      </c>
      <c r="N4143">
        <f>J4143+L4143</f>
        <v>3.325</v>
      </c>
      <c r="O4143" t="str">
        <v>+</v>
      </c>
      <c r="P4143">
        <f>MAX(D4143-D4142,D4143-D4144)</f>
        <v>0</v>
      </c>
      <c r="Q4143" t="str">
        <v>x</v>
      </c>
      <c r="R4143">
        <f>IF(P4143&gt;0,2*(1-2*$F$19-1/2)*D4138/1000,0)</f>
        <v>0</v>
      </c>
      <c r="S4143" t="str">
        <v>)</v>
      </c>
      <c r="T4143" t="str">
        <v>x</v>
      </c>
      <c r="U4143">
        <f>0.006165*F4143^2</f>
        <v>1.57824</v>
      </c>
      <c r="X4143" t="str">
        <v>x</v>
      </c>
      <c r="Y4143">
        <f>D4141</f>
        <v>1</v>
      </c>
      <c r="Z4143" t="str">
        <v>=</v>
      </c>
      <c r="AA4143">
        <f>IF(AA4145=0,(D4143*N4143+P4143*R4143)*U4143*Y4143,0)</f>
        <v>0</v>
      </c>
    </row>
    <row r="4144">
      <c r="A4144" t="str">
        <f>A4135</f>
        <v>Lantai 2</v>
      </c>
      <c r="B4144">
        <f>B4135</f>
        <v>51</v>
      </c>
      <c r="C4144" t="str">
        <v>Tul Atas Tumpuan</v>
      </c>
      <c r="D4144">
        <f>VLOOKUP(D4135,'Detail Balok'!$C$10:$AU$140,10,FALSE)</f>
        <v>4</v>
      </c>
      <c r="E4144" t="str">
        <v>D</v>
      </c>
      <c r="F4144">
        <f>VLOOKUP(D4135,'Detail Balok'!$C$10:$AU$140,12,FALSE)</f>
        <v>16</v>
      </c>
      <c r="I4144" t="str">
        <v>(</v>
      </c>
      <c r="J4144">
        <f>+D4137/4/1000</f>
        <v>1.6625</v>
      </c>
      <c r="K4144" t="str">
        <v>+</v>
      </c>
      <c r="L4144">
        <f>MAX(VLOOKUP(F4144,N$6:P$15,3,FALSE)/1000,2/3*D4139/1000)+F$16*F4144/1000</f>
        <v>0.192</v>
      </c>
      <c r="M4144" t="str">
        <v>=</v>
      </c>
      <c r="N4144">
        <f>J4144+L4144</f>
        <v>1.8545</v>
      </c>
      <c r="O4144" t="str">
        <v>+</v>
      </c>
      <c r="P4144">
        <f>D4144-D4143</f>
        <v>0</v>
      </c>
      <c r="Q4144" t="str">
        <v>x</v>
      </c>
      <c r="R4144">
        <f>IF(P4144&gt;0,$F$18*F4144/1000,0)</f>
        <v>0</v>
      </c>
      <c r="S4144" t="str">
        <v>)</v>
      </c>
      <c r="T4144" t="str">
        <v>x</v>
      </c>
      <c r="U4144">
        <f>0.006165*F4144^2</f>
        <v>1.57824</v>
      </c>
      <c r="X4144" t="str">
        <v>x</v>
      </c>
      <c r="Y4144">
        <f>D4141</f>
        <v>1</v>
      </c>
      <c r="Z4144" t="str">
        <v>=</v>
      </c>
      <c r="AA4144">
        <f>IF(AA4145=0,(D4144*N4144+P4144*R4144)*U4144*Y4144,0)</f>
        <v>0</v>
      </c>
    </row>
    <row r="4145">
      <c r="A4145" t="str">
        <f>A4135</f>
        <v>Lantai 2</v>
      </c>
      <c r="B4145">
        <f>B4135</f>
        <v>51</v>
      </c>
      <c r="D4145">
        <f>IF(AND(D4142=D4143,D4143=D4144,D4142=D4144),D4142,0)</f>
        <v>4</v>
      </c>
      <c r="E4145" t="str">
        <v>D</v>
      </c>
      <c r="F4145">
        <f>IF(AND(F4142=F4143,F4142=F4144,F4143=F4144),F4142,0)</f>
        <v>16</v>
      </c>
      <c r="L4145" t="str">
        <v>Total panjang per balok</v>
      </c>
      <c r="M4145" t="str">
        <v>=</v>
      </c>
      <c r="N4145">
        <f>IF(AND(D4142=D4143,D4142=D4144,D4143=D4144,F4142=F4143,F4142=F4144,F4143=F4144),SUM(N4142:N4144),0)</f>
        <v>7.034</v>
      </c>
      <c r="O4145" t="str">
        <v>+</v>
      </c>
      <c r="P4145">
        <f>IF(N4145&gt;12,ROUNDDOWN(N4145/12,0),0)</f>
        <v>0</v>
      </c>
      <c r="Q4145" t="str">
        <v>x</v>
      </c>
      <c r="R4145">
        <f>IF(P4145&gt;0,MAX(VLOOKUP(F4145,$D$6:$G$15,3,FALSE),600),0)/1000</f>
        <v>0</v>
      </c>
      <c r="T4145" t="str">
        <v>x</v>
      </c>
      <c r="U4145">
        <f>U4144</f>
        <v>1.57824</v>
      </c>
      <c r="V4145" t="str">
        <v>x</v>
      </c>
      <c r="W4145">
        <f>D4145</f>
        <v>4</v>
      </c>
      <c r="X4145" t="str">
        <v>x</v>
      </c>
      <c r="Y4145">
        <f>Y4144</f>
        <v>1</v>
      </c>
      <c r="Z4145" t="str">
        <v>=</v>
      </c>
      <c r="AA4145">
        <f>(N4145+P4145*R4145/1000)*U4145*W4145*Y4145</f>
        <v>44.40536064</v>
      </c>
    </row>
    <row r="4147">
      <c r="A4147" t="str">
        <f>A4135</f>
        <v>Lantai 2</v>
      </c>
      <c r="B4147">
        <f>B4135</f>
        <v>51</v>
      </c>
      <c r="C4147" t="str">
        <v>Tul Peminggang</v>
      </c>
      <c r="D4147">
        <f>VLOOKUP(D4135,'Detail Balok'!$C$10:$AU$140,13,FALSE)</f>
        <v>2</v>
      </c>
      <c r="E4147" t="str">
        <v>D</v>
      </c>
      <c r="F4147">
        <f>VLOOKUP(D4135,'Detail Balok'!$C$10:$AU$140,15,FALSE)</f>
        <v>10</v>
      </c>
      <c r="J4147">
        <f>+D4137/1000</f>
        <v>6.65</v>
      </c>
      <c r="K4147" t="str">
        <v>+</v>
      </c>
      <c r="L4147">
        <f>2*$F$16*F4147/1000</f>
        <v>0.24</v>
      </c>
      <c r="M4147" t="str">
        <v>=</v>
      </c>
      <c r="N4147">
        <f>J4147+L4147</f>
        <v>6.890000000000001</v>
      </c>
      <c r="O4147" t="str">
        <v>+</v>
      </c>
      <c r="P4147">
        <f>IF(N4147&gt;12,ROUNDDOWN(N4147/12,0),0)</f>
        <v>0</v>
      </c>
      <c r="Q4147" t="str">
        <v>x</v>
      </c>
      <c r="R4147">
        <f>IF(P4147&gt;0,MAX(VLOOKUP(F4147,$D$6:$G$15,3,FALSE),600),0)/1000</f>
        <v>0</v>
      </c>
      <c r="T4147" t="str">
        <v>x</v>
      </c>
      <c r="U4147">
        <f>0.006165*F4147^2</f>
        <v>0.6165</v>
      </c>
      <c r="V4147" t="str">
        <v>x</v>
      </c>
      <c r="W4147">
        <f>+D4147</f>
        <v>2</v>
      </c>
      <c r="X4147" t="str">
        <v>x</v>
      </c>
      <c r="Y4147">
        <f>D4141</f>
        <v>1</v>
      </c>
      <c r="Z4147" t="str">
        <v>=</v>
      </c>
      <c r="AA4147">
        <f>(N4147+P4147*R4147/1000)*U4147*W4147*Y4147</f>
        <v>8.495370000000001</v>
      </c>
    </row>
    <row r="4150">
      <c r="A4150" t="str">
        <f>A4135</f>
        <v>Lantai 2</v>
      </c>
      <c r="B4150">
        <f>B4135</f>
        <v>51</v>
      </c>
      <c r="C4150" t="str">
        <v>Tul Bawah Tumpuan</v>
      </c>
      <c r="D4150">
        <f>VLOOKUP(D4135,'Detail Balok'!$C$10:$AU$140,22,FALSE)</f>
        <v>4</v>
      </c>
      <c r="E4150" t="str">
        <v>D</v>
      </c>
      <c r="F4150">
        <f>VLOOKUP(D4135,'Detail Balok'!$C$10:$AU$140,24,FALSE)</f>
        <v>16</v>
      </c>
      <c r="I4150" t="str">
        <v>(</v>
      </c>
      <c r="J4150">
        <f>+J4142</f>
        <v>1.6625</v>
      </c>
      <c r="K4150" t="str">
        <v>+</v>
      </c>
      <c r="L4150">
        <f>MAX(VLOOKUP(F4150,N$6:P$15,3,FALSE)/1000,2/3*D4140/1000)+F$16*F4150/1000</f>
        <v>0.192</v>
      </c>
      <c r="M4150" t="str">
        <v>=</v>
      </c>
      <c r="N4150">
        <f>J4150+L4150</f>
        <v>1.8545</v>
      </c>
      <c r="O4150" t="str">
        <v>+</v>
      </c>
      <c r="P4150">
        <f>D4150-D4151</f>
        <v>0</v>
      </c>
      <c r="Q4150" t="str">
        <v>x</v>
      </c>
      <c r="R4150">
        <f>IF(P4150&gt;0,$F$18*F4150/1000,0)</f>
        <v>0</v>
      </c>
      <c r="S4150" t="str">
        <v>)</v>
      </c>
      <c r="T4150" t="str">
        <v>x</v>
      </c>
      <c r="U4150">
        <f>0.006165*F4150^2</f>
        <v>1.57824</v>
      </c>
      <c r="X4150" t="str">
        <v>x</v>
      </c>
      <c r="Y4150">
        <f>D4141</f>
        <v>1</v>
      </c>
      <c r="Z4150" t="str">
        <v>=</v>
      </c>
      <c r="AA4150">
        <f>IF(AA4153=0,(D4150*N4150+P4150*R4150)*U4150*Y4150,0)</f>
        <v>0</v>
      </c>
    </row>
    <row r="4151">
      <c r="A4151" t="str">
        <f>A4135</f>
        <v>Lantai 2</v>
      </c>
      <c r="B4151">
        <f>B4135</f>
        <v>51</v>
      </c>
      <c r="C4151" t="str">
        <v>Tul Bawah Lapangan</v>
      </c>
      <c r="D4151">
        <f>VLOOKUP(D4135,'Detail Balok'!$C$10:$AU$140,25,FALSE)</f>
        <v>4</v>
      </c>
      <c r="E4151" t="str">
        <v>D</v>
      </c>
      <c r="F4151">
        <f>VLOOKUP(D4135,'Detail Balok'!$C$10:$AU$140,27,FALSE)</f>
        <v>16</v>
      </c>
      <c r="I4151" t="str">
        <v>(</v>
      </c>
      <c r="J4151">
        <f>+J4143</f>
        <v>3.325</v>
      </c>
      <c r="K4151" t="str">
        <v>+</v>
      </c>
      <c r="M4151" t="str">
        <v>=</v>
      </c>
      <c r="N4151">
        <f>J4151+L4151</f>
        <v>3.325</v>
      </c>
      <c r="O4151" t="str">
        <v>+</v>
      </c>
      <c r="P4151">
        <f>MAX(D4151-D4150,D4151-D4152)</f>
        <v>0</v>
      </c>
      <c r="Q4151" t="str">
        <v>x</v>
      </c>
      <c r="R4151">
        <f>IF(P4151&gt;0,2*(1-2*$F$19-1/2)*D4138/1000,0)</f>
        <v>0</v>
      </c>
      <c r="S4151" t="str">
        <v>)</v>
      </c>
      <c r="T4151" t="str">
        <v>x</v>
      </c>
      <c r="U4151">
        <f>0.006165*F4151^2</f>
        <v>1.57824</v>
      </c>
      <c r="X4151" t="str">
        <v>x</v>
      </c>
      <c r="Y4151">
        <f>D4141</f>
        <v>1</v>
      </c>
      <c r="Z4151" t="str">
        <v>=</v>
      </c>
      <c r="AA4151">
        <f>IF(AA4153=0,(D4151*N4151+P4151*R4151)*U4151*Y4151,0)</f>
        <v>0</v>
      </c>
    </row>
    <row r="4152">
      <c r="A4152" t="str">
        <f>A4135</f>
        <v>Lantai 2</v>
      </c>
      <c r="B4152">
        <f>B4135</f>
        <v>51</v>
      </c>
      <c r="C4152" t="str">
        <v>Tul Bawah Tumpuan</v>
      </c>
      <c r="D4152">
        <f>VLOOKUP(D4135,'Detail Balok'!$C$10:$AU$140,28,FALSE)</f>
        <v>4</v>
      </c>
      <c r="E4152" t="str">
        <v>D</v>
      </c>
      <c r="F4152">
        <f>VLOOKUP(D4135,'Detail Balok'!$C$10:$AU$140,30,FALSE)</f>
        <v>16</v>
      </c>
      <c r="I4152" t="str">
        <v>(</v>
      </c>
      <c r="J4152">
        <f>+J4144</f>
        <v>1.6625</v>
      </c>
      <c r="K4152" t="str">
        <v>+</v>
      </c>
      <c r="L4152">
        <f>MAX(VLOOKUP(F4152,N$6:P$15,3,FALSE)/1000,2/3*D4140/1000)+F$16*F4152/1000</f>
        <v>0.192</v>
      </c>
      <c r="M4152" t="str">
        <v>=</v>
      </c>
      <c r="N4152">
        <f>J4152+L4152</f>
        <v>1.8545</v>
      </c>
      <c r="O4152" t="str">
        <v>+</v>
      </c>
      <c r="P4152">
        <f>D4152-D4151</f>
        <v>0</v>
      </c>
      <c r="Q4152" t="str">
        <v>x</v>
      </c>
      <c r="R4152">
        <f>IF(P4152&gt;0,$F$18*F4152/1000,0)</f>
        <v>0</v>
      </c>
      <c r="S4152" t="str">
        <v>)</v>
      </c>
      <c r="T4152" t="str">
        <v>x</v>
      </c>
      <c r="U4152">
        <f>0.006165*F4152^2</f>
        <v>1.57824</v>
      </c>
      <c r="X4152" t="str">
        <v>x</v>
      </c>
      <c r="Y4152">
        <f>D4141</f>
        <v>1</v>
      </c>
      <c r="Z4152" t="str">
        <v>=</v>
      </c>
      <c r="AA4152">
        <f>IF(AA4153=0,(D4152*N4152+P4152*R4152)*U4152*Y4152,0)</f>
        <v>0</v>
      </c>
    </row>
    <row r="4153">
      <c r="A4153" t="str">
        <f>A4135</f>
        <v>Lantai 2</v>
      </c>
      <c r="B4153">
        <f>B4135</f>
        <v>51</v>
      </c>
      <c r="D4153">
        <f>IF(AND(D4150=D4151,D4151=D4152,D4150=D4152),D4150,0)</f>
        <v>4</v>
      </c>
      <c r="E4153" t="str">
        <v>D</v>
      </c>
      <c r="F4153">
        <f>IF(AND(F4150=F4151,F4150=F4152,F4151=F4152),F4150,0)</f>
        <v>16</v>
      </c>
      <c r="L4153" t="str">
        <v>Total panjang per balok</v>
      </c>
      <c r="M4153" t="str">
        <v>=</v>
      </c>
      <c r="N4153">
        <f>IF(AND(D4150=D4151,D4150=D4152,D4151=D4152,F4150=F4151,F4150=F4152,F4151=F4152),SUM(N4150:N4152),0)</f>
        <v>7.034</v>
      </c>
      <c r="O4153" t="str">
        <v>+</v>
      </c>
      <c r="P4153">
        <f>IF(N4153&gt;12,ROUNDDOWN(N4153/12,0),0)</f>
        <v>0</v>
      </c>
      <c r="Q4153" t="str">
        <v>x</v>
      </c>
      <c r="R4153">
        <f>IF(P4153&gt;0,MAX(VLOOKUP(F4153,$D$6:$G$15,3,FALSE),600),0)/1000</f>
        <v>0</v>
      </c>
      <c r="T4153" t="str">
        <v>x</v>
      </c>
      <c r="U4153">
        <f>U4152</f>
        <v>1.57824</v>
      </c>
      <c r="V4153" t="str">
        <v>x</v>
      </c>
      <c r="W4153">
        <f>D4153</f>
        <v>4</v>
      </c>
      <c r="X4153" t="str">
        <v>x</v>
      </c>
      <c r="Y4153">
        <f>Y4152</f>
        <v>1</v>
      </c>
      <c r="Z4153" t="str">
        <v>=</v>
      </c>
      <c r="AA4153">
        <f>(N4153+P4153*R4153/1000)*U4153*W4153*Y4153</f>
        <v>44.40536064</v>
      </c>
    </row>
    <row r="4155">
      <c r="A4155" t="str">
        <f>A4135</f>
        <v>Lantai 2</v>
      </c>
      <c r="B4155">
        <f>B4135</f>
        <v>51</v>
      </c>
      <c r="C4155" t="str">
        <v>Sengkang Tumpuan</v>
      </c>
      <c r="D4155">
        <f>VLOOKUP(D4135,'Detail Balok'!$C$10:$AU$140,31,FALSE)</f>
        <v>0</v>
      </c>
      <c r="E4155" t="str">
        <v>D</v>
      </c>
      <c r="F4155">
        <f>VLOOKUP(D4135,'Detail Balok'!$C$10:$AU$140,33,FALSE)</f>
        <v>10</v>
      </c>
      <c r="G4155" t="str">
        <v>-</v>
      </c>
      <c r="H4155">
        <f>VLOOKUP(D4135,'Detail Balok'!$C$10:$AU$140,35,FALSE)</f>
        <v>150</v>
      </c>
      <c r="J4155">
        <f>(IF(D4155=0,(2*(D4136+G4136))-(F$5*8),IF(D4155=3,(2*(D4136+G4136))-(F$5*8)+(G4136-2*F$5),IF(D4155=4,(2*(D4136+G4136))-(F$5*8)+2*(G4136-2*F$5)))))/1000</f>
        <v>1.08</v>
      </c>
      <c r="K4155" t="str">
        <v>+</v>
      </c>
      <c r="L4155">
        <f>IF(D4155=0,2*MAX(6*F4155,75),(D4155-1)*2*MAX(6*F4155,75))/1000</f>
        <v>0.15</v>
      </c>
      <c r="M4155" t="str">
        <v>=</v>
      </c>
      <c r="N4155">
        <f>J4155+L4155</f>
        <v>1.23</v>
      </c>
      <c r="T4155" t="str">
        <v>x</v>
      </c>
      <c r="U4155">
        <f>0.006165*F4155^2</f>
        <v>0.6165</v>
      </c>
      <c r="V4155" t="str">
        <v>x</v>
      </c>
      <c r="W4155">
        <f>IF(D4138&gt;4*G4136,ROUND(MAX(D4138/4,2*G4136)/H4155,0)+1,ROUND(D4138/H4155,0)+1)</f>
        <v>12</v>
      </c>
      <c r="X4155" t="str">
        <v>x</v>
      </c>
      <c r="Y4155">
        <f>D4141</f>
        <v>1</v>
      </c>
      <c r="Z4155" t="str">
        <v>=</v>
      </c>
      <c r="AA4155">
        <f>N4155*U4155*W4155*Y4155</f>
        <v>9.099540000000001</v>
      </c>
    </row>
    <row r="4156">
      <c r="A4156" t="str">
        <f>A4135</f>
        <v>Lantai 2</v>
      </c>
      <c r="B4156">
        <f>B4135</f>
        <v>51</v>
      </c>
      <c r="C4156" t="str">
        <v>Sengkang Lapangan</v>
      </c>
      <c r="D4156">
        <f>VLOOKUP(D4135,'Detail Balok'!$C$10:$AU$140,36,FALSE)</f>
        <v>0</v>
      </c>
      <c r="E4156" t="str">
        <v>D</v>
      </c>
      <c r="F4156">
        <f>VLOOKUP(D4135,'Detail Balok'!$C$10:$AU$140,38,FALSE)</f>
        <v>10</v>
      </c>
      <c r="G4156" t="str">
        <v>-</v>
      </c>
      <c r="H4156">
        <f>VLOOKUP(D4135,'Detail Balok'!$C$10:$AU$140,40,FALSE)</f>
        <v>200</v>
      </c>
      <c r="J4156">
        <f>(IF(D4156=0,(2*(D4136+G4136))-(F$5*8),IF(D4156=3,(2*(D4136+G4136))-(F$5*8)+(G4136-2*F$5),IF(D4156=4,(2*(D4136+G4136))-(F$5*8)+2*(G4136-2*F$5)))))/1000</f>
        <v>1.08</v>
      </c>
      <c r="K4156" t="str">
        <v>+</v>
      </c>
      <c r="L4156">
        <f>IF(D4156=0,2*MAX(6*F4156,75),(D4156-1)*2*MAX(6*F4156,75))/1000</f>
        <v>0.15</v>
      </c>
      <c r="M4156" t="str">
        <v>=</v>
      </c>
      <c r="N4156">
        <f>J4156+L4156</f>
        <v>1.23</v>
      </c>
      <c r="T4156" t="str">
        <v>x</v>
      </c>
      <c r="U4156">
        <f>0.006165*F4156^2</f>
        <v>0.6165</v>
      </c>
      <c r="V4156" t="str">
        <v>x</v>
      </c>
      <c r="W4156">
        <f>IF(D4138-MAX(D4138/4,2*G4136)*2&gt;0,ROUND((D4138-MAX(D4138/4,2*G4136)*2)/H4156,0),0)</f>
        <v>17</v>
      </c>
      <c r="X4156" t="str">
        <v>x</v>
      </c>
      <c r="Y4156">
        <f>D4141</f>
        <v>1</v>
      </c>
      <c r="Z4156" t="str">
        <v>=</v>
      </c>
      <c r="AA4156">
        <f>N4156*U4156*W4156*Y4156</f>
        <v>12.891015000000001</v>
      </c>
    </row>
    <row r="4157">
      <c r="A4157" t="str">
        <f>A4135</f>
        <v>Lantai 2</v>
      </c>
      <c r="B4157">
        <f>B4135</f>
        <v>51</v>
      </c>
      <c r="C4157" t="str">
        <v>Sengkang Tumpuan</v>
      </c>
      <c r="D4157">
        <f>VLOOKUP(D4135,'Detail Balok'!$C$10:$AU$140,41,FALSE)</f>
        <v>0</v>
      </c>
      <c r="E4157" t="str">
        <v>D</v>
      </c>
      <c r="F4157">
        <f>VLOOKUP(D4135,'Detail Balok'!$C$10:$AU$140,43,FALSE)</f>
        <v>10</v>
      </c>
      <c r="G4157" t="str">
        <v>-</v>
      </c>
      <c r="H4157">
        <f>VLOOKUP(D4135,'Detail Balok'!$C$10:$AU$140,45,FALSE)</f>
        <v>150</v>
      </c>
      <c r="J4157">
        <f>(IF(D4157=0,(2*(D4136+G4136))-(F$5*8),IF(D4157=3,(2*(D4136+G4136))-(F$5*8)+(G4136-2*F$5),IF(D4157=4,(2*(D4136+G4136))-(F$5*8)+2*(G4136-2*F$5)))))/1000</f>
        <v>1.08</v>
      </c>
      <c r="K4157" t="str">
        <v>+</v>
      </c>
      <c r="L4157">
        <f>IF(D4157=0,2*MAX(6*F4157,75),(D4157-1)*2*MAX(6*F4157,75))/1000</f>
        <v>0.15</v>
      </c>
      <c r="M4157" t="str">
        <v>=</v>
      </c>
      <c r="N4157">
        <f>J4157+L4157</f>
        <v>1.23</v>
      </c>
      <c r="T4157" t="str">
        <v>x</v>
      </c>
      <c r="U4157">
        <f>0.006165*F4157^2</f>
        <v>0.6165</v>
      </c>
      <c r="V4157" t="str">
        <v>x</v>
      </c>
      <c r="W4157">
        <f>IF(D4138&gt;4*G4136,ROUND(MAX(D4138/4,2*G4136)/H4157,0)+1,0)</f>
        <v>12</v>
      </c>
      <c r="X4157" t="str">
        <v>x</v>
      </c>
      <c r="Y4157">
        <f>D4141</f>
        <v>1</v>
      </c>
      <c r="Z4157" t="str">
        <v>=</v>
      </c>
      <c r="AA4157">
        <f>N4157*U4157*W4157*Y4157</f>
        <v>9.099540000000001</v>
      </c>
    </row>
    <row r="4159">
      <c r="A4159" t="str">
        <f>A4135</f>
        <v>Lantai 2</v>
      </c>
      <c r="B4159">
        <f>B4135</f>
        <v>51</v>
      </c>
      <c r="C4159" t="str">
        <v>Kait Horizontal Tump.</v>
      </c>
      <c r="D4159">
        <f>VLOOKUP(D4135,'Detail Balok'!$C$10:$BJ$140,46,FALSE)</f>
        <v>0</v>
      </c>
      <c r="E4159" t="str">
        <v>D</v>
      </c>
      <c r="F4159">
        <f>VLOOKUP(D4135,'Detail Balok'!$C$10:$BJ$140,48,FALSE)</f>
        <v>0</v>
      </c>
      <c r="G4159" t="str">
        <v>-</v>
      </c>
      <c r="H4159">
        <f>VLOOKUP(D4135,'Detail Balok'!$C$10:$BJ$140,50,FALSE)</f>
        <v>100</v>
      </c>
      <c r="J4159">
        <f>(D4136-2*F$5)/1000</f>
        <v>0.12</v>
      </c>
      <c r="K4159" t="str">
        <v>+</v>
      </c>
      <c r="L4159">
        <f>IF(D4159=0,2*MAX(6*F4159,75),(D4159-1)*2*MAX(6*F4159,75))/1000</f>
        <v>0.15</v>
      </c>
      <c r="M4159" t="str">
        <v>=</v>
      </c>
      <c r="N4159">
        <f>J4159+L4159</f>
        <v>0.27</v>
      </c>
      <c r="T4159" t="str">
        <v>x</v>
      </c>
      <c r="U4159">
        <f>0.006165*F4159^2</f>
        <v>0</v>
      </c>
      <c r="V4159" t="str">
        <v>x</v>
      </c>
      <c r="W4159">
        <f>W4155</f>
        <v>12</v>
      </c>
      <c r="X4159" t="str">
        <v>x</v>
      </c>
      <c r="Y4159">
        <f>D4145</f>
        <v>4</v>
      </c>
      <c r="Z4159" t="str">
        <v>=</v>
      </c>
      <c r="AA4159">
        <f>N4159*U4159*W4159*Y4159</f>
        <v>0</v>
      </c>
    </row>
    <row r="4160">
      <c r="A4160" t="str">
        <f>A4135</f>
        <v>Lantai 2</v>
      </c>
      <c r="B4160">
        <f>B4135</f>
        <v>51</v>
      </c>
      <c r="C4160" t="str">
        <v>Kait Horizontal Lap.</v>
      </c>
      <c r="D4160">
        <f>VLOOKUP(D4135,'Detail Balok'!$C$10:$BJ$140,51,FALSE)</f>
        <v>0</v>
      </c>
      <c r="E4160" t="str">
        <v>D</v>
      </c>
      <c r="F4160">
        <f>VLOOKUP(D4135,'Detail Balok'!$C$10:$BJ$140,53,FALSE)</f>
        <v>0</v>
      </c>
      <c r="G4160" t="str">
        <v>-</v>
      </c>
      <c r="H4160">
        <f>VLOOKUP(D4135,'Detail Balok'!$C$10:$BJ$140,55,FALSE)</f>
        <v>100</v>
      </c>
      <c r="J4160">
        <f>(D4136-2*F$5)/1000</f>
        <v>0.12</v>
      </c>
      <c r="K4160" t="str">
        <v>+</v>
      </c>
      <c r="L4160">
        <f>IF(D4160=0,2*MAX(6*F4160,75),(D4160-1)*2*MAX(6*F4160,75))/1000</f>
        <v>0.15</v>
      </c>
      <c r="M4160" t="str">
        <v>=</v>
      </c>
      <c r="N4160">
        <f>J4160+L4160</f>
        <v>0.27</v>
      </c>
      <c r="T4160" t="str">
        <v>x</v>
      </c>
      <c r="U4160">
        <f>0.006165*F4160^2</f>
        <v>0</v>
      </c>
      <c r="V4160" t="str">
        <v>x</v>
      </c>
      <c r="W4160">
        <f>W4156</f>
        <v>17</v>
      </c>
      <c r="X4160" t="str">
        <v>x</v>
      </c>
      <c r="Y4160">
        <f>D4145</f>
        <v>4</v>
      </c>
      <c r="Z4160" t="str">
        <v>=</v>
      </c>
      <c r="AA4160">
        <f>N4160*U4160*W4160*Y4160</f>
        <v>0</v>
      </c>
    </row>
    <row r="4161">
      <c r="A4161" t="str">
        <f>A4135</f>
        <v>Lantai 2</v>
      </c>
      <c r="B4161">
        <f>B4135</f>
        <v>51</v>
      </c>
      <c r="C4161" t="str">
        <v>Kait Horizontal Tump.</v>
      </c>
      <c r="D4161">
        <f>VLOOKUP(D4135,'Detail Balok'!$C$10:$BJ$140,56,FALSE)</f>
        <v>0</v>
      </c>
      <c r="E4161" t="str">
        <v>D</v>
      </c>
      <c r="F4161">
        <f>VLOOKUP(D4135,'Detail Balok'!$C$10:$BJ$140,58,FALSE)</f>
        <v>0</v>
      </c>
      <c r="G4161" t="str">
        <v>-</v>
      </c>
      <c r="H4161">
        <f>VLOOKUP(D4135,'Detail Balok'!$C$10:$BJ$140,60,FALSE)</f>
        <v>100</v>
      </c>
      <c r="J4161">
        <f>(D4136-2*F$5)/1000</f>
        <v>0.12</v>
      </c>
      <c r="K4161" t="str">
        <v>+</v>
      </c>
      <c r="L4161">
        <f>IF(D4161=0,2*MAX(6*F4161,75),(D4161-1)*2*MAX(6*F4161,75))/1000</f>
        <v>0.15</v>
      </c>
      <c r="M4161" t="str">
        <v>=</v>
      </c>
      <c r="N4161">
        <f>J4161+L4161</f>
        <v>0.27</v>
      </c>
      <c r="T4161" t="str">
        <v>x</v>
      </c>
      <c r="U4161">
        <f>0.006165*F4161^2</f>
        <v>0</v>
      </c>
      <c r="V4161" t="str">
        <v>x</v>
      </c>
      <c r="W4161">
        <f>W4157</f>
        <v>12</v>
      </c>
      <c r="X4161" t="str">
        <v>x</v>
      </c>
      <c r="Y4161">
        <f>D4145</f>
        <v>4</v>
      </c>
      <c r="Z4161" t="str">
        <v>=</v>
      </c>
      <c r="AA4161">
        <f>N4161*U4161*W4161*Y4161</f>
        <v>0</v>
      </c>
    </row>
    <row r="4165">
      <c r="A4165" t="str">
        <f>A4135</f>
        <v>Lantai 2</v>
      </c>
      <c r="B4165">
        <f>B4135+1</f>
        <v>52</v>
      </c>
      <c r="C4165" t="str">
        <f>CONCATENATE(A4165," no. ",B4165)</f>
        <v>Lantai 2 no. 52</v>
      </c>
      <c r="D4165" t="str">
        <f>VLOOKUP(C4165,'Data Panjang Balok'!$C$9:$N$254,2,FALSE)</f>
        <v>B25-1</v>
      </c>
    </row>
    <row r="4166">
      <c r="C4166" t="str">
        <v>Dimensi</v>
      </c>
      <c r="D4166">
        <f>VLOOKUP(D4165,'Detail Balok'!$C$10:$AU$140,2,FALSE)</f>
        <v>200</v>
      </c>
      <c r="F4166" t="str">
        <v>x</v>
      </c>
      <c r="G4166">
        <f>VLOOKUP(D4165,'Detail Balok'!$C$10:$AU$140,3,FALSE)</f>
        <v>500</v>
      </c>
    </row>
    <row r="4167">
      <c r="C4167" t="str">
        <v>Panjang as ke as</v>
      </c>
      <c r="D4167">
        <f>VLOOKUP(C4165,'Data Panjang Balok'!$C$9:$N$254,4,FALSE)</f>
        <v>4805</v>
      </c>
    </row>
    <row r="4168">
      <c r="C4168" t="str">
        <v>Panjang netto</v>
      </c>
      <c r="D4168">
        <f>VLOOKUP(C4165,'Data Panjang Balok'!$C$9:$N$254,7,FALSE)</f>
        <v>4805</v>
      </c>
    </row>
    <row r="4169">
      <c r="C4169" t="str">
        <v>Kolom / balok kiri</v>
      </c>
      <c r="D4169">
        <f>VLOOKUP(C4165,'Data Panjang Balok'!$C$9:$N$254,9,FALSE)</f>
        <v>0</v>
      </c>
    </row>
    <row r="4170">
      <c r="C4170" t="str">
        <v>Kolom / balok kanan</v>
      </c>
      <c r="D4170">
        <f>VLOOKUP(C4165,'Data Panjang Balok'!$C$9:$N$254,10,FALSE)</f>
        <v>0</v>
      </c>
    </row>
    <row r="4171">
      <c r="C4171" t="str">
        <v>Jumlah</v>
      </c>
      <c r="D4171">
        <f>VLOOKUP(C4165,'Data Panjang Balok'!$C$9:$N$254,3,FALSE)</f>
        <v>1</v>
      </c>
    </row>
    <row r="4172">
      <c r="A4172" t="str">
        <f>A4165</f>
        <v>Lantai 2</v>
      </c>
      <c r="B4172">
        <f>B4165</f>
        <v>52</v>
      </c>
      <c r="C4172" t="str">
        <v>Tul Atas Tumpuan</v>
      </c>
      <c r="D4172">
        <f>VLOOKUP(D4165,'Detail Balok'!$C$10:$AU$140,4,FALSE)</f>
        <v>4</v>
      </c>
      <c r="E4172" t="str">
        <v>D</v>
      </c>
      <c r="F4172">
        <f>VLOOKUP(D4165,'Detail Balok'!$C$10:$AU$140,6,FALSE)</f>
        <v>16</v>
      </c>
      <c r="I4172" t="str">
        <v>(</v>
      </c>
      <c r="J4172">
        <f>+D4167/4/1000</f>
        <v>1.20125</v>
      </c>
      <c r="K4172" t="str">
        <v>+</v>
      </c>
      <c r="L4172">
        <f>MAX(VLOOKUP(F4172,N$6:P$15,3,FALSE)/1000,2/3*D4169/1000)+F$16*F4172/1000</f>
        <v>0.192</v>
      </c>
      <c r="M4172" t="str">
        <v>=</v>
      </c>
      <c r="N4172">
        <f>J4172+L4172</f>
        <v>1.3932499999999999</v>
      </c>
      <c r="O4172" t="str">
        <v>+</v>
      </c>
      <c r="P4172">
        <f>D4172-D4173</f>
        <v>0</v>
      </c>
      <c r="Q4172" t="str">
        <v>x</v>
      </c>
      <c r="R4172">
        <f>IF(P4172&gt;0,$F$18*F4172/1000,0)</f>
        <v>0</v>
      </c>
      <c r="S4172" t="str">
        <v>)</v>
      </c>
      <c r="T4172" t="str">
        <v>x</v>
      </c>
      <c r="U4172">
        <f>0.006165*F4172^2</f>
        <v>1.57824</v>
      </c>
      <c r="X4172" t="str">
        <v>x</v>
      </c>
      <c r="Y4172">
        <f>D4171</f>
        <v>1</v>
      </c>
      <c r="Z4172" t="str">
        <v>=</v>
      </c>
      <c r="AA4172">
        <f>IF(AA4175=0,(D4172*N4172+P4172*R4172)*U4172*Y4172,0)</f>
        <v>0</v>
      </c>
    </row>
    <row r="4173">
      <c r="A4173" t="str">
        <f>A4165</f>
        <v>Lantai 2</v>
      </c>
      <c r="B4173">
        <f>B4165</f>
        <v>52</v>
      </c>
      <c r="C4173" t="str">
        <v>Tul Atas Lapangan</v>
      </c>
      <c r="D4173">
        <f>VLOOKUP(D4165,'Detail Balok'!$C$10:$AU$140,7,FALSE)</f>
        <v>4</v>
      </c>
      <c r="E4173" t="str">
        <v>D</v>
      </c>
      <c r="F4173">
        <f>VLOOKUP(D4165,'Detail Balok'!$C$10:$AU$140,9,FALSE)</f>
        <v>16</v>
      </c>
      <c r="I4173" t="str">
        <v>(</v>
      </c>
      <c r="J4173">
        <f>+D4167/2/1000</f>
        <v>2.4025</v>
      </c>
      <c r="K4173" t="str">
        <v>+</v>
      </c>
      <c r="M4173" t="str">
        <v>=</v>
      </c>
      <c r="N4173">
        <f>J4173+L4173</f>
        <v>2.4025</v>
      </c>
      <c r="O4173" t="str">
        <v>+</v>
      </c>
      <c r="P4173">
        <f>MAX(D4173-D4172,D4173-D4174)</f>
        <v>0</v>
      </c>
      <c r="Q4173" t="str">
        <v>x</v>
      </c>
      <c r="R4173">
        <f>IF(P4173&gt;0,2*(1-2*$F$19-1/2)*D4168/1000,0)</f>
        <v>0</v>
      </c>
      <c r="S4173" t="str">
        <v>)</v>
      </c>
      <c r="T4173" t="str">
        <v>x</v>
      </c>
      <c r="U4173">
        <f>0.006165*F4173^2</f>
        <v>1.57824</v>
      </c>
      <c r="X4173" t="str">
        <v>x</v>
      </c>
      <c r="Y4173">
        <f>D4171</f>
        <v>1</v>
      </c>
      <c r="Z4173" t="str">
        <v>=</v>
      </c>
      <c r="AA4173">
        <f>IF(AA4175=0,(D4173*N4173+P4173*R4173)*U4173*Y4173,0)</f>
        <v>0</v>
      </c>
    </row>
    <row r="4174">
      <c r="A4174" t="str">
        <f>A4165</f>
        <v>Lantai 2</v>
      </c>
      <c r="B4174">
        <f>B4165</f>
        <v>52</v>
      </c>
      <c r="C4174" t="str">
        <v>Tul Atas Tumpuan</v>
      </c>
      <c r="D4174">
        <f>VLOOKUP(D4165,'Detail Balok'!$C$10:$AU$140,10,FALSE)</f>
        <v>4</v>
      </c>
      <c r="E4174" t="str">
        <v>D</v>
      </c>
      <c r="F4174">
        <f>VLOOKUP(D4165,'Detail Balok'!$C$10:$AU$140,12,FALSE)</f>
        <v>16</v>
      </c>
      <c r="I4174" t="str">
        <v>(</v>
      </c>
      <c r="J4174">
        <f>+D4167/4/1000</f>
        <v>1.20125</v>
      </c>
      <c r="K4174" t="str">
        <v>+</v>
      </c>
      <c r="L4174">
        <f>MAX(VLOOKUP(F4174,N$6:P$15,3,FALSE)/1000,2/3*D4169/1000)+F$16*F4174/1000</f>
        <v>0.192</v>
      </c>
      <c r="M4174" t="str">
        <v>=</v>
      </c>
      <c r="N4174">
        <f>J4174+L4174</f>
        <v>1.3932499999999999</v>
      </c>
      <c r="O4174" t="str">
        <v>+</v>
      </c>
      <c r="P4174">
        <f>D4174-D4173</f>
        <v>0</v>
      </c>
      <c r="Q4174" t="str">
        <v>x</v>
      </c>
      <c r="R4174">
        <f>IF(P4174&gt;0,$F$18*F4174/1000,0)</f>
        <v>0</v>
      </c>
      <c r="S4174" t="str">
        <v>)</v>
      </c>
      <c r="T4174" t="str">
        <v>x</v>
      </c>
      <c r="U4174">
        <f>0.006165*F4174^2</f>
        <v>1.57824</v>
      </c>
      <c r="X4174" t="str">
        <v>x</v>
      </c>
      <c r="Y4174">
        <f>D4171</f>
        <v>1</v>
      </c>
      <c r="Z4174" t="str">
        <v>=</v>
      </c>
      <c r="AA4174">
        <f>IF(AA4175=0,(D4174*N4174+P4174*R4174)*U4174*Y4174,0)</f>
        <v>0</v>
      </c>
    </row>
    <row r="4175">
      <c r="A4175" t="str">
        <f>A4165</f>
        <v>Lantai 2</v>
      </c>
      <c r="B4175">
        <f>B4165</f>
        <v>52</v>
      </c>
      <c r="D4175">
        <f>IF(AND(D4172=D4173,D4173=D4174,D4172=D4174),D4172,0)</f>
        <v>4</v>
      </c>
      <c r="E4175" t="str">
        <v>D</v>
      </c>
      <c r="F4175">
        <f>IF(AND(F4172=F4173,F4172=F4174,F4173=F4174),F4172,0)</f>
        <v>16</v>
      </c>
      <c r="L4175" t="str">
        <v>Total panjang per balok</v>
      </c>
      <c r="M4175" t="str">
        <v>=</v>
      </c>
      <c r="N4175">
        <f>IF(AND(D4172=D4173,D4172=D4174,D4173=D4174,F4172=F4173,F4172=F4174,F4173=F4174),SUM(N4172:N4174),0)</f>
        <v>5.189</v>
      </c>
      <c r="O4175" t="str">
        <v>+</v>
      </c>
      <c r="P4175">
        <f>IF(N4175&gt;12,ROUNDDOWN(N4175/12,0),0)</f>
        <v>0</v>
      </c>
      <c r="Q4175" t="str">
        <v>x</v>
      </c>
      <c r="R4175">
        <f>IF(P4175&gt;0,MAX(VLOOKUP(F4175,$D$6:$G$15,3,FALSE),600),0)/1000</f>
        <v>0</v>
      </c>
      <c r="T4175" t="str">
        <v>x</v>
      </c>
      <c r="U4175">
        <f>U4174</f>
        <v>1.57824</v>
      </c>
      <c r="V4175" t="str">
        <v>x</v>
      </c>
      <c r="W4175">
        <f>D4175</f>
        <v>4</v>
      </c>
      <c r="X4175" t="str">
        <v>x</v>
      </c>
      <c r="Y4175">
        <f>Y4174</f>
        <v>1</v>
      </c>
      <c r="Z4175" t="str">
        <v>=</v>
      </c>
      <c r="AA4175">
        <f>(N4175+P4175*R4175/1000)*U4175*W4175*Y4175</f>
        <v>32.757949440000004</v>
      </c>
    </row>
    <row r="4177">
      <c r="A4177" t="str">
        <f>A4165</f>
        <v>Lantai 2</v>
      </c>
      <c r="B4177">
        <f>B4165</f>
        <v>52</v>
      </c>
      <c r="C4177" t="str">
        <v>Tul Peminggang</v>
      </c>
      <c r="D4177">
        <f>VLOOKUP(D4165,'Detail Balok'!$C$10:$AU$140,13,FALSE)</f>
        <v>2</v>
      </c>
      <c r="E4177" t="str">
        <v>D</v>
      </c>
      <c r="F4177">
        <f>VLOOKUP(D4165,'Detail Balok'!$C$10:$AU$140,15,FALSE)</f>
        <v>10</v>
      </c>
      <c r="J4177">
        <f>+D4167/1000</f>
        <v>4.805</v>
      </c>
      <c r="K4177" t="str">
        <v>+</v>
      </c>
      <c r="L4177">
        <f>2*$F$16*F4177/1000</f>
        <v>0.24</v>
      </c>
      <c r="M4177" t="str">
        <v>=</v>
      </c>
      <c r="N4177">
        <f>J4177+L4177</f>
        <v>5.045</v>
      </c>
      <c r="O4177" t="str">
        <v>+</v>
      </c>
      <c r="P4177">
        <f>IF(N4177&gt;12,ROUNDDOWN(N4177/12,0),0)</f>
        <v>0</v>
      </c>
      <c r="Q4177" t="str">
        <v>x</v>
      </c>
      <c r="R4177">
        <f>IF(P4177&gt;0,MAX(VLOOKUP(F4177,$D$6:$G$15,3,FALSE),600),0)/1000</f>
        <v>0</v>
      </c>
      <c r="T4177" t="str">
        <v>x</v>
      </c>
      <c r="U4177">
        <f>0.006165*F4177^2</f>
        <v>0.6165</v>
      </c>
      <c r="V4177" t="str">
        <v>x</v>
      </c>
      <c r="W4177">
        <f>+D4177</f>
        <v>2</v>
      </c>
      <c r="X4177" t="str">
        <v>x</v>
      </c>
      <c r="Y4177">
        <f>D4171</f>
        <v>1</v>
      </c>
      <c r="Z4177" t="str">
        <v>=</v>
      </c>
      <c r="AA4177">
        <f>(N4177+P4177*R4177/1000)*U4177*W4177*Y4177</f>
        <v>6.220485</v>
      </c>
    </row>
    <row r="4180">
      <c r="A4180" t="str">
        <f>A4165</f>
        <v>Lantai 2</v>
      </c>
      <c r="B4180">
        <f>B4165</f>
        <v>52</v>
      </c>
      <c r="C4180" t="str">
        <v>Tul Bawah Tumpuan</v>
      </c>
      <c r="D4180">
        <f>VLOOKUP(D4165,'Detail Balok'!$C$10:$AU$140,22,FALSE)</f>
        <v>4</v>
      </c>
      <c r="E4180" t="str">
        <v>D</v>
      </c>
      <c r="F4180">
        <f>VLOOKUP(D4165,'Detail Balok'!$C$10:$AU$140,24,FALSE)</f>
        <v>16</v>
      </c>
      <c r="I4180" t="str">
        <v>(</v>
      </c>
      <c r="J4180">
        <f>+J4172</f>
        <v>1.20125</v>
      </c>
      <c r="K4180" t="str">
        <v>+</v>
      </c>
      <c r="L4180">
        <f>MAX(VLOOKUP(F4180,N$6:P$15,3,FALSE)/1000,2/3*D4170/1000)+F$16*F4180/1000</f>
        <v>0.192</v>
      </c>
      <c r="M4180" t="str">
        <v>=</v>
      </c>
      <c r="N4180">
        <f>J4180+L4180</f>
        <v>1.3932499999999999</v>
      </c>
      <c r="O4180" t="str">
        <v>+</v>
      </c>
      <c r="P4180">
        <f>D4180-D4181</f>
        <v>0</v>
      </c>
      <c r="Q4180" t="str">
        <v>x</v>
      </c>
      <c r="R4180">
        <f>IF(P4180&gt;0,$F$18*F4180/1000,0)</f>
        <v>0</v>
      </c>
      <c r="S4180" t="str">
        <v>)</v>
      </c>
      <c r="T4180" t="str">
        <v>x</v>
      </c>
      <c r="U4180">
        <f>0.006165*F4180^2</f>
        <v>1.57824</v>
      </c>
      <c r="X4180" t="str">
        <v>x</v>
      </c>
      <c r="Y4180">
        <f>D4171</f>
        <v>1</v>
      </c>
      <c r="Z4180" t="str">
        <v>=</v>
      </c>
      <c r="AA4180">
        <f>IF(AA4183=0,(D4180*N4180+P4180*R4180)*U4180*Y4180,0)</f>
        <v>0</v>
      </c>
    </row>
    <row r="4181">
      <c r="A4181" t="str">
        <f>A4165</f>
        <v>Lantai 2</v>
      </c>
      <c r="B4181">
        <f>B4165</f>
        <v>52</v>
      </c>
      <c r="C4181" t="str">
        <v>Tul Bawah Lapangan</v>
      </c>
      <c r="D4181">
        <f>VLOOKUP(D4165,'Detail Balok'!$C$10:$AU$140,25,FALSE)</f>
        <v>4</v>
      </c>
      <c r="E4181" t="str">
        <v>D</v>
      </c>
      <c r="F4181">
        <f>VLOOKUP(D4165,'Detail Balok'!$C$10:$AU$140,27,FALSE)</f>
        <v>16</v>
      </c>
      <c r="I4181" t="str">
        <v>(</v>
      </c>
      <c r="J4181">
        <f>+J4173</f>
        <v>2.4025</v>
      </c>
      <c r="K4181" t="str">
        <v>+</v>
      </c>
      <c r="M4181" t="str">
        <v>=</v>
      </c>
      <c r="N4181">
        <f>J4181+L4181</f>
        <v>2.4025</v>
      </c>
      <c r="O4181" t="str">
        <v>+</v>
      </c>
      <c r="P4181">
        <f>MAX(D4181-D4180,D4181-D4182)</f>
        <v>0</v>
      </c>
      <c r="Q4181" t="str">
        <v>x</v>
      </c>
      <c r="R4181">
        <f>IF(P4181&gt;0,2*(1-2*$F$19-1/2)*D4168/1000,0)</f>
        <v>0</v>
      </c>
      <c r="S4181" t="str">
        <v>)</v>
      </c>
      <c r="T4181" t="str">
        <v>x</v>
      </c>
      <c r="U4181">
        <f>0.006165*F4181^2</f>
        <v>1.57824</v>
      </c>
      <c r="X4181" t="str">
        <v>x</v>
      </c>
      <c r="Y4181">
        <f>D4171</f>
        <v>1</v>
      </c>
      <c r="Z4181" t="str">
        <v>=</v>
      </c>
      <c r="AA4181">
        <f>IF(AA4183=0,(D4181*N4181+P4181*R4181)*U4181*Y4181,0)</f>
        <v>0</v>
      </c>
    </row>
    <row r="4182">
      <c r="A4182" t="str">
        <f>A4165</f>
        <v>Lantai 2</v>
      </c>
      <c r="B4182">
        <f>B4165</f>
        <v>52</v>
      </c>
      <c r="C4182" t="str">
        <v>Tul Bawah Tumpuan</v>
      </c>
      <c r="D4182">
        <f>VLOOKUP(D4165,'Detail Balok'!$C$10:$AU$140,28,FALSE)</f>
        <v>4</v>
      </c>
      <c r="E4182" t="str">
        <v>D</v>
      </c>
      <c r="F4182">
        <f>VLOOKUP(D4165,'Detail Balok'!$C$10:$AU$140,30,FALSE)</f>
        <v>16</v>
      </c>
      <c r="I4182" t="str">
        <v>(</v>
      </c>
      <c r="J4182">
        <f>+J4174</f>
        <v>1.20125</v>
      </c>
      <c r="K4182" t="str">
        <v>+</v>
      </c>
      <c r="L4182">
        <f>MAX(VLOOKUP(F4182,N$6:P$15,3,FALSE)/1000,2/3*D4170/1000)+F$16*F4182/1000</f>
        <v>0.192</v>
      </c>
      <c r="M4182" t="str">
        <v>=</v>
      </c>
      <c r="N4182">
        <f>J4182+L4182</f>
        <v>1.3932499999999999</v>
      </c>
      <c r="O4182" t="str">
        <v>+</v>
      </c>
      <c r="P4182">
        <f>D4182-D4181</f>
        <v>0</v>
      </c>
      <c r="Q4182" t="str">
        <v>x</v>
      </c>
      <c r="R4182">
        <f>IF(P4182&gt;0,$F$18*F4182/1000,0)</f>
        <v>0</v>
      </c>
      <c r="S4182" t="str">
        <v>)</v>
      </c>
      <c r="T4182" t="str">
        <v>x</v>
      </c>
      <c r="U4182">
        <f>0.006165*F4182^2</f>
        <v>1.57824</v>
      </c>
      <c r="X4182" t="str">
        <v>x</v>
      </c>
      <c r="Y4182">
        <f>D4171</f>
        <v>1</v>
      </c>
      <c r="Z4182" t="str">
        <v>=</v>
      </c>
      <c r="AA4182">
        <f>IF(AA4183=0,(D4182*N4182+P4182*R4182)*U4182*Y4182,0)</f>
        <v>0</v>
      </c>
    </row>
    <row r="4183">
      <c r="A4183" t="str">
        <f>A4165</f>
        <v>Lantai 2</v>
      </c>
      <c r="B4183">
        <f>B4165</f>
        <v>52</v>
      </c>
      <c r="D4183">
        <f>IF(AND(D4180=D4181,D4181=D4182,D4180=D4182),D4180,0)</f>
        <v>4</v>
      </c>
      <c r="E4183" t="str">
        <v>D</v>
      </c>
      <c r="F4183">
        <f>IF(AND(F4180=F4181,F4180=F4182,F4181=F4182),F4180,0)</f>
        <v>16</v>
      </c>
      <c r="L4183" t="str">
        <v>Total panjang per balok</v>
      </c>
      <c r="M4183" t="str">
        <v>=</v>
      </c>
      <c r="N4183">
        <f>IF(AND(D4180=D4181,D4180=D4182,D4181=D4182,F4180=F4181,F4180=F4182,F4181=F4182),SUM(N4180:N4182),0)</f>
        <v>5.189</v>
      </c>
      <c r="O4183" t="str">
        <v>+</v>
      </c>
      <c r="P4183">
        <f>IF(N4183&gt;12,ROUNDDOWN(N4183/12,0),0)</f>
        <v>0</v>
      </c>
      <c r="Q4183" t="str">
        <v>x</v>
      </c>
      <c r="R4183">
        <f>IF(P4183&gt;0,MAX(VLOOKUP(F4183,$D$6:$G$15,3,FALSE),600),0)/1000</f>
        <v>0</v>
      </c>
      <c r="T4183" t="str">
        <v>x</v>
      </c>
      <c r="U4183">
        <f>U4182</f>
        <v>1.57824</v>
      </c>
      <c r="V4183" t="str">
        <v>x</v>
      </c>
      <c r="W4183">
        <f>D4183</f>
        <v>4</v>
      </c>
      <c r="X4183" t="str">
        <v>x</v>
      </c>
      <c r="Y4183">
        <f>Y4182</f>
        <v>1</v>
      </c>
      <c r="Z4183" t="str">
        <v>=</v>
      </c>
      <c r="AA4183">
        <f>(N4183+P4183*R4183/1000)*U4183*W4183*Y4183</f>
        <v>32.757949440000004</v>
      </c>
    </row>
    <row r="4185">
      <c r="A4185" t="str">
        <f>A4165</f>
        <v>Lantai 2</v>
      </c>
      <c r="B4185">
        <f>B4165</f>
        <v>52</v>
      </c>
      <c r="C4185" t="str">
        <v>Sengkang Tumpuan</v>
      </c>
      <c r="D4185">
        <f>VLOOKUP(D4165,'Detail Balok'!$C$10:$AU$140,31,FALSE)</f>
        <v>0</v>
      </c>
      <c r="E4185" t="str">
        <v>D</v>
      </c>
      <c r="F4185">
        <f>VLOOKUP(D4165,'Detail Balok'!$C$10:$AU$140,33,FALSE)</f>
        <v>10</v>
      </c>
      <c r="G4185" t="str">
        <v>-</v>
      </c>
      <c r="H4185">
        <f>VLOOKUP(D4165,'Detail Balok'!$C$10:$AU$140,35,FALSE)</f>
        <v>150</v>
      </c>
      <c r="J4185">
        <f>(IF(D4185=0,(2*(D4166+G4166))-(F$5*8),IF(D4185=3,(2*(D4166+G4166))-(F$5*8)+(G4166-2*F$5),IF(D4185=4,(2*(D4166+G4166))-(F$5*8)+2*(G4166-2*F$5)))))/1000</f>
        <v>1.08</v>
      </c>
      <c r="K4185" t="str">
        <v>+</v>
      </c>
      <c r="L4185">
        <f>IF(D4185=0,2*MAX(6*F4185,75),(D4185-1)*2*MAX(6*F4185,75))/1000</f>
        <v>0.15</v>
      </c>
      <c r="M4185" t="str">
        <v>=</v>
      </c>
      <c r="N4185">
        <f>J4185+L4185</f>
        <v>1.23</v>
      </c>
      <c r="T4185" t="str">
        <v>x</v>
      </c>
      <c r="U4185">
        <f>0.006165*F4185^2</f>
        <v>0.6165</v>
      </c>
      <c r="V4185" t="str">
        <v>x</v>
      </c>
      <c r="W4185">
        <f>IF(D4168&gt;4*G4166,ROUND(MAX(D4168/4,2*G4166)/H4185,0)+1,ROUND(D4168/H4185,0)+1)</f>
        <v>9</v>
      </c>
      <c r="X4185" t="str">
        <v>x</v>
      </c>
      <c r="Y4185">
        <f>D4171</f>
        <v>1</v>
      </c>
      <c r="Z4185" t="str">
        <v>=</v>
      </c>
      <c r="AA4185">
        <f>N4185*U4185*W4185*Y4185</f>
        <v>6.824655000000001</v>
      </c>
    </row>
    <row r="4186">
      <c r="A4186" t="str">
        <f>A4165</f>
        <v>Lantai 2</v>
      </c>
      <c r="B4186">
        <f>B4165</f>
        <v>52</v>
      </c>
      <c r="C4186" t="str">
        <v>Sengkang Lapangan</v>
      </c>
      <c r="D4186">
        <f>VLOOKUP(D4165,'Detail Balok'!$C$10:$AU$140,36,FALSE)</f>
        <v>0</v>
      </c>
      <c r="E4186" t="str">
        <v>D</v>
      </c>
      <c r="F4186">
        <f>VLOOKUP(D4165,'Detail Balok'!$C$10:$AU$140,38,FALSE)</f>
        <v>10</v>
      </c>
      <c r="G4186" t="str">
        <v>-</v>
      </c>
      <c r="H4186">
        <f>VLOOKUP(D4165,'Detail Balok'!$C$10:$AU$140,40,FALSE)</f>
        <v>200</v>
      </c>
      <c r="J4186">
        <f>(IF(D4186=0,(2*(D4166+G4166))-(F$5*8),IF(D4186=3,(2*(D4166+G4166))-(F$5*8)+(G4166-2*F$5),IF(D4186=4,(2*(D4166+G4166))-(F$5*8)+2*(G4166-2*F$5)))))/1000</f>
        <v>1.08</v>
      </c>
      <c r="K4186" t="str">
        <v>+</v>
      </c>
      <c r="L4186">
        <f>IF(D4186=0,2*MAX(6*F4186,75),(D4186-1)*2*MAX(6*F4186,75))/1000</f>
        <v>0.15</v>
      </c>
      <c r="M4186" t="str">
        <v>=</v>
      </c>
      <c r="N4186">
        <f>J4186+L4186</f>
        <v>1.23</v>
      </c>
      <c r="T4186" t="str">
        <v>x</v>
      </c>
      <c r="U4186">
        <f>0.006165*F4186^2</f>
        <v>0.6165</v>
      </c>
      <c r="V4186" t="str">
        <v>x</v>
      </c>
      <c r="W4186">
        <f>IF(D4168-MAX(D4168/4,2*G4166)*2&gt;0,ROUND((D4168-MAX(D4168/4,2*G4166)*2)/H4186,0),0)</f>
        <v>12</v>
      </c>
      <c r="X4186" t="str">
        <v>x</v>
      </c>
      <c r="Y4186">
        <f>D4171</f>
        <v>1</v>
      </c>
      <c r="Z4186" t="str">
        <v>=</v>
      </c>
      <c r="AA4186">
        <f>N4186*U4186*W4186*Y4186</f>
        <v>9.099540000000001</v>
      </c>
    </row>
    <row r="4187">
      <c r="A4187" t="str">
        <f>A4165</f>
        <v>Lantai 2</v>
      </c>
      <c r="B4187">
        <f>B4165</f>
        <v>52</v>
      </c>
      <c r="C4187" t="str">
        <v>Sengkang Tumpuan</v>
      </c>
      <c r="D4187">
        <f>VLOOKUP(D4165,'Detail Balok'!$C$10:$AU$140,41,FALSE)</f>
        <v>0</v>
      </c>
      <c r="E4187" t="str">
        <v>D</v>
      </c>
      <c r="F4187">
        <f>VLOOKUP(D4165,'Detail Balok'!$C$10:$AU$140,43,FALSE)</f>
        <v>10</v>
      </c>
      <c r="G4187" t="str">
        <v>-</v>
      </c>
      <c r="H4187">
        <f>VLOOKUP(D4165,'Detail Balok'!$C$10:$AU$140,45,FALSE)</f>
        <v>150</v>
      </c>
      <c r="J4187">
        <f>(IF(D4187=0,(2*(D4166+G4166))-(F$5*8),IF(D4187=3,(2*(D4166+G4166))-(F$5*8)+(G4166-2*F$5),IF(D4187=4,(2*(D4166+G4166))-(F$5*8)+2*(G4166-2*F$5)))))/1000</f>
        <v>1.08</v>
      </c>
      <c r="K4187" t="str">
        <v>+</v>
      </c>
      <c r="L4187">
        <f>IF(D4187=0,2*MAX(6*F4187,75),(D4187-1)*2*MAX(6*F4187,75))/1000</f>
        <v>0.15</v>
      </c>
      <c r="M4187" t="str">
        <v>=</v>
      </c>
      <c r="N4187">
        <f>J4187+L4187</f>
        <v>1.23</v>
      </c>
      <c r="T4187" t="str">
        <v>x</v>
      </c>
      <c r="U4187">
        <f>0.006165*F4187^2</f>
        <v>0.6165</v>
      </c>
      <c r="V4187" t="str">
        <v>x</v>
      </c>
      <c r="W4187">
        <f>IF(D4168&gt;4*G4166,ROUND(MAX(D4168/4,2*G4166)/H4187,0)+1,0)</f>
        <v>9</v>
      </c>
      <c r="X4187" t="str">
        <v>x</v>
      </c>
      <c r="Y4187">
        <f>D4171</f>
        <v>1</v>
      </c>
      <c r="Z4187" t="str">
        <v>=</v>
      </c>
      <c r="AA4187">
        <f>N4187*U4187*W4187*Y4187</f>
        <v>6.824655000000001</v>
      </c>
    </row>
    <row r="4189">
      <c r="A4189" t="str">
        <f>A4165</f>
        <v>Lantai 2</v>
      </c>
      <c r="B4189">
        <f>B4165</f>
        <v>52</v>
      </c>
      <c r="C4189" t="str">
        <v>Kait Horizontal Tump.</v>
      </c>
      <c r="D4189">
        <f>VLOOKUP(D4165,'Detail Balok'!$C$10:$BJ$140,46,FALSE)</f>
        <v>0</v>
      </c>
      <c r="E4189" t="str">
        <v>D</v>
      </c>
      <c r="F4189">
        <f>VLOOKUP(D4165,'Detail Balok'!$C$10:$BJ$140,48,FALSE)</f>
        <v>0</v>
      </c>
      <c r="G4189" t="str">
        <v>-</v>
      </c>
      <c r="H4189">
        <f>VLOOKUP(D4165,'Detail Balok'!$C$10:$BJ$140,50,FALSE)</f>
        <v>100</v>
      </c>
      <c r="J4189">
        <f>(D4166-2*F$5)/1000</f>
        <v>0.12</v>
      </c>
      <c r="K4189" t="str">
        <v>+</v>
      </c>
      <c r="L4189">
        <f>IF(D4189=0,2*MAX(6*F4189,75),(D4189-1)*2*MAX(6*F4189,75))/1000</f>
        <v>0.15</v>
      </c>
      <c r="M4189" t="str">
        <v>=</v>
      </c>
      <c r="N4189">
        <f>J4189+L4189</f>
        <v>0.27</v>
      </c>
      <c r="T4189" t="str">
        <v>x</v>
      </c>
      <c r="U4189">
        <f>0.006165*F4189^2</f>
        <v>0</v>
      </c>
      <c r="V4189" t="str">
        <v>x</v>
      </c>
      <c r="W4189">
        <f>W4185</f>
        <v>9</v>
      </c>
      <c r="X4189" t="str">
        <v>x</v>
      </c>
      <c r="Y4189">
        <f>D4175</f>
        <v>4</v>
      </c>
      <c r="Z4189" t="str">
        <v>=</v>
      </c>
      <c r="AA4189">
        <f>N4189*U4189*W4189*Y4189</f>
        <v>0</v>
      </c>
    </row>
    <row r="4190">
      <c r="A4190" t="str">
        <f>A4165</f>
        <v>Lantai 2</v>
      </c>
      <c r="B4190">
        <f>B4165</f>
        <v>52</v>
      </c>
      <c r="C4190" t="str">
        <v>Kait Horizontal Lap.</v>
      </c>
      <c r="D4190">
        <f>VLOOKUP(D4165,'Detail Balok'!$C$10:$BJ$140,51,FALSE)</f>
        <v>0</v>
      </c>
      <c r="E4190" t="str">
        <v>D</v>
      </c>
      <c r="F4190">
        <f>VLOOKUP(D4165,'Detail Balok'!$C$10:$BJ$140,53,FALSE)</f>
        <v>0</v>
      </c>
      <c r="G4190" t="str">
        <v>-</v>
      </c>
      <c r="H4190">
        <f>VLOOKUP(D4165,'Detail Balok'!$C$10:$BJ$140,55,FALSE)</f>
        <v>100</v>
      </c>
      <c r="J4190">
        <f>(D4166-2*F$5)/1000</f>
        <v>0.12</v>
      </c>
      <c r="K4190" t="str">
        <v>+</v>
      </c>
      <c r="L4190">
        <f>IF(D4190=0,2*MAX(6*F4190,75),(D4190-1)*2*MAX(6*F4190,75))/1000</f>
        <v>0.15</v>
      </c>
      <c r="M4190" t="str">
        <v>=</v>
      </c>
      <c r="N4190">
        <f>J4190+L4190</f>
        <v>0.27</v>
      </c>
      <c r="T4190" t="str">
        <v>x</v>
      </c>
      <c r="U4190">
        <f>0.006165*F4190^2</f>
        <v>0</v>
      </c>
      <c r="V4190" t="str">
        <v>x</v>
      </c>
      <c r="W4190">
        <f>W4186</f>
        <v>12</v>
      </c>
      <c r="X4190" t="str">
        <v>x</v>
      </c>
      <c r="Y4190">
        <f>D4175</f>
        <v>4</v>
      </c>
      <c r="Z4190" t="str">
        <v>=</v>
      </c>
      <c r="AA4190">
        <f>N4190*U4190*W4190*Y4190</f>
        <v>0</v>
      </c>
    </row>
    <row r="4191">
      <c r="A4191" t="str">
        <f>A4165</f>
        <v>Lantai 2</v>
      </c>
      <c r="B4191">
        <f>B4165</f>
        <v>52</v>
      </c>
      <c r="C4191" t="str">
        <v>Kait Horizontal Tump.</v>
      </c>
      <c r="D4191">
        <f>VLOOKUP(D4165,'Detail Balok'!$C$10:$BJ$140,56,FALSE)</f>
        <v>0</v>
      </c>
      <c r="E4191" t="str">
        <v>D</v>
      </c>
      <c r="F4191">
        <f>VLOOKUP(D4165,'Detail Balok'!$C$10:$BJ$140,58,FALSE)</f>
        <v>0</v>
      </c>
      <c r="G4191" t="str">
        <v>-</v>
      </c>
      <c r="H4191">
        <f>VLOOKUP(D4165,'Detail Balok'!$C$10:$BJ$140,60,FALSE)</f>
        <v>100</v>
      </c>
      <c r="J4191">
        <f>(D4166-2*F$5)/1000</f>
        <v>0.12</v>
      </c>
      <c r="K4191" t="str">
        <v>+</v>
      </c>
      <c r="L4191">
        <f>IF(D4191=0,2*MAX(6*F4191,75),(D4191-1)*2*MAX(6*F4191,75))/1000</f>
        <v>0.15</v>
      </c>
      <c r="M4191" t="str">
        <v>=</v>
      </c>
      <c r="N4191">
        <f>J4191+L4191</f>
        <v>0.27</v>
      </c>
      <c r="T4191" t="str">
        <v>x</v>
      </c>
      <c r="U4191">
        <f>0.006165*F4191^2</f>
        <v>0</v>
      </c>
      <c r="V4191" t="str">
        <v>x</v>
      </c>
      <c r="W4191">
        <f>W4187</f>
        <v>9</v>
      </c>
      <c r="X4191" t="str">
        <v>x</v>
      </c>
      <c r="Y4191">
        <f>D4175</f>
        <v>4</v>
      </c>
      <c r="Z4191" t="str">
        <v>=</v>
      </c>
      <c r="AA4191">
        <f>N4191*U4191*W4191*Y4191</f>
        <v>0</v>
      </c>
    </row>
    <row r="4195">
      <c r="A4195" t="str">
        <f>A4165</f>
        <v>Lantai 2</v>
      </c>
      <c r="B4195">
        <f>B4165+1</f>
        <v>53</v>
      </c>
      <c r="C4195" t="str">
        <f>CONCATENATE(A4195," no. ",B4195)</f>
        <v>Lantai 2 no. 53</v>
      </c>
      <c r="D4195" t="str">
        <f>VLOOKUP(C4195,'Data Panjang Balok'!$C$9:$N$254,2,FALSE)</f>
        <v>B24-1</v>
      </c>
    </row>
    <row r="4196">
      <c r="C4196" t="str">
        <v>Dimensi</v>
      </c>
      <c r="D4196">
        <f>VLOOKUP(D4195,'Detail Balok'!$C$10:$AU$140,2,FALSE)</f>
        <v>200</v>
      </c>
      <c r="F4196" t="str">
        <v>x</v>
      </c>
      <c r="G4196">
        <f>VLOOKUP(D4195,'Detail Balok'!$C$10:$AU$140,3,FALSE)</f>
        <v>400</v>
      </c>
    </row>
    <row r="4197">
      <c r="C4197" t="str">
        <v>Panjang as ke as</v>
      </c>
      <c r="D4197">
        <f>VLOOKUP(C4195,'Data Panjang Balok'!$C$9:$N$254,4,FALSE)</f>
        <v>2755</v>
      </c>
    </row>
    <row r="4198">
      <c r="C4198" t="str">
        <v>Panjang netto</v>
      </c>
      <c r="D4198">
        <f>VLOOKUP(C4195,'Data Panjang Balok'!$C$9:$N$254,7,FALSE)</f>
        <v>2755</v>
      </c>
    </row>
    <row r="4199">
      <c r="C4199" t="str">
        <v>Kolom / balok kiri</v>
      </c>
      <c r="D4199">
        <f>VLOOKUP(C4195,'Data Panjang Balok'!$C$9:$N$254,9,FALSE)</f>
        <v>0</v>
      </c>
    </row>
    <row r="4200">
      <c r="C4200" t="str">
        <v>Kolom / balok kanan</v>
      </c>
      <c r="D4200">
        <f>VLOOKUP(C4195,'Data Panjang Balok'!$C$9:$N$254,10,FALSE)</f>
        <v>0</v>
      </c>
    </row>
    <row r="4201">
      <c r="C4201" t="str">
        <v>Jumlah</v>
      </c>
      <c r="D4201">
        <f>VLOOKUP(C4195,'Data Panjang Balok'!$C$9:$N$254,3,FALSE)</f>
        <v>1</v>
      </c>
    </row>
    <row r="4202">
      <c r="A4202" t="str">
        <f>A4195</f>
        <v>Lantai 2</v>
      </c>
      <c r="B4202">
        <f>B4195</f>
        <v>53</v>
      </c>
      <c r="C4202" t="str">
        <v>Tul Atas Tumpuan</v>
      </c>
      <c r="D4202">
        <f>VLOOKUP(D4195,'Detail Balok'!$C$10:$AU$140,4,FALSE)</f>
        <v>3</v>
      </c>
      <c r="E4202" t="str">
        <v>D</v>
      </c>
      <c r="F4202">
        <f>VLOOKUP(D4195,'Detail Balok'!$C$10:$AU$140,6,FALSE)</f>
        <v>13</v>
      </c>
      <c r="I4202" t="str">
        <v>(</v>
      </c>
      <c r="J4202">
        <f>+D4197/4/1000</f>
        <v>0.68875</v>
      </c>
      <c r="K4202" t="str">
        <v>+</v>
      </c>
      <c r="L4202">
        <f>MAX(VLOOKUP(F4202,N$6:P$15,3,FALSE)/1000,2/3*D4199/1000)+F$16*F4202/1000</f>
        <v>0.156</v>
      </c>
      <c r="M4202" t="str">
        <v>=</v>
      </c>
      <c r="N4202">
        <f>J4202+L4202</f>
        <v>0.84475</v>
      </c>
      <c r="O4202" t="str">
        <v>+</v>
      </c>
      <c r="P4202">
        <f>D4202-D4203</f>
        <v>0</v>
      </c>
      <c r="Q4202" t="str">
        <v>x</v>
      </c>
      <c r="R4202">
        <f>IF(P4202&gt;0,$F$18*F4202/1000,0)</f>
        <v>0</v>
      </c>
      <c r="S4202" t="str">
        <v>)</v>
      </c>
      <c r="T4202" t="str">
        <v>x</v>
      </c>
      <c r="U4202">
        <f>0.006165*F4202^2</f>
        <v>1.041885</v>
      </c>
      <c r="X4202" t="str">
        <v>x</v>
      </c>
      <c r="Y4202">
        <f>D4201</f>
        <v>1</v>
      </c>
      <c r="Z4202" t="str">
        <v>=</v>
      </c>
      <c r="AA4202">
        <f>IF(AA4205=0,(D4202*N4202+P4202*R4202)*U4202*Y4202,0)</f>
        <v>0</v>
      </c>
    </row>
    <row r="4203">
      <c r="A4203" t="str">
        <f>A4195</f>
        <v>Lantai 2</v>
      </c>
      <c r="B4203">
        <f>B4195</f>
        <v>53</v>
      </c>
      <c r="C4203" t="str">
        <v>Tul Atas Lapangan</v>
      </c>
      <c r="D4203">
        <f>VLOOKUP(D4195,'Detail Balok'!$C$10:$AU$140,7,FALSE)</f>
        <v>3</v>
      </c>
      <c r="E4203" t="str">
        <v>D</v>
      </c>
      <c r="F4203">
        <f>VLOOKUP(D4195,'Detail Balok'!$C$10:$AU$140,9,FALSE)</f>
        <v>13</v>
      </c>
      <c r="I4203" t="str">
        <v>(</v>
      </c>
      <c r="J4203">
        <f>+D4197/2/1000</f>
        <v>1.3775</v>
      </c>
      <c r="K4203" t="str">
        <v>+</v>
      </c>
      <c r="M4203" t="str">
        <v>=</v>
      </c>
      <c r="N4203">
        <f>J4203+L4203</f>
        <v>1.3775</v>
      </c>
      <c r="O4203" t="str">
        <v>+</v>
      </c>
      <c r="P4203">
        <f>MAX(D4203-D4202,D4203-D4204)</f>
        <v>0</v>
      </c>
      <c r="Q4203" t="str">
        <v>x</v>
      </c>
      <c r="R4203">
        <f>IF(P4203&gt;0,2*(1-2*$F$19-1/2)*D4198/1000,0)</f>
        <v>0</v>
      </c>
      <c r="S4203" t="str">
        <v>)</v>
      </c>
      <c r="T4203" t="str">
        <v>x</v>
      </c>
      <c r="U4203">
        <f>0.006165*F4203^2</f>
        <v>1.041885</v>
      </c>
      <c r="X4203" t="str">
        <v>x</v>
      </c>
      <c r="Y4203">
        <f>D4201</f>
        <v>1</v>
      </c>
      <c r="Z4203" t="str">
        <v>=</v>
      </c>
      <c r="AA4203">
        <f>IF(AA4205=0,(D4203*N4203+P4203*R4203)*U4203*Y4203,0)</f>
        <v>0</v>
      </c>
    </row>
    <row r="4204">
      <c r="A4204" t="str">
        <f>A4195</f>
        <v>Lantai 2</v>
      </c>
      <c r="B4204">
        <f>B4195</f>
        <v>53</v>
      </c>
      <c r="C4204" t="str">
        <v>Tul Atas Tumpuan</v>
      </c>
      <c r="D4204">
        <f>VLOOKUP(D4195,'Detail Balok'!$C$10:$AU$140,10,FALSE)</f>
        <v>3</v>
      </c>
      <c r="E4204" t="str">
        <v>D</v>
      </c>
      <c r="F4204">
        <f>VLOOKUP(D4195,'Detail Balok'!$C$10:$AU$140,12,FALSE)</f>
        <v>13</v>
      </c>
      <c r="I4204" t="str">
        <v>(</v>
      </c>
      <c r="J4204">
        <f>+D4197/4/1000</f>
        <v>0.68875</v>
      </c>
      <c r="K4204" t="str">
        <v>+</v>
      </c>
      <c r="L4204">
        <f>MAX(VLOOKUP(F4204,N$6:P$15,3,FALSE)/1000,2/3*D4199/1000)+F$16*F4204/1000</f>
        <v>0.156</v>
      </c>
      <c r="M4204" t="str">
        <v>=</v>
      </c>
      <c r="N4204">
        <f>J4204+L4204</f>
        <v>0.84475</v>
      </c>
      <c r="O4204" t="str">
        <v>+</v>
      </c>
      <c r="P4204">
        <f>D4204-D4203</f>
        <v>0</v>
      </c>
      <c r="Q4204" t="str">
        <v>x</v>
      </c>
      <c r="R4204">
        <f>IF(P4204&gt;0,$F$18*F4204/1000,0)</f>
        <v>0</v>
      </c>
      <c r="S4204" t="str">
        <v>)</v>
      </c>
      <c r="T4204" t="str">
        <v>x</v>
      </c>
      <c r="U4204">
        <f>0.006165*F4204^2</f>
        <v>1.041885</v>
      </c>
      <c r="X4204" t="str">
        <v>x</v>
      </c>
      <c r="Y4204">
        <f>D4201</f>
        <v>1</v>
      </c>
      <c r="Z4204" t="str">
        <v>=</v>
      </c>
      <c r="AA4204">
        <f>IF(AA4205=0,(D4204*N4204+P4204*R4204)*U4204*Y4204,0)</f>
        <v>0</v>
      </c>
    </row>
    <row r="4205">
      <c r="A4205" t="str">
        <f>A4195</f>
        <v>Lantai 2</v>
      </c>
      <c r="B4205">
        <f>B4195</f>
        <v>53</v>
      </c>
      <c r="D4205">
        <f>IF(AND(D4202=D4203,D4203=D4204,D4202=D4204),D4202,0)</f>
        <v>3</v>
      </c>
      <c r="E4205" t="str">
        <v>D</v>
      </c>
      <c r="F4205">
        <f>IF(AND(F4202=F4203,F4202=F4204,F4203=F4204),F4202,0)</f>
        <v>13</v>
      </c>
      <c r="L4205" t="str">
        <v>Total panjang per balok</v>
      </c>
      <c r="M4205" t="str">
        <v>=</v>
      </c>
      <c r="N4205">
        <f>IF(AND(D4202=D4203,D4202=D4204,D4203=D4204,F4202=F4203,F4202=F4204,F4203=F4204),SUM(N4202:N4204),0)</f>
        <v>3.0669999999999997</v>
      </c>
      <c r="O4205" t="str">
        <v>+</v>
      </c>
      <c r="P4205">
        <f>IF(N4205&gt;12,ROUNDDOWN(N4205/12,0),0)</f>
        <v>0</v>
      </c>
      <c r="Q4205" t="str">
        <v>x</v>
      </c>
      <c r="R4205">
        <f>IF(P4205&gt;0,MAX(VLOOKUP(F4205,$D$6:$G$15,3,FALSE),600),0)/1000</f>
        <v>0</v>
      </c>
      <c r="T4205" t="str">
        <v>x</v>
      </c>
      <c r="U4205">
        <f>U4204</f>
        <v>1.041885</v>
      </c>
      <c r="V4205" t="str">
        <v>x</v>
      </c>
      <c r="W4205">
        <f>D4205</f>
        <v>3</v>
      </c>
      <c r="X4205" t="str">
        <v>x</v>
      </c>
      <c r="Y4205">
        <f>Y4204</f>
        <v>1</v>
      </c>
      <c r="Z4205" t="str">
        <v>=</v>
      </c>
      <c r="AA4205">
        <f>(N4205+P4205*R4205/1000)*U4205*W4205*Y4205</f>
        <v>9.586383884999998</v>
      </c>
    </row>
    <row r="4207">
      <c r="A4207" t="str">
        <f>A4195</f>
        <v>Lantai 2</v>
      </c>
      <c r="B4207">
        <f>B4195</f>
        <v>53</v>
      </c>
      <c r="C4207" t="str">
        <v>Tul Peminggang</v>
      </c>
      <c r="D4207">
        <f>VLOOKUP(D4195,'Detail Balok'!$C$10:$AU$140,13,FALSE)</f>
        <v>0</v>
      </c>
      <c r="E4207" t="str">
        <v>D</v>
      </c>
      <c r="F4207">
        <f>VLOOKUP(D4195,'Detail Balok'!$C$10:$AU$140,15,FALSE)</f>
        <v>8</v>
      </c>
      <c r="J4207">
        <f>+D4197/1000</f>
        <v>2.755</v>
      </c>
      <c r="K4207" t="str">
        <v>+</v>
      </c>
      <c r="L4207">
        <f>2*$F$16*F4207/1000</f>
        <v>0.192</v>
      </c>
      <c r="M4207" t="str">
        <v>=</v>
      </c>
      <c r="N4207">
        <f>J4207+L4207</f>
        <v>2.947</v>
      </c>
      <c r="O4207" t="str">
        <v>+</v>
      </c>
      <c r="P4207">
        <f>IF(N4207&gt;12,ROUNDDOWN(N4207/12,0),0)</f>
        <v>0</v>
      </c>
      <c r="Q4207" t="str">
        <v>x</v>
      </c>
      <c r="R4207">
        <f>IF(P4207&gt;0,MAX(VLOOKUP(F4207,$D$6:$G$15,3,FALSE),600),0)/1000</f>
        <v>0</v>
      </c>
      <c r="T4207" t="str">
        <v>x</v>
      </c>
      <c r="U4207">
        <f>0.006165*F4207^2</f>
        <v>0.39456</v>
      </c>
      <c r="V4207" t="str">
        <v>x</v>
      </c>
      <c r="W4207">
        <f>+D4207</f>
        <v>0</v>
      </c>
      <c r="X4207" t="str">
        <v>x</v>
      </c>
      <c r="Y4207">
        <f>D4201</f>
        <v>1</v>
      </c>
      <c r="Z4207" t="str">
        <v>=</v>
      </c>
      <c r="AA4207">
        <f>(N4207+P4207*R4207/1000)*U4207*W4207*Y4207</f>
        <v>0</v>
      </c>
    </row>
    <row r="4210">
      <c r="A4210" t="str">
        <f>A4195</f>
        <v>Lantai 2</v>
      </c>
      <c r="B4210">
        <f>B4195</f>
        <v>53</v>
      </c>
      <c r="C4210" t="str">
        <v>Tul Bawah Tumpuan</v>
      </c>
      <c r="D4210">
        <f>VLOOKUP(D4195,'Detail Balok'!$C$10:$AU$140,22,FALSE)</f>
        <v>3</v>
      </c>
      <c r="E4210" t="str">
        <v>D</v>
      </c>
      <c r="F4210">
        <f>VLOOKUP(D4195,'Detail Balok'!$C$10:$AU$140,24,FALSE)</f>
        <v>13</v>
      </c>
      <c r="I4210" t="str">
        <v>(</v>
      </c>
      <c r="J4210">
        <f>+J4202</f>
        <v>0.68875</v>
      </c>
      <c r="K4210" t="str">
        <v>+</v>
      </c>
      <c r="L4210">
        <f>MAX(VLOOKUP(F4210,N$6:P$15,3,FALSE)/1000,2/3*D4200/1000)+F$16*F4210/1000</f>
        <v>0.156</v>
      </c>
      <c r="M4210" t="str">
        <v>=</v>
      </c>
      <c r="N4210">
        <f>J4210+L4210</f>
        <v>0.84475</v>
      </c>
      <c r="O4210" t="str">
        <v>+</v>
      </c>
      <c r="P4210">
        <f>D4210-D4211</f>
        <v>0</v>
      </c>
      <c r="Q4210" t="str">
        <v>x</v>
      </c>
      <c r="R4210">
        <f>IF(P4210&gt;0,$F$18*F4210/1000,0)</f>
        <v>0</v>
      </c>
      <c r="S4210" t="str">
        <v>)</v>
      </c>
      <c r="T4210" t="str">
        <v>x</v>
      </c>
      <c r="U4210">
        <f>0.006165*F4210^2</f>
        <v>1.041885</v>
      </c>
      <c r="X4210" t="str">
        <v>x</v>
      </c>
      <c r="Y4210">
        <f>D4201</f>
        <v>1</v>
      </c>
      <c r="Z4210" t="str">
        <v>=</v>
      </c>
      <c r="AA4210">
        <f>IF(AA4213=0,(D4210*N4210+P4210*R4210)*U4210*Y4210,0)</f>
        <v>0</v>
      </c>
    </row>
    <row r="4211">
      <c r="A4211" t="str">
        <f>A4195</f>
        <v>Lantai 2</v>
      </c>
      <c r="B4211">
        <f>B4195</f>
        <v>53</v>
      </c>
      <c r="C4211" t="str">
        <v>Tul Bawah Lapangan</v>
      </c>
      <c r="D4211">
        <f>VLOOKUP(D4195,'Detail Balok'!$C$10:$AU$140,25,FALSE)</f>
        <v>3</v>
      </c>
      <c r="E4211" t="str">
        <v>D</v>
      </c>
      <c r="F4211">
        <f>VLOOKUP(D4195,'Detail Balok'!$C$10:$AU$140,27,FALSE)</f>
        <v>13</v>
      </c>
      <c r="I4211" t="str">
        <v>(</v>
      </c>
      <c r="J4211">
        <f>+J4203</f>
        <v>1.3775</v>
      </c>
      <c r="K4211" t="str">
        <v>+</v>
      </c>
      <c r="M4211" t="str">
        <v>=</v>
      </c>
      <c r="N4211">
        <f>J4211+L4211</f>
        <v>1.3775</v>
      </c>
      <c r="O4211" t="str">
        <v>+</v>
      </c>
      <c r="P4211">
        <f>MAX(D4211-D4210,D4211-D4212)</f>
        <v>0</v>
      </c>
      <c r="Q4211" t="str">
        <v>x</v>
      </c>
      <c r="R4211">
        <f>IF(P4211&gt;0,2*(1-2*$F$19-1/2)*D4198/1000,0)</f>
        <v>0</v>
      </c>
      <c r="S4211" t="str">
        <v>)</v>
      </c>
      <c r="T4211" t="str">
        <v>x</v>
      </c>
      <c r="U4211">
        <f>0.006165*F4211^2</f>
        <v>1.041885</v>
      </c>
      <c r="X4211" t="str">
        <v>x</v>
      </c>
      <c r="Y4211">
        <f>D4201</f>
        <v>1</v>
      </c>
      <c r="Z4211" t="str">
        <v>=</v>
      </c>
      <c r="AA4211">
        <f>IF(AA4213=0,(D4211*N4211+P4211*R4211)*U4211*Y4211,0)</f>
        <v>0</v>
      </c>
    </row>
    <row r="4212">
      <c r="A4212" t="str">
        <f>A4195</f>
        <v>Lantai 2</v>
      </c>
      <c r="B4212">
        <f>B4195</f>
        <v>53</v>
      </c>
      <c r="C4212" t="str">
        <v>Tul Bawah Tumpuan</v>
      </c>
      <c r="D4212">
        <f>VLOOKUP(D4195,'Detail Balok'!$C$10:$AU$140,28,FALSE)</f>
        <v>3</v>
      </c>
      <c r="E4212" t="str">
        <v>D</v>
      </c>
      <c r="F4212">
        <f>VLOOKUP(D4195,'Detail Balok'!$C$10:$AU$140,30,FALSE)</f>
        <v>13</v>
      </c>
      <c r="I4212" t="str">
        <v>(</v>
      </c>
      <c r="J4212">
        <f>+J4204</f>
        <v>0.68875</v>
      </c>
      <c r="K4212" t="str">
        <v>+</v>
      </c>
      <c r="L4212">
        <f>MAX(VLOOKUP(F4212,N$6:P$15,3,FALSE)/1000,2/3*D4200/1000)+F$16*F4212/1000</f>
        <v>0.156</v>
      </c>
      <c r="M4212" t="str">
        <v>=</v>
      </c>
      <c r="N4212">
        <f>J4212+L4212</f>
        <v>0.84475</v>
      </c>
      <c r="O4212" t="str">
        <v>+</v>
      </c>
      <c r="P4212">
        <f>D4212-D4211</f>
        <v>0</v>
      </c>
      <c r="Q4212" t="str">
        <v>x</v>
      </c>
      <c r="R4212">
        <f>IF(P4212&gt;0,$F$18*F4212/1000,0)</f>
        <v>0</v>
      </c>
      <c r="S4212" t="str">
        <v>)</v>
      </c>
      <c r="T4212" t="str">
        <v>x</v>
      </c>
      <c r="U4212">
        <f>0.006165*F4212^2</f>
        <v>1.041885</v>
      </c>
      <c r="X4212" t="str">
        <v>x</v>
      </c>
      <c r="Y4212">
        <f>D4201</f>
        <v>1</v>
      </c>
      <c r="Z4212" t="str">
        <v>=</v>
      </c>
      <c r="AA4212">
        <f>IF(AA4213=0,(D4212*N4212+P4212*R4212)*U4212*Y4212,0)</f>
        <v>0</v>
      </c>
    </row>
    <row r="4213">
      <c r="A4213" t="str">
        <f>A4195</f>
        <v>Lantai 2</v>
      </c>
      <c r="B4213">
        <f>B4195</f>
        <v>53</v>
      </c>
      <c r="D4213">
        <f>IF(AND(D4210=D4211,D4211=D4212,D4210=D4212),D4210,0)</f>
        <v>3</v>
      </c>
      <c r="E4213" t="str">
        <v>D</v>
      </c>
      <c r="F4213">
        <f>IF(AND(F4210=F4211,F4210=F4212,F4211=F4212),F4210,0)</f>
        <v>13</v>
      </c>
      <c r="L4213" t="str">
        <v>Total panjang per balok</v>
      </c>
      <c r="M4213" t="str">
        <v>=</v>
      </c>
      <c r="N4213">
        <f>IF(AND(D4210=D4211,D4210=D4212,D4211=D4212,F4210=F4211,F4210=F4212,F4211=F4212),SUM(N4210:N4212),0)</f>
        <v>3.0669999999999997</v>
      </c>
      <c r="O4213" t="str">
        <v>+</v>
      </c>
      <c r="P4213">
        <f>IF(N4213&gt;12,ROUNDDOWN(N4213/12,0),0)</f>
        <v>0</v>
      </c>
      <c r="Q4213" t="str">
        <v>x</v>
      </c>
      <c r="R4213">
        <f>IF(P4213&gt;0,MAX(VLOOKUP(F4213,$D$6:$G$15,3,FALSE),600),0)/1000</f>
        <v>0</v>
      </c>
      <c r="T4213" t="str">
        <v>x</v>
      </c>
      <c r="U4213">
        <f>U4212</f>
        <v>1.041885</v>
      </c>
      <c r="V4213" t="str">
        <v>x</v>
      </c>
      <c r="W4213">
        <f>D4213</f>
        <v>3</v>
      </c>
      <c r="X4213" t="str">
        <v>x</v>
      </c>
      <c r="Y4213">
        <f>Y4212</f>
        <v>1</v>
      </c>
      <c r="Z4213" t="str">
        <v>=</v>
      </c>
      <c r="AA4213">
        <f>(N4213+P4213*R4213/1000)*U4213*W4213*Y4213</f>
        <v>9.586383884999998</v>
      </c>
    </row>
    <row r="4215">
      <c r="A4215" t="str">
        <f>A4195</f>
        <v>Lantai 2</v>
      </c>
      <c r="B4215">
        <f>B4195</f>
        <v>53</v>
      </c>
      <c r="C4215" t="str">
        <v>Sengkang Tumpuan</v>
      </c>
      <c r="D4215">
        <f>VLOOKUP(D4195,'Detail Balok'!$C$10:$AU$140,31,FALSE)</f>
        <v>0</v>
      </c>
      <c r="E4215" t="str">
        <v>D</v>
      </c>
      <c r="F4215">
        <f>VLOOKUP(D4195,'Detail Balok'!$C$10:$AU$140,33,FALSE)</f>
        <v>10</v>
      </c>
      <c r="G4215" t="str">
        <v>-</v>
      </c>
      <c r="H4215">
        <f>VLOOKUP(D4195,'Detail Balok'!$C$10:$AU$140,35,FALSE)</f>
        <v>100</v>
      </c>
      <c r="J4215">
        <f>(IF(D4215=0,(2*(D4196+G4196))-(F$5*8),IF(D4215=3,(2*(D4196+G4196))-(F$5*8)+(G4196-2*F$5),IF(D4215=4,(2*(D4196+G4196))-(F$5*8)+2*(G4196-2*F$5)))))/1000</f>
        <v>0.88</v>
      </c>
      <c r="K4215" t="str">
        <v>+</v>
      </c>
      <c r="L4215">
        <f>IF(D4215=0,2*MAX(6*F4215,75),(D4215-1)*2*MAX(6*F4215,75))/1000</f>
        <v>0.15</v>
      </c>
      <c r="M4215" t="str">
        <v>=</v>
      </c>
      <c r="N4215">
        <f>J4215+L4215</f>
        <v>1.03</v>
      </c>
      <c r="T4215" t="str">
        <v>x</v>
      </c>
      <c r="U4215">
        <f>0.006165*F4215^2</f>
        <v>0.6165</v>
      </c>
      <c r="V4215" t="str">
        <v>x</v>
      </c>
      <c r="W4215">
        <f>IF(D4198&gt;4*G4196,ROUND(MAX(D4198/4,2*G4196)/H4215,0)+1,ROUND(D4198/H4215,0)+1)</f>
        <v>9</v>
      </c>
      <c r="X4215" t="str">
        <v>x</v>
      </c>
      <c r="Y4215">
        <f>D4201</f>
        <v>1</v>
      </c>
      <c r="Z4215" t="str">
        <v>=</v>
      </c>
      <c r="AA4215">
        <f>N4215*U4215*W4215*Y4215</f>
        <v>5.714955000000001</v>
      </c>
    </row>
    <row r="4216">
      <c r="A4216" t="str">
        <f>A4195</f>
        <v>Lantai 2</v>
      </c>
      <c r="B4216">
        <f>B4195</f>
        <v>53</v>
      </c>
      <c r="C4216" t="str">
        <v>Sengkang Lapangan</v>
      </c>
      <c r="D4216">
        <f>VLOOKUP(D4195,'Detail Balok'!$C$10:$AU$140,36,FALSE)</f>
        <v>0</v>
      </c>
      <c r="E4216" t="str">
        <v>D</v>
      </c>
      <c r="F4216">
        <f>VLOOKUP(D4195,'Detail Balok'!$C$10:$AU$140,38,FALSE)</f>
        <v>10</v>
      </c>
      <c r="G4216" t="str">
        <v>-</v>
      </c>
      <c r="H4216">
        <f>VLOOKUP(D4195,'Detail Balok'!$C$10:$AU$140,40,FALSE)</f>
        <v>200</v>
      </c>
      <c r="J4216">
        <f>(IF(D4216=0,(2*(D4196+G4196))-(F$5*8),IF(D4216=3,(2*(D4196+G4196))-(F$5*8)+(G4196-2*F$5),IF(D4216=4,(2*(D4196+G4196))-(F$5*8)+2*(G4196-2*F$5)))))/1000</f>
        <v>0.88</v>
      </c>
      <c r="K4216" t="str">
        <v>+</v>
      </c>
      <c r="L4216">
        <f>IF(D4216=0,2*MAX(6*F4216,75),(D4216-1)*2*MAX(6*F4216,75))/1000</f>
        <v>0.15</v>
      </c>
      <c r="M4216" t="str">
        <v>=</v>
      </c>
      <c r="N4216">
        <f>J4216+L4216</f>
        <v>1.03</v>
      </c>
      <c r="T4216" t="str">
        <v>x</v>
      </c>
      <c r="U4216">
        <f>0.006165*F4216^2</f>
        <v>0.6165</v>
      </c>
      <c r="V4216" t="str">
        <v>x</v>
      </c>
      <c r="W4216">
        <f>IF(D4198-MAX(D4198/4,2*G4196)*2&gt;0,ROUND((D4198-MAX(D4198/4,2*G4196)*2)/H4216,0),0)</f>
        <v>6</v>
      </c>
      <c r="X4216" t="str">
        <v>x</v>
      </c>
      <c r="Y4216">
        <f>D4201</f>
        <v>1</v>
      </c>
      <c r="Z4216" t="str">
        <v>=</v>
      </c>
      <c r="AA4216">
        <f>N4216*U4216*W4216*Y4216</f>
        <v>3.8099700000000007</v>
      </c>
    </row>
    <row r="4217">
      <c r="A4217" t="str">
        <f>A4195</f>
        <v>Lantai 2</v>
      </c>
      <c r="B4217">
        <f>B4195</f>
        <v>53</v>
      </c>
      <c r="C4217" t="str">
        <v>Sengkang Tumpuan</v>
      </c>
      <c r="D4217">
        <f>VLOOKUP(D4195,'Detail Balok'!$C$10:$AU$140,41,FALSE)</f>
        <v>0</v>
      </c>
      <c r="E4217" t="str">
        <v>D</v>
      </c>
      <c r="F4217">
        <f>VLOOKUP(D4195,'Detail Balok'!$C$10:$AU$140,43,FALSE)</f>
        <v>10</v>
      </c>
      <c r="G4217" t="str">
        <v>-</v>
      </c>
      <c r="H4217">
        <f>VLOOKUP(D4195,'Detail Balok'!$C$10:$AU$140,45,FALSE)</f>
        <v>100</v>
      </c>
      <c r="J4217">
        <f>(IF(D4217=0,(2*(D4196+G4196))-(F$5*8),IF(D4217=3,(2*(D4196+G4196))-(F$5*8)+(G4196-2*F$5),IF(D4217=4,(2*(D4196+G4196))-(F$5*8)+2*(G4196-2*F$5)))))/1000</f>
        <v>0.88</v>
      </c>
      <c r="K4217" t="str">
        <v>+</v>
      </c>
      <c r="L4217">
        <f>IF(D4217=0,2*MAX(6*F4217,75),(D4217-1)*2*MAX(6*F4217,75))/1000</f>
        <v>0.15</v>
      </c>
      <c r="M4217" t="str">
        <v>=</v>
      </c>
      <c r="N4217">
        <f>J4217+L4217</f>
        <v>1.03</v>
      </c>
      <c r="T4217" t="str">
        <v>x</v>
      </c>
      <c r="U4217">
        <f>0.006165*F4217^2</f>
        <v>0.6165</v>
      </c>
      <c r="V4217" t="str">
        <v>x</v>
      </c>
      <c r="W4217">
        <f>IF(D4198&gt;4*G4196,ROUND(MAX(D4198/4,2*G4196)/H4217,0)+1,0)</f>
        <v>9</v>
      </c>
      <c r="X4217" t="str">
        <v>x</v>
      </c>
      <c r="Y4217">
        <f>D4201</f>
        <v>1</v>
      </c>
      <c r="Z4217" t="str">
        <v>=</v>
      </c>
      <c r="AA4217">
        <f>N4217*U4217*W4217*Y4217</f>
        <v>5.714955000000001</v>
      </c>
    </row>
    <row r="4219">
      <c r="A4219" t="str">
        <f>A4195</f>
        <v>Lantai 2</v>
      </c>
      <c r="B4219">
        <f>B4195</f>
        <v>53</v>
      </c>
      <c r="C4219" t="str">
        <v>Kait Horizontal Tump.</v>
      </c>
      <c r="D4219">
        <f>VLOOKUP(D4195,'Detail Balok'!$C$10:$BJ$140,46,FALSE)</f>
        <v>0</v>
      </c>
      <c r="E4219" t="str">
        <v>D</v>
      </c>
      <c r="F4219">
        <f>VLOOKUP(D4195,'Detail Balok'!$C$10:$BJ$140,48,FALSE)</f>
        <v>0</v>
      </c>
      <c r="G4219" t="str">
        <v>-</v>
      </c>
      <c r="H4219">
        <f>VLOOKUP(D4195,'Detail Balok'!$C$10:$BJ$140,50,FALSE)</f>
        <v>100</v>
      </c>
      <c r="J4219">
        <f>(D4196-2*F$5)/1000</f>
        <v>0.12</v>
      </c>
      <c r="K4219" t="str">
        <v>+</v>
      </c>
      <c r="L4219">
        <f>IF(D4219=0,2*MAX(6*F4219,75),(D4219-1)*2*MAX(6*F4219,75))/1000</f>
        <v>0.15</v>
      </c>
      <c r="M4219" t="str">
        <v>=</v>
      </c>
      <c r="N4219">
        <f>J4219+L4219</f>
        <v>0.27</v>
      </c>
      <c r="T4219" t="str">
        <v>x</v>
      </c>
      <c r="U4219">
        <f>0.006165*F4219^2</f>
        <v>0</v>
      </c>
      <c r="V4219" t="str">
        <v>x</v>
      </c>
      <c r="W4219">
        <f>W4215</f>
        <v>9</v>
      </c>
      <c r="X4219" t="str">
        <v>x</v>
      </c>
      <c r="Y4219">
        <f>D4205</f>
        <v>3</v>
      </c>
      <c r="Z4219" t="str">
        <v>=</v>
      </c>
      <c r="AA4219">
        <f>N4219*U4219*W4219*Y4219</f>
        <v>0</v>
      </c>
    </row>
    <row r="4220">
      <c r="A4220" t="str">
        <f>A4195</f>
        <v>Lantai 2</v>
      </c>
      <c r="B4220">
        <f>B4195</f>
        <v>53</v>
      </c>
      <c r="C4220" t="str">
        <v>Kait Horizontal Lap.</v>
      </c>
      <c r="D4220">
        <f>VLOOKUP(D4195,'Detail Balok'!$C$10:$BJ$140,51,FALSE)</f>
        <v>0</v>
      </c>
      <c r="E4220" t="str">
        <v>D</v>
      </c>
      <c r="F4220">
        <f>VLOOKUP(D4195,'Detail Balok'!$C$10:$BJ$140,53,FALSE)</f>
        <v>0</v>
      </c>
      <c r="G4220" t="str">
        <v>-</v>
      </c>
      <c r="H4220">
        <f>VLOOKUP(D4195,'Detail Balok'!$C$10:$BJ$140,55,FALSE)</f>
        <v>100</v>
      </c>
      <c r="J4220">
        <f>(D4196-2*F$5)/1000</f>
        <v>0.12</v>
      </c>
      <c r="K4220" t="str">
        <v>+</v>
      </c>
      <c r="L4220">
        <f>IF(D4220=0,2*MAX(6*F4220,75),(D4220-1)*2*MAX(6*F4220,75))/1000</f>
        <v>0.15</v>
      </c>
      <c r="M4220" t="str">
        <v>=</v>
      </c>
      <c r="N4220">
        <f>J4220+L4220</f>
        <v>0.27</v>
      </c>
      <c r="T4220" t="str">
        <v>x</v>
      </c>
      <c r="U4220">
        <f>0.006165*F4220^2</f>
        <v>0</v>
      </c>
      <c r="V4220" t="str">
        <v>x</v>
      </c>
      <c r="W4220">
        <f>W4216</f>
        <v>6</v>
      </c>
      <c r="X4220" t="str">
        <v>x</v>
      </c>
      <c r="Y4220">
        <f>D4205</f>
        <v>3</v>
      </c>
      <c r="Z4220" t="str">
        <v>=</v>
      </c>
      <c r="AA4220">
        <f>N4220*U4220*W4220*Y4220</f>
        <v>0</v>
      </c>
    </row>
    <row r="4221">
      <c r="A4221" t="str">
        <f>A4195</f>
        <v>Lantai 2</v>
      </c>
      <c r="B4221">
        <f>B4195</f>
        <v>53</v>
      </c>
      <c r="C4221" t="str">
        <v>Kait Horizontal Tump.</v>
      </c>
      <c r="D4221">
        <f>VLOOKUP(D4195,'Detail Balok'!$C$10:$BJ$140,56,FALSE)</f>
        <v>0</v>
      </c>
      <c r="E4221" t="str">
        <v>D</v>
      </c>
      <c r="F4221">
        <f>VLOOKUP(D4195,'Detail Balok'!$C$10:$BJ$140,58,FALSE)</f>
        <v>0</v>
      </c>
      <c r="G4221" t="str">
        <v>-</v>
      </c>
      <c r="H4221">
        <f>VLOOKUP(D4195,'Detail Balok'!$C$10:$BJ$140,60,FALSE)</f>
        <v>100</v>
      </c>
      <c r="J4221">
        <f>(D4196-2*F$5)/1000</f>
        <v>0.12</v>
      </c>
      <c r="K4221" t="str">
        <v>+</v>
      </c>
      <c r="L4221">
        <f>IF(D4221=0,2*MAX(6*F4221,75),(D4221-1)*2*MAX(6*F4221,75))/1000</f>
        <v>0.15</v>
      </c>
      <c r="M4221" t="str">
        <v>=</v>
      </c>
      <c r="N4221">
        <f>J4221+L4221</f>
        <v>0.27</v>
      </c>
      <c r="T4221" t="str">
        <v>x</v>
      </c>
      <c r="U4221">
        <f>0.006165*F4221^2</f>
        <v>0</v>
      </c>
      <c r="V4221" t="str">
        <v>x</v>
      </c>
      <c r="W4221">
        <f>W4217</f>
        <v>9</v>
      </c>
      <c r="X4221" t="str">
        <v>x</v>
      </c>
      <c r="Y4221">
        <f>D4205</f>
        <v>3</v>
      </c>
      <c r="Z4221" t="str">
        <v>=</v>
      </c>
      <c r="AA4221">
        <f>N4221*U4221*W4221*Y4221</f>
        <v>0</v>
      </c>
    </row>
    <row r="4225">
      <c r="A4225" t="str">
        <f>A4195</f>
        <v>Lantai 2</v>
      </c>
      <c r="B4225">
        <f>B4195+1</f>
        <v>54</v>
      </c>
      <c r="C4225" t="str">
        <f>CONCATENATE(A4225," no. ",B4225)</f>
        <v>Lantai 2 no. 54</v>
      </c>
      <c r="D4225" t="str">
        <f>VLOOKUP(C4225,'Data Panjang Balok'!$C$9:$N$254,2,FALSE)</f>
        <v>CL24-1</v>
      </c>
    </row>
    <row r="4226">
      <c r="C4226" t="str">
        <v>Dimensi</v>
      </c>
      <c r="D4226">
        <f>VLOOKUP(D4225,'Detail Balok'!$C$10:$AU$140,2,FALSE)</f>
        <v>200</v>
      </c>
      <c r="F4226" t="str">
        <v>x</v>
      </c>
      <c r="G4226">
        <f>VLOOKUP(D4225,'Detail Balok'!$C$10:$AU$140,3,FALSE)</f>
        <v>400</v>
      </c>
    </row>
    <row r="4227">
      <c r="C4227" t="str">
        <v>Panjang as ke as</v>
      </c>
      <c r="D4227">
        <f>VLOOKUP(C4225,'Data Panjang Balok'!$C$9:$N$254,4,FALSE)</f>
        <v>2100</v>
      </c>
    </row>
    <row r="4228">
      <c r="C4228" t="str">
        <v>Panjang netto</v>
      </c>
      <c r="D4228">
        <f>VLOOKUP(C4225,'Data Panjang Balok'!$C$9:$N$254,7,FALSE)</f>
        <v>2100</v>
      </c>
    </row>
    <row r="4229">
      <c r="C4229" t="str">
        <v>Kolom / balok kiri</v>
      </c>
      <c r="D4229">
        <f>VLOOKUP(C4225,'Data Panjang Balok'!$C$9:$N$254,9,FALSE)</f>
        <v>0</v>
      </c>
    </row>
    <row r="4230">
      <c r="C4230" t="str">
        <v>Kolom / balok kanan</v>
      </c>
      <c r="D4230">
        <f>VLOOKUP(C4225,'Data Panjang Balok'!$C$9:$N$254,10,FALSE)</f>
        <v>0</v>
      </c>
    </row>
    <row r="4231">
      <c r="C4231" t="str">
        <v>Jumlah</v>
      </c>
      <c r="D4231">
        <f>VLOOKUP(C4225,'Data Panjang Balok'!$C$9:$N$254,3,FALSE)</f>
        <v>1</v>
      </c>
    </row>
    <row r="4232">
      <c r="A4232" t="str">
        <f>A4225</f>
        <v>Lantai 2</v>
      </c>
      <c r="B4232">
        <f>B4225</f>
        <v>54</v>
      </c>
      <c r="C4232" t="str">
        <v>Tul Atas Tumpuan</v>
      </c>
      <c r="D4232">
        <f>VLOOKUP(D4225,'Detail Balok'!$C$10:$AU$140,4,FALSE)</f>
        <v>3</v>
      </c>
      <c r="E4232" t="str">
        <v>D</v>
      </c>
      <c r="F4232">
        <f>VLOOKUP(D4225,'Detail Balok'!$C$10:$AU$140,6,FALSE)</f>
        <v>16</v>
      </c>
      <c r="I4232" t="str">
        <v>(</v>
      </c>
      <c r="J4232">
        <f>+D4227/4/1000</f>
        <v>0.525</v>
      </c>
      <c r="K4232" t="str">
        <v>+</v>
      </c>
      <c r="L4232">
        <f>MAX(VLOOKUP(F4232,N$6:P$15,3,FALSE)/1000,2/3*D4229/1000)+F$16*F4232/1000</f>
        <v>0.192</v>
      </c>
      <c r="M4232" t="str">
        <v>=</v>
      </c>
      <c r="N4232">
        <f>J4232+L4232</f>
        <v>0.7170000000000001</v>
      </c>
      <c r="O4232" t="str">
        <v>+</v>
      </c>
      <c r="P4232">
        <f>D4232-D4233</f>
        <v>0</v>
      </c>
      <c r="Q4232" t="str">
        <v>x</v>
      </c>
      <c r="R4232">
        <f>IF(P4232&gt;0,$F$18*F4232/1000,0)</f>
        <v>0</v>
      </c>
      <c r="S4232" t="str">
        <v>)</v>
      </c>
      <c r="T4232" t="str">
        <v>x</v>
      </c>
      <c r="U4232">
        <f>0.006165*F4232^2</f>
        <v>1.57824</v>
      </c>
      <c r="X4232" t="str">
        <v>x</v>
      </c>
      <c r="Y4232">
        <f>D4231</f>
        <v>1</v>
      </c>
      <c r="Z4232" t="str">
        <v>=</v>
      </c>
      <c r="AA4232">
        <f>IF(AA4235=0,(D4232*N4232+P4232*R4232)*U4232*Y4232,0)</f>
        <v>0</v>
      </c>
    </row>
    <row r="4233">
      <c r="A4233" t="str">
        <f>A4225</f>
        <v>Lantai 2</v>
      </c>
      <c r="B4233">
        <f>B4225</f>
        <v>54</v>
      </c>
      <c r="C4233" t="str">
        <v>Tul Atas Lapangan</v>
      </c>
      <c r="D4233">
        <f>VLOOKUP(D4225,'Detail Balok'!$C$10:$AU$140,7,FALSE)</f>
        <v>3</v>
      </c>
      <c r="E4233" t="str">
        <v>D</v>
      </c>
      <c r="F4233">
        <f>VLOOKUP(D4225,'Detail Balok'!$C$10:$AU$140,9,FALSE)</f>
        <v>16</v>
      </c>
      <c r="I4233" t="str">
        <v>(</v>
      </c>
      <c r="J4233">
        <f>+D4227/2/1000</f>
        <v>1.05</v>
      </c>
      <c r="K4233" t="str">
        <v>+</v>
      </c>
      <c r="M4233" t="str">
        <v>=</v>
      </c>
      <c r="N4233">
        <f>J4233+L4233</f>
        <v>1.05</v>
      </c>
      <c r="O4233" t="str">
        <v>+</v>
      </c>
      <c r="P4233">
        <f>MAX(D4233-D4232,D4233-D4234)</f>
        <v>0</v>
      </c>
      <c r="Q4233" t="str">
        <v>x</v>
      </c>
      <c r="R4233">
        <f>IF(P4233&gt;0,2*(1-2*$F$19-1/2)*D4228/1000,0)</f>
        <v>0</v>
      </c>
      <c r="S4233" t="str">
        <v>)</v>
      </c>
      <c r="T4233" t="str">
        <v>x</v>
      </c>
      <c r="U4233">
        <f>0.006165*F4233^2</f>
        <v>1.57824</v>
      </c>
      <c r="X4233" t="str">
        <v>x</v>
      </c>
      <c r="Y4233">
        <f>D4231</f>
        <v>1</v>
      </c>
      <c r="Z4233" t="str">
        <v>=</v>
      </c>
      <c r="AA4233">
        <f>IF(AA4235=0,(D4233*N4233+P4233*R4233)*U4233*Y4233,0)</f>
        <v>0</v>
      </c>
    </row>
    <row r="4234">
      <c r="A4234" t="str">
        <f>A4225</f>
        <v>Lantai 2</v>
      </c>
      <c r="B4234">
        <f>B4225</f>
        <v>54</v>
      </c>
      <c r="C4234" t="str">
        <v>Tul Atas Tumpuan</v>
      </c>
      <c r="D4234">
        <f>VLOOKUP(D4225,'Detail Balok'!$C$10:$AU$140,10,FALSE)</f>
        <v>3</v>
      </c>
      <c r="E4234" t="str">
        <v>D</v>
      </c>
      <c r="F4234">
        <f>VLOOKUP(D4225,'Detail Balok'!$C$10:$AU$140,12,FALSE)</f>
        <v>16</v>
      </c>
      <c r="I4234" t="str">
        <v>(</v>
      </c>
      <c r="J4234">
        <f>+D4227/4/1000</f>
        <v>0.525</v>
      </c>
      <c r="K4234" t="str">
        <v>+</v>
      </c>
      <c r="L4234">
        <f>MAX(VLOOKUP(F4234,N$6:P$15,3,FALSE)/1000,2/3*D4229/1000)+F$16*F4234/1000</f>
        <v>0.192</v>
      </c>
      <c r="M4234" t="str">
        <v>=</v>
      </c>
      <c r="N4234">
        <f>J4234+L4234</f>
        <v>0.7170000000000001</v>
      </c>
      <c r="O4234" t="str">
        <v>+</v>
      </c>
      <c r="P4234">
        <f>D4234-D4233</f>
        <v>0</v>
      </c>
      <c r="Q4234" t="str">
        <v>x</v>
      </c>
      <c r="R4234">
        <f>IF(P4234&gt;0,$F$18*F4234/1000,0)</f>
        <v>0</v>
      </c>
      <c r="S4234" t="str">
        <v>)</v>
      </c>
      <c r="T4234" t="str">
        <v>x</v>
      </c>
      <c r="U4234">
        <f>0.006165*F4234^2</f>
        <v>1.57824</v>
      </c>
      <c r="X4234" t="str">
        <v>x</v>
      </c>
      <c r="Y4234">
        <f>D4231</f>
        <v>1</v>
      </c>
      <c r="Z4234" t="str">
        <v>=</v>
      </c>
      <c r="AA4234">
        <f>IF(AA4235=0,(D4234*N4234+P4234*R4234)*U4234*Y4234,0)</f>
        <v>0</v>
      </c>
    </row>
    <row r="4235">
      <c r="A4235" t="str">
        <f>A4225</f>
        <v>Lantai 2</v>
      </c>
      <c r="B4235">
        <f>B4225</f>
        <v>54</v>
      </c>
      <c r="D4235">
        <f>IF(AND(D4232=D4233,D4233=D4234,D4232=D4234),D4232,0)</f>
        <v>3</v>
      </c>
      <c r="E4235" t="str">
        <v>D</v>
      </c>
      <c r="F4235">
        <f>IF(AND(F4232=F4233,F4232=F4234,F4233=F4234),F4232,0)</f>
        <v>16</v>
      </c>
      <c r="L4235" t="str">
        <v>Total panjang per balok</v>
      </c>
      <c r="M4235" t="str">
        <v>=</v>
      </c>
      <c r="N4235">
        <f>IF(AND(D4232=D4233,D4232=D4234,D4233=D4234,F4232=F4233,F4232=F4234,F4233=F4234),SUM(N4232:N4234),0)</f>
        <v>2.484</v>
      </c>
      <c r="O4235" t="str">
        <v>+</v>
      </c>
      <c r="P4235">
        <f>IF(N4235&gt;12,ROUNDDOWN(N4235/12,0),0)</f>
        <v>0</v>
      </c>
      <c r="Q4235" t="str">
        <v>x</v>
      </c>
      <c r="R4235">
        <f>IF(P4235&gt;0,MAX(VLOOKUP(F4235,$D$6:$G$15,3,FALSE),600),0)/1000</f>
        <v>0</v>
      </c>
      <c r="T4235" t="str">
        <v>x</v>
      </c>
      <c r="U4235">
        <f>U4234</f>
        <v>1.57824</v>
      </c>
      <c r="V4235" t="str">
        <v>x</v>
      </c>
      <c r="W4235">
        <f>D4235</f>
        <v>3</v>
      </c>
      <c r="X4235" t="str">
        <v>x</v>
      </c>
      <c r="Y4235">
        <f>Y4234</f>
        <v>1</v>
      </c>
      <c r="Z4235" t="str">
        <v>=</v>
      </c>
      <c r="AA4235">
        <f>(N4235+P4235*R4235/1000)*U4235*W4235*Y4235</f>
        <v>11.76104448</v>
      </c>
    </row>
    <row r="4237">
      <c r="A4237" t="str">
        <f>A4225</f>
        <v>Lantai 2</v>
      </c>
      <c r="B4237">
        <f>B4225</f>
        <v>54</v>
      </c>
      <c r="C4237" t="str">
        <v>Tul Peminggang</v>
      </c>
      <c r="D4237">
        <f>VLOOKUP(D4225,'Detail Balok'!$C$10:$AU$140,13,FALSE)</f>
        <v>0</v>
      </c>
      <c r="E4237" t="str">
        <v>D</v>
      </c>
      <c r="F4237">
        <f>VLOOKUP(D4225,'Detail Balok'!$C$10:$AU$140,15,FALSE)</f>
        <v>8</v>
      </c>
      <c r="J4237">
        <f>+D4227/1000</f>
        <v>2.1</v>
      </c>
      <c r="K4237" t="str">
        <v>+</v>
      </c>
      <c r="L4237">
        <f>2*$F$16*F4237/1000</f>
        <v>0.192</v>
      </c>
      <c r="M4237" t="str">
        <v>=</v>
      </c>
      <c r="N4237">
        <f>J4237+L4237</f>
        <v>2.2920000000000003</v>
      </c>
      <c r="O4237" t="str">
        <v>+</v>
      </c>
      <c r="P4237">
        <f>IF(N4237&gt;12,ROUNDDOWN(N4237/12,0),0)</f>
        <v>0</v>
      </c>
      <c r="Q4237" t="str">
        <v>x</v>
      </c>
      <c r="R4237">
        <f>IF(P4237&gt;0,MAX(VLOOKUP(F4237,$D$6:$G$15,3,FALSE),600),0)/1000</f>
        <v>0</v>
      </c>
      <c r="T4237" t="str">
        <v>x</v>
      </c>
      <c r="U4237">
        <f>0.006165*F4237^2</f>
        <v>0.39456</v>
      </c>
      <c r="V4237" t="str">
        <v>x</v>
      </c>
      <c r="W4237">
        <f>+D4237</f>
        <v>0</v>
      </c>
      <c r="X4237" t="str">
        <v>x</v>
      </c>
      <c r="Y4237">
        <f>D4231</f>
        <v>1</v>
      </c>
      <c r="Z4237" t="str">
        <v>=</v>
      </c>
      <c r="AA4237">
        <f>(N4237+P4237*R4237/1000)*U4237*W4237*Y4237</f>
        <v>0</v>
      </c>
    </row>
    <row r="4240">
      <c r="A4240" t="str">
        <f>A4225</f>
        <v>Lantai 2</v>
      </c>
      <c r="B4240">
        <f>B4225</f>
        <v>54</v>
      </c>
      <c r="C4240" t="str">
        <v>Tul Bawah Tumpuan</v>
      </c>
      <c r="D4240">
        <f>VLOOKUP(D4225,'Detail Balok'!$C$10:$AU$140,22,FALSE)</f>
        <v>3</v>
      </c>
      <c r="E4240" t="str">
        <v>D</v>
      </c>
      <c r="F4240">
        <f>VLOOKUP(D4225,'Detail Balok'!$C$10:$AU$140,24,FALSE)</f>
        <v>16</v>
      </c>
      <c r="I4240" t="str">
        <v>(</v>
      </c>
      <c r="J4240">
        <f>+J4232</f>
        <v>0.525</v>
      </c>
      <c r="K4240" t="str">
        <v>+</v>
      </c>
      <c r="L4240">
        <f>MAX(VLOOKUP(F4240,N$6:P$15,3,FALSE)/1000,2/3*D4230/1000)+F$16*F4240/1000</f>
        <v>0.192</v>
      </c>
      <c r="M4240" t="str">
        <v>=</v>
      </c>
      <c r="N4240">
        <f>J4240+L4240</f>
        <v>0.7170000000000001</v>
      </c>
      <c r="O4240" t="str">
        <v>+</v>
      </c>
      <c r="P4240">
        <f>D4240-D4241</f>
        <v>0</v>
      </c>
      <c r="Q4240" t="str">
        <v>x</v>
      </c>
      <c r="R4240">
        <f>IF(P4240&gt;0,$F$18*F4240/1000,0)</f>
        <v>0</v>
      </c>
      <c r="S4240" t="str">
        <v>)</v>
      </c>
      <c r="T4240" t="str">
        <v>x</v>
      </c>
      <c r="U4240">
        <f>0.006165*F4240^2</f>
        <v>1.57824</v>
      </c>
      <c r="X4240" t="str">
        <v>x</v>
      </c>
      <c r="Y4240">
        <f>D4231</f>
        <v>1</v>
      </c>
      <c r="Z4240" t="str">
        <v>=</v>
      </c>
      <c r="AA4240">
        <f>IF(AA4243=0,(D4240*N4240+P4240*R4240)*U4240*Y4240,0)</f>
        <v>0</v>
      </c>
    </row>
    <row r="4241">
      <c r="A4241" t="str">
        <f>A4225</f>
        <v>Lantai 2</v>
      </c>
      <c r="B4241">
        <f>B4225</f>
        <v>54</v>
      </c>
      <c r="C4241" t="str">
        <v>Tul Bawah Lapangan</v>
      </c>
      <c r="D4241">
        <f>VLOOKUP(D4225,'Detail Balok'!$C$10:$AU$140,25,FALSE)</f>
        <v>3</v>
      </c>
      <c r="E4241" t="str">
        <v>D</v>
      </c>
      <c r="F4241">
        <f>VLOOKUP(D4225,'Detail Balok'!$C$10:$AU$140,27,FALSE)</f>
        <v>16</v>
      </c>
      <c r="I4241" t="str">
        <v>(</v>
      </c>
      <c r="J4241">
        <f>+J4233</f>
        <v>1.05</v>
      </c>
      <c r="K4241" t="str">
        <v>+</v>
      </c>
      <c r="M4241" t="str">
        <v>=</v>
      </c>
      <c r="N4241">
        <f>J4241+L4241</f>
        <v>1.05</v>
      </c>
      <c r="O4241" t="str">
        <v>+</v>
      </c>
      <c r="P4241">
        <f>MAX(D4241-D4240,D4241-D4242)</f>
        <v>0</v>
      </c>
      <c r="Q4241" t="str">
        <v>x</v>
      </c>
      <c r="R4241">
        <f>IF(P4241&gt;0,2*(1-2*$F$19-1/2)*D4228/1000,0)</f>
        <v>0</v>
      </c>
      <c r="S4241" t="str">
        <v>)</v>
      </c>
      <c r="T4241" t="str">
        <v>x</v>
      </c>
      <c r="U4241">
        <f>0.006165*F4241^2</f>
        <v>1.57824</v>
      </c>
      <c r="X4241" t="str">
        <v>x</v>
      </c>
      <c r="Y4241">
        <f>D4231</f>
        <v>1</v>
      </c>
      <c r="Z4241" t="str">
        <v>=</v>
      </c>
      <c r="AA4241">
        <f>IF(AA4243=0,(D4241*N4241+P4241*R4241)*U4241*Y4241,0)</f>
        <v>0</v>
      </c>
    </row>
    <row r="4242">
      <c r="A4242" t="str">
        <f>A4225</f>
        <v>Lantai 2</v>
      </c>
      <c r="B4242">
        <f>B4225</f>
        <v>54</v>
      </c>
      <c r="C4242" t="str">
        <v>Tul Bawah Tumpuan</v>
      </c>
      <c r="D4242">
        <f>VLOOKUP(D4225,'Detail Balok'!$C$10:$AU$140,28,FALSE)</f>
        <v>3</v>
      </c>
      <c r="E4242" t="str">
        <v>D</v>
      </c>
      <c r="F4242">
        <f>VLOOKUP(D4225,'Detail Balok'!$C$10:$AU$140,30,FALSE)</f>
        <v>16</v>
      </c>
      <c r="I4242" t="str">
        <v>(</v>
      </c>
      <c r="J4242">
        <f>+J4234</f>
        <v>0.525</v>
      </c>
      <c r="K4242" t="str">
        <v>+</v>
      </c>
      <c r="L4242">
        <f>MAX(VLOOKUP(F4242,N$6:P$15,3,FALSE)/1000,2/3*D4230/1000)+F$16*F4242/1000</f>
        <v>0.192</v>
      </c>
      <c r="M4242" t="str">
        <v>=</v>
      </c>
      <c r="N4242">
        <f>J4242+L4242</f>
        <v>0.7170000000000001</v>
      </c>
      <c r="O4242" t="str">
        <v>+</v>
      </c>
      <c r="P4242">
        <f>D4242-D4241</f>
        <v>0</v>
      </c>
      <c r="Q4242" t="str">
        <v>x</v>
      </c>
      <c r="R4242">
        <f>IF(P4242&gt;0,$F$18*F4242/1000,0)</f>
        <v>0</v>
      </c>
      <c r="S4242" t="str">
        <v>)</v>
      </c>
      <c r="T4242" t="str">
        <v>x</v>
      </c>
      <c r="U4242">
        <f>0.006165*F4242^2</f>
        <v>1.57824</v>
      </c>
      <c r="X4242" t="str">
        <v>x</v>
      </c>
      <c r="Y4242">
        <f>D4231</f>
        <v>1</v>
      </c>
      <c r="Z4242" t="str">
        <v>=</v>
      </c>
      <c r="AA4242">
        <f>IF(AA4243=0,(D4242*N4242+P4242*R4242)*U4242*Y4242,0)</f>
        <v>0</v>
      </c>
    </row>
    <row r="4243">
      <c r="A4243" t="str">
        <f>A4225</f>
        <v>Lantai 2</v>
      </c>
      <c r="B4243">
        <f>B4225</f>
        <v>54</v>
      </c>
      <c r="D4243">
        <f>IF(AND(D4240=D4241,D4241=D4242,D4240=D4242),D4240,0)</f>
        <v>3</v>
      </c>
      <c r="E4243" t="str">
        <v>D</v>
      </c>
      <c r="F4243">
        <f>IF(AND(F4240=F4241,F4240=F4242,F4241=F4242),F4240,0)</f>
        <v>16</v>
      </c>
      <c r="L4243" t="str">
        <v>Total panjang per balok</v>
      </c>
      <c r="M4243" t="str">
        <v>=</v>
      </c>
      <c r="N4243">
        <f>IF(AND(D4240=D4241,D4240=D4242,D4241=D4242,F4240=F4241,F4240=F4242,F4241=F4242),SUM(N4240:N4242),0)</f>
        <v>2.484</v>
      </c>
      <c r="O4243" t="str">
        <v>+</v>
      </c>
      <c r="P4243">
        <f>IF(N4243&gt;12,ROUNDDOWN(N4243/12,0),0)</f>
        <v>0</v>
      </c>
      <c r="Q4243" t="str">
        <v>x</v>
      </c>
      <c r="R4243">
        <f>IF(P4243&gt;0,MAX(VLOOKUP(F4243,$D$6:$G$15,3,FALSE),600),0)/1000</f>
        <v>0</v>
      </c>
      <c r="T4243" t="str">
        <v>x</v>
      </c>
      <c r="U4243">
        <f>U4242</f>
        <v>1.57824</v>
      </c>
      <c r="V4243" t="str">
        <v>x</v>
      </c>
      <c r="W4243">
        <f>D4243</f>
        <v>3</v>
      </c>
      <c r="X4243" t="str">
        <v>x</v>
      </c>
      <c r="Y4243">
        <f>Y4242</f>
        <v>1</v>
      </c>
      <c r="Z4243" t="str">
        <v>=</v>
      </c>
      <c r="AA4243">
        <f>(N4243+P4243*R4243/1000)*U4243*W4243*Y4243</f>
        <v>11.76104448</v>
      </c>
    </row>
    <row r="4245">
      <c r="A4245" t="str">
        <f>A4225</f>
        <v>Lantai 2</v>
      </c>
      <c r="B4245">
        <f>B4225</f>
        <v>54</v>
      </c>
      <c r="C4245" t="str">
        <v>Sengkang Tumpuan</v>
      </c>
      <c r="D4245">
        <f>VLOOKUP(D4225,'Detail Balok'!$C$10:$AU$140,31,FALSE)</f>
        <v>0</v>
      </c>
      <c r="E4245" t="str">
        <v>D</v>
      </c>
      <c r="F4245">
        <f>VLOOKUP(D4225,'Detail Balok'!$C$10:$AU$140,33,FALSE)</f>
        <v>10</v>
      </c>
      <c r="G4245" t="str">
        <v>-</v>
      </c>
      <c r="H4245">
        <f>VLOOKUP(D4225,'Detail Balok'!$C$10:$AU$140,35,FALSE)</f>
        <v>100</v>
      </c>
      <c r="J4245">
        <f>(IF(D4245=0,(2*(D4226+G4226))-(F$5*8),IF(D4245=3,(2*(D4226+G4226))-(F$5*8)+(G4226-2*F$5),IF(D4245=4,(2*(D4226+G4226))-(F$5*8)+2*(G4226-2*F$5)))))/1000</f>
        <v>0.88</v>
      </c>
      <c r="K4245" t="str">
        <v>+</v>
      </c>
      <c r="L4245">
        <f>IF(D4245=0,2*MAX(6*F4245,75),(D4245-1)*2*MAX(6*F4245,75))/1000</f>
        <v>0.15</v>
      </c>
      <c r="M4245" t="str">
        <v>=</v>
      </c>
      <c r="N4245">
        <f>J4245+L4245</f>
        <v>1.03</v>
      </c>
      <c r="T4245" t="str">
        <v>x</v>
      </c>
      <c r="U4245">
        <f>0.006165*F4245^2</f>
        <v>0.6165</v>
      </c>
      <c r="V4245" t="str">
        <v>x</v>
      </c>
      <c r="W4245">
        <f>IF(D4228&gt;4*G4226,ROUND(MAX(D4228/4,2*G4226)/H4245,0)+1,ROUND(D4228/H4245,0)+1)</f>
        <v>9</v>
      </c>
      <c r="X4245" t="str">
        <v>x</v>
      </c>
      <c r="Y4245">
        <f>D4231</f>
        <v>1</v>
      </c>
      <c r="Z4245" t="str">
        <v>=</v>
      </c>
      <c r="AA4245">
        <f>N4245*U4245*W4245*Y4245</f>
        <v>5.714955000000001</v>
      </c>
    </row>
    <row r="4246">
      <c r="A4246" t="str">
        <f>A4225</f>
        <v>Lantai 2</v>
      </c>
      <c r="B4246">
        <f>B4225</f>
        <v>54</v>
      </c>
      <c r="C4246" t="str">
        <v>Sengkang Lapangan</v>
      </c>
      <c r="D4246">
        <f>VLOOKUP(D4225,'Detail Balok'!$C$10:$AU$140,36,FALSE)</f>
        <v>0</v>
      </c>
      <c r="E4246" t="str">
        <v>D</v>
      </c>
      <c r="F4246">
        <f>VLOOKUP(D4225,'Detail Balok'!$C$10:$AU$140,38,FALSE)</f>
        <v>10</v>
      </c>
      <c r="G4246" t="str">
        <v>-</v>
      </c>
      <c r="H4246">
        <f>VLOOKUP(D4225,'Detail Balok'!$C$10:$AU$140,40,FALSE)</f>
        <v>100</v>
      </c>
      <c r="J4246">
        <f>(IF(D4246=0,(2*(D4226+G4226))-(F$5*8),IF(D4246=3,(2*(D4226+G4226))-(F$5*8)+(G4226-2*F$5),IF(D4246=4,(2*(D4226+G4226))-(F$5*8)+2*(G4226-2*F$5)))))/1000</f>
        <v>0.88</v>
      </c>
      <c r="K4246" t="str">
        <v>+</v>
      </c>
      <c r="L4246">
        <f>IF(D4246=0,2*MAX(6*F4246,75),(D4246-1)*2*MAX(6*F4246,75))/1000</f>
        <v>0.15</v>
      </c>
      <c r="M4246" t="str">
        <v>=</v>
      </c>
      <c r="N4246">
        <f>J4246+L4246</f>
        <v>1.03</v>
      </c>
      <c r="T4246" t="str">
        <v>x</v>
      </c>
      <c r="U4246">
        <f>0.006165*F4246^2</f>
        <v>0.6165</v>
      </c>
      <c r="V4246" t="str">
        <v>x</v>
      </c>
      <c r="W4246">
        <f>IF(D4228-MAX(D4228/4,2*G4226)*2&gt;0,ROUND((D4228-MAX(D4228/4,2*G4226)*2)/H4246,0),0)</f>
        <v>5</v>
      </c>
      <c r="X4246" t="str">
        <v>x</v>
      </c>
      <c r="Y4246">
        <f>D4231</f>
        <v>1</v>
      </c>
      <c r="Z4246" t="str">
        <v>=</v>
      </c>
      <c r="AA4246">
        <f>N4246*U4246*W4246*Y4246</f>
        <v>3.1749750000000003</v>
      </c>
    </row>
    <row r="4247">
      <c r="A4247" t="str">
        <f>A4225</f>
        <v>Lantai 2</v>
      </c>
      <c r="B4247">
        <f>B4225</f>
        <v>54</v>
      </c>
      <c r="C4247" t="str">
        <v>Sengkang Tumpuan</v>
      </c>
      <c r="D4247">
        <f>VLOOKUP(D4225,'Detail Balok'!$C$10:$AU$140,41,FALSE)</f>
        <v>0</v>
      </c>
      <c r="E4247" t="str">
        <v>D</v>
      </c>
      <c r="F4247">
        <f>VLOOKUP(D4225,'Detail Balok'!$C$10:$AU$140,43,FALSE)</f>
        <v>10</v>
      </c>
      <c r="G4247" t="str">
        <v>-</v>
      </c>
      <c r="H4247">
        <f>VLOOKUP(D4225,'Detail Balok'!$C$10:$AU$140,45,FALSE)</f>
        <v>100</v>
      </c>
      <c r="J4247">
        <f>(IF(D4247=0,(2*(D4226+G4226))-(F$5*8),IF(D4247=3,(2*(D4226+G4226))-(F$5*8)+(G4226-2*F$5),IF(D4247=4,(2*(D4226+G4226))-(F$5*8)+2*(G4226-2*F$5)))))/1000</f>
        <v>0.88</v>
      </c>
      <c r="K4247" t="str">
        <v>+</v>
      </c>
      <c r="L4247">
        <f>IF(D4247=0,2*MAX(6*F4247,75),(D4247-1)*2*MAX(6*F4247,75))/1000</f>
        <v>0.15</v>
      </c>
      <c r="M4247" t="str">
        <v>=</v>
      </c>
      <c r="N4247">
        <f>J4247+L4247</f>
        <v>1.03</v>
      </c>
      <c r="T4247" t="str">
        <v>x</v>
      </c>
      <c r="U4247">
        <f>0.006165*F4247^2</f>
        <v>0.6165</v>
      </c>
      <c r="V4247" t="str">
        <v>x</v>
      </c>
      <c r="W4247">
        <f>IF(D4228&gt;4*G4226,ROUND(MAX(D4228/4,2*G4226)/H4247,0)+1,0)</f>
        <v>9</v>
      </c>
      <c r="X4247" t="str">
        <v>x</v>
      </c>
      <c r="Y4247">
        <f>D4231</f>
        <v>1</v>
      </c>
      <c r="Z4247" t="str">
        <v>=</v>
      </c>
      <c r="AA4247">
        <f>N4247*U4247*W4247*Y4247</f>
        <v>5.714955000000001</v>
      </c>
    </row>
    <row r="4249">
      <c r="A4249" t="str">
        <f>A4225</f>
        <v>Lantai 2</v>
      </c>
      <c r="B4249">
        <f>B4225</f>
        <v>54</v>
      </c>
      <c r="C4249" t="str">
        <v>Kait Horizontal Tump.</v>
      </c>
      <c r="D4249">
        <f>VLOOKUP(D4225,'Detail Balok'!$C$10:$BJ$140,46,FALSE)</f>
        <v>0</v>
      </c>
      <c r="E4249" t="str">
        <v>D</v>
      </c>
      <c r="F4249">
        <f>VLOOKUP(D4225,'Detail Balok'!$C$10:$BJ$140,48,FALSE)</f>
        <v>0</v>
      </c>
      <c r="G4249" t="str">
        <v>-</v>
      </c>
      <c r="H4249">
        <f>VLOOKUP(D4225,'Detail Balok'!$C$10:$BJ$140,50,FALSE)</f>
        <v>100</v>
      </c>
      <c r="J4249">
        <f>(D4226-2*F$5)/1000</f>
        <v>0.12</v>
      </c>
      <c r="K4249" t="str">
        <v>+</v>
      </c>
      <c r="L4249">
        <f>IF(D4249=0,2*MAX(6*F4249,75),(D4249-1)*2*MAX(6*F4249,75))/1000</f>
        <v>0.15</v>
      </c>
      <c r="M4249" t="str">
        <v>=</v>
      </c>
      <c r="N4249">
        <f>J4249+L4249</f>
        <v>0.27</v>
      </c>
      <c r="T4249" t="str">
        <v>x</v>
      </c>
      <c r="U4249">
        <f>0.006165*F4249^2</f>
        <v>0</v>
      </c>
      <c r="V4249" t="str">
        <v>x</v>
      </c>
      <c r="W4249">
        <f>W4245</f>
        <v>9</v>
      </c>
      <c r="X4249" t="str">
        <v>x</v>
      </c>
      <c r="Y4249">
        <f>D4235</f>
        <v>3</v>
      </c>
      <c r="Z4249" t="str">
        <v>=</v>
      </c>
      <c r="AA4249">
        <f>N4249*U4249*W4249*Y4249</f>
        <v>0</v>
      </c>
    </row>
    <row r="4250">
      <c r="A4250" t="str">
        <f>A4225</f>
        <v>Lantai 2</v>
      </c>
      <c r="B4250">
        <f>B4225</f>
        <v>54</v>
      </c>
      <c r="C4250" t="str">
        <v>Kait Horizontal Lap.</v>
      </c>
      <c r="D4250">
        <f>VLOOKUP(D4225,'Detail Balok'!$C$10:$BJ$140,51,FALSE)</f>
        <v>0</v>
      </c>
      <c r="E4250" t="str">
        <v>D</v>
      </c>
      <c r="F4250">
        <f>VLOOKUP(D4225,'Detail Balok'!$C$10:$BJ$140,53,FALSE)</f>
        <v>0</v>
      </c>
      <c r="G4250" t="str">
        <v>-</v>
      </c>
      <c r="H4250">
        <f>VLOOKUP(D4225,'Detail Balok'!$C$10:$BJ$140,55,FALSE)</f>
        <v>100</v>
      </c>
      <c r="J4250">
        <f>(D4226-2*F$5)/1000</f>
        <v>0.12</v>
      </c>
      <c r="K4250" t="str">
        <v>+</v>
      </c>
      <c r="L4250">
        <f>IF(D4250=0,2*MAX(6*F4250,75),(D4250-1)*2*MAX(6*F4250,75))/1000</f>
        <v>0.15</v>
      </c>
      <c r="M4250" t="str">
        <v>=</v>
      </c>
      <c r="N4250">
        <f>J4250+L4250</f>
        <v>0.27</v>
      </c>
      <c r="T4250" t="str">
        <v>x</v>
      </c>
      <c r="U4250">
        <f>0.006165*F4250^2</f>
        <v>0</v>
      </c>
      <c r="V4250" t="str">
        <v>x</v>
      </c>
      <c r="W4250">
        <f>W4246</f>
        <v>5</v>
      </c>
      <c r="X4250" t="str">
        <v>x</v>
      </c>
      <c r="Y4250">
        <f>D4235</f>
        <v>3</v>
      </c>
      <c r="Z4250" t="str">
        <v>=</v>
      </c>
      <c r="AA4250">
        <f>N4250*U4250*W4250*Y4250</f>
        <v>0</v>
      </c>
    </row>
    <row r="4251">
      <c r="A4251" t="str">
        <f>A4225</f>
        <v>Lantai 2</v>
      </c>
      <c r="B4251">
        <f>B4225</f>
        <v>54</v>
      </c>
      <c r="C4251" t="str">
        <v>Kait Horizontal Tump.</v>
      </c>
      <c r="D4251">
        <f>VLOOKUP(D4225,'Detail Balok'!$C$10:$BJ$140,56,FALSE)</f>
        <v>0</v>
      </c>
      <c r="E4251" t="str">
        <v>D</v>
      </c>
      <c r="F4251">
        <f>VLOOKUP(D4225,'Detail Balok'!$C$10:$BJ$140,58,FALSE)</f>
        <v>0</v>
      </c>
      <c r="G4251" t="str">
        <v>-</v>
      </c>
      <c r="H4251">
        <f>VLOOKUP(D4225,'Detail Balok'!$C$10:$BJ$140,60,FALSE)</f>
        <v>100</v>
      </c>
      <c r="J4251">
        <f>(D4226-2*F$5)/1000</f>
        <v>0.12</v>
      </c>
      <c r="K4251" t="str">
        <v>+</v>
      </c>
      <c r="L4251">
        <f>IF(D4251=0,2*MAX(6*F4251,75),(D4251-1)*2*MAX(6*F4251,75))/1000</f>
        <v>0.15</v>
      </c>
      <c r="M4251" t="str">
        <v>=</v>
      </c>
      <c r="N4251">
        <f>J4251+L4251</f>
        <v>0.27</v>
      </c>
      <c r="T4251" t="str">
        <v>x</v>
      </c>
      <c r="U4251">
        <f>0.006165*F4251^2</f>
        <v>0</v>
      </c>
      <c r="V4251" t="str">
        <v>x</v>
      </c>
      <c r="W4251">
        <f>W4247</f>
        <v>9</v>
      </c>
      <c r="X4251" t="str">
        <v>x</v>
      </c>
      <c r="Y4251">
        <f>D4235</f>
        <v>3</v>
      </c>
      <c r="Z4251" t="str">
        <v>=</v>
      </c>
      <c r="AA4251">
        <f>N4251*U4251*W4251*Y4251</f>
        <v>0</v>
      </c>
    </row>
    <row r="4255">
      <c r="A4255" t="str">
        <f>A4225</f>
        <v>Lantai 2</v>
      </c>
      <c r="B4255">
        <f>B4225+1</f>
        <v>55</v>
      </c>
      <c r="C4255" t="str">
        <f>CONCATENATE(A4255," no. ",B4255)</f>
        <v>Lantai 2 no. 55</v>
      </c>
      <c r="D4255" t="str">
        <f>VLOOKUP(C4255,'Data Panjang Balok'!$C$9:$N$254,2,FALSE)</f>
        <v>CL24-1</v>
      </c>
    </row>
    <row r="4256">
      <c r="C4256" t="str">
        <v>Dimensi</v>
      </c>
      <c r="D4256">
        <f>VLOOKUP(D4255,'Detail Balok'!$C$10:$AU$140,2,FALSE)</f>
        <v>200</v>
      </c>
      <c r="F4256" t="str">
        <v>x</v>
      </c>
      <c r="G4256">
        <f>VLOOKUP(D4255,'Detail Balok'!$C$10:$AU$140,3,FALSE)</f>
        <v>400</v>
      </c>
    </row>
    <row r="4257">
      <c r="C4257" t="str">
        <v>Panjang as ke as</v>
      </c>
      <c r="D4257">
        <f>VLOOKUP(C4255,'Data Panjang Balok'!$C$9:$N$254,4,FALSE)</f>
        <v>2100</v>
      </c>
    </row>
    <row r="4258">
      <c r="C4258" t="str">
        <v>Panjang netto</v>
      </c>
      <c r="D4258">
        <f>VLOOKUP(C4255,'Data Panjang Balok'!$C$9:$N$254,7,FALSE)</f>
        <v>2100</v>
      </c>
    </row>
    <row r="4259">
      <c r="C4259" t="str">
        <v>Kolom / balok kiri</v>
      </c>
      <c r="D4259">
        <f>VLOOKUP(C4255,'Data Panjang Balok'!$C$9:$N$254,9,FALSE)</f>
        <v>0</v>
      </c>
    </row>
    <row r="4260">
      <c r="C4260" t="str">
        <v>Kolom / balok kanan</v>
      </c>
      <c r="D4260">
        <f>VLOOKUP(C4255,'Data Panjang Balok'!$C$9:$N$254,10,FALSE)</f>
        <v>0</v>
      </c>
    </row>
    <row r="4261">
      <c r="C4261" t="str">
        <v>Jumlah</v>
      </c>
      <c r="D4261">
        <f>VLOOKUP(C4255,'Data Panjang Balok'!$C$9:$N$254,3,FALSE)</f>
        <v>1</v>
      </c>
    </row>
    <row r="4262">
      <c r="A4262" t="str">
        <f>A4255</f>
        <v>Lantai 2</v>
      </c>
      <c r="B4262">
        <f>B4255</f>
        <v>55</v>
      </c>
      <c r="C4262" t="str">
        <v>Tul Atas Tumpuan</v>
      </c>
      <c r="D4262">
        <f>VLOOKUP(D4255,'Detail Balok'!$C$10:$AU$140,4,FALSE)</f>
        <v>3</v>
      </c>
      <c r="E4262" t="str">
        <v>D</v>
      </c>
      <c r="F4262">
        <f>VLOOKUP(D4255,'Detail Balok'!$C$10:$AU$140,6,FALSE)</f>
        <v>16</v>
      </c>
      <c r="I4262" t="str">
        <v>(</v>
      </c>
      <c r="J4262">
        <f>+D4257/4/1000</f>
        <v>0.525</v>
      </c>
      <c r="K4262" t="str">
        <v>+</v>
      </c>
      <c r="L4262">
        <f>MAX(VLOOKUP(F4262,N$6:P$15,3,FALSE)/1000,2/3*D4259/1000)+F$16*F4262/1000</f>
        <v>0.192</v>
      </c>
      <c r="M4262" t="str">
        <v>=</v>
      </c>
      <c r="N4262">
        <f>J4262+L4262</f>
        <v>0.7170000000000001</v>
      </c>
      <c r="O4262" t="str">
        <v>+</v>
      </c>
      <c r="P4262">
        <f>D4262-D4263</f>
        <v>0</v>
      </c>
      <c r="Q4262" t="str">
        <v>x</v>
      </c>
      <c r="R4262">
        <f>IF(P4262&gt;0,$F$18*F4262/1000,0)</f>
        <v>0</v>
      </c>
      <c r="S4262" t="str">
        <v>)</v>
      </c>
      <c r="T4262" t="str">
        <v>x</v>
      </c>
      <c r="U4262">
        <f>0.006165*F4262^2</f>
        <v>1.57824</v>
      </c>
      <c r="X4262" t="str">
        <v>x</v>
      </c>
      <c r="Y4262">
        <f>D4261</f>
        <v>1</v>
      </c>
      <c r="Z4262" t="str">
        <v>=</v>
      </c>
      <c r="AA4262">
        <f>IF(AA4265=0,(D4262*N4262+P4262*R4262)*U4262*Y4262,0)</f>
        <v>0</v>
      </c>
    </row>
    <row r="4263">
      <c r="A4263" t="str">
        <f>A4255</f>
        <v>Lantai 2</v>
      </c>
      <c r="B4263">
        <f>B4255</f>
        <v>55</v>
      </c>
      <c r="C4263" t="str">
        <v>Tul Atas Lapangan</v>
      </c>
      <c r="D4263">
        <f>VLOOKUP(D4255,'Detail Balok'!$C$10:$AU$140,7,FALSE)</f>
        <v>3</v>
      </c>
      <c r="E4263" t="str">
        <v>D</v>
      </c>
      <c r="F4263">
        <f>VLOOKUP(D4255,'Detail Balok'!$C$10:$AU$140,9,FALSE)</f>
        <v>16</v>
      </c>
      <c r="I4263" t="str">
        <v>(</v>
      </c>
      <c r="J4263">
        <f>+D4257/2/1000</f>
        <v>1.05</v>
      </c>
      <c r="K4263" t="str">
        <v>+</v>
      </c>
      <c r="M4263" t="str">
        <v>=</v>
      </c>
      <c r="N4263">
        <f>J4263+L4263</f>
        <v>1.05</v>
      </c>
      <c r="O4263" t="str">
        <v>+</v>
      </c>
      <c r="P4263">
        <f>MAX(D4263-D4262,D4263-D4264)</f>
        <v>0</v>
      </c>
      <c r="Q4263" t="str">
        <v>x</v>
      </c>
      <c r="R4263">
        <f>IF(P4263&gt;0,2*(1-2*$F$19-1/2)*D4258/1000,0)</f>
        <v>0</v>
      </c>
      <c r="S4263" t="str">
        <v>)</v>
      </c>
      <c r="T4263" t="str">
        <v>x</v>
      </c>
      <c r="U4263">
        <f>0.006165*F4263^2</f>
        <v>1.57824</v>
      </c>
      <c r="X4263" t="str">
        <v>x</v>
      </c>
      <c r="Y4263">
        <f>D4261</f>
        <v>1</v>
      </c>
      <c r="Z4263" t="str">
        <v>=</v>
      </c>
      <c r="AA4263">
        <f>IF(AA4265=0,(D4263*N4263+P4263*R4263)*U4263*Y4263,0)</f>
        <v>0</v>
      </c>
    </row>
    <row r="4264">
      <c r="A4264" t="str">
        <f>A4255</f>
        <v>Lantai 2</v>
      </c>
      <c r="B4264">
        <f>B4255</f>
        <v>55</v>
      </c>
      <c r="C4264" t="str">
        <v>Tul Atas Tumpuan</v>
      </c>
      <c r="D4264">
        <f>VLOOKUP(D4255,'Detail Balok'!$C$10:$AU$140,10,FALSE)</f>
        <v>3</v>
      </c>
      <c r="E4264" t="str">
        <v>D</v>
      </c>
      <c r="F4264">
        <f>VLOOKUP(D4255,'Detail Balok'!$C$10:$AU$140,12,FALSE)</f>
        <v>16</v>
      </c>
      <c r="I4264" t="str">
        <v>(</v>
      </c>
      <c r="J4264">
        <f>+D4257/4/1000</f>
        <v>0.525</v>
      </c>
      <c r="K4264" t="str">
        <v>+</v>
      </c>
      <c r="L4264">
        <f>MAX(VLOOKUP(F4264,N$6:P$15,3,FALSE)/1000,2/3*D4259/1000)+F$16*F4264/1000</f>
        <v>0.192</v>
      </c>
      <c r="M4264" t="str">
        <v>=</v>
      </c>
      <c r="N4264">
        <f>J4264+L4264</f>
        <v>0.7170000000000001</v>
      </c>
      <c r="O4264" t="str">
        <v>+</v>
      </c>
      <c r="P4264">
        <f>D4264-D4263</f>
        <v>0</v>
      </c>
      <c r="Q4264" t="str">
        <v>x</v>
      </c>
      <c r="R4264">
        <f>IF(P4264&gt;0,$F$18*F4264/1000,0)</f>
        <v>0</v>
      </c>
      <c r="S4264" t="str">
        <v>)</v>
      </c>
      <c r="T4264" t="str">
        <v>x</v>
      </c>
      <c r="U4264">
        <f>0.006165*F4264^2</f>
        <v>1.57824</v>
      </c>
      <c r="X4264" t="str">
        <v>x</v>
      </c>
      <c r="Y4264">
        <f>D4261</f>
        <v>1</v>
      </c>
      <c r="Z4264" t="str">
        <v>=</v>
      </c>
      <c r="AA4264">
        <f>IF(AA4265=0,(D4264*N4264+P4264*R4264)*U4264*Y4264,0)</f>
        <v>0</v>
      </c>
    </row>
    <row r="4265">
      <c r="A4265" t="str">
        <f>A4255</f>
        <v>Lantai 2</v>
      </c>
      <c r="B4265">
        <f>B4255</f>
        <v>55</v>
      </c>
      <c r="D4265">
        <f>IF(AND(D4262=D4263,D4263=D4264,D4262=D4264),D4262,0)</f>
        <v>3</v>
      </c>
      <c r="E4265" t="str">
        <v>D</v>
      </c>
      <c r="F4265">
        <f>IF(AND(F4262=F4263,F4262=F4264,F4263=F4264),F4262,0)</f>
        <v>16</v>
      </c>
      <c r="L4265" t="str">
        <v>Total panjang per balok</v>
      </c>
      <c r="M4265" t="str">
        <v>=</v>
      </c>
      <c r="N4265">
        <f>IF(AND(D4262=D4263,D4262=D4264,D4263=D4264,F4262=F4263,F4262=F4264,F4263=F4264),SUM(N4262:N4264),0)</f>
        <v>2.484</v>
      </c>
      <c r="O4265" t="str">
        <v>+</v>
      </c>
      <c r="P4265">
        <f>IF(N4265&gt;12,ROUNDDOWN(N4265/12,0),0)</f>
        <v>0</v>
      </c>
      <c r="Q4265" t="str">
        <v>x</v>
      </c>
      <c r="R4265">
        <f>IF(P4265&gt;0,MAX(VLOOKUP(F4265,$D$6:$G$15,3,FALSE),600),0)/1000</f>
        <v>0</v>
      </c>
      <c r="T4265" t="str">
        <v>x</v>
      </c>
      <c r="U4265">
        <f>U4264</f>
        <v>1.57824</v>
      </c>
      <c r="V4265" t="str">
        <v>x</v>
      </c>
      <c r="W4265">
        <f>D4265</f>
        <v>3</v>
      </c>
      <c r="X4265" t="str">
        <v>x</v>
      </c>
      <c r="Y4265">
        <f>Y4264</f>
        <v>1</v>
      </c>
      <c r="Z4265" t="str">
        <v>=</v>
      </c>
      <c r="AA4265">
        <f>(N4265+P4265*R4265/1000)*U4265*W4265*Y4265</f>
        <v>11.76104448</v>
      </c>
    </row>
    <row r="4267">
      <c r="A4267" t="str">
        <f>A4255</f>
        <v>Lantai 2</v>
      </c>
      <c r="B4267">
        <f>B4255</f>
        <v>55</v>
      </c>
      <c r="C4267" t="str">
        <v>Tul Peminggang</v>
      </c>
      <c r="D4267">
        <f>VLOOKUP(D4255,'Detail Balok'!$C$10:$AU$140,13,FALSE)</f>
        <v>0</v>
      </c>
      <c r="E4267" t="str">
        <v>D</v>
      </c>
      <c r="F4267">
        <f>VLOOKUP(D4255,'Detail Balok'!$C$10:$AU$140,15,FALSE)</f>
        <v>8</v>
      </c>
      <c r="J4267">
        <f>+D4257/1000</f>
        <v>2.1</v>
      </c>
      <c r="K4267" t="str">
        <v>+</v>
      </c>
      <c r="L4267">
        <f>2*$F$16*F4267/1000</f>
        <v>0.192</v>
      </c>
      <c r="M4267" t="str">
        <v>=</v>
      </c>
      <c r="N4267">
        <f>J4267+L4267</f>
        <v>2.2920000000000003</v>
      </c>
      <c r="O4267" t="str">
        <v>+</v>
      </c>
      <c r="P4267">
        <f>IF(N4267&gt;12,ROUNDDOWN(N4267/12,0),0)</f>
        <v>0</v>
      </c>
      <c r="Q4267" t="str">
        <v>x</v>
      </c>
      <c r="R4267">
        <f>IF(P4267&gt;0,MAX(VLOOKUP(F4267,$D$6:$G$15,3,FALSE),600),0)/1000</f>
        <v>0</v>
      </c>
      <c r="T4267" t="str">
        <v>x</v>
      </c>
      <c r="U4267">
        <f>0.006165*F4267^2</f>
        <v>0.39456</v>
      </c>
      <c r="V4267" t="str">
        <v>x</v>
      </c>
      <c r="W4267">
        <f>+D4267</f>
        <v>0</v>
      </c>
      <c r="X4267" t="str">
        <v>x</v>
      </c>
      <c r="Y4267">
        <f>D4261</f>
        <v>1</v>
      </c>
      <c r="Z4267" t="str">
        <v>=</v>
      </c>
      <c r="AA4267">
        <f>(N4267+P4267*R4267/1000)*U4267*W4267*Y4267</f>
        <v>0</v>
      </c>
    </row>
    <row r="4270">
      <c r="A4270" t="str">
        <f>A4255</f>
        <v>Lantai 2</v>
      </c>
      <c r="B4270">
        <f>B4255</f>
        <v>55</v>
      </c>
      <c r="C4270" t="str">
        <v>Tul Bawah Tumpuan</v>
      </c>
      <c r="D4270">
        <f>VLOOKUP(D4255,'Detail Balok'!$C$10:$AU$140,22,FALSE)</f>
        <v>3</v>
      </c>
      <c r="E4270" t="str">
        <v>D</v>
      </c>
      <c r="F4270">
        <f>VLOOKUP(D4255,'Detail Balok'!$C$10:$AU$140,24,FALSE)</f>
        <v>16</v>
      </c>
      <c r="I4270" t="str">
        <v>(</v>
      </c>
      <c r="J4270">
        <f>+J4262</f>
        <v>0.525</v>
      </c>
      <c r="K4270" t="str">
        <v>+</v>
      </c>
      <c r="L4270">
        <f>MAX(VLOOKUP(F4270,N$6:P$15,3,FALSE)/1000,2/3*D4260/1000)+F$16*F4270/1000</f>
        <v>0.192</v>
      </c>
      <c r="M4270" t="str">
        <v>=</v>
      </c>
      <c r="N4270">
        <f>J4270+L4270</f>
        <v>0.7170000000000001</v>
      </c>
      <c r="O4270" t="str">
        <v>+</v>
      </c>
      <c r="P4270">
        <f>D4270-D4271</f>
        <v>0</v>
      </c>
      <c r="Q4270" t="str">
        <v>x</v>
      </c>
      <c r="R4270">
        <f>IF(P4270&gt;0,$F$18*F4270/1000,0)</f>
        <v>0</v>
      </c>
      <c r="S4270" t="str">
        <v>)</v>
      </c>
      <c r="T4270" t="str">
        <v>x</v>
      </c>
      <c r="U4270">
        <f>0.006165*F4270^2</f>
        <v>1.57824</v>
      </c>
      <c r="X4270" t="str">
        <v>x</v>
      </c>
      <c r="Y4270">
        <f>D4261</f>
        <v>1</v>
      </c>
      <c r="Z4270" t="str">
        <v>=</v>
      </c>
      <c r="AA4270">
        <f>IF(AA4273=0,(D4270*N4270+P4270*R4270)*U4270*Y4270,0)</f>
        <v>0</v>
      </c>
    </row>
    <row r="4271">
      <c r="A4271" t="str">
        <f>A4255</f>
        <v>Lantai 2</v>
      </c>
      <c r="B4271">
        <f>B4255</f>
        <v>55</v>
      </c>
      <c r="C4271" t="str">
        <v>Tul Bawah Lapangan</v>
      </c>
      <c r="D4271">
        <f>VLOOKUP(D4255,'Detail Balok'!$C$10:$AU$140,25,FALSE)</f>
        <v>3</v>
      </c>
      <c r="E4271" t="str">
        <v>D</v>
      </c>
      <c r="F4271">
        <f>VLOOKUP(D4255,'Detail Balok'!$C$10:$AU$140,27,FALSE)</f>
        <v>16</v>
      </c>
      <c r="I4271" t="str">
        <v>(</v>
      </c>
      <c r="J4271">
        <f>+J4263</f>
        <v>1.05</v>
      </c>
      <c r="K4271" t="str">
        <v>+</v>
      </c>
      <c r="M4271" t="str">
        <v>=</v>
      </c>
      <c r="N4271">
        <f>J4271+L4271</f>
        <v>1.05</v>
      </c>
      <c r="O4271" t="str">
        <v>+</v>
      </c>
      <c r="P4271">
        <f>MAX(D4271-D4270,D4271-D4272)</f>
        <v>0</v>
      </c>
      <c r="Q4271" t="str">
        <v>x</v>
      </c>
      <c r="R4271">
        <f>IF(P4271&gt;0,2*(1-2*$F$19-1/2)*D4258/1000,0)</f>
        <v>0</v>
      </c>
      <c r="S4271" t="str">
        <v>)</v>
      </c>
      <c r="T4271" t="str">
        <v>x</v>
      </c>
      <c r="U4271">
        <f>0.006165*F4271^2</f>
        <v>1.57824</v>
      </c>
      <c r="X4271" t="str">
        <v>x</v>
      </c>
      <c r="Y4271">
        <f>D4261</f>
        <v>1</v>
      </c>
      <c r="Z4271" t="str">
        <v>=</v>
      </c>
      <c r="AA4271">
        <f>IF(AA4273=0,(D4271*N4271+P4271*R4271)*U4271*Y4271,0)</f>
        <v>0</v>
      </c>
    </row>
    <row r="4272">
      <c r="A4272" t="str">
        <f>A4255</f>
        <v>Lantai 2</v>
      </c>
      <c r="B4272">
        <f>B4255</f>
        <v>55</v>
      </c>
      <c r="C4272" t="str">
        <v>Tul Bawah Tumpuan</v>
      </c>
      <c r="D4272">
        <f>VLOOKUP(D4255,'Detail Balok'!$C$10:$AU$140,28,FALSE)</f>
        <v>3</v>
      </c>
      <c r="E4272" t="str">
        <v>D</v>
      </c>
      <c r="F4272">
        <f>VLOOKUP(D4255,'Detail Balok'!$C$10:$AU$140,30,FALSE)</f>
        <v>16</v>
      </c>
      <c r="I4272" t="str">
        <v>(</v>
      </c>
      <c r="J4272">
        <f>+J4264</f>
        <v>0.525</v>
      </c>
      <c r="K4272" t="str">
        <v>+</v>
      </c>
      <c r="L4272">
        <f>MAX(VLOOKUP(F4272,N$6:P$15,3,FALSE)/1000,2/3*D4260/1000)+F$16*F4272/1000</f>
        <v>0.192</v>
      </c>
      <c r="M4272" t="str">
        <v>=</v>
      </c>
      <c r="N4272">
        <f>J4272+L4272</f>
        <v>0.7170000000000001</v>
      </c>
      <c r="O4272" t="str">
        <v>+</v>
      </c>
      <c r="P4272">
        <f>D4272-D4271</f>
        <v>0</v>
      </c>
      <c r="Q4272" t="str">
        <v>x</v>
      </c>
      <c r="R4272">
        <f>IF(P4272&gt;0,$F$18*F4272/1000,0)</f>
        <v>0</v>
      </c>
      <c r="S4272" t="str">
        <v>)</v>
      </c>
      <c r="T4272" t="str">
        <v>x</v>
      </c>
      <c r="U4272">
        <f>0.006165*F4272^2</f>
        <v>1.57824</v>
      </c>
      <c r="X4272" t="str">
        <v>x</v>
      </c>
      <c r="Y4272">
        <f>D4261</f>
        <v>1</v>
      </c>
      <c r="Z4272" t="str">
        <v>=</v>
      </c>
      <c r="AA4272">
        <f>IF(AA4273=0,(D4272*N4272+P4272*R4272)*U4272*Y4272,0)</f>
        <v>0</v>
      </c>
    </row>
    <row r="4273">
      <c r="A4273" t="str">
        <f>A4255</f>
        <v>Lantai 2</v>
      </c>
      <c r="B4273">
        <f>B4255</f>
        <v>55</v>
      </c>
      <c r="D4273">
        <f>IF(AND(D4270=D4271,D4271=D4272,D4270=D4272),D4270,0)</f>
        <v>3</v>
      </c>
      <c r="E4273" t="str">
        <v>D</v>
      </c>
      <c r="F4273">
        <f>IF(AND(F4270=F4271,F4270=F4272,F4271=F4272),F4270,0)</f>
        <v>16</v>
      </c>
      <c r="L4273" t="str">
        <v>Total panjang per balok</v>
      </c>
      <c r="M4273" t="str">
        <v>=</v>
      </c>
      <c r="N4273">
        <f>IF(AND(D4270=D4271,D4270=D4272,D4271=D4272,F4270=F4271,F4270=F4272,F4271=F4272),SUM(N4270:N4272),0)</f>
        <v>2.484</v>
      </c>
      <c r="O4273" t="str">
        <v>+</v>
      </c>
      <c r="P4273">
        <f>IF(N4273&gt;12,ROUNDDOWN(N4273/12,0),0)</f>
        <v>0</v>
      </c>
      <c r="Q4273" t="str">
        <v>x</v>
      </c>
      <c r="R4273">
        <f>IF(P4273&gt;0,MAX(VLOOKUP(F4273,$D$6:$G$15,3,FALSE),600),0)/1000</f>
        <v>0</v>
      </c>
      <c r="T4273" t="str">
        <v>x</v>
      </c>
      <c r="U4273">
        <f>U4272</f>
        <v>1.57824</v>
      </c>
      <c r="V4273" t="str">
        <v>x</v>
      </c>
      <c r="W4273">
        <f>D4273</f>
        <v>3</v>
      </c>
      <c r="X4273" t="str">
        <v>x</v>
      </c>
      <c r="Y4273">
        <f>Y4272</f>
        <v>1</v>
      </c>
      <c r="Z4273" t="str">
        <v>=</v>
      </c>
      <c r="AA4273">
        <f>(N4273+P4273*R4273/1000)*U4273*W4273*Y4273</f>
        <v>11.76104448</v>
      </c>
    </row>
    <row r="4275">
      <c r="A4275" t="str">
        <f>A4255</f>
        <v>Lantai 2</v>
      </c>
      <c r="B4275">
        <f>B4255</f>
        <v>55</v>
      </c>
      <c r="C4275" t="str">
        <v>Sengkang Tumpuan</v>
      </c>
      <c r="D4275">
        <f>VLOOKUP(D4255,'Detail Balok'!$C$10:$AU$140,31,FALSE)</f>
        <v>0</v>
      </c>
      <c r="E4275" t="str">
        <v>D</v>
      </c>
      <c r="F4275">
        <f>VLOOKUP(D4255,'Detail Balok'!$C$10:$AU$140,33,FALSE)</f>
        <v>10</v>
      </c>
      <c r="G4275" t="str">
        <v>-</v>
      </c>
      <c r="H4275">
        <f>VLOOKUP(D4255,'Detail Balok'!$C$10:$AU$140,35,FALSE)</f>
        <v>100</v>
      </c>
      <c r="J4275">
        <f>(IF(D4275=0,(2*(D4256+G4256))-(F$5*8),IF(D4275=3,(2*(D4256+G4256))-(F$5*8)+(G4256-2*F$5),IF(D4275=4,(2*(D4256+G4256))-(F$5*8)+2*(G4256-2*F$5)))))/1000</f>
        <v>0.88</v>
      </c>
      <c r="K4275" t="str">
        <v>+</v>
      </c>
      <c r="L4275">
        <f>IF(D4275=0,2*MAX(6*F4275,75),(D4275-1)*2*MAX(6*F4275,75))/1000</f>
        <v>0.15</v>
      </c>
      <c r="M4275" t="str">
        <v>=</v>
      </c>
      <c r="N4275">
        <f>J4275+L4275</f>
        <v>1.03</v>
      </c>
      <c r="T4275" t="str">
        <v>x</v>
      </c>
      <c r="U4275">
        <f>0.006165*F4275^2</f>
        <v>0.6165</v>
      </c>
      <c r="V4275" t="str">
        <v>x</v>
      </c>
      <c r="W4275">
        <f>IF(D4258&gt;4*G4256,ROUND(MAX(D4258/4,2*G4256)/H4275,0)+1,ROUND(D4258/H4275,0)+1)</f>
        <v>9</v>
      </c>
      <c r="X4275" t="str">
        <v>x</v>
      </c>
      <c r="Y4275">
        <f>D4261</f>
        <v>1</v>
      </c>
      <c r="Z4275" t="str">
        <v>=</v>
      </c>
      <c r="AA4275">
        <f>N4275*U4275*W4275*Y4275</f>
        <v>5.714955000000001</v>
      </c>
    </row>
    <row r="4276">
      <c r="A4276" t="str">
        <f>A4255</f>
        <v>Lantai 2</v>
      </c>
      <c r="B4276">
        <f>B4255</f>
        <v>55</v>
      </c>
      <c r="C4276" t="str">
        <v>Sengkang Lapangan</v>
      </c>
      <c r="D4276">
        <f>VLOOKUP(D4255,'Detail Balok'!$C$10:$AU$140,36,FALSE)</f>
        <v>0</v>
      </c>
      <c r="E4276" t="str">
        <v>D</v>
      </c>
      <c r="F4276">
        <f>VLOOKUP(D4255,'Detail Balok'!$C$10:$AU$140,38,FALSE)</f>
        <v>10</v>
      </c>
      <c r="G4276" t="str">
        <v>-</v>
      </c>
      <c r="H4276">
        <f>VLOOKUP(D4255,'Detail Balok'!$C$10:$AU$140,40,FALSE)</f>
        <v>100</v>
      </c>
      <c r="J4276">
        <f>(IF(D4276=0,(2*(D4256+G4256))-(F$5*8),IF(D4276=3,(2*(D4256+G4256))-(F$5*8)+(G4256-2*F$5),IF(D4276=4,(2*(D4256+G4256))-(F$5*8)+2*(G4256-2*F$5)))))/1000</f>
        <v>0.88</v>
      </c>
      <c r="K4276" t="str">
        <v>+</v>
      </c>
      <c r="L4276">
        <f>IF(D4276=0,2*MAX(6*F4276,75),(D4276-1)*2*MAX(6*F4276,75))/1000</f>
        <v>0.15</v>
      </c>
      <c r="M4276" t="str">
        <v>=</v>
      </c>
      <c r="N4276">
        <f>J4276+L4276</f>
        <v>1.03</v>
      </c>
      <c r="T4276" t="str">
        <v>x</v>
      </c>
      <c r="U4276">
        <f>0.006165*F4276^2</f>
        <v>0.6165</v>
      </c>
      <c r="V4276" t="str">
        <v>x</v>
      </c>
      <c r="W4276">
        <f>IF(D4258-MAX(D4258/4,2*G4256)*2&gt;0,ROUND((D4258-MAX(D4258/4,2*G4256)*2)/H4276,0),0)</f>
        <v>5</v>
      </c>
      <c r="X4276" t="str">
        <v>x</v>
      </c>
      <c r="Y4276">
        <f>D4261</f>
        <v>1</v>
      </c>
      <c r="Z4276" t="str">
        <v>=</v>
      </c>
      <c r="AA4276">
        <f>N4276*U4276*W4276*Y4276</f>
        <v>3.1749750000000003</v>
      </c>
    </row>
    <row r="4277">
      <c r="A4277" t="str">
        <f>A4255</f>
        <v>Lantai 2</v>
      </c>
      <c r="B4277">
        <f>B4255</f>
        <v>55</v>
      </c>
      <c r="C4277" t="str">
        <v>Sengkang Tumpuan</v>
      </c>
      <c r="D4277">
        <f>VLOOKUP(D4255,'Detail Balok'!$C$10:$AU$140,41,FALSE)</f>
        <v>0</v>
      </c>
      <c r="E4277" t="str">
        <v>D</v>
      </c>
      <c r="F4277">
        <f>VLOOKUP(D4255,'Detail Balok'!$C$10:$AU$140,43,FALSE)</f>
        <v>10</v>
      </c>
      <c r="G4277" t="str">
        <v>-</v>
      </c>
      <c r="H4277">
        <f>VLOOKUP(D4255,'Detail Balok'!$C$10:$AU$140,45,FALSE)</f>
        <v>100</v>
      </c>
      <c r="J4277">
        <f>(IF(D4277=0,(2*(D4256+G4256))-(F$5*8),IF(D4277=3,(2*(D4256+G4256))-(F$5*8)+(G4256-2*F$5),IF(D4277=4,(2*(D4256+G4256))-(F$5*8)+2*(G4256-2*F$5)))))/1000</f>
        <v>0.88</v>
      </c>
      <c r="K4277" t="str">
        <v>+</v>
      </c>
      <c r="L4277">
        <f>IF(D4277=0,2*MAX(6*F4277,75),(D4277-1)*2*MAX(6*F4277,75))/1000</f>
        <v>0.15</v>
      </c>
      <c r="M4277" t="str">
        <v>=</v>
      </c>
      <c r="N4277">
        <f>J4277+L4277</f>
        <v>1.03</v>
      </c>
      <c r="T4277" t="str">
        <v>x</v>
      </c>
      <c r="U4277">
        <f>0.006165*F4277^2</f>
        <v>0.6165</v>
      </c>
      <c r="V4277" t="str">
        <v>x</v>
      </c>
      <c r="W4277">
        <f>IF(D4258&gt;4*G4256,ROUND(MAX(D4258/4,2*G4256)/H4277,0)+1,0)</f>
        <v>9</v>
      </c>
      <c r="X4277" t="str">
        <v>x</v>
      </c>
      <c r="Y4277">
        <f>D4261</f>
        <v>1</v>
      </c>
      <c r="Z4277" t="str">
        <v>=</v>
      </c>
      <c r="AA4277">
        <f>N4277*U4277*W4277*Y4277</f>
        <v>5.714955000000001</v>
      </c>
    </row>
    <row r="4279">
      <c r="A4279" t="str">
        <f>A4255</f>
        <v>Lantai 2</v>
      </c>
      <c r="B4279">
        <f>B4255</f>
        <v>55</v>
      </c>
      <c r="C4279" t="str">
        <v>Kait Horizontal Tump.</v>
      </c>
      <c r="D4279">
        <f>VLOOKUP(D4255,'Detail Balok'!$C$10:$BJ$140,46,FALSE)</f>
        <v>0</v>
      </c>
      <c r="E4279" t="str">
        <v>D</v>
      </c>
      <c r="F4279">
        <f>VLOOKUP(D4255,'Detail Balok'!$C$10:$BJ$140,48,FALSE)</f>
        <v>0</v>
      </c>
      <c r="G4279" t="str">
        <v>-</v>
      </c>
      <c r="H4279">
        <f>VLOOKUP(D4255,'Detail Balok'!$C$10:$BJ$140,50,FALSE)</f>
        <v>100</v>
      </c>
      <c r="J4279">
        <f>(D4256-2*F$5)/1000</f>
        <v>0.12</v>
      </c>
      <c r="K4279" t="str">
        <v>+</v>
      </c>
      <c r="L4279">
        <f>IF(D4279=0,2*MAX(6*F4279,75),(D4279-1)*2*MAX(6*F4279,75))/1000</f>
        <v>0.15</v>
      </c>
      <c r="M4279" t="str">
        <v>=</v>
      </c>
      <c r="N4279">
        <f>J4279+L4279</f>
        <v>0.27</v>
      </c>
      <c r="T4279" t="str">
        <v>x</v>
      </c>
      <c r="U4279">
        <f>0.006165*F4279^2</f>
        <v>0</v>
      </c>
      <c r="V4279" t="str">
        <v>x</v>
      </c>
      <c r="W4279">
        <f>W4275</f>
        <v>9</v>
      </c>
      <c r="X4279" t="str">
        <v>x</v>
      </c>
      <c r="Y4279">
        <f>D4265</f>
        <v>3</v>
      </c>
      <c r="Z4279" t="str">
        <v>=</v>
      </c>
      <c r="AA4279">
        <f>N4279*U4279*W4279*Y4279</f>
        <v>0</v>
      </c>
    </row>
    <row r="4280">
      <c r="A4280" t="str">
        <f>A4255</f>
        <v>Lantai 2</v>
      </c>
      <c r="B4280">
        <f>B4255</f>
        <v>55</v>
      </c>
      <c r="C4280" t="str">
        <v>Kait Horizontal Lap.</v>
      </c>
      <c r="D4280">
        <f>VLOOKUP(D4255,'Detail Balok'!$C$10:$BJ$140,51,FALSE)</f>
        <v>0</v>
      </c>
      <c r="E4280" t="str">
        <v>D</v>
      </c>
      <c r="F4280">
        <f>VLOOKUP(D4255,'Detail Balok'!$C$10:$BJ$140,53,FALSE)</f>
        <v>0</v>
      </c>
      <c r="G4280" t="str">
        <v>-</v>
      </c>
      <c r="H4280">
        <f>VLOOKUP(D4255,'Detail Balok'!$C$10:$BJ$140,55,FALSE)</f>
        <v>100</v>
      </c>
      <c r="J4280">
        <f>(D4256-2*F$5)/1000</f>
        <v>0.12</v>
      </c>
      <c r="K4280" t="str">
        <v>+</v>
      </c>
      <c r="L4280">
        <f>IF(D4280=0,2*MAX(6*F4280,75),(D4280-1)*2*MAX(6*F4280,75))/1000</f>
        <v>0.15</v>
      </c>
      <c r="M4280" t="str">
        <v>=</v>
      </c>
      <c r="N4280">
        <f>J4280+L4280</f>
        <v>0.27</v>
      </c>
      <c r="T4280" t="str">
        <v>x</v>
      </c>
      <c r="U4280">
        <f>0.006165*F4280^2</f>
        <v>0</v>
      </c>
      <c r="V4280" t="str">
        <v>x</v>
      </c>
      <c r="W4280">
        <f>W4276</f>
        <v>5</v>
      </c>
      <c r="X4280" t="str">
        <v>x</v>
      </c>
      <c r="Y4280">
        <f>D4265</f>
        <v>3</v>
      </c>
      <c r="Z4280" t="str">
        <v>=</v>
      </c>
      <c r="AA4280">
        <f>N4280*U4280*W4280*Y4280</f>
        <v>0</v>
      </c>
    </row>
    <row r="4281">
      <c r="A4281" t="str">
        <f>A4255</f>
        <v>Lantai 2</v>
      </c>
      <c r="B4281">
        <f>B4255</f>
        <v>55</v>
      </c>
      <c r="C4281" t="str">
        <v>Kait Horizontal Tump.</v>
      </c>
      <c r="D4281">
        <f>VLOOKUP(D4255,'Detail Balok'!$C$10:$BJ$140,56,FALSE)</f>
        <v>0</v>
      </c>
      <c r="E4281" t="str">
        <v>D</v>
      </c>
      <c r="F4281">
        <f>VLOOKUP(D4255,'Detail Balok'!$C$10:$BJ$140,58,FALSE)</f>
        <v>0</v>
      </c>
      <c r="G4281" t="str">
        <v>-</v>
      </c>
      <c r="H4281">
        <f>VLOOKUP(D4255,'Detail Balok'!$C$10:$BJ$140,60,FALSE)</f>
        <v>100</v>
      </c>
      <c r="J4281">
        <f>(D4256-2*F$5)/1000</f>
        <v>0.12</v>
      </c>
      <c r="K4281" t="str">
        <v>+</v>
      </c>
      <c r="L4281">
        <f>IF(D4281=0,2*MAX(6*F4281,75),(D4281-1)*2*MAX(6*F4281,75))/1000</f>
        <v>0.15</v>
      </c>
      <c r="M4281" t="str">
        <v>=</v>
      </c>
      <c r="N4281">
        <f>J4281+L4281</f>
        <v>0.27</v>
      </c>
      <c r="T4281" t="str">
        <v>x</v>
      </c>
      <c r="U4281">
        <f>0.006165*F4281^2</f>
        <v>0</v>
      </c>
      <c r="V4281" t="str">
        <v>x</v>
      </c>
      <c r="W4281">
        <f>W4277</f>
        <v>9</v>
      </c>
      <c r="X4281" t="str">
        <v>x</v>
      </c>
      <c r="Y4281">
        <f>D4265</f>
        <v>3</v>
      </c>
      <c r="Z4281" t="str">
        <v>=</v>
      </c>
      <c r="AA4281">
        <f>N4281*U4281*W4281*Y4281</f>
        <v>0</v>
      </c>
    </row>
    <row r="4285">
      <c r="A4285" t="str">
        <v>Lantai 3</v>
      </c>
      <c r="B4285">
        <v>1</v>
      </c>
      <c r="C4285" t="str">
        <f>CONCATENATE(A4285," no. ",B4285)</f>
        <v>Lantai 3 no. 1</v>
      </c>
      <c r="D4285" t="str">
        <f>VLOOKUP(C4285,'Data Panjang Balok'!$C$9:$N$254,2,FALSE)</f>
        <v>B24-1</v>
      </c>
    </row>
    <row r="4286">
      <c r="C4286" t="str">
        <v>Dimensi</v>
      </c>
      <c r="D4286">
        <f>VLOOKUP(D4285,'Detail Balok'!$C$10:$AU$140,2,FALSE)</f>
        <v>200</v>
      </c>
      <c r="F4286" t="str">
        <v>x</v>
      </c>
      <c r="G4286">
        <f>VLOOKUP(D4285,'Detail Balok'!$C$10:$AU$140,3,FALSE)</f>
        <v>400</v>
      </c>
    </row>
    <row r="4287">
      <c r="C4287" t="str">
        <v>Panjang as ke as</v>
      </c>
      <c r="D4287">
        <f>VLOOKUP(C4285,'Data Panjang Balok'!$C$9:$N$254,4,FALSE)</f>
        <v>9250</v>
      </c>
    </row>
    <row r="4288">
      <c r="C4288" t="str">
        <v>Panjang netto</v>
      </c>
      <c r="D4288">
        <f>VLOOKUP(C4285,'Data Panjang Balok'!$C$9:$N$254,7,FALSE)</f>
        <v>9250</v>
      </c>
    </row>
    <row r="4289">
      <c r="C4289" t="str">
        <v>Kolom / balok kiri</v>
      </c>
      <c r="D4289">
        <f>VLOOKUP(C4285,'Data Panjang Balok'!$C$9:$N$254,9,FALSE)</f>
        <v>0</v>
      </c>
    </row>
    <row r="4290">
      <c r="C4290" t="str">
        <v>Kolom / balok kanan</v>
      </c>
      <c r="D4290">
        <f>VLOOKUP(C4285,'Data Panjang Balok'!$C$9:$N$254,10,FALSE)</f>
        <v>0</v>
      </c>
    </row>
    <row r="4291">
      <c r="C4291" t="str">
        <v>Jumlah</v>
      </c>
      <c r="D4291">
        <f>VLOOKUP(C4285,'Data Panjang Balok'!$C$9:$N$254,3,FALSE)</f>
        <v>1</v>
      </c>
    </row>
    <row r="4292">
      <c r="A4292" t="str">
        <f>A4285</f>
        <v>Lantai 3</v>
      </c>
      <c r="B4292">
        <f>B4285</f>
        <v>1</v>
      </c>
      <c r="C4292" t="str">
        <v>Tul Atas Tumpuan</v>
      </c>
      <c r="D4292">
        <f>VLOOKUP(D4285,'Detail Balok'!$C$10:$AU$140,4,FALSE)</f>
        <v>3</v>
      </c>
      <c r="E4292" t="str">
        <v>D</v>
      </c>
      <c r="F4292">
        <f>VLOOKUP(D4285,'Detail Balok'!$C$10:$AU$140,6,FALSE)</f>
        <v>13</v>
      </c>
      <c r="I4292" t="str">
        <v>(</v>
      </c>
      <c r="J4292">
        <f>+D4287/4/1000</f>
        <v>2.3125</v>
      </c>
      <c r="K4292" t="str">
        <v>+</v>
      </c>
      <c r="L4292">
        <f>MAX(VLOOKUP(F4292,N$6:P$15,3,FALSE)/1000,2/3*D4289/1000)+F$16*F4292/1000</f>
        <v>0.156</v>
      </c>
      <c r="M4292" t="str">
        <v>=</v>
      </c>
      <c r="N4292">
        <f>J4292+L4292</f>
        <v>2.4685</v>
      </c>
      <c r="O4292" t="str">
        <v>+</v>
      </c>
      <c r="P4292">
        <f>D4292-D4293</f>
        <v>0</v>
      </c>
      <c r="Q4292" t="str">
        <v>x</v>
      </c>
      <c r="R4292">
        <f>IF(P4292&gt;0,$F$18*F4292/1000,0)</f>
        <v>0</v>
      </c>
      <c r="S4292" t="str">
        <v>)</v>
      </c>
      <c r="T4292" t="str">
        <v>x</v>
      </c>
      <c r="U4292">
        <f>0.006165*F4292^2</f>
        <v>1.041885</v>
      </c>
      <c r="X4292" t="str">
        <v>x</v>
      </c>
      <c r="Y4292">
        <f>D4291</f>
        <v>1</v>
      </c>
      <c r="Z4292" t="str">
        <v>=</v>
      </c>
      <c r="AA4292">
        <f>IF(AA4295=0,(D4292*N4292+P4292*R4292)*U4292*Y4292,0)</f>
        <v>0</v>
      </c>
    </row>
    <row r="4293">
      <c r="A4293" t="str">
        <f>A4285</f>
        <v>Lantai 3</v>
      </c>
      <c r="B4293">
        <f>B4285</f>
        <v>1</v>
      </c>
      <c r="C4293" t="str">
        <v>Tul Atas Lapangan</v>
      </c>
      <c r="D4293">
        <f>VLOOKUP(D4285,'Detail Balok'!$C$10:$AU$140,7,FALSE)</f>
        <v>3</v>
      </c>
      <c r="E4293" t="str">
        <v>D</v>
      </c>
      <c r="F4293">
        <f>VLOOKUP(D4285,'Detail Balok'!$C$10:$AU$140,9,FALSE)</f>
        <v>13</v>
      </c>
      <c r="I4293" t="str">
        <v>(</v>
      </c>
      <c r="J4293">
        <f>+D4287/2/1000</f>
        <v>4.625</v>
      </c>
      <c r="K4293" t="str">
        <v>+</v>
      </c>
      <c r="M4293" t="str">
        <v>=</v>
      </c>
      <c r="N4293">
        <f>J4293+L4293</f>
        <v>4.625</v>
      </c>
      <c r="O4293" t="str">
        <v>+</v>
      </c>
      <c r="P4293">
        <f>MAX(D4293-D4292,D4293-D4294)</f>
        <v>0</v>
      </c>
      <c r="Q4293" t="str">
        <v>x</v>
      </c>
      <c r="R4293">
        <f>IF(P4293&gt;0,2*(1-2*$F$19-1/2)*D4288/1000,0)</f>
        <v>0</v>
      </c>
      <c r="S4293" t="str">
        <v>)</v>
      </c>
      <c r="T4293" t="str">
        <v>x</v>
      </c>
      <c r="U4293">
        <f>0.006165*F4293^2</f>
        <v>1.041885</v>
      </c>
      <c r="X4293" t="str">
        <v>x</v>
      </c>
      <c r="Y4293">
        <f>D4291</f>
        <v>1</v>
      </c>
      <c r="Z4293" t="str">
        <v>=</v>
      </c>
      <c r="AA4293">
        <f>IF(AA4295=0,(D4293*N4293+P4293*R4293)*U4293*Y4293,0)</f>
        <v>0</v>
      </c>
    </row>
    <row r="4294">
      <c r="A4294" t="str">
        <f>A4285</f>
        <v>Lantai 3</v>
      </c>
      <c r="B4294">
        <f>B4285</f>
        <v>1</v>
      </c>
      <c r="C4294" t="str">
        <v>Tul Atas Tumpuan</v>
      </c>
      <c r="D4294">
        <f>VLOOKUP(D4285,'Detail Balok'!$C$10:$AU$140,10,FALSE)</f>
        <v>3</v>
      </c>
      <c r="E4294" t="str">
        <v>D</v>
      </c>
      <c r="F4294">
        <f>VLOOKUP(D4285,'Detail Balok'!$C$10:$AU$140,12,FALSE)</f>
        <v>13</v>
      </c>
      <c r="I4294" t="str">
        <v>(</v>
      </c>
      <c r="J4294">
        <f>+D4287/4/1000</f>
        <v>2.3125</v>
      </c>
      <c r="K4294" t="str">
        <v>+</v>
      </c>
      <c r="L4294">
        <f>MAX(VLOOKUP(F4294,N$6:P$15,3,FALSE)/1000,2/3*D4289/1000)+F$16*F4294/1000</f>
        <v>0.156</v>
      </c>
      <c r="M4294" t="str">
        <v>=</v>
      </c>
      <c r="N4294">
        <f>J4294+L4294</f>
        <v>2.4685</v>
      </c>
      <c r="O4294" t="str">
        <v>+</v>
      </c>
      <c r="P4294">
        <f>D4294-D4293</f>
        <v>0</v>
      </c>
      <c r="Q4294" t="str">
        <v>x</v>
      </c>
      <c r="R4294">
        <f>IF(P4294&gt;0,$F$18*F4294/1000,0)</f>
        <v>0</v>
      </c>
      <c r="S4294" t="str">
        <v>)</v>
      </c>
      <c r="T4294" t="str">
        <v>x</v>
      </c>
      <c r="U4294">
        <f>0.006165*F4294^2</f>
        <v>1.041885</v>
      </c>
      <c r="X4294" t="str">
        <v>x</v>
      </c>
      <c r="Y4294">
        <f>D4291</f>
        <v>1</v>
      </c>
      <c r="Z4294" t="str">
        <v>=</v>
      </c>
      <c r="AA4294">
        <f>IF(AA4295=0,(D4294*N4294+P4294*R4294)*U4294*Y4294,0)</f>
        <v>0</v>
      </c>
    </row>
    <row r="4295">
      <c r="A4295" t="str">
        <f>A4285</f>
        <v>Lantai 3</v>
      </c>
      <c r="B4295">
        <f>B4285</f>
        <v>1</v>
      </c>
      <c r="D4295">
        <f>IF(AND(D4292=D4293,D4293=D4294,D4292=D4294),D4292,0)</f>
        <v>3</v>
      </c>
      <c r="E4295" t="str">
        <v>D</v>
      </c>
      <c r="F4295">
        <f>IF(AND(F4292=F4293,F4292=F4294,F4293=F4294),F4292,0)</f>
        <v>13</v>
      </c>
      <c r="L4295" t="str">
        <v>Total panjang per balok</v>
      </c>
      <c r="M4295" t="str">
        <v>=</v>
      </c>
      <c r="N4295">
        <f>IF(AND(D4292=D4293,D4292=D4294,D4293=D4294,F4292=F4293,F4292=F4294,F4293=F4294),SUM(N4292:N4294),0)</f>
        <v>9.562000000000001</v>
      </c>
      <c r="O4295" t="str">
        <v>+</v>
      </c>
      <c r="P4295">
        <f>IF(N4295&gt;12,ROUNDDOWN(N4295/12,0),0)</f>
        <v>0</v>
      </c>
      <c r="Q4295" t="str">
        <v>x</v>
      </c>
      <c r="R4295">
        <f>IF(P4295&gt;0,MAX(VLOOKUP(F4295,$D$6:$G$15,3,FALSE),600),0)/1000</f>
        <v>0</v>
      </c>
      <c r="T4295" t="str">
        <v>x</v>
      </c>
      <c r="U4295">
        <f>U4294</f>
        <v>1.041885</v>
      </c>
      <c r="V4295" t="str">
        <v>x</v>
      </c>
      <c r="W4295">
        <f>D4295</f>
        <v>3</v>
      </c>
      <c r="X4295" t="str">
        <v>x</v>
      </c>
      <c r="Y4295">
        <f>Y4294</f>
        <v>1</v>
      </c>
      <c r="Z4295" t="str">
        <v>=</v>
      </c>
      <c r="AA4295">
        <f>(N4295+P4295*R4295/1000)*U4295*W4295*Y4295</f>
        <v>29.887513110000004</v>
      </c>
    </row>
    <row r="4297">
      <c r="A4297" t="str">
        <f>A4285</f>
        <v>Lantai 3</v>
      </c>
      <c r="B4297">
        <f>B4285</f>
        <v>1</v>
      </c>
      <c r="C4297" t="str">
        <v>Tul Peminggang</v>
      </c>
      <c r="D4297">
        <f>VLOOKUP(D4285,'Detail Balok'!$C$10:$AU$140,13,FALSE)</f>
        <v>0</v>
      </c>
      <c r="E4297" t="str">
        <v>D</v>
      </c>
      <c r="F4297">
        <f>VLOOKUP(D4285,'Detail Balok'!$C$10:$AU$140,15,FALSE)</f>
        <v>8</v>
      </c>
      <c r="J4297">
        <f>+D4287/1000</f>
        <v>9.25</v>
      </c>
      <c r="K4297" t="str">
        <v>+</v>
      </c>
      <c r="L4297">
        <f>2*$F$16*F4297/1000</f>
        <v>0.192</v>
      </c>
      <c r="M4297" t="str">
        <v>=</v>
      </c>
      <c r="N4297">
        <f>J4297+L4297</f>
        <v>9.442</v>
      </c>
      <c r="O4297" t="str">
        <v>+</v>
      </c>
      <c r="P4297">
        <f>IF(N4297&gt;12,ROUNDDOWN(N4297/12,0),0)</f>
        <v>0</v>
      </c>
      <c r="Q4297" t="str">
        <v>x</v>
      </c>
      <c r="R4297">
        <f>IF(P4297&gt;0,MAX(VLOOKUP(F4297,$D$6:$G$15,3,FALSE),600),0)/1000</f>
        <v>0</v>
      </c>
      <c r="T4297" t="str">
        <v>x</v>
      </c>
      <c r="U4297">
        <f>0.006165*F4297^2</f>
        <v>0.39456</v>
      </c>
      <c r="V4297" t="str">
        <v>x</v>
      </c>
      <c r="W4297">
        <f>+D4297</f>
        <v>0</v>
      </c>
      <c r="X4297" t="str">
        <v>x</v>
      </c>
      <c r="Y4297">
        <f>D4291</f>
        <v>1</v>
      </c>
      <c r="Z4297" t="str">
        <v>=</v>
      </c>
      <c r="AA4297">
        <f>(N4297+P4297*R4297/1000)*U4297*W4297*Y4297</f>
        <v>0</v>
      </c>
    </row>
    <row r="4300">
      <c r="A4300" t="str">
        <f>A4285</f>
        <v>Lantai 3</v>
      </c>
      <c r="B4300">
        <f>B4285</f>
        <v>1</v>
      </c>
      <c r="C4300" t="str">
        <v>Tul Bawah Tumpuan</v>
      </c>
      <c r="D4300">
        <f>VLOOKUP(D4285,'Detail Balok'!$C$10:$AU$140,22,FALSE)</f>
        <v>3</v>
      </c>
      <c r="E4300" t="str">
        <v>D</v>
      </c>
      <c r="F4300">
        <f>VLOOKUP(D4285,'Detail Balok'!$C$10:$AU$140,24,FALSE)</f>
        <v>13</v>
      </c>
      <c r="I4300" t="str">
        <v>(</v>
      </c>
      <c r="J4300">
        <f>+J4292</f>
        <v>2.3125</v>
      </c>
      <c r="K4300" t="str">
        <v>+</v>
      </c>
      <c r="L4300">
        <f>MAX(VLOOKUP(F4300,N$6:P$15,3,FALSE)/1000,2/3*D4290/1000)+F$16*F4300/1000</f>
        <v>0.156</v>
      </c>
      <c r="M4300" t="str">
        <v>=</v>
      </c>
      <c r="N4300">
        <f>J4300+L4300</f>
        <v>2.4685</v>
      </c>
      <c r="O4300" t="str">
        <v>+</v>
      </c>
      <c r="P4300">
        <f>D4300-D4301</f>
        <v>0</v>
      </c>
      <c r="Q4300" t="str">
        <v>x</v>
      </c>
      <c r="R4300">
        <f>IF(P4300&gt;0,$F$18*F4300/1000,0)</f>
        <v>0</v>
      </c>
      <c r="S4300" t="str">
        <v>)</v>
      </c>
      <c r="T4300" t="str">
        <v>x</v>
      </c>
      <c r="U4300">
        <f>0.006165*F4300^2</f>
        <v>1.041885</v>
      </c>
      <c r="X4300" t="str">
        <v>x</v>
      </c>
      <c r="Y4300">
        <f>D4291</f>
        <v>1</v>
      </c>
      <c r="Z4300" t="str">
        <v>=</v>
      </c>
      <c r="AA4300">
        <f>IF(AA4303=0,(D4300*N4300+P4300*R4300)*U4300*Y4300,0)</f>
        <v>0</v>
      </c>
    </row>
    <row r="4301">
      <c r="A4301" t="str">
        <f>A4285</f>
        <v>Lantai 3</v>
      </c>
      <c r="B4301">
        <f>B4285</f>
        <v>1</v>
      </c>
      <c r="C4301" t="str">
        <v>Tul Bawah Lapangan</v>
      </c>
      <c r="D4301">
        <f>VLOOKUP(D4285,'Detail Balok'!$C$10:$AU$140,25,FALSE)</f>
        <v>3</v>
      </c>
      <c r="E4301" t="str">
        <v>D</v>
      </c>
      <c r="F4301">
        <f>VLOOKUP(D4285,'Detail Balok'!$C$10:$AU$140,27,FALSE)</f>
        <v>13</v>
      </c>
      <c r="I4301" t="str">
        <v>(</v>
      </c>
      <c r="J4301">
        <f>+J4293</f>
        <v>4.625</v>
      </c>
      <c r="K4301" t="str">
        <v>+</v>
      </c>
      <c r="M4301" t="str">
        <v>=</v>
      </c>
      <c r="N4301">
        <f>J4301+L4301</f>
        <v>4.625</v>
      </c>
      <c r="O4301" t="str">
        <v>+</v>
      </c>
      <c r="P4301">
        <f>MAX(D4301-D4300,D4301-D4302)</f>
        <v>0</v>
      </c>
      <c r="Q4301" t="str">
        <v>x</v>
      </c>
      <c r="R4301">
        <f>IF(P4301&gt;0,2*(1-2*$F$19-1/2)*D4288/1000,0)</f>
        <v>0</v>
      </c>
      <c r="S4301" t="str">
        <v>)</v>
      </c>
      <c r="T4301" t="str">
        <v>x</v>
      </c>
      <c r="U4301">
        <f>0.006165*F4301^2</f>
        <v>1.041885</v>
      </c>
      <c r="X4301" t="str">
        <v>x</v>
      </c>
      <c r="Y4301">
        <f>D4291</f>
        <v>1</v>
      </c>
      <c r="Z4301" t="str">
        <v>=</v>
      </c>
      <c r="AA4301">
        <f>IF(AA4303=0,(D4301*N4301+P4301*R4301)*U4301*Y4301,0)</f>
        <v>0</v>
      </c>
    </row>
    <row r="4302">
      <c r="A4302" t="str">
        <f>A4285</f>
        <v>Lantai 3</v>
      </c>
      <c r="B4302">
        <f>B4285</f>
        <v>1</v>
      </c>
      <c r="C4302" t="str">
        <v>Tul Bawah Tumpuan</v>
      </c>
      <c r="D4302">
        <f>VLOOKUP(D4285,'Detail Balok'!$C$10:$AU$140,28,FALSE)</f>
        <v>3</v>
      </c>
      <c r="E4302" t="str">
        <v>D</v>
      </c>
      <c r="F4302">
        <f>VLOOKUP(D4285,'Detail Balok'!$C$10:$AU$140,30,FALSE)</f>
        <v>13</v>
      </c>
      <c r="I4302" t="str">
        <v>(</v>
      </c>
      <c r="J4302">
        <f>+J4294</f>
        <v>2.3125</v>
      </c>
      <c r="K4302" t="str">
        <v>+</v>
      </c>
      <c r="L4302">
        <f>MAX(VLOOKUP(F4302,N$6:P$15,3,FALSE)/1000,2/3*D4290/1000)+F$16*F4302/1000</f>
        <v>0.156</v>
      </c>
      <c r="M4302" t="str">
        <v>=</v>
      </c>
      <c r="N4302">
        <f>J4302+L4302</f>
        <v>2.4685</v>
      </c>
      <c r="O4302" t="str">
        <v>+</v>
      </c>
      <c r="P4302">
        <f>D4302-D4301</f>
        <v>0</v>
      </c>
      <c r="Q4302" t="str">
        <v>x</v>
      </c>
      <c r="R4302">
        <f>IF(P4302&gt;0,$F$18*F4302/1000,0)</f>
        <v>0</v>
      </c>
      <c r="S4302" t="str">
        <v>)</v>
      </c>
      <c r="T4302" t="str">
        <v>x</v>
      </c>
      <c r="U4302">
        <f>0.006165*F4302^2</f>
        <v>1.041885</v>
      </c>
      <c r="X4302" t="str">
        <v>x</v>
      </c>
      <c r="Y4302">
        <f>D4291</f>
        <v>1</v>
      </c>
      <c r="Z4302" t="str">
        <v>=</v>
      </c>
      <c r="AA4302">
        <f>IF(AA4303=0,(D4302*N4302+P4302*R4302)*U4302*Y4302,0)</f>
        <v>0</v>
      </c>
    </row>
    <row r="4303">
      <c r="A4303" t="str">
        <f>A4285</f>
        <v>Lantai 3</v>
      </c>
      <c r="B4303">
        <f>B4285</f>
        <v>1</v>
      </c>
      <c r="D4303">
        <f>IF(AND(D4300=D4301,D4301=D4302,D4300=D4302),D4300,0)</f>
        <v>3</v>
      </c>
      <c r="E4303" t="str">
        <v>D</v>
      </c>
      <c r="F4303">
        <f>IF(AND(F4300=F4301,F4300=F4302,F4301=F4302),F4300,0)</f>
        <v>13</v>
      </c>
      <c r="L4303" t="str">
        <v>Total panjang per balok</v>
      </c>
      <c r="M4303" t="str">
        <v>=</v>
      </c>
      <c r="N4303">
        <f>IF(AND(D4300=D4301,D4300=D4302,D4301=D4302,F4300=F4301,F4300=F4302,F4301=F4302),SUM(N4300:N4302),0)</f>
        <v>9.562000000000001</v>
      </c>
      <c r="O4303" t="str">
        <v>+</v>
      </c>
      <c r="P4303">
        <f>IF(N4303&gt;12,ROUNDDOWN(N4303/12,0),0)</f>
        <v>0</v>
      </c>
      <c r="Q4303" t="str">
        <v>x</v>
      </c>
      <c r="R4303">
        <f>IF(P4303&gt;0,MAX(VLOOKUP(F4303,$D$6:$G$15,3,FALSE),600),0)/1000</f>
        <v>0</v>
      </c>
      <c r="T4303" t="str">
        <v>x</v>
      </c>
      <c r="U4303">
        <f>U4302</f>
        <v>1.041885</v>
      </c>
      <c r="V4303" t="str">
        <v>x</v>
      </c>
      <c r="W4303">
        <f>D4303</f>
        <v>3</v>
      </c>
      <c r="X4303" t="str">
        <v>x</v>
      </c>
      <c r="Y4303">
        <f>Y4302</f>
        <v>1</v>
      </c>
      <c r="Z4303" t="str">
        <v>=</v>
      </c>
      <c r="AA4303">
        <f>(N4303+P4303*R4303/1000)*U4303*W4303*Y4303</f>
        <v>29.887513110000004</v>
      </c>
    </row>
    <row r="4305">
      <c r="A4305" t="str">
        <f>A4285</f>
        <v>Lantai 3</v>
      </c>
      <c r="B4305">
        <f>B4285</f>
        <v>1</v>
      </c>
      <c r="C4305" t="str">
        <v>Sengkang Tumpuan</v>
      </c>
      <c r="D4305">
        <f>VLOOKUP(D4285,'Detail Balok'!$C$10:$AU$140,31,FALSE)</f>
        <v>0</v>
      </c>
      <c r="E4305" t="str">
        <v>D</v>
      </c>
      <c r="F4305">
        <f>VLOOKUP(D4285,'Detail Balok'!$C$10:$AU$140,33,FALSE)</f>
        <v>10</v>
      </c>
      <c r="G4305" t="str">
        <v>-</v>
      </c>
      <c r="H4305">
        <f>VLOOKUP(D4285,'Detail Balok'!$C$10:$AU$140,35,FALSE)</f>
        <v>100</v>
      </c>
      <c r="J4305">
        <f>(IF(D4305=0,(2*(D4286+G4286))-(F$5*8),IF(D4305=3,(2*(D4286+G4286))-(F$5*8)+(G4286-2*F$5),IF(D4305=4,(2*(D4286+G4286))-(F$5*8)+2*(G4286-2*F$5)))))/1000</f>
        <v>0.88</v>
      </c>
      <c r="K4305" t="str">
        <v>+</v>
      </c>
      <c r="L4305">
        <f>IF(D4305=0,2*MAX(6*F4305,75),(D4305-1)*2*MAX(6*F4305,75))/1000</f>
        <v>0.15</v>
      </c>
      <c r="M4305" t="str">
        <v>=</v>
      </c>
      <c r="N4305">
        <f>J4305+L4305</f>
        <v>1.03</v>
      </c>
      <c r="T4305" t="str">
        <v>x</v>
      </c>
      <c r="U4305">
        <f>0.006165*F4305^2</f>
        <v>0.6165</v>
      </c>
      <c r="V4305" t="str">
        <v>x</v>
      </c>
      <c r="W4305">
        <f>IF(D4288&gt;4*G4286,ROUND(MAX(D4288/4,2*G4286)/H4305,0)+1,ROUND(D4288/H4305,0)+1)</f>
        <v>24</v>
      </c>
      <c r="X4305" t="str">
        <v>x</v>
      </c>
      <c r="Y4305">
        <f>D4291</f>
        <v>1</v>
      </c>
      <c r="Z4305" t="str">
        <v>=</v>
      </c>
      <c r="AA4305">
        <f>N4305*U4305*W4305*Y4305</f>
        <v>15.239880000000003</v>
      </c>
    </row>
    <row r="4306">
      <c r="A4306" t="str">
        <f>A4285</f>
        <v>Lantai 3</v>
      </c>
      <c r="B4306">
        <f>B4285</f>
        <v>1</v>
      </c>
      <c r="C4306" t="str">
        <v>Sengkang Lapangan</v>
      </c>
      <c r="D4306">
        <f>VLOOKUP(D4285,'Detail Balok'!$C$10:$AU$140,36,FALSE)</f>
        <v>0</v>
      </c>
      <c r="E4306" t="str">
        <v>D</v>
      </c>
      <c r="F4306">
        <f>VLOOKUP(D4285,'Detail Balok'!$C$10:$AU$140,38,FALSE)</f>
        <v>10</v>
      </c>
      <c r="G4306" t="str">
        <v>-</v>
      </c>
      <c r="H4306">
        <f>VLOOKUP(D4285,'Detail Balok'!$C$10:$AU$140,40,FALSE)</f>
        <v>200</v>
      </c>
      <c r="J4306">
        <f>(IF(D4306=0,(2*(D4286+G4286))-(F$5*8),IF(D4306=3,(2*(D4286+G4286))-(F$5*8)+(G4286-2*F$5),IF(D4306=4,(2*(D4286+G4286))-(F$5*8)+2*(G4286-2*F$5)))))/1000</f>
        <v>0.88</v>
      </c>
      <c r="K4306" t="str">
        <v>+</v>
      </c>
      <c r="L4306">
        <f>IF(D4306=0,2*MAX(6*F4306,75),(D4306-1)*2*MAX(6*F4306,75))/1000</f>
        <v>0.15</v>
      </c>
      <c r="M4306" t="str">
        <v>=</v>
      </c>
      <c r="N4306">
        <f>J4306+L4306</f>
        <v>1.03</v>
      </c>
      <c r="T4306" t="str">
        <v>x</v>
      </c>
      <c r="U4306">
        <f>0.006165*F4306^2</f>
        <v>0.6165</v>
      </c>
      <c r="V4306" t="str">
        <v>x</v>
      </c>
      <c r="W4306">
        <f>IF(D4288-MAX(D4288/4,2*G4286)*2&gt;0,ROUND((D4288-MAX(D4288/4,2*G4286)*2)/H4306,0),0)</f>
        <v>23</v>
      </c>
      <c r="X4306" t="str">
        <v>x</v>
      </c>
      <c r="Y4306">
        <f>D4291</f>
        <v>1</v>
      </c>
      <c r="Z4306" t="str">
        <v>=</v>
      </c>
      <c r="AA4306">
        <f>N4306*U4306*W4306*Y4306</f>
        <v>14.604885000000001</v>
      </c>
    </row>
    <row r="4307">
      <c r="A4307" t="str">
        <f>A4285</f>
        <v>Lantai 3</v>
      </c>
      <c r="B4307">
        <f>B4285</f>
        <v>1</v>
      </c>
      <c r="C4307" t="str">
        <v>Sengkang Tumpuan</v>
      </c>
      <c r="D4307">
        <f>VLOOKUP(D4285,'Detail Balok'!$C$10:$AU$140,41,FALSE)</f>
        <v>0</v>
      </c>
      <c r="E4307" t="str">
        <v>D</v>
      </c>
      <c r="F4307">
        <f>VLOOKUP(D4285,'Detail Balok'!$C$10:$AU$140,43,FALSE)</f>
        <v>10</v>
      </c>
      <c r="G4307" t="str">
        <v>-</v>
      </c>
      <c r="H4307">
        <f>VLOOKUP(D4285,'Detail Balok'!$C$10:$AU$140,45,FALSE)</f>
        <v>100</v>
      </c>
      <c r="J4307">
        <f>(IF(D4307=0,(2*(D4286+G4286))-(F$5*8),IF(D4307=3,(2*(D4286+G4286))-(F$5*8)+(G4286-2*F$5),IF(D4307=4,(2*(D4286+G4286))-(F$5*8)+2*(G4286-2*F$5)))))/1000</f>
        <v>0.88</v>
      </c>
      <c r="K4307" t="str">
        <v>+</v>
      </c>
      <c r="L4307">
        <f>IF(D4307=0,2*MAX(6*F4307,75),(D4307-1)*2*MAX(6*F4307,75))/1000</f>
        <v>0.15</v>
      </c>
      <c r="M4307" t="str">
        <v>=</v>
      </c>
      <c r="N4307">
        <f>J4307+L4307</f>
        <v>1.03</v>
      </c>
      <c r="T4307" t="str">
        <v>x</v>
      </c>
      <c r="U4307">
        <f>0.006165*F4307^2</f>
        <v>0.6165</v>
      </c>
      <c r="V4307" t="str">
        <v>x</v>
      </c>
      <c r="W4307">
        <f>IF(D4288&gt;4*G4286,ROUND(MAX(D4288/4,2*G4286)/H4307,0)+1,0)</f>
        <v>24</v>
      </c>
      <c r="X4307" t="str">
        <v>x</v>
      </c>
      <c r="Y4307">
        <f>D4291</f>
        <v>1</v>
      </c>
      <c r="Z4307" t="str">
        <v>=</v>
      </c>
      <c r="AA4307">
        <f>N4307*U4307*W4307*Y4307</f>
        <v>15.239880000000003</v>
      </c>
    </row>
    <row r="4309">
      <c r="A4309" t="str">
        <f>A4285</f>
        <v>Lantai 3</v>
      </c>
      <c r="B4309">
        <f>B4285</f>
        <v>1</v>
      </c>
      <c r="C4309" t="str">
        <v>Kait Horizontal Tump.</v>
      </c>
      <c r="D4309">
        <f>VLOOKUP(D4285,'Detail Balok'!$C$10:$BJ$140,46,FALSE)</f>
        <v>0</v>
      </c>
      <c r="E4309" t="str">
        <v>D</v>
      </c>
      <c r="F4309">
        <f>VLOOKUP(D4285,'Detail Balok'!$C$10:$BJ$140,48,FALSE)</f>
        <v>0</v>
      </c>
      <c r="G4309" t="str">
        <v>-</v>
      </c>
      <c r="H4309">
        <f>VLOOKUP(D4285,'Detail Balok'!$C$10:$BJ$140,50,FALSE)</f>
        <v>100</v>
      </c>
      <c r="J4309">
        <f>(D4286-2*F$5)/1000</f>
        <v>0.12</v>
      </c>
      <c r="K4309" t="str">
        <v>+</v>
      </c>
      <c r="L4309">
        <f>IF(D4309=0,2*MAX(6*F4309,75),(D4309-1)*2*MAX(6*F4309,75))/1000</f>
        <v>0.15</v>
      </c>
      <c r="M4309" t="str">
        <v>=</v>
      </c>
      <c r="N4309">
        <f>J4309+L4309</f>
        <v>0.27</v>
      </c>
      <c r="T4309" t="str">
        <v>x</v>
      </c>
      <c r="U4309">
        <f>0.006165*F4309^2</f>
        <v>0</v>
      </c>
      <c r="V4309" t="str">
        <v>x</v>
      </c>
      <c r="W4309">
        <f>W4305</f>
        <v>24</v>
      </c>
      <c r="X4309" t="str">
        <v>x</v>
      </c>
      <c r="Y4309">
        <f>D4295</f>
        <v>3</v>
      </c>
      <c r="Z4309" t="str">
        <v>=</v>
      </c>
      <c r="AA4309">
        <f>N4309*U4309*W4309*Y4309</f>
        <v>0</v>
      </c>
    </row>
    <row r="4310">
      <c r="A4310" t="str">
        <f>A4285</f>
        <v>Lantai 3</v>
      </c>
      <c r="B4310">
        <f>B4285</f>
        <v>1</v>
      </c>
      <c r="C4310" t="str">
        <v>Kait Horizontal Lap.</v>
      </c>
      <c r="D4310">
        <f>VLOOKUP(D4285,'Detail Balok'!$C$10:$BJ$140,51,FALSE)</f>
        <v>0</v>
      </c>
      <c r="E4310" t="str">
        <v>D</v>
      </c>
      <c r="F4310">
        <f>VLOOKUP(D4285,'Detail Balok'!$C$10:$BJ$140,53,FALSE)</f>
        <v>0</v>
      </c>
      <c r="G4310" t="str">
        <v>-</v>
      </c>
      <c r="H4310">
        <f>VLOOKUP(D4285,'Detail Balok'!$C$10:$BJ$140,55,FALSE)</f>
        <v>100</v>
      </c>
      <c r="J4310">
        <f>(D4286-2*F$5)/1000</f>
        <v>0.12</v>
      </c>
      <c r="K4310" t="str">
        <v>+</v>
      </c>
      <c r="L4310">
        <f>IF(D4310=0,2*MAX(6*F4310,75),(D4310-1)*2*MAX(6*F4310,75))/1000</f>
        <v>0.15</v>
      </c>
      <c r="M4310" t="str">
        <v>=</v>
      </c>
      <c r="N4310">
        <f>J4310+L4310</f>
        <v>0.27</v>
      </c>
      <c r="T4310" t="str">
        <v>x</v>
      </c>
      <c r="U4310">
        <f>0.006165*F4310^2</f>
        <v>0</v>
      </c>
      <c r="V4310" t="str">
        <v>x</v>
      </c>
      <c r="W4310">
        <f>W4306</f>
        <v>23</v>
      </c>
      <c r="X4310" t="str">
        <v>x</v>
      </c>
      <c r="Y4310">
        <f>D4295</f>
        <v>3</v>
      </c>
      <c r="Z4310" t="str">
        <v>=</v>
      </c>
      <c r="AA4310">
        <f>N4310*U4310*W4310*Y4310</f>
        <v>0</v>
      </c>
    </row>
    <row r="4311">
      <c r="A4311" t="str">
        <f>A4285</f>
        <v>Lantai 3</v>
      </c>
      <c r="B4311">
        <f>B4285</f>
        <v>1</v>
      </c>
      <c r="C4311" t="str">
        <v>Kait Horizontal Tump.</v>
      </c>
      <c r="D4311">
        <f>VLOOKUP(D4285,'Detail Balok'!$C$10:$BJ$140,56,FALSE)</f>
        <v>0</v>
      </c>
      <c r="E4311" t="str">
        <v>D</v>
      </c>
      <c r="F4311">
        <f>VLOOKUP(D4285,'Detail Balok'!$C$10:$BJ$140,58,FALSE)</f>
        <v>0</v>
      </c>
      <c r="G4311" t="str">
        <v>-</v>
      </c>
      <c r="H4311">
        <f>VLOOKUP(D4285,'Detail Balok'!$C$10:$BJ$140,60,FALSE)</f>
        <v>100</v>
      </c>
      <c r="J4311">
        <f>(D4286-2*F$5)/1000</f>
        <v>0.12</v>
      </c>
      <c r="K4311" t="str">
        <v>+</v>
      </c>
      <c r="L4311">
        <f>IF(D4311=0,2*MAX(6*F4311,75),(D4311-1)*2*MAX(6*F4311,75))/1000</f>
        <v>0.15</v>
      </c>
      <c r="M4311" t="str">
        <v>=</v>
      </c>
      <c r="N4311">
        <f>J4311+L4311</f>
        <v>0.27</v>
      </c>
      <c r="T4311" t="str">
        <v>x</v>
      </c>
      <c r="U4311">
        <f>0.006165*F4311^2</f>
        <v>0</v>
      </c>
      <c r="V4311" t="str">
        <v>x</v>
      </c>
      <c r="W4311">
        <f>W4307</f>
        <v>24</v>
      </c>
      <c r="X4311" t="str">
        <v>x</v>
      </c>
      <c r="Y4311">
        <f>D4295</f>
        <v>3</v>
      </c>
      <c r="Z4311" t="str">
        <v>=</v>
      </c>
      <c r="AA4311">
        <f>N4311*U4311*W4311*Y4311</f>
        <v>0</v>
      </c>
    </row>
    <row r="4315">
      <c r="A4315" t="str">
        <f>A4285</f>
        <v>Lantai 3</v>
      </c>
      <c r="B4315">
        <f>B4285+1</f>
        <v>2</v>
      </c>
      <c r="C4315" t="str">
        <f>CONCATENATE(A4315," no. ",B4315)</f>
        <v>Lantai 3 no. 2</v>
      </c>
      <c r="D4315" t="str">
        <f>VLOOKUP(C4315,'Data Panjang Balok'!$C$9:$N$254,2,FALSE)</f>
        <v>B24-2</v>
      </c>
    </row>
    <row r="4316">
      <c r="C4316" t="str">
        <v>Dimensi</v>
      </c>
      <c r="D4316">
        <f>VLOOKUP(D4315,'Detail Balok'!$C$10:$AU$140,2,FALSE)</f>
        <v>200</v>
      </c>
      <c r="F4316" t="str">
        <v>x</v>
      </c>
      <c r="G4316">
        <f>VLOOKUP(D4315,'Detail Balok'!$C$10:$AU$140,3,FALSE)</f>
        <v>400</v>
      </c>
    </row>
    <row r="4317">
      <c r="C4317" t="str">
        <v>Panjang as ke as</v>
      </c>
      <c r="D4317">
        <f>VLOOKUP(C4315,'Data Panjang Balok'!$C$9:$N$254,4,FALSE)</f>
        <v>9000</v>
      </c>
    </row>
    <row r="4318">
      <c r="C4318" t="str">
        <v>Panjang netto</v>
      </c>
      <c r="D4318">
        <f>VLOOKUP(C4315,'Data Panjang Balok'!$C$9:$N$254,7,FALSE)</f>
        <v>9000</v>
      </c>
    </row>
    <row r="4319">
      <c r="C4319" t="str">
        <v>Kolom / balok kiri</v>
      </c>
      <c r="D4319">
        <f>VLOOKUP(C4315,'Data Panjang Balok'!$C$9:$N$254,9,FALSE)</f>
        <v>0</v>
      </c>
    </row>
    <row r="4320">
      <c r="C4320" t="str">
        <v>Kolom / balok kanan</v>
      </c>
      <c r="D4320">
        <f>VLOOKUP(C4315,'Data Panjang Balok'!$C$9:$N$254,10,FALSE)</f>
        <v>0</v>
      </c>
    </row>
    <row r="4321">
      <c r="C4321" t="str">
        <v>Jumlah</v>
      </c>
      <c r="D4321">
        <f>VLOOKUP(C4315,'Data Panjang Balok'!$C$9:$N$254,3,FALSE)</f>
        <v>1</v>
      </c>
    </row>
    <row r="4322">
      <c r="A4322" t="str">
        <f>A4315</f>
        <v>Lantai 3</v>
      </c>
      <c r="B4322">
        <f>B4315</f>
        <v>2</v>
      </c>
      <c r="C4322" t="str">
        <v>Tul Atas Tumpuan</v>
      </c>
      <c r="D4322">
        <f>VLOOKUP(D4315,'Detail Balok'!$C$10:$AU$140,4,FALSE)</f>
        <v>3</v>
      </c>
      <c r="E4322" t="str">
        <v>D</v>
      </c>
      <c r="F4322">
        <f>VLOOKUP(D4315,'Detail Balok'!$C$10:$AU$140,6,FALSE)</f>
        <v>16</v>
      </c>
      <c r="I4322" t="str">
        <v>(</v>
      </c>
      <c r="J4322">
        <f>+D4317/4/1000</f>
        <v>2.25</v>
      </c>
      <c r="K4322" t="str">
        <v>+</v>
      </c>
      <c r="L4322">
        <f>MAX(VLOOKUP(F4322,N$6:P$15,3,FALSE)/1000,2/3*D4319/1000)+F$16*F4322/1000</f>
        <v>0.192</v>
      </c>
      <c r="M4322" t="str">
        <v>=</v>
      </c>
      <c r="N4322">
        <f>J4322+L4322</f>
        <v>2.442</v>
      </c>
      <c r="O4322" t="str">
        <v>+</v>
      </c>
      <c r="P4322">
        <f>D4322-D4323</f>
        <v>0</v>
      </c>
      <c r="Q4322" t="str">
        <v>x</v>
      </c>
      <c r="R4322">
        <f>IF(P4322&gt;0,$F$18*F4322/1000,0)</f>
        <v>0</v>
      </c>
      <c r="S4322" t="str">
        <v>)</v>
      </c>
      <c r="T4322" t="str">
        <v>x</v>
      </c>
      <c r="U4322">
        <f>0.006165*F4322^2</f>
        <v>1.57824</v>
      </c>
      <c r="X4322" t="str">
        <v>x</v>
      </c>
      <c r="Y4322">
        <f>D4321</f>
        <v>1</v>
      </c>
      <c r="Z4322" t="str">
        <v>=</v>
      </c>
      <c r="AA4322">
        <f>IF(AA4325=0,(D4322*N4322+P4322*R4322)*U4322*Y4322,0)</f>
        <v>0</v>
      </c>
    </row>
    <row r="4323">
      <c r="A4323" t="str">
        <f>A4315</f>
        <v>Lantai 3</v>
      </c>
      <c r="B4323">
        <f>B4315</f>
        <v>2</v>
      </c>
      <c r="C4323" t="str">
        <v>Tul Atas Lapangan</v>
      </c>
      <c r="D4323">
        <f>VLOOKUP(D4315,'Detail Balok'!$C$10:$AU$140,7,FALSE)</f>
        <v>3</v>
      </c>
      <c r="E4323" t="str">
        <v>D</v>
      </c>
      <c r="F4323">
        <f>VLOOKUP(D4315,'Detail Balok'!$C$10:$AU$140,9,FALSE)</f>
        <v>16</v>
      </c>
      <c r="I4323" t="str">
        <v>(</v>
      </c>
      <c r="J4323">
        <f>+D4317/2/1000</f>
        <v>4.5</v>
      </c>
      <c r="K4323" t="str">
        <v>+</v>
      </c>
      <c r="M4323" t="str">
        <v>=</v>
      </c>
      <c r="N4323">
        <f>J4323+L4323</f>
        <v>4.5</v>
      </c>
      <c r="O4323" t="str">
        <v>+</v>
      </c>
      <c r="P4323">
        <f>MAX(D4323-D4322,D4323-D4324)</f>
        <v>0</v>
      </c>
      <c r="Q4323" t="str">
        <v>x</v>
      </c>
      <c r="R4323">
        <f>IF(P4323&gt;0,2*(1-2*$F$19-1/2)*D4318/1000,0)</f>
        <v>0</v>
      </c>
      <c r="S4323" t="str">
        <v>)</v>
      </c>
      <c r="T4323" t="str">
        <v>x</v>
      </c>
      <c r="U4323">
        <f>0.006165*F4323^2</f>
        <v>1.57824</v>
      </c>
      <c r="X4323" t="str">
        <v>x</v>
      </c>
      <c r="Y4323">
        <f>D4321</f>
        <v>1</v>
      </c>
      <c r="Z4323" t="str">
        <v>=</v>
      </c>
      <c r="AA4323">
        <f>IF(AA4325=0,(D4323*N4323+P4323*R4323)*U4323*Y4323,0)</f>
        <v>0</v>
      </c>
    </row>
    <row r="4324">
      <c r="A4324" t="str">
        <f>A4315</f>
        <v>Lantai 3</v>
      </c>
      <c r="B4324">
        <f>B4315</f>
        <v>2</v>
      </c>
      <c r="C4324" t="str">
        <v>Tul Atas Tumpuan</v>
      </c>
      <c r="D4324">
        <f>VLOOKUP(D4315,'Detail Balok'!$C$10:$AU$140,10,FALSE)</f>
        <v>3</v>
      </c>
      <c r="E4324" t="str">
        <v>D</v>
      </c>
      <c r="F4324">
        <f>VLOOKUP(D4315,'Detail Balok'!$C$10:$AU$140,12,FALSE)</f>
        <v>16</v>
      </c>
      <c r="I4324" t="str">
        <v>(</v>
      </c>
      <c r="J4324">
        <f>+D4317/4/1000</f>
        <v>2.25</v>
      </c>
      <c r="K4324" t="str">
        <v>+</v>
      </c>
      <c r="L4324">
        <f>MAX(VLOOKUP(F4324,N$6:P$15,3,FALSE)/1000,2/3*D4319/1000)+F$16*F4324/1000</f>
        <v>0.192</v>
      </c>
      <c r="M4324" t="str">
        <v>=</v>
      </c>
      <c r="N4324">
        <f>J4324+L4324</f>
        <v>2.442</v>
      </c>
      <c r="O4324" t="str">
        <v>+</v>
      </c>
      <c r="P4324">
        <f>D4324-D4323</f>
        <v>0</v>
      </c>
      <c r="Q4324" t="str">
        <v>x</v>
      </c>
      <c r="R4324">
        <f>IF(P4324&gt;0,$F$18*F4324/1000,0)</f>
        <v>0</v>
      </c>
      <c r="S4324" t="str">
        <v>)</v>
      </c>
      <c r="T4324" t="str">
        <v>x</v>
      </c>
      <c r="U4324">
        <f>0.006165*F4324^2</f>
        <v>1.57824</v>
      </c>
      <c r="X4324" t="str">
        <v>x</v>
      </c>
      <c r="Y4324">
        <f>D4321</f>
        <v>1</v>
      </c>
      <c r="Z4324" t="str">
        <v>=</v>
      </c>
      <c r="AA4324">
        <f>IF(AA4325=0,(D4324*N4324+P4324*R4324)*U4324*Y4324,0)</f>
        <v>0</v>
      </c>
    </row>
    <row r="4325">
      <c r="A4325" t="str">
        <f>A4315</f>
        <v>Lantai 3</v>
      </c>
      <c r="B4325">
        <f>B4315</f>
        <v>2</v>
      </c>
      <c r="D4325">
        <f>IF(AND(D4322=D4323,D4323=D4324,D4322=D4324),D4322,0)</f>
        <v>3</v>
      </c>
      <c r="E4325" t="str">
        <v>D</v>
      </c>
      <c r="F4325">
        <f>IF(AND(F4322=F4323,F4322=F4324,F4323=F4324),F4322,0)</f>
        <v>16</v>
      </c>
      <c r="L4325" t="str">
        <v>Total panjang per balok</v>
      </c>
      <c r="M4325" t="str">
        <v>=</v>
      </c>
      <c r="N4325">
        <f>IF(AND(D4322=D4323,D4322=D4324,D4323=D4324,F4322=F4323,F4322=F4324,F4323=F4324),SUM(N4322:N4324),0)</f>
        <v>9.384</v>
      </c>
      <c r="O4325" t="str">
        <v>+</v>
      </c>
      <c r="P4325">
        <f>IF(N4325&gt;12,ROUNDDOWN(N4325/12,0),0)</f>
        <v>0</v>
      </c>
      <c r="Q4325" t="str">
        <v>x</v>
      </c>
      <c r="R4325">
        <f>IF(P4325&gt;0,MAX(VLOOKUP(F4325,$D$6:$G$15,3,FALSE),600),0)/1000</f>
        <v>0</v>
      </c>
      <c r="T4325" t="str">
        <v>x</v>
      </c>
      <c r="U4325">
        <f>U4324</f>
        <v>1.57824</v>
      </c>
      <c r="V4325" t="str">
        <v>x</v>
      </c>
      <c r="W4325">
        <f>D4325</f>
        <v>3</v>
      </c>
      <c r="X4325" t="str">
        <v>x</v>
      </c>
      <c r="Y4325">
        <f>Y4324</f>
        <v>1</v>
      </c>
      <c r="Z4325" t="str">
        <v>=</v>
      </c>
      <c r="AA4325">
        <f>(N4325+P4325*R4325/1000)*U4325*W4325*Y4325</f>
        <v>44.43061248000001</v>
      </c>
    </row>
    <row r="4327">
      <c r="A4327" t="str">
        <f>A4315</f>
        <v>Lantai 3</v>
      </c>
      <c r="B4327">
        <f>B4315</f>
        <v>2</v>
      </c>
      <c r="C4327" t="str">
        <v>Tul Peminggang</v>
      </c>
      <c r="D4327">
        <f>VLOOKUP(D4315,'Detail Balok'!$C$10:$AU$140,13,FALSE)</f>
        <v>0</v>
      </c>
      <c r="E4327" t="str">
        <v>D</v>
      </c>
      <c r="F4327">
        <f>VLOOKUP(D4315,'Detail Balok'!$C$10:$AU$140,15,FALSE)</f>
        <v>8</v>
      </c>
      <c r="J4327">
        <f>+D4317/1000</f>
        <v>9</v>
      </c>
      <c r="K4327" t="str">
        <v>+</v>
      </c>
      <c r="L4327">
        <f>2*$F$16*F4327/1000</f>
        <v>0.192</v>
      </c>
      <c r="M4327" t="str">
        <v>=</v>
      </c>
      <c r="N4327">
        <f>J4327+L4327</f>
        <v>9.192</v>
      </c>
      <c r="O4327" t="str">
        <v>+</v>
      </c>
      <c r="P4327">
        <f>IF(N4327&gt;12,ROUNDDOWN(N4327/12,0),0)</f>
        <v>0</v>
      </c>
      <c r="Q4327" t="str">
        <v>x</v>
      </c>
      <c r="R4327">
        <f>IF(P4327&gt;0,MAX(VLOOKUP(F4327,$D$6:$G$15,3,FALSE),600),0)/1000</f>
        <v>0</v>
      </c>
      <c r="T4327" t="str">
        <v>x</v>
      </c>
      <c r="U4327">
        <f>0.006165*F4327^2</f>
        <v>0.39456</v>
      </c>
      <c r="V4327" t="str">
        <v>x</v>
      </c>
      <c r="W4327">
        <f>+D4327</f>
        <v>0</v>
      </c>
      <c r="X4327" t="str">
        <v>x</v>
      </c>
      <c r="Y4327">
        <f>D4321</f>
        <v>1</v>
      </c>
      <c r="Z4327" t="str">
        <v>=</v>
      </c>
      <c r="AA4327">
        <f>(N4327+P4327*R4327/1000)*U4327*W4327*Y4327</f>
        <v>0</v>
      </c>
    </row>
    <row r="4330">
      <c r="A4330" t="str">
        <f>A4315</f>
        <v>Lantai 3</v>
      </c>
      <c r="B4330">
        <f>B4315</f>
        <v>2</v>
      </c>
      <c r="C4330" t="str">
        <v>Tul Bawah Tumpuan</v>
      </c>
      <c r="D4330">
        <f>VLOOKUP(D4315,'Detail Balok'!$C$10:$AU$140,22,FALSE)</f>
        <v>3</v>
      </c>
      <c r="E4330" t="str">
        <v>D</v>
      </c>
      <c r="F4330">
        <f>VLOOKUP(D4315,'Detail Balok'!$C$10:$AU$140,24,FALSE)</f>
        <v>16</v>
      </c>
      <c r="I4330" t="str">
        <v>(</v>
      </c>
      <c r="J4330">
        <f>+J4322</f>
        <v>2.25</v>
      </c>
      <c r="K4330" t="str">
        <v>+</v>
      </c>
      <c r="L4330">
        <f>MAX(VLOOKUP(F4330,N$6:P$15,3,FALSE)/1000,2/3*D4320/1000)+F$16*F4330/1000</f>
        <v>0.192</v>
      </c>
      <c r="M4330" t="str">
        <v>=</v>
      </c>
      <c r="N4330">
        <f>J4330+L4330</f>
        <v>2.442</v>
      </c>
      <c r="O4330" t="str">
        <v>+</v>
      </c>
      <c r="P4330">
        <f>D4330-D4331</f>
        <v>0</v>
      </c>
      <c r="Q4330" t="str">
        <v>x</v>
      </c>
      <c r="R4330">
        <f>IF(P4330&gt;0,$F$18*F4330/1000,0)</f>
        <v>0</v>
      </c>
      <c r="S4330" t="str">
        <v>)</v>
      </c>
      <c r="T4330" t="str">
        <v>x</v>
      </c>
      <c r="U4330">
        <f>0.006165*F4330^2</f>
        <v>1.57824</v>
      </c>
      <c r="X4330" t="str">
        <v>x</v>
      </c>
      <c r="Y4330">
        <f>D4321</f>
        <v>1</v>
      </c>
      <c r="Z4330" t="str">
        <v>=</v>
      </c>
      <c r="AA4330">
        <f>IF(AA4333=0,(D4330*N4330+P4330*R4330)*U4330*Y4330,0)</f>
        <v>0</v>
      </c>
    </row>
    <row r="4331">
      <c r="A4331" t="str">
        <f>A4315</f>
        <v>Lantai 3</v>
      </c>
      <c r="B4331">
        <f>B4315</f>
        <v>2</v>
      </c>
      <c r="C4331" t="str">
        <v>Tul Bawah Lapangan</v>
      </c>
      <c r="D4331">
        <f>VLOOKUP(D4315,'Detail Balok'!$C$10:$AU$140,25,FALSE)</f>
        <v>3</v>
      </c>
      <c r="E4331" t="str">
        <v>D</v>
      </c>
      <c r="F4331">
        <f>VLOOKUP(D4315,'Detail Balok'!$C$10:$AU$140,27,FALSE)</f>
        <v>16</v>
      </c>
      <c r="I4331" t="str">
        <v>(</v>
      </c>
      <c r="J4331">
        <f>+J4323</f>
        <v>4.5</v>
      </c>
      <c r="K4331" t="str">
        <v>+</v>
      </c>
      <c r="M4331" t="str">
        <v>=</v>
      </c>
      <c r="N4331">
        <f>J4331+L4331</f>
        <v>4.5</v>
      </c>
      <c r="O4331" t="str">
        <v>+</v>
      </c>
      <c r="P4331">
        <f>MAX(D4331-D4330,D4331-D4332)</f>
        <v>0</v>
      </c>
      <c r="Q4331" t="str">
        <v>x</v>
      </c>
      <c r="R4331">
        <f>IF(P4331&gt;0,2*(1-2*$F$19-1/2)*D4318/1000,0)</f>
        <v>0</v>
      </c>
      <c r="S4331" t="str">
        <v>)</v>
      </c>
      <c r="T4331" t="str">
        <v>x</v>
      </c>
      <c r="U4331">
        <f>0.006165*F4331^2</f>
        <v>1.57824</v>
      </c>
      <c r="X4331" t="str">
        <v>x</v>
      </c>
      <c r="Y4331">
        <f>D4321</f>
        <v>1</v>
      </c>
      <c r="Z4331" t="str">
        <v>=</v>
      </c>
      <c r="AA4331">
        <f>IF(AA4333=0,(D4331*N4331+P4331*R4331)*U4331*Y4331,0)</f>
        <v>0</v>
      </c>
    </row>
    <row r="4332">
      <c r="A4332" t="str">
        <f>A4315</f>
        <v>Lantai 3</v>
      </c>
      <c r="B4332">
        <f>B4315</f>
        <v>2</v>
      </c>
      <c r="C4332" t="str">
        <v>Tul Bawah Tumpuan</v>
      </c>
      <c r="D4332">
        <f>VLOOKUP(D4315,'Detail Balok'!$C$10:$AU$140,28,FALSE)</f>
        <v>3</v>
      </c>
      <c r="E4332" t="str">
        <v>D</v>
      </c>
      <c r="F4332">
        <f>VLOOKUP(D4315,'Detail Balok'!$C$10:$AU$140,30,FALSE)</f>
        <v>16</v>
      </c>
      <c r="I4332" t="str">
        <v>(</v>
      </c>
      <c r="J4332">
        <f>+J4324</f>
        <v>2.25</v>
      </c>
      <c r="K4332" t="str">
        <v>+</v>
      </c>
      <c r="L4332">
        <f>MAX(VLOOKUP(F4332,N$6:P$15,3,FALSE)/1000,2/3*D4320/1000)+F$16*F4332/1000</f>
        <v>0.192</v>
      </c>
      <c r="M4332" t="str">
        <v>=</v>
      </c>
      <c r="N4332">
        <f>J4332+L4332</f>
        <v>2.442</v>
      </c>
      <c r="O4332" t="str">
        <v>+</v>
      </c>
      <c r="P4332">
        <f>D4332-D4331</f>
        <v>0</v>
      </c>
      <c r="Q4332" t="str">
        <v>x</v>
      </c>
      <c r="R4332">
        <f>IF(P4332&gt;0,$F$18*F4332/1000,0)</f>
        <v>0</v>
      </c>
      <c r="S4332" t="str">
        <v>)</v>
      </c>
      <c r="T4332" t="str">
        <v>x</v>
      </c>
      <c r="U4332">
        <f>0.006165*F4332^2</f>
        <v>1.57824</v>
      </c>
      <c r="X4332" t="str">
        <v>x</v>
      </c>
      <c r="Y4332">
        <f>D4321</f>
        <v>1</v>
      </c>
      <c r="Z4332" t="str">
        <v>=</v>
      </c>
      <c r="AA4332">
        <f>IF(AA4333=0,(D4332*N4332+P4332*R4332)*U4332*Y4332,0)</f>
        <v>0</v>
      </c>
    </row>
    <row r="4333">
      <c r="A4333" t="str">
        <f>A4315</f>
        <v>Lantai 3</v>
      </c>
      <c r="B4333">
        <f>B4315</f>
        <v>2</v>
      </c>
      <c r="D4333">
        <f>IF(AND(D4330=D4331,D4331=D4332,D4330=D4332),D4330,0)</f>
        <v>3</v>
      </c>
      <c r="E4333" t="str">
        <v>D</v>
      </c>
      <c r="F4333">
        <f>IF(AND(F4330=F4331,F4330=F4332,F4331=F4332),F4330,0)</f>
        <v>16</v>
      </c>
      <c r="L4333" t="str">
        <v>Total panjang per balok</v>
      </c>
      <c r="M4333" t="str">
        <v>=</v>
      </c>
      <c r="N4333">
        <f>IF(AND(D4330=D4331,D4330=D4332,D4331=D4332,F4330=F4331,F4330=F4332,F4331=F4332),SUM(N4330:N4332),0)</f>
        <v>9.384</v>
      </c>
      <c r="O4333" t="str">
        <v>+</v>
      </c>
      <c r="P4333">
        <f>IF(N4333&gt;12,ROUNDDOWN(N4333/12,0),0)</f>
        <v>0</v>
      </c>
      <c r="Q4333" t="str">
        <v>x</v>
      </c>
      <c r="R4333">
        <f>IF(P4333&gt;0,MAX(VLOOKUP(F4333,$D$6:$G$15,3,FALSE),600),0)/1000</f>
        <v>0</v>
      </c>
      <c r="T4333" t="str">
        <v>x</v>
      </c>
      <c r="U4333">
        <f>U4332</f>
        <v>1.57824</v>
      </c>
      <c r="V4333" t="str">
        <v>x</v>
      </c>
      <c r="W4333">
        <f>D4333</f>
        <v>3</v>
      </c>
      <c r="X4333" t="str">
        <v>x</v>
      </c>
      <c r="Y4333">
        <f>Y4332</f>
        <v>1</v>
      </c>
      <c r="Z4333" t="str">
        <v>=</v>
      </c>
      <c r="AA4333">
        <f>(N4333+P4333*R4333/1000)*U4333*W4333*Y4333</f>
        <v>44.43061248000001</v>
      </c>
    </row>
    <row r="4335">
      <c r="A4335" t="str">
        <f>A4315</f>
        <v>Lantai 3</v>
      </c>
      <c r="B4335">
        <f>B4315</f>
        <v>2</v>
      </c>
      <c r="C4335" t="str">
        <v>Sengkang Tumpuan</v>
      </c>
      <c r="D4335">
        <f>VLOOKUP(D4315,'Detail Balok'!$C$10:$AU$140,31,FALSE)</f>
        <v>0</v>
      </c>
      <c r="E4335" t="str">
        <v>D</v>
      </c>
      <c r="F4335">
        <f>VLOOKUP(D4315,'Detail Balok'!$C$10:$AU$140,33,FALSE)</f>
        <v>10</v>
      </c>
      <c r="G4335" t="str">
        <v>-</v>
      </c>
      <c r="H4335">
        <f>VLOOKUP(D4315,'Detail Balok'!$C$10:$AU$140,35,FALSE)</f>
        <v>100</v>
      </c>
      <c r="J4335">
        <f>(IF(D4335=0,(2*(D4316+G4316))-(F$5*8),IF(D4335=3,(2*(D4316+G4316))-(F$5*8)+(G4316-2*F$5),IF(D4335=4,(2*(D4316+G4316))-(F$5*8)+2*(G4316-2*F$5)))))/1000</f>
        <v>0.88</v>
      </c>
      <c r="K4335" t="str">
        <v>+</v>
      </c>
      <c r="L4335">
        <f>IF(D4335=0,2*MAX(6*F4335,75),(D4335-1)*2*MAX(6*F4335,75))/1000</f>
        <v>0.15</v>
      </c>
      <c r="M4335" t="str">
        <v>=</v>
      </c>
      <c r="N4335">
        <f>J4335+L4335</f>
        <v>1.03</v>
      </c>
      <c r="T4335" t="str">
        <v>x</v>
      </c>
      <c r="U4335">
        <f>0.006165*F4335^2</f>
        <v>0.6165</v>
      </c>
      <c r="V4335" t="str">
        <v>x</v>
      </c>
      <c r="W4335">
        <f>IF(D4318&gt;4*G4316,ROUND(MAX(D4318/4,2*G4316)/H4335,0)+1,ROUND(D4318/H4335,0)+1)</f>
        <v>24</v>
      </c>
      <c r="X4335" t="str">
        <v>x</v>
      </c>
      <c r="Y4335">
        <f>D4321</f>
        <v>1</v>
      </c>
      <c r="Z4335" t="str">
        <v>=</v>
      </c>
      <c r="AA4335">
        <f>N4335*U4335*W4335*Y4335</f>
        <v>15.239880000000003</v>
      </c>
    </row>
    <row r="4336">
      <c r="A4336" t="str">
        <f>A4315</f>
        <v>Lantai 3</v>
      </c>
      <c r="B4336">
        <f>B4315</f>
        <v>2</v>
      </c>
      <c r="C4336" t="str">
        <v>Sengkang Lapangan</v>
      </c>
      <c r="D4336">
        <f>VLOOKUP(D4315,'Detail Balok'!$C$10:$AU$140,36,FALSE)</f>
        <v>0</v>
      </c>
      <c r="E4336" t="str">
        <v>D</v>
      </c>
      <c r="F4336">
        <f>VLOOKUP(D4315,'Detail Balok'!$C$10:$AU$140,38,FALSE)</f>
        <v>10</v>
      </c>
      <c r="G4336" t="str">
        <v>-</v>
      </c>
      <c r="H4336">
        <f>VLOOKUP(D4315,'Detail Balok'!$C$10:$AU$140,40,FALSE)</f>
        <v>200</v>
      </c>
      <c r="J4336">
        <f>(IF(D4336=0,(2*(D4316+G4316))-(F$5*8),IF(D4336=3,(2*(D4316+G4316))-(F$5*8)+(G4316-2*F$5),IF(D4336=4,(2*(D4316+G4316))-(F$5*8)+2*(G4316-2*F$5)))))/1000</f>
        <v>0.88</v>
      </c>
      <c r="K4336" t="str">
        <v>+</v>
      </c>
      <c r="L4336">
        <f>IF(D4336=0,2*MAX(6*F4336,75),(D4336-1)*2*MAX(6*F4336,75))/1000</f>
        <v>0.15</v>
      </c>
      <c r="M4336" t="str">
        <v>=</v>
      </c>
      <c r="N4336">
        <f>J4336+L4336</f>
        <v>1.03</v>
      </c>
      <c r="T4336" t="str">
        <v>x</v>
      </c>
      <c r="U4336">
        <f>0.006165*F4336^2</f>
        <v>0.6165</v>
      </c>
      <c r="V4336" t="str">
        <v>x</v>
      </c>
      <c r="W4336">
        <f>IF(D4318-MAX(D4318/4,2*G4316)*2&gt;0,ROUND((D4318-MAX(D4318/4,2*G4316)*2)/H4336,0),0)</f>
        <v>23</v>
      </c>
      <c r="X4336" t="str">
        <v>x</v>
      </c>
      <c r="Y4336">
        <f>D4321</f>
        <v>1</v>
      </c>
      <c r="Z4336" t="str">
        <v>=</v>
      </c>
      <c r="AA4336">
        <f>N4336*U4336*W4336*Y4336</f>
        <v>14.604885000000001</v>
      </c>
    </row>
    <row r="4337">
      <c r="A4337" t="str">
        <f>A4315</f>
        <v>Lantai 3</v>
      </c>
      <c r="B4337">
        <f>B4315</f>
        <v>2</v>
      </c>
      <c r="C4337" t="str">
        <v>Sengkang Tumpuan</v>
      </c>
      <c r="D4337">
        <f>VLOOKUP(D4315,'Detail Balok'!$C$10:$AU$140,41,FALSE)</f>
        <v>0</v>
      </c>
      <c r="E4337" t="str">
        <v>D</v>
      </c>
      <c r="F4337">
        <f>VLOOKUP(D4315,'Detail Balok'!$C$10:$AU$140,43,FALSE)</f>
        <v>10</v>
      </c>
      <c r="G4337" t="str">
        <v>-</v>
      </c>
      <c r="H4337">
        <f>VLOOKUP(D4315,'Detail Balok'!$C$10:$AU$140,45,FALSE)</f>
        <v>100</v>
      </c>
      <c r="J4337">
        <f>(IF(D4337=0,(2*(D4316+G4316))-(F$5*8),IF(D4337=3,(2*(D4316+G4316))-(F$5*8)+(G4316-2*F$5),IF(D4337=4,(2*(D4316+G4316))-(F$5*8)+2*(G4316-2*F$5)))))/1000</f>
        <v>0.88</v>
      </c>
      <c r="K4337" t="str">
        <v>+</v>
      </c>
      <c r="L4337">
        <f>IF(D4337=0,2*MAX(6*F4337,75),(D4337-1)*2*MAX(6*F4337,75))/1000</f>
        <v>0.15</v>
      </c>
      <c r="M4337" t="str">
        <v>=</v>
      </c>
      <c r="N4337">
        <f>J4337+L4337</f>
        <v>1.03</v>
      </c>
      <c r="T4337" t="str">
        <v>x</v>
      </c>
      <c r="U4337">
        <f>0.006165*F4337^2</f>
        <v>0.6165</v>
      </c>
      <c r="V4337" t="str">
        <v>x</v>
      </c>
      <c r="W4337">
        <f>IF(D4318&gt;4*G4316,ROUND(MAX(D4318/4,2*G4316)/H4337,0)+1,0)</f>
        <v>24</v>
      </c>
      <c r="X4337" t="str">
        <v>x</v>
      </c>
      <c r="Y4337">
        <f>D4321</f>
        <v>1</v>
      </c>
      <c r="Z4337" t="str">
        <v>=</v>
      </c>
      <c r="AA4337">
        <f>N4337*U4337*W4337*Y4337</f>
        <v>15.239880000000003</v>
      </c>
    </row>
    <row r="4339">
      <c r="A4339" t="str">
        <f>A4315</f>
        <v>Lantai 3</v>
      </c>
      <c r="B4339">
        <f>B4315</f>
        <v>2</v>
      </c>
      <c r="C4339" t="str">
        <v>Kait Horizontal Tump.</v>
      </c>
      <c r="D4339">
        <f>VLOOKUP(D4315,'Detail Balok'!$C$10:$BJ$140,46,FALSE)</f>
        <v>0</v>
      </c>
      <c r="E4339" t="str">
        <v>D</v>
      </c>
      <c r="F4339">
        <f>VLOOKUP(D4315,'Detail Balok'!$C$10:$BJ$140,48,FALSE)</f>
        <v>0</v>
      </c>
      <c r="G4339" t="str">
        <v>-</v>
      </c>
      <c r="H4339">
        <f>VLOOKUP(D4315,'Detail Balok'!$C$10:$BJ$140,50,FALSE)</f>
        <v>100</v>
      </c>
      <c r="J4339">
        <f>(D4316-2*F$5)/1000</f>
        <v>0.12</v>
      </c>
      <c r="K4339" t="str">
        <v>+</v>
      </c>
      <c r="L4339">
        <f>IF(D4339=0,2*MAX(6*F4339,75),(D4339-1)*2*MAX(6*F4339,75))/1000</f>
        <v>0.15</v>
      </c>
      <c r="M4339" t="str">
        <v>=</v>
      </c>
      <c r="N4339">
        <f>J4339+L4339</f>
        <v>0.27</v>
      </c>
      <c r="T4339" t="str">
        <v>x</v>
      </c>
      <c r="U4339">
        <f>0.006165*F4339^2</f>
        <v>0</v>
      </c>
      <c r="V4339" t="str">
        <v>x</v>
      </c>
      <c r="W4339">
        <f>W4335</f>
        <v>24</v>
      </c>
      <c r="X4339" t="str">
        <v>x</v>
      </c>
      <c r="Y4339">
        <f>D4325</f>
        <v>3</v>
      </c>
      <c r="Z4339" t="str">
        <v>=</v>
      </c>
      <c r="AA4339">
        <f>N4339*U4339*W4339*Y4339</f>
        <v>0</v>
      </c>
    </row>
    <row r="4340">
      <c r="A4340" t="str">
        <f>A4315</f>
        <v>Lantai 3</v>
      </c>
      <c r="B4340">
        <f>B4315</f>
        <v>2</v>
      </c>
      <c r="C4340" t="str">
        <v>Kait Horizontal Lap.</v>
      </c>
      <c r="D4340">
        <f>VLOOKUP(D4315,'Detail Balok'!$C$10:$BJ$140,51,FALSE)</f>
        <v>0</v>
      </c>
      <c r="E4340" t="str">
        <v>D</v>
      </c>
      <c r="F4340">
        <f>VLOOKUP(D4315,'Detail Balok'!$C$10:$BJ$140,53,FALSE)</f>
        <v>0</v>
      </c>
      <c r="G4340" t="str">
        <v>-</v>
      </c>
      <c r="H4340">
        <f>VLOOKUP(D4315,'Detail Balok'!$C$10:$BJ$140,55,FALSE)</f>
        <v>100</v>
      </c>
      <c r="J4340">
        <f>(D4316-2*F$5)/1000</f>
        <v>0.12</v>
      </c>
      <c r="K4340" t="str">
        <v>+</v>
      </c>
      <c r="L4340">
        <f>IF(D4340=0,2*MAX(6*F4340,75),(D4340-1)*2*MAX(6*F4340,75))/1000</f>
        <v>0.15</v>
      </c>
      <c r="M4340" t="str">
        <v>=</v>
      </c>
      <c r="N4340">
        <f>J4340+L4340</f>
        <v>0.27</v>
      </c>
      <c r="T4340" t="str">
        <v>x</v>
      </c>
      <c r="U4340">
        <f>0.006165*F4340^2</f>
        <v>0</v>
      </c>
      <c r="V4340" t="str">
        <v>x</v>
      </c>
      <c r="W4340">
        <f>W4336</f>
        <v>23</v>
      </c>
      <c r="X4340" t="str">
        <v>x</v>
      </c>
      <c r="Y4340">
        <f>D4325</f>
        <v>3</v>
      </c>
      <c r="Z4340" t="str">
        <v>=</v>
      </c>
      <c r="AA4340">
        <f>N4340*U4340*W4340*Y4340</f>
        <v>0</v>
      </c>
    </row>
    <row r="4341">
      <c r="A4341" t="str">
        <f>A4315</f>
        <v>Lantai 3</v>
      </c>
      <c r="B4341">
        <f>B4315</f>
        <v>2</v>
      </c>
      <c r="C4341" t="str">
        <v>Kait Horizontal Tump.</v>
      </c>
      <c r="D4341">
        <f>VLOOKUP(D4315,'Detail Balok'!$C$10:$BJ$140,56,FALSE)</f>
        <v>0</v>
      </c>
      <c r="E4341" t="str">
        <v>D</v>
      </c>
      <c r="F4341">
        <f>VLOOKUP(D4315,'Detail Balok'!$C$10:$BJ$140,58,FALSE)</f>
        <v>0</v>
      </c>
      <c r="G4341" t="str">
        <v>-</v>
      </c>
      <c r="H4341">
        <f>VLOOKUP(D4315,'Detail Balok'!$C$10:$BJ$140,60,FALSE)</f>
        <v>100</v>
      </c>
      <c r="J4341">
        <f>(D4316-2*F$5)/1000</f>
        <v>0.12</v>
      </c>
      <c r="K4341" t="str">
        <v>+</v>
      </c>
      <c r="L4341">
        <f>IF(D4341=0,2*MAX(6*F4341,75),(D4341-1)*2*MAX(6*F4341,75))/1000</f>
        <v>0.15</v>
      </c>
      <c r="M4341" t="str">
        <v>=</v>
      </c>
      <c r="N4341">
        <f>J4341+L4341</f>
        <v>0.27</v>
      </c>
      <c r="T4341" t="str">
        <v>x</v>
      </c>
      <c r="U4341">
        <f>0.006165*F4341^2</f>
        <v>0</v>
      </c>
      <c r="V4341" t="str">
        <v>x</v>
      </c>
      <c r="W4341">
        <f>W4337</f>
        <v>24</v>
      </c>
      <c r="X4341" t="str">
        <v>x</v>
      </c>
      <c r="Y4341">
        <f>D4325</f>
        <v>3</v>
      </c>
      <c r="Z4341" t="str">
        <v>=</v>
      </c>
      <c r="AA4341">
        <f>N4341*U4341*W4341*Y4341</f>
        <v>0</v>
      </c>
    </row>
    <row r="4345">
      <c r="A4345" t="str">
        <f>A4315</f>
        <v>Lantai 3</v>
      </c>
      <c r="B4345">
        <f>B4315+1</f>
        <v>3</v>
      </c>
      <c r="C4345" t="str">
        <f>CONCATENATE(A4345," no. ",B4345)</f>
        <v>Lantai 3 no. 3</v>
      </c>
      <c r="D4345" t="str">
        <f>VLOOKUP(C4345,'Data Panjang Balok'!$C$9:$N$254,2,FALSE)</f>
        <v>CL24-1</v>
      </c>
    </row>
    <row r="4346">
      <c r="C4346" t="str">
        <v>Dimensi</v>
      </c>
      <c r="D4346">
        <f>VLOOKUP(D4345,'Detail Balok'!$C$10:$AU$140,2,FALSE)</f>
        <v>200</v>
      </c>
      <c r="F4346" t="str">
        <v>x</v>
      </c>
      <c r="G4346">
        <f>VLOOKUP(D4345,'Detail Balok'!$C$10:$AU$140,3,FALSE)</f>
        <v>400</v>
      </c>
    </row>
    <row r="4347">
      <c r="C4347" t="str">
        <v>Panjang as ke as</v>
      </c>
      <c r="D4347">
        <f>VLOOKUP(C4345,'Data Panjang Balok'!$C$9:$N$254,4,FALSE)</f>
        <v>1075</v>
      </c>
    </row>
    <row r="4348">
      <c r="C4348" t="str">
        <v>Panjang netto</v>
      </c>
      <c r="D4348">
        <f>VLOOKUP(C4345,'Data Panjang Balok'!$C$9:$N$254,7,FALSE)</f>
        <v>1075</v>
      </c>
    </row>
    <row r="4349">
      <c r="C4349" t="str">
        <v>Kolom / balok kiri</v>
      </c>
      <c r="D4349">
        <f>VLOOKUP(C4345,'Data Panjang Balok'!$C$9:$N$254,9,FALSE)</f>
        <v>0</v>
      </c>
    </row>
    <row r="4350">
      <c r="C4350" t="str">
        <v>Kolom / balok kanan</v>
      </c>
      <c r="D4350">
        <f>VLOOKUP(C4345,'Data Panjang Balok'!$C$9:$N$254,10,FALSE)</f>
        <v>0</v>
      </c>
    </row>
    <row r="4351">
      <c r="C4351" t="str">
        <v>Jumlah</v>
      </c>
      <c r="D4351">
        <f>VLOOKUP(C4345,'Data Panjang Balok'!$C$9:$N$254,3,FALSE)</f>
        <v>1</v>
      </c>
    </row>
    <row r="4352">
      <c r="A4352" t="str">
        <f>A4345</f>
        <v>Lantai 3</v>
      </c>
      <c r="B4352">
        <f>B4345</f>
        <v>3</v>
      </c>
      <c r="C4352" t="str">
        <v>Tul Atas Tumpuan</v>
      </c>
      <c r="D4352">
        <f>VLOOKUP(D4345,'Detail Balok'!$C$10:$AU$140,4,FALSE)</f>
        <v>3</v>
      </c>
      <c r="E4352" t="str">
        <v>D</v>
      </c>
      <c r="F4352">
        <f>VLOOKUP(D4345,'Detail Balok'!$C$10:$AU$140,6,FALSE)</f>
        <v>16</v>
      </c>
      <c r="I4352" t="str">
        <v>(</v>
      </c>
      <c r="J4352">
        <f>+D4347/4/1000</f>
        <v>0.26875</v>
      </c>
      <c r="K4352" t="str">
        <v>+</v>
      </c>
      <c r="L4352">
        <f>MAX(VLOOKUP(F4352,N$6:P$15,3,FALSE)/1000,2/3*D4349/1000)+F$16*F4352/1000</f>
        <v>0.192</v>
      </c>
      <c r="M4352" t="str">
        <v>=</v>
      </c>
      <c r="N4352">
        <f>J4352+L4352</f>
        <v>0.46075</v>
      </c>
      <c r="O4352" t="str">
        <v>+</v>
      </c>
      <c r="P4352">
        <f>D4352-D4353</f>
        <v>0</v>
      </c>
      <c r="Q4352" t="str">
        <v>x</v>
      </c>
      <c r="R4352">
        <f>IF(P4352&gt;0,$F$18*F4352/1000,0)</f>
        <v>0</v>
      </c>
      <c r="S4352" t="str">
        <v>)</v>
      </c>
      <c r="T4352" t="str">
        <v>x</v>
      </c>
      <c r="U4352">
        <f>0.006165*F4352^2</f>
        <v>1.57824</v>
      </c>
      <c r="X4352" t="str">
        <v>x</v>
      </c>
      <c r="Y4352">
        <f>D4351</f>
        <v>1</v>
      </c>
      <c r="Z4352" t="str">
        <v>=</v>
      </c>
      <c r="AA4352">
        <f>IF(AA4355=0,(D4352*N4352+P4352*R4352)*U4352*Y4352,0)</f>
        <v>0</v>
      </c>
    </row>
    <row r="4353">
      <c r="A4353" t="str">
        <f>A4345</f>
        <v>Lantai 3</v>
      </c>
      <c r="B4353">
        <f>B4345</f>
        <v>3</v>
      </c>
      <c r="C4353" t="str">
        <v>Tul Atas Lapangan</v>
      </c>
      <c r="D4353">
        <f>VLOOKUP(D4345,'Detail Balok'!$C$10:$AU$140,7,FALSE)</f>
        <v>3</v>
      </c>
      <c r="E4353" t="str">
        <v>D</v>
      </c>
      <c r="F4353">
        <f>VLOOKUP(D4345,'Detail Balok'!$C$10:$AU$140,9,FALSE)</f>
        <v>16</v>
      </c>
      <c r="I4353" t="str">
        <v>(</v>
      </c>
      <c r="J4353">
        <f>+D4347/2/1000</f>
        <v>0.5375</v>
      </c>
      <c r="K4353" t="str">
        <v>+</v>
      </c>
      <c r="M4353" t="str">
        <v>=</v>
      </c>
      <c r="N4353">
        <f>J4353+L4353</f>
        <v>0.5375</v>
      </c>
      <c r="O4353" t="str">
        <v>+</v>
      </c>
      <c r="P4353">
        <f>MAX(D4353-D4352,D4353-D4354)</f>
        <v>0</v>
      </c>
      <c r="Q4353" t="str">
        <v>x</v>
      </c>
      <c r="R4353">
        <f>IF(P4353&gt;0,2*(1-2*$F$19-1/2)*D4348/1000,0)</f>
        <v>0</v>
      </c>
      <c r="S4353" t="str">
        <v>)</v>
      </c>
      <c r="T4353" t="str">
        <v>x</v>
      </c>
      <c r="U4353">
        <f>0.006165*F4353^2</f>
        <v>1.57824</v>
      </c>
      <c r="X4353" t="str">
        <v>x</v>
      </c>
      <c r="Y4353">
        <f>D4351</f>
        <v>1</v>
      </c>
      <c r="Z4353" t="str">
        <v>=</v>
      </c>
      <c r="AA4353">
        <f>IF(AA4355=0,(D4353*N4353+P4353*R4353)*U4353*Y4353,0)</f>
        <v>0</v>
      </c>
    </row>
    <row r="4354">
      <c r="A4354" t="str">
        <f>A4345</f>
        <v>Lantai 3</v>
      </c>
      <c r="B4354">
        <f>B4345</f>
        <v>3</v>
      </c>
      <c r="C4354" t="str">
        <v>Tul Atas Tumpuan</v>
      </c>
      <c r="D4354">
        <f>VLOOKUP(D4345,'Detail Balok'!$C$10:$AU$140,10,FALSE)</f>
        <v>3</v>
      </c>
      <c r="E4354" t="str">
        <v>D</v>
      </c>
      <c r="F4354">
        <f>VLOOKUP(D4345,'Detail Balok'!$C$10:$AU$140,12,FALSE)</f>
        <v>16</v>
      </c>
      <c r="I4354" t="str">
        <v>(</v>
      </c>
      <c r="J4354">
        <f>+D4347/4/1000</f>
        <v>0.26875</v>
      </c>
      <c r="K4354" t="str">
        <v>+</v>
      </c>
      <c r="L4354">
        <f>MAX(VLOOKUP(F4354,N$6:P$15,3,FALSE)/1000,2/3*D4349/1000)+F$16*F4354/1000</f>
        <v>0.192</v>
      </c>
      <c r="M4354" t="str">
        <v>=</v>
      </c>
      <c r="N4354">
        <f>J4354+L4354</f>
        <v>0.46075</v>
      </c>
      <c r="O4354" t="str">
        <v>+</v>
      </c>
      <c r="P4354">
        <f>D4354-D4353</f>
        <v>0</v>
      </c>
      <c r="Q4354" t="str">
        <v>x</v>
      </c>
      <c r="R4354">
        <f>IF(P4354&gt;0,$F$18*F4354/1000,0)</f>
        <v>0</v>
      </c>
      <c r="S4354" t="str">
        <v>)</v>
      </c>
      <c r="T4354" t="str">
        <v>x</v>
      </c>
      <c r="U4354">
        <f>0.006165*F4354^2</f>
        <v>1.57824</v>
      </c>
      <c r="X4354" t="str">
        <v>x</v>
      </c>
      <c r="Y4354">
        <f>D4351</f>
        <v>1</v>
      </c>
      <c r="Z4354" t="str">
        <v>=</v>
      </c>
      <c r="AA4354">
        <f>IF(AA4355=0,(D4354*N4354+P4354*R4354)*U4354*Y4354,0)</f>
        <v>0</v>
      </c>
    </row>
    <row r="4355">
      <c r="A4355" t="str">
        <f>A4345</f>
        <v>Lantai 3</v>
      </c>
      <c r="B4355">
        <f>B4345</f>
        <v>3</v>
      </c>
      <c r="D4355">
        <f>IF(AND(D4352=D4353,D4353=D4354,D4352=D4354),D4352,0)</f>
        <v>3</v>
      </c>
      <c r="E4355" t="str">
        <v>D</v>
      </c>
      <c r="F4355">
        <f>IF(AND(F4352=F4353,F4352=F4354,F4353=F4354),F4352,0)</f>
        <v>16</v>
      </c>
      <c r="L4355" t="str">
        <v>Total panjang per balok</v>
      </c>
      <c r="M4355" t="str">
        <v>=</v>
      </c>
      <c r="N4355">
        <f>IF(AND(D4352=D4353,D4352=D4354,D4353=D4354,F4352=F4353,F4352=F4354,F4353=F4354),SUM(N4352:N4354),0)</f>
        <v>1.459</v>
      </c>
      <c r="O4355" t="str">
        <v>+</v>
      </c>
      <c r="P4355">
        <f>IF(N4355&gt;12,ROUNDDOWN(N4355/12,0),0)</f>
        <v>0</v>
      </c>
      <c r="Q4355" t="str">
        <v>x</v>
      </c>
      <c r="R4355">
        <f>IF(P4355&gt;0,MAX(VLOOKUP(F4355,$D$6:$G$15,3,FALSE),600),0)/1000</f>
        <v>0</v>
      </c>
      <c r="T4355" t="str">
        <v>x</v>
      </c>
      <c r="U4355">
        <f>U4354</f>
        <v>1.57824</v>
      </c>
      <c r="V4355" t="str">
        <v>x</v>
      </c>
      <c r="W4355">
        <f>D4355</f>
        <v>3</v>
      </c>
      <c r="X4355" t="str">
        <v>x</v>
      </c>
      <c r="Y4355">
        <f>Y4354</f>
        <v>1</v>
      </c>
      <c r="Z4355" t="str">
        <v>=</v>
      </c>
      <c r="AA4355">
        <f>(N4355+P4355*R4355/1000)*U4355*W4355*Y4355</f>
        <v>6.90795648</v>
      </c>
    </row>
    <row r="4357">
      <c r="A4357" t="str">
        <f>A4345</f>
        <v>Lantai 3</v>
      </c>
      <c r="B4357">
        <f>B4345</f>
        <v>3</v>
      </c>
      <c r="C4357" t="str">
        <v>Tul Peminggang</v>
      </c>
      <c r="D4357">
        <f>VLOOKUP(D4345,'Detail Balok'!$C$10:$AU$140,13,FALSE)</f>
        <v>0</v>
      </c>
      <c r="E4357" t="str">
        <v>D</v>
      </c>
      <c r="F4357">
        <f>VLOOKUP(D4345,'Detail Balok'!$C$10:$AU$140,15,FALSE)</f>
        <v>8</v>
      </c>
      <c r="J4357">
        <f>+D4347/1000</f>
        <v>1.075</v>
      </c>
      <c r="K4357" t="str">
        <v>+</v>
      </c>
      <c r="L4357">
        <f>2*$F$16*F4357/1000</f>
        <v>0.192</v>
      </c>
      <c r="M4357" t="str">
        <v>=</v>
      </c>
      <c r="N4357">
        <f>J4357+L4357</f>
        <v>1.267</v>
      </c>
      <c r="O4357" t="str">
        <v>+</v>
      </c>
      <c r="P4357">
        <f>IF(N4357&gt;12,ROUNDDOWN(N4357/12,0),0)</f>
        <v>0</v>
      </c>
      <c r="Q4357" t="str">
        <v>x</v>
      </c>
      <c r="R4357">
        <f>IF(P4357&gt;0,MAX(VLOOKUP(F4357,$D$6:$G$15,3,FALSE),600),0)/1000</f>
        <v>0</v>
      </c>
      <c r="T4357" t="str">
        <v>x</v>
      </c>
      <c r="U4357">
        <f>0.006165*F4357^2</f>
        <v>0.39456</v>
      </c>
      <c r="V4357" t="str">
        <v>x</v>
      </c>
      <c r="W4357">
        <f>+D4357</f>
        <v>0</v>
      </c>
      <c r="X4357" t="str">
        <v>x</v>
      </c>
      <c r="Y4357">
        <f>D4351</f>
        <v>1</v>
      </c>
      <c r="Z4357" t="str">
        <v>=</v>
      </c>
      <c r="AA4357">
        <f>(N4357+P4357*R4357/1000)*U4357*W4357*Y4357</f>
        <v>0</v>
      </c>
    </row>
    <row r="4360">
      <c r="A4360" t="str">
        <f>A4345</f>
        <v>Lantai 3</v>
      </c>
      <c r="B4360">
        <f>B4345</f>
        <v>3</v>
      </c>
      <c r="C4360" t="str">
        <v>Tul Bawah Tumpuan</v>
      </c>
      <c r="D4360">
        <f>VLOOKUP(D4345,'Detail Balok'!$C$10:$AU$140,22,FALSE)</f>
        <v>3</v>
      </c>
      <c r="E4360" t="str">
        <v>D</v>
      </c>
      <c r="F4360">
        <f>VLOOKUP(D4345,'Detail Balok'!$C$10:$AU$140,24,FALSE)</f>
        <v>16</v>
      </c>
      <c r="I4360" t="str">
        <v>(</v>
      </c>
      <c r="J4360">
        <f>+J4352</f>
        <v>0.26875</v>
      </c>
      <c r="K4360" t="str">
        <v>+</v>
      </c>
      <c r="L4360">
        <f>MAX(VLOOKUP(F4360,N$6:P$15,3,FALSE)/1000,2/3*D4350/1000)+F$16*F4360/1000</f>
        <v>0.192</v>
      </c>
      <c r="M4360" t="str">
        <v>=</v>
      </c>
      <c r="N4360">
        <f>J4360+L4360</f>
        <v>0.46075</v>
      </c>
      <c r="O4360" t="str">
        <v>+</v>
      </c>
      <c r="P4360">
        <f>D4360-D4361</f>
        <v>0</v>
      </c>
      <c r="Q4360" t="str">
        <v>x</v>
      </c>
      <c r="R4360">
        <f>IF(P4360&gt;0,$F$18*F4360/1000,0)</f>
        <v>0</v>
      </c>
      <c r="S4360" t="str">
        <v>)</v>
      </c>
      <c r="T4360" t="str">
        <v>x</v>
      </c>
      <c r="U4360">
        <f>0.006165*F4360^2</f>
        <v>1.57824</v>
      </c>
      <c r="X4360" t="str">
        <v>x</v>
      </c>
      <c r="Y4360">
        <f>D4351</f>
        <v>1</v>
      </c>
      <c r="Z4360" t="str">
        <v>=</v>
      </c>
      <c r="AA4360">
        <f>IF(AA4363=0,(D4360*N4360+P4360*R4360)*U4360*Y4360,0)</f>
        <v>0</v>
      </c>
    </row>
    <row r="4361">
      <c r="A4361" t="str">
        <f>A4345</f>
        <v>Lantai 3</v>
      </c>
      <c r="B4361">
        <f>B4345</f>
        <v>3</v>
      </c>
      <c r="C4361" t="str">
        <v>Tul Bawah Lapangan</v>
      </c>
      <c r="D4361">
        <f>VLOOKUP(D4345,'Detail Balok'!$C$10:$AU$140,25,FALSE)</f>
        <v>3</v>
      </c>
      <c r="E4361" t="str">
        <v>D</v>
      </c>
      <c r="F4361">
        <f>VLOOKUP(D4345,'Detail Balok'!$C$10:$AU$140,27,FALSE)</f>
        <v>16</v>
      </c>
      <c r="I4361" t="str">
        <v>(</v>
      </c>
      <c r="J4361">
        <f>+J4353</f>
        <v>0.5375</v>
      </c>
      <c r="K4361" t="str">
        <v>+</v>
      </c>
      <c r="M4361" t="str">
        <v>=</v>
      </c>
      <c r="N4361">
        <f>J4361+L4361</f>
        <v>0.5375</v>
      </c>
      <c r="O4361" t="str">
        <v>+</v>
      </c>
      <c r="P4361">
        <f>MAX(D4361-D4360,D4361-D4362)</f>
        <v>0</v>
      </c>
      <c r="Q4361" t="str">
        <v>x</v>
      </c>
      <c r="R4361">
        <f>IF(P4361&gt;0,2*(1-2*$F$19-1/2)*D4348/1000,0)</f>
        <v>0</v>
      </c>
      <c r="S4361" t="str">
        <v>)</v>
      </c>
      <c r="T4361" t="str">
        <v>x</v>
      </c>
      <c r="U4361">
        <f>0.006165*F4361^2</f>
        <v>1.57824</v>
      </c>
      <c r="X4361" t="str">
        <v>x</v>
      </c>
      <c r="Y4361">
        <f>D4351</f>
        <v>1</v>
      </c>
      <c r="Z4361" t="str">
        <v>=</v>
      </c>
      <c r="AA4361">
        <f>IF(AA4363=0,(D4361*N4361+P4361*R4361)*U4361*Y4361,0)</f>
        <v>0</v>
      </c>
    </row>
    <row r="4362">
      <c r="A4362" t="str">
        <f>A4345</f>
        <v>Lantai 3</v>
      </c>
      <c r="B4362">
        <f>B4345</f>
        <v>3</v>
      </c>
      <c r="C4362" t="str">
        <v>Tul Bawah Tumpuan</v>
      </c>
      <c r="D4362">
        <f>VLOOKUP(D4345,'Detail Balok'!$C$10:$AU$140,28,FALSE)</f>
        <v>3</v>
      </c>
      <c r="E4362" t="str">
        <v>D</v>
      </c>
      <c r="F4362">
        <f>VLOOKUP(D4345,'Detail Balok'!$C$10:$AU$140,30,FALSE)</f>
        <v>16</v>
      </c>
      <c r="I4362" t="str">
        <v>(</v>
      </c>
      <c r="J4362">
        <f>+J4354</f>
        <v>0.26875</v>
      </c>
      <c r="K4362" t="str">
        <v>+</v>
      </c>
      <c r="L4362">
        <f>MAX(VLOOKUP(F4362,N$6:P$15,3,FALSE)/1000,2/3*D4350/1000)+F$16*F4362/1000</f>
        <v>0.192</v>
      </c>
      <c r="M4362" t="str">
        <v>=</v>
      </c>
      <c r="N4362">
        <f>J4362+L4362</f>
        <v>0.46075</v>
      </c>
      <c r="O4362" t="str">
        <v>+</v>
      </c>
      <c r="P4362">
        <f>D4362-D4361</f>
        <v>0</v>
      </c>
      <c r="Q4362" t="str">
        <v>x</v>
      </c>
      <c r="R4362">
        <f>IF(P4362&gt;0,$F$18*F4362/1000,0)</f>
        <v>0</v>
      </c>
      <c r="S4362" t="str">
        <v>)</v>
      </c>
      <c r="T4362" t="str">
        <v>x</v>
      </c>
      <c r="U4362">
        <f>0.006165*F4362^2</f>
        <v>1.57824</v>
      </c>
      <c r="X4362" t="str">
        <v>x</v>
      </c>
      <c r="Y4362">
        <f>D4351</f>
        <v>1</v>
      </c>
      <c r="Z4362" t="str">
        <v>=</v>
      </c>
      <c r="AA4362">
        <f>IF(AA4363=0,(D4362*N4362+P4362*R4362)*U4362*Y4362,0)</f>
        <v>0</v>
      </c>
    </row>
    <row r="4363">
      <c r="A4363" t="str">
        <f>A4345</f>
        <v>Lantai 3</v>
      </c>
      <c r="B4363">
        <f>B4345</f>
        <v>3</v>
      </c>
      <c r="D4363">
        <f>IF(AND(D4360=D4361,D4361=D4362,D4360=D4362),D4360,0)</f>
        <v>3</v>
      </c>
      <c r="E4363" t="str">
        <v>D</v>
      </c>
      <c r="F4363">
        <f>IF(AND(F4360=F4361,F4360=F4362,F4361=F4362),F4360,0)</f>
        <v>16</v>
      </c>
      <c r="L4363" t="str">
        <v>Total panjang per balok</v>
      </c>
      <c r="M4363" t="str">
        <v>=</v>
      </c>
      <c r="N4363">
        <f>IF(AND(D4360=D4361,D4360=D4362,D4361=D4362,F4360=F4361,F4360=F4362,F4361=F4362),SUM(N4360:N4362),0)</f>
        <v>1.459</v>
      </c>
      <c r="O4363" t="str">
        <v>+</v>
      </c>
      <c r="P4363">
        <f>IF(N4363&gt;12,ROUNDDOWN(N4363/12,0),0)</f>
        <v>0</v>
      </c>
      <c r="Q4363" t="str">
        <v>x</v>
      </c>
      <c r="R4363">
        <f>IF(P4363&gt;0,MAX(VLOOKUP(F4363,$D$6:$G$15,3,FALSE),600),0)/1000</f>
        <v>0</v>
      </c>
      <c r="T4363" t="str">
        <v>x</v>
      </c>
      <c r="U4363">
        <f>U4362</f>
        <v>1.57824</v>
      </c>
      <c r="V4363" t="str">
        <v>x</v>
      </c>
      <c r="W4363">
        <f>D4363</f>
        <v>3</v>
      </c>
      <c r="X4363" t="str">
        <v>x</v>
      </c>
      <c r="Y4363">
        <f>Y4362</f>
        <v>1</v>
      </c>
      <c r="Z4363" t="str">
        <v>=</v>
      </c>
      <c r="AA4363">
        <f>(N4363+P4363*R4363/1000)*U4363*W4363*Y4363</f>
        <v>6.90795648</v>
      </c>
    </row>
    <row r="4365">
      <c r="A4365" t="str">
        <f>A4345</f>
        <v>Lantai 3</v>
      </c>
      <c r="B4365">
        <f>B4345</f>
        <v>3</v>
      </c>
      <c r="C4365" t="str">
        <v>Sengkang Tumpuan</v>
      </c>
      <c r="D4365">
        <f>VLOOKUP(D4345,'Detail Balok'!$C$10:$AU$140,31,FALSE)</f>
        <v>0</v>
      </c>
      <c r="E4365" t="str">
        <v>D</v>
      </c>
      <c r="F4365">
        <f>VLOOKUP(D4345,'Detail Balok'!$C$10:$AU$140,33,FALSE)</f>
        <v>10</v>
      </c>
      <c r="G4365" t="str">
        <v>-</v>
      </c>
      <c r="H4365">
        <f>VLOOKUP(D4345,'Detail Balok'!$C$10:$AU$140,35,FALSE)</f>
        <v>100</v>
      </c>
      <c r="J4365">
        <f>(IF(D4365=0,(2*(D4346+G4346))-(F$5*8),IF(D4365=3,(2*(D4346+G4346))-(F$5*8)+(G4346-2*F$5),IF(D4365=4,(2*(D4346+G4346))-(F$5*8)+2*(G4346-2*F$5)))))/1000</f>
        <v>0.88</v>
      </c>
      <c r="K4365" t="str">
        <v>+</v>
      </c>
      <c r="L4365">
        <f>IF(D4365=0,2*MAX(6*F4365,75),(D4365-1)*2*MAX(6*F4365,75))/1000</f>
        <v>0.15</v>
      </c>
      <c r="M4365" t="str">
        <v>=</v>
      </c>
      <c r="N4365">
        <f>J4365+L4365</f>
        <v>1.03</v>
      </c>
      <c r="T4365" t="str">
        <v>x</v>
      </c>
      <c r="U4365">
        <f>0.006165*F4365^2</f>
        <v>0.6165</v>
      </c>
      <c r="V4365" t="str">
        <v>x</v>
      </c>
      <c r="W4365">
        <f>IF(D4348&gt;4*G4346,ROUND(MAX(D4348/4,2*G4346)/H4365,0)+1,ROUND(D4348/H4365,0)+1)</f>
        <v>12</v>
      </c>
      <c r="X4365" t="str">
        <v>x</v>
      </c>
      <c r="Y4365">
        <f>D4351</f>
        <v>1</v>
      </c>
      <c r="Z4365" t="str">
        <v>=</v>
      </c>
      <c r="AA4365">
        <f>N4365*U4365*W4365*Y4365</f>
        <v>7.6199400000000015</v>
      </c>
    </row>
    <row r="4366">
      <c r="A4366" t="str">
        <f>A4345</f>
        <v>Lantai 3</v>
      </c>
      <c r="B4366">
        <f>B4345</f>
        <v>3</v>
      </c>
      <c r="C4366" t="str">
        <v>Sengkang Lapangan</v>
      </c>
      <c r="D4366">
        <f>VLOOKUP(D4345,'Detail Balok'!$C$10:$AU$140,36,FALSE)</f>
        <v>0</v>
      </c>
      <c r="E4366" t="str">
        <v>D</v>
      </c>
      <c r="F4366">
        <f>VLOOKUP(D4345,'Detail Balok'!$C$10:$AU$140,38,FALSE)</f>
        <v>10</v>
      </c>
      <c r="G4366" t="str">
        <v>-</v>
      </c>
      <c r="H4366">
        <f>VLOOKUP(D4345,'Detail Balok'!$C$10:$AU$140,40,FALSE)</f>
        <v>100</v>
      </c>
      <c r="J4366">
        <f>(IF(D4366=0,(2*(D4346+G4346))-(F$5*8),IF(D4366=3,(2*(D4346+G4346))-(F$5*8)+(G4346-2*F$5),IF(D4366=4,(2*(D4346+G4346))-(F$5*8)+2*(G4346-2*F$5)))))/1000</f>
        <v>0.88</v>
      </c>
      <c r="K4366" t="str">
        <v>+</v>
      </c>
      <c r="L4366">
        <f>IF(D4366=0,2*MAX(6*F4366,75),(D4366-1)*2*MAX(6*F4366,75))/1000</f>
        <v>0.15</v>
      </c>
      <c r="M4366" t="str">
        <v>=</v>
      </c>
      <c r="N4366">
        <f>J4366+L4366</f>
        <v>1.03</v>
      </c>
      <c r="T4366" t="str">
        <v>x</v>
      </c>
      <c r="U4366">
        <f>0.006165*F4366^2</f>
        <v>0.6165</v>
      </c>
      <c r="V4366" t="str">
        <v>x</v>
      </c>
      <c r="W4366">
        <f>IF(D4348-MAX(D4348/4,2*G4346)*2&gt;0,ROUND((D4348-MAX(D4348/4,2*G4346)*2)/H4366,0),0)</f>
        <v>0</v>
      </c>
      <c r="X4366" t="str">
        <v>x</v>
      </c>
      <c r="Y4366">
        <f>D4351</f>
        <v>1</v>
      </c>
      <c r="Z4366" t="str">
        <v>=</v>
      </c>
      <c r="AA4366">
        <f>N4366*U4366*W4366*Y4366</f>
        <v>0</v>
      </c>
    </row>
    <row r="4367">
      <c r="A4367" t="str">
        <f>A4345</f>
        <v>Lantai 3</v>
      </c>
      <c r="B4367">
        <f>B4345</f>
        <v>3</v>
      </c>
      <c r="C4367" t="str">
        <v>Sengkang Tumpuan</v>
      </c>
      <c r="D4367">
        <f>VLOOKUP(D4345,'Detail Balok'!$C$10:$AU$140,41,FALSE)</f>
        <v>0</v>
      </c>
      <c r="E4367" t="str">
        <v>D</v>
      </c>
      <c r="F4367">
        <f>VLOOKUP(D4345,'Detail Balok'!$C$10:$AU$140,43,FALSE)</f>
        <v>10</v>
      </c>
      <c r="G4367" t="str">
        <v>-</v>
      </c>
      <c r="H4367">
        <f>VLOOKUP(D4345,'Detail Balok'!$C$10:$AU$140,45,FALSE)</f>
        <v>100</v>
      </c>
      <c r="J4367">
        <f>(IF(D4367=0,(2*(D4346+G4346))-(F$5*8),IF(D4367=3,(2*(D4346+G4346))-(F$5*8)+(G4346-2*F$5),IF(D4367=4,(2*(D4346+G4346))-(F$5*8)+2*(G4346-2*F$5)))))/1000</f>
        <v>0.88</v>
      </c>
      <c r="K4367" t="str">
        <v>+</v>
      </c>
      <c r="L4367">
        <f>IF(D4367=0,2*MAX(6*F4367,75),(D4367-1)*2*MAX(6*F4367,75))/1000</f>
        <v>0.15</v>
      </c>
      <c r="M4367" t="str">
        <v>=</v>
      </c>
      <c r="N4367">
        <f>J4367+L4367</f>
        <v>1.03</v>
      </c>
      <c r="T4367" t="str">
        <v>x</v>
      </c>
      <c r="U4367">
        <f>0.006165*F4367^2</f>
        <v>0.6165</v>
      </c>
      <c r="V4367" t="str">
        <v>x</v>
      </c>
      <c r="W4367">
        <f>IF(D4348&gt;4*G4346,ROUND(MAX(D4348/4,2*G4346)/H4367,0)+1,0)</f>
        <v>0</v>
      </c>
      <c r="X4367" t="str">
        <v>x</v>
      </c>
      <c r="Y4367">
        <f>D4351</f>
        <v>1</v>
      </c>
      <c r="Z4367" t="str">
        <v>=</v>
      </c>
      <c r="AA4367">
        <f>N4367*U4367*W4367*Y4367</f>
        <v>0</v>
      </c>
    </row>
    <row r="4369">
      <c r="A4369" t="str">
        <f>A4345</f>
        <v>Lantai 3</v>
      </c>
      <c r="B4369">
        <f>B4345</f>
        <v>3</v>
      </c>
      <c r="C4369" t="str">
        <v>Kait Horizontal Tump.</v>
      </c>
      <c r="D4369">
        <f>VLOOKUP(D4345,'Detail Balok'!$C$10:$BJ$140,46,FALSE)</f>
        <v>0</v>
      </c>
      <c r="E4369" t="str">
        <v>D</v>
      </c>
      <c r="F4369">
        <f>VLOOKUP(D4345,'Detail Balok'!$C$10:$BJ$140,48,FALSE)</f>
        <v>0</v>
      </c>
      <c r="G4369" t="str">
        <v>-</v>
      </c>
      <c r="H4369">
        <f>VLOOKUP(D4345,'Detail Balok'!$C$10:$BJ$140,50,FALSE)</f>
        <v>100</v>
      </c>
      <c r="J4369">
        <f>(D4346-2*F$5)/1000</f>
        <v>0.12</v>
      </c>
      <c r="K4369" t="str">
        <v>+</v>
      </c>
      <c r="L4369">
        <f>IF(D4369=0,2*MAX(6*F4369,75),(D4369-1)*2*MAX(6*F4369,75))/1000</f>
        <v>0.15</v>
      </c>
      <c r="M4369" t="str">
        <v>=</v>
      </c>
      <c r="N4369">
        <f>J4369+L4369</f>
        <v>0.27</v>
      </c>
      <c r="T4369" t="str">
        <v>x</v>
      </c>
      <c r="U4369">
        <f>0.006165*F4369^2</f>
        <v>0</v>
      </c>
      <c r="V4369" t="str">
        <v>x</v>
      </c>
      <c r="W4369">
        <f>W4365</f>
        <v>12</v>
      </c>
      <c r="X4369" t="str">
        <v>x</v>
      </c>
      <c r="Y4369">
        <f>D4355</f>
        <v>3</v>
      </c>
      <c r="Z4369" t="str">
        <v>=</v>
      </c>
      <c r="AA4369">
        <f>N4369*U4369*W4369*Y4369</f>
        <v>0</v>
      </c>
    </row>
    <row r="4370">
      <c r="A4370" t="str">
        <f>A4345</f>
        <v>Lantai 3</v>
      </c>
      <c r="B4370">
        <f>B4345</f>
        <v>3</v>
      </c>
      <c r="C4370" t="str">
        <v>Kait Horizontal Lap.</v>
      </c>
      <c r="D4370">
        <f>VLOOKUP(D4345,'Detail Balok'!$C$10:$BJ$140,51,FALSE)</f>
        <v>0</v>
      </c>
      <c r="E4370" t="str">
        <v>D</v>
      </c>
      <c r="F4370">
        <f>VLOOKUP(D4345,'Detail Balok'!$C$10:$BJ$140,53,FALSE)</f>
        <v>0</v>
      </c>
      <c r="G4370" t="str">
        <v>-</v>
      </c>
      <c r="H4370">
        <f>VLOOKUP(D4345,'Detail Balok'!$C$10:$BJ$140,55,FALSE)</f>
        <v>100</v>
      </c>
      <c r="J4370">
        <f>(D4346-2*F$5)/1000</f>
        <v>0.12</v>
      </c>
      <c r="K4370" t="str">
        <v>+</v>
      </c>
      <c r="L4370">
        <f>IF(D4370=0,2*MAX(6*F4370,75),(D4370-1)*2*MAX(6*F4370,75))/1000</f>
        <v>0.15</v>
      </c>
      <c r="M4370" t="str">
        <v>=</v>
      </c>
      <c r="N4370">
        <f>J4370+L4370</f>
        <v>0.27</v>
      </c>
      <c r="T4370" t="str">
        <v>x</v>
      </c>
      <c r="U4370">
        <f>0.006165*F4370^2</f>
        <v>0</v>
      </c>
      <c r="V4370" t="str">
        <v>x</v>
      </c>
      <c r="W4370">
        <f>W4366</f>
        <v>0</v>
      </c>
      <c r="X4370" t="str">
        <v>x</v>
      </c>
      <c r="Y4370">
        <f>D4355</f>
        <v>3</v>
      </c>
      <c r="Z4370" t="str">
        <v>=</v>
      </c>
      <c r="AA4370">
        <f>N4370*U4370*W4370*Y4370</f>
        <v>0</v>
      </c>
    </row>
    <row r="4371">
      <c r="A4371" t="str">
        <f>A4345</f>
        <v>Lantai 3</v>
      </c>
      <c r="B4371">
        <f>B4345</f>
        <v>3</v>
      </c>
      <c r="C4371" t="str">
        <v>Kait Horizontal Tump.</v>
      </c>
      <c r="D4371">
        <f>VLOOKUP(D4345,'Detail Balok'!$C$10:$BJ$140,56,FALSE)</f>
        <v>0</v>
      </c>
      <c r="E4371" t="str">
        <v>D</v>
      </c>
      <c r="F4371">
        <f>VLOOKUP(D4345,'Detail Balok'!$C$10:$BJ$140,58,FALSE)</f>
        <v>0</v>
      </c>
      <c r="G4371" t="str">
        <v>-</v>
      </c>
      <c r="H4371">
        <f>VLOOKUP(D4345,'Detail Balok'!$C$10:$BJ$140,60,FALSE)</f>
        <v>100</v>
      </c>
      <c r="J4371">
        <f>(D4346-2*F$5)/1000</f>
        <v>0.12</v>
      </c>
      <c r="K4371" t="str">
        <v>+</v>
      </c>
      <c r="L4371">
        <f>IF(D4371=0,2*MAX(6*F4371,75),(D4371-1)*2*MAX(6*F4371,75))/1000</f>
        <v>0.15</v>
      </c>
      <c r="M4371" t="str">
        <v>=</v>
      </c>
      <c r="N4371">
        <f>J4371+L4371</f>
        <v>0.27</v>
      </c>
      <c r="T4371" t="str">
        <v>x</v>
      </c>
      <c r="U4371">
        <f>0.006165*F4371^2</f>
        <v>0</v>
      </c>
      <c r="V4371" t="str">
        <v>x</v>
      </c>
      <c r="W4371">
        <f>W4367</f>
        <v>0</v>
      </c>
      <c r="X4371" t="str">
        <v>x</v>
      </c>
      <c r="Y4371">
        <f>D4355</f>
        <v>3</v>
      </c>
      <c r="Z4371" t="str">
        <v>=</v>
      </c>
      <c r="AA4371">
        <f>N4371*U4371*W4371*Y4371</f>
        <v>0</v>
      </c>
    </row>
    <row r="4375">
      <c r="A4375" t="str">
        <f>A4345</f>
        <v>Lantai 3</v>
      </c>
      <c r="B4375">
        <f>B4345+1</f>
        <v>4</v>
      </c>
      <c r="C4375" t="str">
        <f>CONCATENATE(A4375," no. ",B4375)</f>
        <v>Lantai 3 no. 4</v>
      </c>
      <c r="D4375" t="str">
        <f>VLOOKUP(C4375,'Data Panjang Balok'!$C$9:$N$254,2,FALSE)</f>
        <v>CL24-1</v>
      </c>
    </row>
    <row r="4376">
      <c r="C4376" t="str">
        <v>Dimensi</v>
      </c>
      <c r="D4376">
        <f>VLOOKUP(D4375,'Detail Balok'!$C$10:$AU$140,2,FALSE)</f>
        <v>200</v>
      </c>
      <c r="F4376" t="str">
        <v>x</v>
      </c>
      <c r="G4376">
        <f>VLOOKUP(D4375,'Detail Balok'!$C$10:$AU$140,3,FALSE)</f>
        <v>400</v>
      </c>
    </row>
    <row r="4377">
      <c r="C4377" t="str">
        <v>Panjang as ke as</v>
      </c>
      <c r="D4377">
        <f>VLOOKUP(C4375,'Data Panjang Balok'!$C$9:$N$254,4,FALSE)</f>
        <v>1075</v>
      </c>
    </row>
    <row r="4378">
      <c r="C4378" t="str">
        <v>Panjang netto</v>
      </c>
      <c r="D4378">
        <f>VLOOKUP(C4375,'Data Panjang Balok'!$C$9:$N$254,7,FALSE)</f>
        <v>1075</v>
      </c>
    </row>
    <row r="4379">
      <c r="C4379" t="str">
        <v>Kolom / balok kiri</v>
      </c>
      <c r="D4379">
        <f>VLOOKUP(C4375,'Data Panjang Balok'!$C$9:$N$254,9,FALSE)</f>
        <v>0</v>
      </c>
    </row>
    <row r="4380">
      <c r="C4380" t="str">
        <v>Kolom / balok kanan</v>
      </c>
      <c r="D4380">
        <f>VLOOKUP(C4375,'Data Panjang Balok'!$C$9:$N$254,10,FALSE)</f>
        <v>0</v>
      </c>
    </row>
    <row r="4381">
      <c r="C4381" t="str">
        <v>Jumlah</v>
      </c>
      <c r="D4381">
        <f>VLOOKUP(C4375,'Data Panjang Balok'!$C$9:$N$254,3,FALSE)</f>
        <v>1</v>
      </c>
    </row>
    <row r="4382">
      <c r="A4382" t="str">
        <f>A4375</f>
        <v>Lantai 3</v>
      </c>
      <c r="B4382">
        <f>B4375</f>
        <v>4</v>
      </c>
      <c r="C4382" t="str">
        <v>Tul Atas Tumpuan</v>
      </c>
      <c r="D4382">
        <f>VLOOKUP(D4375,'Detail Balok'!$C$10:$AU$140,4,FALSE)</f>
        <v>3</v>
      </c>
      <c r="E4382" t="str">
        <v>D</v>
      </c>
      <c r="F4382">
        <f>VLOOKUP(D4375,'Detail Balok'!$C$10:$AU$140,6,FALSE)</f>
        <v>16</v>
      </c>
      <c r="I4382" t="str">
        <v>(</v>
      </c>
      <c r="J4382">
        <f>+D4377/4/1000</f>
        <v>0.26875</v>
      </c>
      <c r="K4382" t="str">
        <v>+</v>
      </c>
      <c r="L4382">
        <f>MAX(VLOOKUP(F4382,N$6:P$15,3,FALSE)/1000,2/3*D4379/1000)+F$16*F4382/1000</f>
        <v>0.192</v>
      </c>
      <c r="M4382" t="str">
        <v>=</v>
      </c>
      <c r="N4382">
        <f>J4382+L4382</f>
        <v>0.46075</v>
      </c>
      <c r="O4382" t="str">
        <v>+</v>
      </c>
      <c r="P4382">
        <f>D4382-D4383</f>
        <v>0</v>
      </c>
      <c r="Q4382" t="str">
        <v>x</v>
      </c>
      <c r="R4382">
        <f>IF(P4382&gt;0,$F$18*F4382/1000,0)</f>
        <v>0</v>
      </c>
      <c r="S4382" t="str">
        <v>)</v>
      </c>
      <c r="T4382" t="str">
        <v>x</v>
      </c>
      <c r="U4382">
        <f>0.006165*F4382^2</f>
        <v>1.57824</v>
      </c>
      <c r="X4382" t="str">
        <v>x</v>
      </c>
      <c r="Y4382">
        <f>D4381</f>
        <v>1</v>
      </c>
      <c r="Z4382" t="str">
        <v>=</v>
      </c>
      <c r="AA4382">
        <f>IF(AA4385=0,(D4382*N4382+P4382*R4382)*U4382*Y4382,0)</f>
        <v>0</v>
      </c>
    </row>
    <row r="4383">
      <c r="A4383" t="str">
        <f>A4375</f>
        <v>Lantai 3</v>
      </c>
      <c r="B4383">
        <f>B4375</f>
        <v>4</v>
      </c>
      <c r="C4383" t="str">
        <v>Tul Atas Lapangan</v>
      </c>
      <c r="D4383">
        <f>VLOOKUP(D4375,'Detail Balok'!$C$10:$AU$140,7,FALSE)</f>
        <v>3</v>
      </c>
      <c r="E4383" t="str">
        <v>D</v>
      </c>
      <c r="F4383">
        <f>VLOOKUP(D4375,'Detail Balok'!$C$10:$AU$140,9,FALSE)</f>
        <v>16</v>
      </c>
      <c r="I4383" t="str">
        <v>(</v>
      </c>
      <c r="J4383">
        <f>+D4377/2/1000</f>
        <v>0.5375</v>
      </c>
      <c r="K4383" t="str">
        <v>+</v>
      </c>
      <c r="M4383" t="str">
        <v>=</v>
      </c>
      <c r="N4383">
        <f>J4383+L4383</f>
        <v>0.5375</v>
      </c>
      <c r="O4383" t="str">
        <v>+</v>
      </c>
      <c r="P4383">
        <f>MAX(D4383-D4382,D4383-D4384)</f>
        <v>0</v>
      </c>
      <c r="Q4383" t="str">
        <v>x</v>
      </c>
      <c r="R4383">
        <f>IF(P4383&gt;0,2*(1-2*$F$19-1/2)*D4378/1000,0)</f>
        <v>0</v>
      </c>
      <c r="S4383" t="str">
        <v>)</v>
      </c>
      <c r="T4383" t="str">
        <v>x</v>
      </c>
      <c r="U4383">
        <f>0.006165*F4383^2</f>
        <v>1.57824</v>
      </c>
      <c r="X4383" t="str">
        <v>x</v>
      </c>
      <c r="Y4383">
        <f>D4381</f>
        <v>1</v>
      </c>
      <c r="Z4383" t="str">
        <v>=</v>
      </c>
      <c r="AA4383">
        <f>IF(AA4385=0,(D4383*N4383+P4383*R4383)*U4383*Y4383,0)</f>
        <v>0</v>
      </c>
    </row>
    <row r="4384">
      <c r="A4384" t="str">
        <f>A4375</f>
        <v>Lantai 3</v>
      </c>
      <c r="B4384">
        <f>B4375</f>
        <v>4</v>
      </c>
      <c r="C4384" t="str">
        <v>Tul Atas Tumpuan</v>
      </c>
      <c r="D4384">
        <f>VLOOKUP(D4375,'Detail Balok'!$C$10:$AU$140,10,FALSE)</f>
        <v>3</v>
      </c>
      <c r="E4384" t="str">
        <v>D</v>
      </c>
      <c r="F4384">
        <f>VLOOKUP(D4375,'Detail Balok'!$C$10:$AU$140,12,FALSE)</f>
        <v>16</v>
      </c>
      <c r="I4384" t="str">
        <v>(</v>
      </c>
      <c r="J4384">
        <f>+D4377/4/1000</f>
        <v>0.26875</v>
      </c>
      <c r="K4384" t="str">
        <v>+</v>
      </c>
      <c r="L4384">
        <f>MAX(VLOOKUP(F4384,N$6:P$15,3,FALSE)/1000,2/3*D4379/1000)+F$16*F4384/1000</f>
        <v>0.192</v>
      </c>
      <c r="M4384" t="str">
        <v>=</v>
      </c>
      <c r="N4384">
        <f>J4384+L4384</f>
        <v>0.46075</v>
      </c>
      <c r="O4384" t="str">
        <v>+</v>
      </c>
      <c r="P4384">
        <f>D4384-D4383</f>
        <v>0</v>
      </c>
      <c r="Q4384" t="str">
        <v>x</v>
      </c>
      <c r="R4384">
        <f>IF(P4384&gt;0,$F$18*F4384/1000,0)</f>
        <v>0</v>
      </c>
      <c r="S4384" t="str">
        <v>)</v>
      </c>
      <c r="T4384" t="str">
        <v>x</v>
      </c>
      <c r="U4384">
        <f>0.006165*F4384^2</f>
        <v>1.57824</v>
      </c>
      <c r="X4384" t="str">
        <v>x</v>
      </c>
      <c r="Y4384">
        <f>D4381</f>
        <v>1</v>
      </c>
      <c r="Z4384" t="str">
        <v>=</v>
      </c>
      <c r="AA4384">
        <f>IF(AA4385=0,(D4384*N4384+P4384*R4384)*U4384*Y4384,0)</f>
        <v>0</v>
      </c>
    </row>
    <row r="4385">
      <c r="A4385" t="str">
        <f>A4375</f>
        <v>Lantai 3</v>
      </c>
      <c r="B4385">
        <f>B4375</f>
        <v>4</v>
      </c>
      <c r="D4385">
        <f>IF(AND(D4382=D4383,D4383=D4384,D4382=D4384),D4382,0)</f>
        <v>3</v>
      </c>
      <c r="E4385" t="str">
        <v>D</v>
      </c>
      <c r="F4385">
        <f>IF(AND(F4382=F4383,F4382=F4384,F4383=F4384),F4382,0)</f>
        <v>16</v>
      </c>
      <c r="L4385" t="str">
        <v>Total panjang per balok</v>
      </c>
      <c r="M4385" t="str">
        <v>=</v>
      </c>
      <c r="N4385">
        <f>IF(AND(D4382=D4383,D4382=D4384,D4383=D4384,F4382=F4383,F4382=F4384,F4383=F4384),SUM(N4382:N4384),0)</f>
        <v>1.459</v>
      </c>
      <c r="O4385" t="str">
        <v>+</v>
      </c>
      <c r="P4385">
        <f>IF(N4385&gt;12,ROUNDDOWN(N4385/12,0),0)</f>
        <v>0</v>
      </c>
      <c r="Q4385" t="str">
        <v>x</v>
      </c>
      <c r="R4385">
        <f>IF(P4385&gt;0,MAX(VLOOKUP(F4385,$D$6:$G$15,3,FALSE),600),0)/1000</f>
        <v>0</v>
      </c>
      <c r="T4385" t="str">
        <v>x</v>
      </c>
      <c r="U4385">
        <f>U4384</f>
        <v>1.57824</v>
      </c>
      <c r="V4385" t="str">
        <v>x</v>
      </c>
      <c r="W4385">
        <f>D4385</f>
        <v>3</v>
      </c>
      <c r="X4385" t="str">
        <v>x</v>
      </c>
      <c r="Y4385">
        <f>Y4384</f>
        <v>1</v>
      </c>
      <c r="Z4385" t="str">
        <v>=</v>
      </c>
      <c r="AA4385">
        <f>(N4385+P4385*R4385/1000)*U4385*W4385*Y4385</f>
        <v>6.90795648</v>
      </c>
    </row>
    <row r="4387">
      <c r="A4387" t="str">
        <f>A4375</f>
        <v>Lantai 3</v>
      </c>
      <c r="B4387">
        <f>B4375</f>
        <v>4</v>
      </c>
      <c r="C4387" t="str">
        <v>Tul Peminggang</v>
      </c>
      <c r="D4387">
        <f>VLOOKUP(D4375,'Detail Balok'!$C$10:$AU$140,13,FALSE)</f>
        <v>0</v>
      </c>
      <c r="E4387" t="str">
        <v>D</v>
      </c>
      <c r="F4387">
        <f>VLOOKUP(D4375,'Detail Balok'!$C$10:$AU$140,15,FALSE)</f>
        <v>8</v>
      </c>
      <c r="J4387">
        <f>+D4377/1000</f>
        <v>1.075</v>
      </c>
      <c r="K4387" t="str">
        <v>+</v>
      </c>
      <c r="L4387">
        <f>2*$F$16*F4387/1000</f>
        <v>0.192</v>
      </c>
      <c r="M4387" t="str">
        <v>=</v>
      </c>
      <c r="N4387">
        <f>J4387+L4387</f>
        <v>1.267</v>
      </c>
      <c r="O4387" t="str">
        <v>+</v>
      </c>
      <c r="P4387">
        <f>IF(N4387&gt;12,ROUNDDOWN(N4387/12,0),0)</f>
        <v>0</v>
      </c>
      <c r="Q4387" t="str">
        <v>x</v>
      </c>
      <c r="R4387">
        <f>IF(P4387&gt;0,MAX(VLOOKUP(F4387,$D$6:$G$15,3,FALSE),600),0)/1000</f>
        <v>0</v>
      </c>
      <c r="T4387" t="str">
        <v>x</v>
      </c>
      <c r="U4387">
        <f>0.006165*F4387^2</f>
        <v>0.39456</v>
      </c>
      <c r="V4387" t="str">
        <v>x</v>
      </c>
      <c r="W4387">
        <f>+D4387</f>
        <v>0</v>
      </c>
      <c r="X4387" t="str">
        <v>x</v>
      </c>
      <c r="Y4387">
        <f>D4381</f>
        <v>1</v>
      </c>
      <c r="Z4387" t="str">
        <v>=</v>
      </c>
      <c r="AA4387">
        <f>(N4387+P4387*R4387/1000)*U4387*W4387*Y4387</f>
        <v>0</v>
      </c>
    </row>
    <row r="4390">
      <c r="A4390" t="str">
        <f>A4375</f>
        <v>Lantai 3</v>
      </c>
      <c r="B4390">
        <f>B4375</f>
        <v>4</v>
      </c>
      <c r="C4390" t="str">
        <v>Tul Bawah Tumpuan</v>
      </c>
      <c r="D4390">
        <f>VLOOKUP(D4375,'Detail Balok'!$C$10:$AU$140,22,FALSE)</f>
        <v>3</v>
      </c>
      <c r="E4390" t="str">
        <v>D</v>
      </c>
      <c r="F4390">
        <f>VLOOKUP(D4375,'Detail Balok'!$C$10:$AU$140,24,FALSE)</f>
        <v>16</v>
      </c>
      <c r="I4390" t="str">
        <v>(</v>
      </c>
      <c r="J4390">
        <f>+J4382</f>
        <v>0.26875</v>
      </c>
      <c r="K4390" t="str">
        <v>+</v>
      </c>
      <c r="L4390">
        <f>MAX(VLOOKUP(F4390,N$6:P$15,3,FALSE)/1000,2/3*D4380/1000)+F$16*F4390/1000</f>
        <v>0.192</v>
      </c>
      <c r="M4390" t="str">
        <v>=</v>
      </c>
      <c r="N4390">
        <f>J4390+L4390</f>
        <v>0.46075</v>
      </c>
      <c r="O4390" t="str">
        <v>+</v>
      </c>
      <c r="P4390">
        <f>D4390-D4391</f>
        <v>0</v>
      </c>
      <c r="Q4390" t="str">
        <v>x</v>
      </c>
      <c r="R4390">
        <f>IF(P4390&gt;0,$F$18*F4390/1000,0)</f>
        <v>0</v>
      </c>
      <c r="S4390" t="str">
        <v>)</v>
      </c>
      <c r="T4390" t="str">
        <v>x</v>
      </c>
      <c r="U4390">
        <f>0.006165*F4390^2</f>
        <v>1.57824</v>
      </c>
      <c r="X4390" t="str">
        <v>x</v>
      </c>
      <c r="Y4390">
        <f>D4381</f>
        <v>1</v>
      </c>
      <c r="Z4390" t="str">
        <v>=</v>
      </c>
      <c r="AA4390">
        <f>IF(AA4393=0,(D4390*N4390+P4390*R4390)*U4390*Y4390,0)</f>
        <v>0</v>
      </c>
    </row>
    <row r="4391">
      <c r="A4391" t="str">
        <f>A4375</f>
        <v>Lantai 3</v>
      </c>
      <c r="B4391">
        <f>B4375</f>
        <v>4</v>
      </c>
      <c r="C4391" t="str">
        <v>Tul Bawah Lapangan</v>
      </c>
      <c r="D4391">
        <f>VLOOKUP(D4375,'Detail Balok'!$C$10:$AU$140,25,FALSE)</f>
        <v>3</v>
      </c>
      <c r="E4391" t="str">
        <v>D</v>
      </c>
      <c r="F4391">
        <f>VLOOKUP(D4375,'Detail Balok'!$C$10:$AU$140,27,FALSE)</f>
        <v>16</v>
      </c>
      <c r="I4391" t="str">
        <v>(</v>
      </c>
      <c r="J4391">
        <f>+J4383</f>
        <v>0.5375</v>
      </c>
      <c r="K4391" t="str">
        <v>+</v>
      </c>
      <c r="M4391" t="str">
        <v>=</v>
      </c>
      <c r="N4391">
        <f>J4391+L4391</f>
        <v>0.5375</v>
      </c>
      <c r="O4391" t="str">
        <v>+</v>
      </c>
      <c r="P4391">
        <f>MAX(D4391-D4390,D4391-D4392)</f>
        <v>0</v>
      </c>
      <c r="Q4391" t="str">
        <v>x</v>
      </c>
      <c r="R4391">
        <f>IF(P4391&gt;0,2*(1-2*$F$19-1/2)*D4378/1000,0)</f>
        <v>0</v>
      </c>
      <c r="S4391" t="str">
        <v>)</v>
      </c>
      <c r="T4391" t="str">
        <v>x</v>
      </c>
      <c r="U4391">
        <f>0.006165*F4391^2</f>
        <v>1.57824</v>
      </c>
      <c r="X4391" t="str">
        <v>x</v>
      </c>
      <c r="Y4391">
        <f>D4381</f>
        <v>1</v>
      </c>
      <c r="Z4391" t="str">
        <v>=</v>
      </c>
      <c r="AA4391">
        <f>IF(AA4393=0,(D4391*N4391+P4391*R4391)*U4391*Y4391,0)</f>
        <v>0</v>
      </c>
    </row>
    <row r="4392">
      <c r="A4392" t="str">
        <f>A4375</f>
        <v>Lantai 3</v>
      </c>
      <c r="B4392">
        <f>B4375</f>
        <v>4</v>
      </c>
      <c r="C4392" t="str">
        <v>Tul Bawah Tumpuan</v>
      </c>
      <c r="D4392">
        <f>VLOOKUP(D4375,'Detail Balok'!$C$10:$AU$140,28,FALSE)</f>
        <v>3</v>
      </c>
      <c r="E4392" t="str">
        <v>D</v>
      </c>
      <c r="F4392">
        <f>VLOOKUP(D4375,'Detail Balok'!$C$10:$AU$140,30,FALSE)</f>
        <v>16</v>
      </c>
      <c r="I4392" t="str">
        <v>(</v>
      </c>
      <c r="J4392">
        <f>+J4384</f>
        <v>0.26875</v>
      </c>
      <c r="K4392" t="str">
        <v>+</v>
      </c>
      <c r="L4392">
        <f>MAX(VLOOKUP(F4392,N$6:P$15,3,FALSE)/1000,2/3*D4380/1000)+F$16*F4392/1000</f>
        <v>0.192</v>
      </c>
      <c r="M4392" t="str">
        <v>=</v>
      </c>
      <c r="N4392">
        <f>J4392+L4392</f>
        <v>0.46075</v>
      </c>
      <c r="O4392" t="str">
        <v>+</v>
      </c>
      <c r="P4392">
        <f>D4392-D4391</f>
        <v>0</v>
      </c>
      <c r="Q4392" t="str">
        <v>x</v>
      </c>
      <c r="R4392">
        <f>IF(P4392&gt;0,$F$18*F4392/1000,0)</f>
        <v>0</v>
      </c>
      <c r="S4392" t="str">
        <v>)</v>
      </c>
      <c r="T4392" t="str">
        <v>x</v>
      </c>
      <c r="U4392">
        <f>0.006165*F4392^2</f>
        <v>1.57824</v>
      </c>
      <c r="X4392" t="str">
        <v>x</v>
      </c>
      <c r="Y4392">
        <f>D4381</f>
        <v>1</v>
      </c>
      <c r="Z4392" t="str">
        <v>=</v>
      </c>
      <c r="AA4392">
        <f>IF(AA4393=0,(D4392*N4392+P4392*R4392)*U4392*Y4392,0)</f>
        <v>0</v>
      </c>
    </row>
    <row r="4393">
      <c r="A4393" t="str">
        <f>A4375</f>
        <v>Lantai 3</v>
      </c>
      <c r="B4393">
        <f>B4375</f>
        <v>4</v>
      </c>
      <c r="D4393">
        <f>IF(AND(D4390=D4391,D4391=D4392,D4390=D4392),D4390,0)</f>
        <v>3</v>
      </c>
      <c r="E4393" t="str">
        <v>D</v>
      </c>
      <c r="F4393">
        <f>IF(AND(F4390=F4391,F4390=F4392,F4391=F4392),F4390,0)</f>
        <v>16</v>
      </c>
      <c r="L4393" t="str">
        <v>Total panjang per balok</v>
      </c>
      <c r="M4393" t="str">
        <v>=</v>
      </c>
      <c r="N4393">
        <f>IF(AND(D4390=D4391,D4390=D4392,D4391=D4392,F4390=F4391,F4390=F4392,F4391=F4392),SUM(N4390:N4392),0)</f>
        <v>1.459</v>
      </c>
      <c r="O4393" t="str">
        <v>+</v>
      </c>
      <c r="P4393">
        <f>IF(N4393&gt;12,ROUNDDOWN(N4393/12,0),0)</f>
        <v>0</v>
      </c>
      <c r="Q4393" t="str">
        <v>x</v>
      </c>
      <c r="R4393">
        <f>IF(P4393&gt;0,MAX(VLOOKUP(F4393,$D$6:$G$15,3,FALSE),600),0)/1000</f>
        <v>0</v>
      </c>
      <c r="T4393" t="str">
        <v>x</v>
      </c>
      <c r="U4393">
        <f>U4392</f>
        <v>1.57824</v>
      </c>
      <c r="V4393" t="str">
        <v>x</v>
      </c>
      <c r="W4393">
        <f>D4393</f>
        <v>3</v>
      </c>
      <c r="X4393" t="str">
        <v>x</v>
      </c>
      <c r="Y4393">
        <f>Y4392</f>
        <v>1</v>
      </c>
      <c r="Z4393" t="str">
        <v>=</v>
      </c>
      <c r="AA4393">
        <f>(N4393+P4393*R4393/1000)*U4393*W4393*Y4393</f>
        <v>6.90795648</v>
      </c>
    </row>
    <row r="4395">
      <c r="A4395" t="str">
        <f>A4375</f>
        <v>Lantai 3</v>
      </c>
      <c r="B4395">
        <f>B4375</f>
        <v>4</v>
      </c>
      <c r="C4395" t="str">
        <v>Sengkang Tumpuan</v>
      </c>
      <c r="D4395">
        <f>VLOOKUP(D4375,'Detail Balok'!$C$10:$AU$140,31,FALSE)</f>
        <v>0</v>
      </c>
      <c r="E4395" t="str">
        <v>D</v>
      </c>
      <c r="F4395">
        <f>VLOOKUP(D4375,'Detail Balok'!$C$10:$AU$140,33,FALSE)</f>
        <v>10</v>
      </c>
      <c r="G4395" t="str">
        <v>-</v>
      </c>
      <c r="H4395">
        <f>VLOOKUP(D4375,'Detail Balok'!$C$10:$AU$140,35,FALSE)</f>
        <v>100</v>
      </c>
      <c r="J4395">
        <f>(IF(D4395=0,(2*(D4376+G4376))-(F$5*8),IF(D4395=3,(2*(D4376+G4376))-(F$5*8)+(G4376-2*F$5),IF(D4395=4,(2*(D4376+G4376))-(F$5*8)+2*(G4376-2*F$5)))))/1000</f>
        <v>0.88</v>
      </c>
      <c r="K4395" t="str">
        <v>+</v>
      </c>
      <c r="L4395">
        <f>IF(D4395=0,2*MAX(6*F4395,75),(D4395-1)*2*MAX(6*F4395,75))/1000</f>
        <v>0.15</v>
      </c>
      <c r="M4395" t="str">
        <v>=</v>
      </c>
      <c r="N4395">
        <f>J4395+L4395</f>
        <v>1.03</v>
      </c>
      <c r="T4395" t="str">
        <v>x</v>
      </c>
      <c r="U4395">
        <f>0.006165*F4395^2</f>
        <v>0.6165</v>
      </c>
      <c r="V4395" t="str">
        <v>x</v>
      </c>
      <c r="W4395">
        <f>IF(D4378&gt;4*G4376,ROUND(MAX(D4378/4,2*G4376)/H4395,0)+1,ROUND(D4378/H4395,0)+1)</f>
        <v>12</v>
      </c>
      <c r="X4395" t="str">
        <v>x</v>
      </c>
      <c r="Y4395">
        <f>D4381</f>
        <v>1</v>
      </c>
      <c r="Z4395" t="str">
        <v>=</v>
      </c>
      <c r="AA4395">
        <f>N4395*U4395*W4395*Y4395</f>
        <v>7.6199400000000015</v>
      </c>
    </row>
    <row r="4396">
      <c r="A4396" t="str">
        <f>A4375</f>
        <v>Lantai 3</v>
      </c>
      <c r="B4396">
        <f>B4375</f>
        <v>4</v>
      </c>
      <c r="C4396" t="str">
        <v>Sengkang Lapangan</v>
      </c>
      <c r="D4396">
        <f>VLOOKUP(D4375,'Detail Balok'!$C$10:$AU$140,36,FALSE)</f>
        <v>0</v>
      </c>
      <c r="E4396" t="str">
        <v>D</v>
      </c>
      <c r="F4396">
        <f>VLOOKUP(D4375,'Detail Balok'!$C$10:$AU$140,38,FALSE)</f>
        <v>10</v>
      </c>
      <c r="G4396" t="str">
        <v>-</v>
      </c>
      <c r="H4396">
        <f>VLOOKUP(D4375,'Detail Balok'!$C$10:$AU$140,40,FALSE)</f>
        <v>100</v>
      </c>
      <c r="J4396">
        <f>(IF(D4396=0,(2*(D4376+G4376))-(F$5*8),IF(D4396=3,(2*(D4376+G4376))-(F$5*8)+(G4376-2*F$5),IF(D4396=4,(2*(D4376+G4376))-(F$5*8)+2*(G4376-2*F$5)))))/1000</f>
        <v>0.88</v>
      </c>
      <c r="K4396" t="str">
        <v>+</v>
      </c>
      <c r="L4396">
        <f>IF(D4396=0,2*MAX(6*F4396,75),(D4396-1)*2*MAX(6*F4396,75))/1000</f>
        <v>0.15</v>
      </c>
      <c r="M4396" t="str">
        <v>=</v>
      </c>
      <c r="N4396">
        <f>J4396+L4396</f>
        <v>1.03</v>
      </c>
      <c r="T4396" t="str">
        <v>x</v>
      </c>
      <c r="U4396">
        <f>0.006165*F4396^2</f>
        <v>0.6165</v>
      </c>
      <c r="V4396" t="str">
        <v>x</v>
      </c>
      <c r="W4396">
        <f>IF(D4378-MAX(D4378/4,2*G4376)*2&gt;0,ROUND((D4378-MAX(D4378/4,2*G4376)*2)/H4396,0),0)</f>
        <v>0</v>
      </c>
      <c r="X4396" t="str">
        <v>x</v>
      </c>
      <c r="Y4396">
        <f>D4381</f>
        <v>1</v>
      </c>
      <c r="Z4396" t="str">
        <v>=</v>
      </c>
      <c r="AA4396">
        <f>N4396*U4396*W4396*Y4396</f>
        <v>0</v>
      </c>
    </row>
    <row r="4397">
      <c r="A4397" t="str">
        <f>A4375</f>
        <v>Lantai 3</v>
      </c>
      <c r="B4397">
        <f>B4375</f>
        <v>4</v>
      </c>
      <c r="C4397" t="str">
        <v>Sengkang Tumpuan</v>
      </c>
      <c r="D4397">
        <f>VLOOKUP(D4375,'Detail Balok'!$C$10:$AU$140,41,FALSE)</f>
        <v>0</v>
      </c>
      <c r="E4397" t="str">
        <v>D</v>
      </c>
      <c r="F4397">
        <f>VLOOKUP(D4375,'Detail Balok'!$C$10:$AU$140,43,FALSE)</f>
        <v>10</v>
      </c>
      <c r="G4397" t="str">
        <v>-</v>
      </c>
      <c r="H4397">
        <f>VLOOKUP(D4375,'Detail Balok'!$C$10:$AU$140,45,FALSE)</f>
        <v>100</v>
      </c>
      <c r="J4397">
        <f>(IF(D4397=0,(2*(D4376+G4376))-(F$5*8),IF(D4397=3,(2*(D4376+G4376))-(F$5*8)+(G4376-2*F$5),IF(D4397=4,(2*(D4376+G4376))-(F$5*8)+2*(G4376-2*F$5)))))/1000</f>
        <v>0.88</v>
      </c>
      <c r="K4397" t="str">
        <v>+</v>
      </c>
      <c r="L4397">
        <f>IF(D4397=0,2*MAX(6*F4397,75),(D4397-1)*2*MAX(6*F4397,75))/1000</f>
        <v>0.15</v>
      </c>
      <c r="M4397" t="str">
        <v>=</v>
      </c>
      <c r="N4397">
        <f>J4397+L4397</f>
        <v>1.03</v>
      </c>
      <c r="T4397" t="str">
        <v>x</v>
      </c>
      <c r="U4397">
        <f>0.006165*F4397^2</f>
        <v>0.6165</v>
      </c>
      <c r="V4397" t="str">
        <v>x</v>
      </c>
      <c r="W4397">
        <f>IF(D4378&gt;4*G4376,ROUND(MAX(D4378/4,2*G4376)/H4397,0)+1,0)</f>
        <v>0</v>
      </c>
      <c r="X4397" t="str">
        <v>x</v>
      </c>
      <c r="Y4397">
        <f>D4381</f>
        <v>1</v>
      </c>
      <c r="Z4397" t="str">
        <v>=</v>
      </c>
      <c r="AA4397">
        <f>N4397*U4397*W4397*Y4397</f>
        <v>0</v>
      </c>
    </row>
    <row r="4399">
      <c r="A4399" t="str">
        <f>A4375</f>
        <v>Lantai 3</v>
      </c>
      <c r="B4399">
        <f>B4375</f>
        <v>4</v>
      </c>
      <c r="C4399" t="str">
        <v>Kait Horizontal Tump.</v>
      </c>
      <c r="D4399">
        <f>VLOOKUP(D4375,'Detail Balok'!$C$10:$BJ$140,46,FALSE)</f>
        <v>0</v>
      </c>
      <c r="E4399" t="str">
        <v>D</v>
      </c>
      <c r="F4399">
        <f>VLOOKUP(D4375,'Detail Balok'!$C$10:$BJ$140,48,FALSE)</f>
        <v>0</v>
      </c>
      <c r="G4399" t="str">
        <v>-</v>
      </c>
      <c r="H4399">
        <f>VLOOKUP(D4375,'Detail Balok'!$C$10:$BJ$140,50,FALSE)</f>
        <v>100</v>
      </c>
      <c r="J4399">
        <f>(D4376-2*F$5)/1000</f>
        <v>0.12</v>
      </c>
      <c r="K4399" t="str">
        <v>+</v>
      </c>
      <c r="L4399">
        <f>IF(D4399=0,2*MAX(6*F4399,75),(D4399-1)*2*MAX(6*F4399,75))/1000</f>
        <v>0.15</v>
      </c>
      <c r="M4399" t="str">
        <v>=</v>
      </c>
      <c r="N4399">
        <f>J4399+L4399</f>
        <v>0.27</v>
      </c>
      <c r="T4399" t="str">
        <v>x</v>
      </c>
      <c r="U4399">
        <f>0.006165*F4399^2</f>
        <v>0</v>
      </c>
      <c r="V4399" t="str">
        <v>x</v>
      </c>
      <c r="W4399">
        <f>W4395</f>
        <v>12</v>
      </c>
      <c r="X4399" t="str">
        <v>x</v>
      </c>
      <c r="Y4399">
        <f>D4385</f>
        <v>3</v>
      </c>
      <c r="Z4399" t="str">
        <v>=</v>
      </c>
      <c r="AA4399">
        <f>N4399*U4399*W4399*Y4399</f>
        <v>0</v>
      </c>
    </row>
    <row r="4400">
      <c r="A4400" t="str">
        <f>A4375</f>
        <v>Lantai 3</v>
      </c>
      <c r="B4400">
        <f>B4375</f>
        <v>4</v>
      </c>
      <c r="C4400" t="str">
        <v>Kait Horizontal Lap.</v>
      </c>
      <c r="D4400">
        <f>VLOOKUP(D4375,'Detail Balok'!$C$10:$BJ$140,51,FALSE)</f>
        <v>0</v>
      </c>
      <c r="E4400" t="str">
        <v>D</v>
      </c>
      <c r="F4400">
        <f>VLOOKUP(D4375,'Detail Balok'!$C$10:$BJ$140,53,FALSE)</f>
        <v>0</v>
      </c>
      <c r="G4400" t="str">
        <v>-</v>
      </c>
      <c r="H4400">
        <f>VLOOKUP(D4375,'Detail Balok'!$C$10:$BJ$140,55,FALSE)</f>
        <v>100</v>
      </c>
      <c r="J4400">
        <f>(D4376-2*F$5)/1000</f>
        <v>0.12</v>
      </c>
      <c r="K4400" t="str">
        <v>+</v>
      </c>
      <c r="L4400">
        <f>IF(D4400=0,2*MAX(6*F4400,75),(D4400-1)*2*MAX(6*F4400,75))/1000</f>
        <v>0.15</v>
      </c>
      <c r="M4400" t="str">
        <v>=</v>
      </c>
      <c r="N4400">
        <f>J4400+L4400</f>
        <v>0.27</v>
      </c>
      <c r="T4400" t="str">
        <v>x</v>
      </c>
      <c r="U4400">
        <f>0.006165*F4400^2</f>
        <v>0</v>
      </c>
      <c r="V4400" t="str">
        <v>x</v>
      </c>
      <c r="W4400">
        <f>W4396</f>
        <v>0</v>
      </c>
      <c r="X4400" t="str">
        <v>x</v>
      </c>
      <c r="Y4400">
        <f>D4385</f>
        <v>3</v>
      </c>
      <c r="Z4400" t="str">
        <v>=</v>
      </c>
      <c r="AA4400">
        <f>N4400*U4400*W4400*Y4400</f>
        <v>0</v>
      </c>
    </row>
    <row r="4401">
      <c r="A4401" t="str">
        <f>A4375</f>
        <v>Lantai 3</v>
      </c>
      <c r="B4401">
        <f>B4375</f>
        <v>4</v>
      </c>
      <c r="C4401" t="str">
        <v>Kait Horizontal Tump.</v>
      </c>
      <c r="D4401">
        <f>VLOOKUP(D4375,'Detail Balok'!$C$10:$BJ$140,56,FALSE)</f>
        <v>0</v>
      </c>
      <c r="E4401" t="str">
        <v>D</v>
      </c>
      <c r="F4401">
        <f>VLOOKUP(D4375,'Detail Balok'!$C$10:$BJ$140,58,FALSE)</f>
        <v>0</v>
      </c>
      <c r="G4401" t="str">
        <v>-</v>
      </c>
      <c r="H4401">
        <f>VLOOKUP(D4375,'Detail Balok'!$C$10:$BJ$140,60,FALSE)</f>
        <v>100</v>
      </c>
      <c r="J4401">
        <f>(D4376-2*F$5)/1000</f>
        <v>0.12</v>
      </c>
      <c r="K4401" t="str">
        <v>+</v>
      </c>
      <c r="L4401">
        <f>IF(D4401=0,2*MAX(6*F4401,75),(D4401-1)*2*MAX(6*F4401,75))/1000</f>
        <v>0.15</v>
      </c>
      <c r="M4401" t="str">
        <v>=</v>
      </c>
      <c r="N4401">
        <f>J4401+L4401</f>
        <v>0.27</v>
      </c>
      <c r="T4401" t="str">
        <v>x</v>
      </c>
      <c r="U4401">
        <f>0.006165*F4401^2</f>
        <v>0</v>
      </c>
      <c r="V4401" t="str">
        <v>x</v>
      </c>
      <c r="W4401">
        <f>W4397</f>
        <v>0</v>
      </c>
      <c r="X4401" t="str">
        <v>x</v>
      </c>
      <c r="Y4401">
        <f>D4385</f>
        <v>3</v>
      </c>
      <c r="Z4401" t="str">
        <v>=</v>
      </c>
      <c r="AA4401">
        <f>N4401*U4401*W4401*Y4401</f>
        <v>0</v>
      </c>
    </row>
    <row r="4405">
      <c r="A4405" t="str">
        <f>A4375</f>
        <v>Lantai 3</v>
      </c>
      <c r="B4405">
        <f>B4375+1</f>
        <v>5</v>
      </c>
      <c r="C4405" t="str">
        <f>CONCATENATE(A4405," no. ",B4405)</f>
        <v>Lantai 3 no. 5</v>
      </c>
      <c r="D4405" t="str">
        <f>VLOOKUP(C4405,'Data Panjang Balok'!$C$9:$N$254,2,FALSE)</f>
        <v>B24-2</v>
      </c>
    </row>
    <row r="4406">
      <c r="C4406" t="str">
        <v>Dimensi</v>
      </c>
      <c r="D4406">
        <f>VLOOKUP(D4405,'Detail Balok'!$C$10:$AU$140,2,FALSE)</f>
        <v>200</v>
      </c>
      <c r="F4406" t="str">
        <v>x</v>
      </c>
      <c r="G4406">
        <f>VLOOKUP(D4405,'Detail Balok'!$C$10:$AU$140,3,FALSE)</f>
        <v>400</v>
      </c>
    </row>
    <row r="4407">
      <c r="C4407" t="str">
        <v>Panjang as ke as</v>
      </c>
      <c r="D4407">
        <f>VLOOKUP(C4405,'Data Panjang Balok'!$C$9:$N$254,4,FALSE)</f>
        <v>9075</v>
      </c>
    </row>
    <row r="4408">
      <c r="C4408" t="str">
        <v>Panjang netto</v>
      </c>
      <c r="D4408">
        <f>VLOOKUP(C4405,'Data Panjang Balok'!$C$9:$N$254,7,FALSE)</f>
        <v>9075</v>
      </c>
    </row>
    <row r="4409">
      <c r="C4409" t="str">
        <v>Kolom / balok kiri</v>
      </c>
      <c r="D4409">
        <f>VLOOKUP(C4405,'Data Panjang Balok'!$C$9:$N$254,9,FALSE)</f>
        <v>0</v>
      </c>
    </row>
    <row r="4410">
      <c r="C4410" t="str">
        <v>Kolom / balok kanan</v>
      </c>
      <c r="D4410">
        <f>VLOOKUP(C4405,'Data Panjang Balok'!$C$9:$N$254,10,FALSE)</f>
        <v>0</v>
      </c>
    </row>
    <row r="4411">
      <c r="C4411" t="str">
        <v>Jumlah</v>
      </c>
      <c r="D4411">
        <f>VLOOKUP(C4405,'Data Panjang Balok'!$C$9:$N$254,3,FALSE)</f>
        <v>1</v>
      </c>
    </row>
    <row r="4412">
      <c r="A4412" t="str">
        <f>A4405</f>
        <v>Lantai 3</v>
      </c>
      <c r="B4412">
        <f>B4405</f>
        <v>5</v>
      </c>
      <c r="C4412" t="str">
        <v>Tul Atas Tumpuan</v>
      </c>
      <c r="D4412">
        <f>VLOOKUP(D4405,'Detail Balok'!$C$10:$AU$140,4,FALSE)</f>
        <v>3</v>
      </c>
      <c r="E4412" t="str">
        <v>D</v>
      </c>
      <c r="F4412">
        <f>VLOOKUP(D4405,'Detail Balok'!$C$10:$AU$140,6,FALSE)</f>
        <v>16</v>
      </c>
      <c r="I4412" t="str">
        <v>(</v>
      </c>
      <c r="J4412">
        <f>+D4407/4/1000</f>
        <v>2.26875</v>
      </c>
      <c r="K4412" t="str">
        <v>+</v>
      </c>
      <c r="L4412">
        <f>MAX(VLOOKUP(F4412,N$6:P$15,3,FALSE)/1000,2/3*D4409/1000)+F$16*F4412/1000</f>
        <v>0.192</v>
      </c>
      <c r="M4412" t="str">
        <v>=</v>
      </c>
      <c r="N4412">
        <f>J4412+L4412</f>
        <v>2.46075</v>
      </c>
      <c r="O4412" t="str">
        <v>+</v>
      </c>
      <c r="P4412">
        <f>D4412-D4413</f>
        <v>0</v>
      </c>
      <c r="Q4412" t="str">
        <v>x</v>
      </c>
      <c r="R4412">
        <f>IF(P4412&gt;0,$F$18*F4412/1000,0)</f>
        <v>0</v>
      </c>
      <c r="S4412" t="str">
        <v>)</v>
      </c>
      <c r="T4412" t="str">
        <v>x</v>
      </c>
      <c r="U4412">
        <f>0.006165*F4412^2</f>
        <v>1.57824</v>
      </c>
      <c r="X4412" t="str">
        <v>x</v>
      </c>
      <c r="Y4412">
        <f>D4411</f>
        <v>1</v>
      </c>
      <c r="Z4412" t="str">
        <v>=</v>
      </c>
      <c r="AA4412">
        <f>IF(AA4415=0,(D4412*N4412+P4412*R4412)*U4412*Y4412,0)</f>
        <v>0</v>
      </c>
    </row>
    <row r="4413">
      <c r="A4413" t="str">
        <f>A4405</f>
        <v>Lantai 3</v>
      </c>
      <c r="B4413">
        <f>B4405</f>
        <v>5</v>
      </c>
      <c r="C4413" t="str">
        <v>Tul Atas Lapangan</v>
      </c>
      <c r="D4413">
        <f>VLOOKUP(D4405,'Detail Balok'!$C$10:$AU$140,7,FALSE)</f>
        <v>3</v>
      </c>
      <c r="E4413" t="str">
        <v>D</v>
      </c>
      <c r="F4413">
        <f>VLOOKUP(D4405,'Detail Balok'!$C$10:$AU$140,9,FALSE)</f>
        <v>16</v>
      </c>
      <c r="I4413" t="str">
        <v>(</v>
      </c>
      <c r="J4413">
        <f>+D4407/2/1000</f>
        <v>4.5375</v>
      </c>
      <c r="K4413" t="str">
        <v>+</v>
      </c>
      <c r="M4413" t="str">
        <v>=</v>
      </c>
      <c r="N4413">
        <f>J4413+L4413</f>
        <v>4.5375</v>
      </c>
      <c r="O4413" t="str">
        <v>+</v>
      </c>
      <c r="P4413">
        <f>MAX(D4413-D4412,D4413-D4414)</f>
        <v>0</v>
      </c>
      <c r="Q4413" t="str">
        <v>x</v>
      </c>
      <c r="R4413">
        <f>IF(P4413&gt;0,2*(1-2*$F$19-1/2)*D4408/1000,0)</f>
        <v>0</v>
      </c>
      <c r="S4413" t="str">
        <v>)</v>
      </c>
      <c r="T4413" t="str">
        <v>x</v>
      </c>
      <c r="U4413">
        <f>0.006165*F4413^2</f>
        <v>1.57824</v>
      </c>
      <c r="X4413" t="str">
        <v>x</v>
      </c>
      <c r="Y4413">
        <f>D4411</f>
        <v>1</v>
      </c>
      <c r="Z4413" t="str">
        <v>=</v>
      </c>
      <c r="AA4413">
        <f>IF(AA4415=0,(D4413*N4413+P4413*R4413)*U4413*Y4413,0)</f>
        <v>0</v>
      </c>
    </row>
    <row r="4414">
      <c r="A4414" t="str">
        <f>A4405</f>
        <v>Lantai 3</v>
      </c>
      <c r="B4414">
        <f>B4405</f>
        <v>5</v>
      </c>
      <c r="C4414" t="str">
        <v>Tul Atas Tumpuan</v>
      </c>
      <c r="D4414">
        <f>VLOOKUP(D4405,'Detail Balok'!$C$10:$AU$140,10,FALSE)</f>
        <v>3</v>
      </c>
      <c r="E4414" t="str">
        <v>D</v>
      </c>
      <c r="F4414">
        <f>VLOOKUP(D4405,'Detail Balok'!$C$10:$AU$140,12,FALSE)</f>
        <v>16</v>
      </c>
      <c r="I4414" t="str">
        <v>(</v>
      </c>
      <c r="J4414">
        <f>+D4407/4/1000</f>
        <v>2.26875</v>
      </c>
      <c r="K4414" t="str">
        <v>+</v>
      </c>
      <c r="L4414">
        <f>MAX(VLOOKUP(F4414,N$6:P$15,3,FALSE)/1000,2/3*D4409/1000)+F$16*F4414/1000</f>
        <v>0.192</v>
      </c>
      <c r="M4414" t="str">
        <v>=</v>
      </c>
      <c r="N4414">
        <f>J4414+L4414</f>
        <v>2.46075</v>
      </c>
      <c r="O4414" t="str">
        <v>+</v>
      </c>
      <c r="P4414">
        <f>D4414-D4413</f>
        <v>0</v>
      </c>
      <c r="Q4414" t="str">
        <v>x</v>
      </c>
      <c r="R4414">
        <f>IF(P4414&gt;0,$F$18*F4414/1000,0)</f>
        <v>0</v>
      </c>
      <c r="S4414" t="str">
        <v>)</v>
      </c>
      <c r="T4414" t="str">
        <v>x</v>
      </c>
      <c r="U4414">
        <f>0.006165*F4414^2</f>
        <v>1.57824</v>
      </c>
      <c r="X4414" t="str">
        <v>x</v>
      </c>
      <c r="Y4414">
        <f>D4411</f>
        <v>1</v>
      </c>
      <c r="Z4414" t="str">
        <v>=</v>
      </c>
      <c r="AA4414">
        <f>IF(AA4415=0,(D4414*N4414+P4414*R4414)*U4414*Y4414,0)</f>
        <v>0</v>
      </c>
    </row>
    <row r="4415">
      <c r="A4415" t="str">
        <f>A4405</f>
        <v>Lantai 3</v>
      </c>
      <c r="B4415">
        <f>B4405</f>
        <v>5</v>
      </c>
      <c r="D4415">
        <f>IF(AND(D4412=D4413,D4413=D4414,D4412=D4414),D4412,0)</f>
        <v>3</v>
      </c>
      <c r="E4415" t="str">
        <v>D</v>
      </c>
      <c r="F4415">
        <f>IF(AND(F4412=F4413,F4412=F4414,F4413=F4414),F4412,0)</f>
        <v>16</v>
      </c>
      <c r="L4415" t="str">
        <v>Total panjang per balok</v>
      </c>
      <c r="M4415" t="str">
        <v>=</v>
      </c>
      <c r="N4415">
        <f>IF(AND(D4412=D4413,D4412=D4414,D4413=D4414,F4412=F4413,F4412=F4414,F4413=F4414),SUM(N4412:N4414),0)</f>
        <v>9.459</v>
      </c>
      <c r="O4415" t="str">
        <v>+</v>
      </c>
      <c r="P4415">
        <f>IF(N4415&gt;12,ROUNDDOWN(N4415/12,0),0)</f>
        <v>0</v>
      </c>
      <c r="Q4415" t="str">
        <v>x</v>
      </c>
      <c r="R4415">
        <f>IF(P4415&gt;0,MAX(VLOOKUP(F4415,$D$6:$G$15,3,FALSE),600),0)/1000</f>
        <v>0</v>
      </c>
      <c r="T4415" t="str">
        <v>x</v>
      </c>
      <c r="U4415">
        <f>U4414</f>
        <v>1.57824</v>
      </c>
      <c r="V4415" t="str">
        <v>x</v>
      </c>
      <c r="W4415">
        <f>D4415</f>
        <v>3</v>
      </c>
      <c r="X4415" t="str">
        <v>x</v>
      </c>
      <c r="Y4415">
        <f>Y4414</f>
        <v>1</v>
      </c>
      <c r="Z4415" t="str">
        <v>=</v>
      </c>
      <c r="AA4415">
        <f>(N4415+P4415*R4415/1000)*U4415*W4415*Y4415</f>
        <v>44.78571648</v>
      </c>
    </row>
    <row r="4417">
      <c r="A4417" t="str">
        <f>A4405</f>
        <v>Lantai 3</v>
      </c>
      <c r="B4417">
        <f>B4405</f>
        <v>5</v>
      </c>
      <c r="C4417" t="str">
        <v>Tul Peminggang</v>
      </c>
      <c r="D4417">
        <f>VLOOKUP(D4405,'Detail Balok'!$C$10:$AU$140,13,FALSE)</f>
        <v>0</v>
      </c>
      <c r="E4417" t="str">
        <v>D</v>
      </c>
      <c r="F4417">
        <f>VLOOKUP(D4405,'Detail Balok'!$C$10:$AU$140,15,FALSE)</f>
        <v>8</v>
      </c>
      <c r="J4417">
        <f>+D4407/1000</f>
        <v>9.075</v>
      </c>
      <c r="K4417" t="str">
        <v>+</v>
      </c>
      <c r="L4417">
        <f>2*$F$16*F4417/1000</f>
        <v>0.192</v>
      </c>
      <c r="M4417" t="str">
        <v>=</v>
      </c>
      <c r="N4417">
        <f>J4417+L4417</f>
        <v>9.267</v>
      </c>
      <c r="O4417" t="str">
        <v>+</v>
      </c>
      <c r="P4417">
        <f>IF(N4417&gt;12,ROUNDDOWN(N4417/12,0),0)</f>
        <v>0</v>
      </c>
      <c r="Q4417" t="str">
        <v>x</v>
      </c>
      <c r="R4417">
        <f>IF(P4417&gt;0,MAX(VLOOKUP(F4417,$D$6:$G$15,3,FALSE),600),0)/1000</f>
        <v>0</v>
      </c>
      <c r="T4417" t="str">
        <v>x</v>
      </c>
      <c r="U4417">
        <f>0.006165*F4417^2</f>
        <v>0.39456</v>
      </c>
      <c r="V4417" t="str">
        <v>x</v>
      </c>
      <c r="W4417">
        <f>+D4417</f>
        <v>0</v>
      </c>
      <c r="X4417" t="str">
        <v>x</v>
      </c>
      <c r="Y4417">
        <f>D4411</f>
        <v>1</v>
      </c>
      <c r="Z4417" t="str">
        <v>=</v>
      </c>
      <c r="AA4417">
        <f>(N4417+P4417*R4417/1000)*U4417*W4417*Y4417</f>
        <v>0</v>
      </c>
    </row>
    <row r="4420">
      <c r="A4420" t="str">
        <f>A4405</f>
        <v>Lantai 3</v>
      </c>
      <c r="B4420">
        <f>B4405</f>
        <v>5</v>
      </c>
      <c r="C4420" t="str">
        <v>Tul Bawah Tumpuan</v>
      </c>
      <c r="D4420">
        <f>VLOOKUP(D4405,'Detail Balok'!$C$10:$AU$140,22,FALSE)</f>
        <v>3</v>
      </c>
      <c r="E4420" t="str">
        <v>D</v>
      </c>
      <c r="F4420">
        <f>VLOOKUP(D4405,'Detail Balok'!$C$10:$AU$140,24,FALSE)</f>
        <v>16</v>
      </c>
      <c r="I4420" t="str">
        <v>(</v>
      </c>
      <c r="J4420">
        <f>+J4412</f>
        <v>2.26875</v>
      </c>
      <c r="K4420" t="str">
        <v>+</v>
      </c>
      <c r="L4420">
        <f>MAX(VLOOKUP(F4420,N$6:P$15,3,FALSE)/1000,2/3*D4410/1000)+F$16*F4420/1000</f>
        <v>0.192</v>
      </c>
      <c r="M4420" t="str">
        <v>=</v>
      </c>
      <c r="N4420">
        <f>J4420+L4420</f>
        <v>2.46075</v>
      </c>
      <c r="O4420" t="str">
        <v>+</v>
      </c>
      <c r="P4420">
        <f>D4420-D4421</f>
        <v>0</v>
      </c>
      <c r="Q4420" t="str">
        <v>x</v>
      </c>
      <c r="R4420">
        <f>IF(P4420&gt;0,$F$18*F4420/1000,0)</f>
        <v>0</v>
      </c>
      <c r="S4420" t="str">
        <v>)</v>
      </c>
      <c r="T4420" t="str">
        <v>x</v>
      </c>
      <c r="U4420">
        <f>0.006165*F4420^2</f>
        <v>1.57824</v>
      </c>
      <c r="X4420" t="str">
        <v>x</v>
      </c>
      <c r="Y4420">
        <f>D4411</f>
        <v>1</v>
      </c>
      <c r="Z4420" t="str">
        <v>=</v>
      </c>
      <c r="AA4420">
        <f>IF(AA4423=0,(D4420*N4420+P4420*R4420)*U4420*Y4420,0)</f>
        <v>0</v>
      </c>
    </row>
    <row r="4421">
      <c r="A4421" t="str">
        <f>A4405</f>
        <v>Lantai 3</v>
      </c>
      <c r="B4421">
        <f>B4405</f>
        <v>5</v>
      </c>
      <c r="C4421" t="str">
        <v>Tul Bawah Lapangan</v>
      </c>
      <c r="D4421">
        <f>VLOOKUP(D4405,'Detail Balok'!$C$10:$AU$140,25,FALSE)</f>
        <v>3</v>
      </c>
      <c r="E4421" t="str">
        <v>D</v>
      </c>
      <c r="F4421">
        <f>VLOOKUP(D4405,'Detail Balok'!$C$10:$AU$140,27,FALSE)</f>
        <v>16</v>
      </c>
      <c r="I4421" t="str">
        <v>(</v>
      </c>
      <c r="J4421">
        <f>+J4413</f>
        <v>4.5375</v>
      </c>
      <c r="K4421" t="str">
        <v>+</v>
      </c>
      <c r="M4421" t="str">
        <v>=</v>
      </c>
      <c r="N4421">
        <f>J4421+L4421</f>
        <v>4.5375</v>
      </c>
      <c r="O4421" t="str">
        <v>+</v>
      </c>
      <c r="P4421">
        <f>MAX(D4421-D4420,D4421-D4422)</f>
        <v>0</v>
      </c>
      <c r="Q4421" t="str">
        <v>x</v>
      </c>
      <c r="R4421">
        <f>IF(P4421&gt;0,2*(1-2*$F$19-1/2)*D4408/1000,0)</f>
        <v>0</v>
      </c>
      <c r="S4421" t="str">
        <v>)</v>
      </c>
      <c r="T4421" t="str">
        <v>x</v>
      </c>
      <c r="U4421">
        <f>0.006165*F4421^2</f>
        <v>1.57824</v>
      </c>
      <c r="X4421" t="str">
        <v>x</v>
      </c>
      <c r="Y4421">
        <f>D4411</f>
        <v>1</v>
      </c>
      <c r="Z4421" t="str">
        <v>=</v>
      </c>
      <c r="AA4421">
        <f>IF(AA4423=0,(D4421*N4421+P4421*R4421)*U4421*Y4421,0)</f>
        <v>0</v>
      </c>
    </row>
    <row r="4422">
      <c r="A4422" t="str">
        <f>A4405</f>
        <v>Lantai 3</v>
      </c>
      <c r="B4422">
        <f>B4405</f>
        <v>5</v>
      </c>
      <c r="C4422" t="str">
        <v>Tul Bawah Tumpuan</v>
      </c>
      <c r="D4422">
        <f>VLOOKUP(D4405,'Detail Balok'!$C$10:$AU$140,28,FALSE)</f>
        <v>3</v>
      </c>
      <c r="E4422" t="str">
        <v>D</v>
      </c>
      <c r="F4422">
        <f>VLOOKUP(D4405,'Detail Balok'!$C$10:$AU$140,30,FALSE)</f>
        <v>16</v>
      </c>
      <c r="I4422" t="str">
        <v>(</v>
      </c>
      <c r="J4422">
        <f>+J4414</f>
        <v>2.26875</v>
      </c>
      <c r="K4422" t="str">
        <v>+</v>
      </c>
      <c r="L4422">
        <f>MAX(VLOOKUP(F4422,N$6:P$15,3,FALSE)/1000,2/3*D4410/1000)+F$16*F4422/1000</f>
        <v>0.192</v>
      </c>
      <c r="M4422" t="str">
        <v>=</v>
      </c>
      <c r="N4422">
        <f>J4422+L4422</f>
        <v>2.46075</v>
      </c>
      <c r="O4422" t="str">
        <v>+</v>
      </c>
      <c r="P4422">
        <f>D4422-D4421</f>
        <v>0</v>
      </c>
      <c r="Q4422" t="str">
        <v>x</v>
      </c>
      <c r="R4422">
        <f>IF(P4422&gt;0,$F$18*F4422/1000,0)</f>
        <v>0</v>
      </c>
      <c r="S4422" t="str">
        <v>)</v>
      </c>
      <c r="T4422" t="str">
        <v>x</v>
      </c>
      <c r="U4422">
        <f>0.006165*F4422^2</f>
        <v>1.57824</v>
      </c>
      <c r="X4422" t="str">
        <v>x</v>
      </c>
      <c r="Y4422">
        <f>D4411</f>
        <v>1</v>
      </c>
      <c r="Z4422" t="str">
        <v>=</v>
      </c>
      <c r="AA4422">
        <f>IF(AA4423=0,(D4422*N4422+P4422*R4422)*U4422*Y4422,0)</f>
        <v>0</v>
      </c>
    </row>
    <row r="4423">
      <c r="A4423" t="str">
        <f>A4405</f>
        <v>Lantai 3</v>
      </c>
      <c r="B4423">
        <f>B4405</f>
        <v>5</v>
      </c>
      <c r="D4423">
        <f>IF(AND(D4420=D4421,D4421=D4422,D4420=D4422),D4420,0)</f>
        <v>3</v>
      </c>
      <c r="E4423" t="str">
        <v>D</v>
      </c>
      <c r="F4423">
        <f>IF(AND(F4420=F4421,F4420=F4422,F4421=F4422),F4420,0)</f>
        <v>16</v>
      </c>
      <c r="L4423" t="str">
        <v>Total panjang per balok</v>
      </c>
      <c r="M4423" t="str">
        <v>=</v>
      </c>
      <c r="N4423">
        <f>IF(AND(D4420=D4421,D4420=D4422,D4421=D4422,F4420=F4421,F4420=F4422,F4421=F4422),SUM(N4420:N4422),0)</f>
        <v>9.459</v>
      </c>
      <c r="O4423" t="str">
        <v>+</v>
      </c>
      <c r="P4423">
        <f>IF(N4423&gt;12,ROUNDDOWN(N4423/12,0),0)</f>
        <v>0</v>
      </c>
      <c r="Q4423" t="str">
        <v>x</v>
      </c>
      <c r="R4423">
        <f>IF(P4423&gt;0,MAX(VLOOKUP(F4423,$D$6:$G$15,3,FALSE),600),0)/1000</f>
        <v>0</v>
      </c>
      <c r="T4423" t="str">
        <v>x</v>
      </c>
      <c r="U4423">
        <f>U4422</f>
        <v>1.57824</v>
      </c>
      <c r="V4423" t="str">
        <v>x</v>
      </c>
      <c r="W4423">
        <f>D4423</f>
        <v>3</v>
      </c>
      <c r="X4423" t="str">
        <v>x</v>
      </c>
      <c r="Y4423">
        <f>Y4422</f>
        <v>1</v>
      </c>
      <c r="Z4423" t="str">
        <v>=</v>
      </c>
      <c r="AA4423">
        <f>(N4423+P4423*R4423/1000)*U4423*W4423*Y4423</f>
        <v>44.78571648</v>
      </c>
    </row>
    <row r="4425">
      <c r="A4425" t="str">
        <f>A4405</f>
        <v>Lantai 3</v>
      </c>
      <c r="B4425">
        <f>B4405</f>
        <v>5</v>
      </c>
      <c r="C4425" t="str">
        <v>Sengkang Tumpuan</v>
      </c>
      <c r="D4425">
        <f>VLOOKUP(D4405,'Detail Balok'!$C$10:$AU$140,31,FALSE)</f>
        <v>0</v>
      </c>
      <c r="E4425" t="str">
        <v>D</v>
      </c>
      <c r="F4425">
        <f>VLOOKUP(D4405,'Detail Balok'!$C$10:$AU$140,33,FALSE)</f>
        <v>10</v>
      </c>
      <c r="G4425" t="str">
        <v>-</v>
      </c>
      <c r="H4425">
        <f>VLOOKUP(D4405,'Detail Balok'!$C$10:$AU$140,35,FALSE)</f>
        <v>100</v>
      </c>
      <c r="J4425">
        <f>(IF(D4425=0,(2*(D4406+G4406))-(F$5*8),IF(D4425=3,(2*(D4406+G4406))-(F$5*8)+(G4406-2*F$5),IF(D4425=4,(2*(D4406+G4406))-(F$5*8)+2*(G4406-2*F$5)))))/1000</f>
        <v>0.88</v>
      </c>
      <c r="K4425" t="str">
        <v>+</v>
      </c>
      <c r="L4425">
        <f>IF(D4425=0,2*MAX(6*F4425,75),(D4425-1)*2*MAX(6*F4425,75))/1000</f>
        <v>0.15</v>
      </c>
      <c r="M4425" t="str">
        <v>=</v>
      </c>
      <c r="N4425">
        <f>J4425+L4425</f>
        <v>1.03</v>
      </c>
      <c r="T4425" t="str">
        <v>x</v>
      </c>
      <c r="U4425">
        <f>0.006165*F4425^2</f>
        <v>0.6165</v>
      </c>
      <c r="V4425" t="str">
        <v>x</v>
      </c>
      <c r="W4425">
        <f>IF(D4408&gt;4*G4406,ROUND(MAX(D4408/4,2*G4406)/H4425,0)+1,ROUND(D4408/H4425,0)+1)</f>
        <v>24</v>
      </c>
      <c r="X4425" t="str">
        <v>x</v>
      </c>
      <c r="Y4425">
        <f>D4411</f>
        <v>1</v>
      </c>
      <c r="Z4425" t="str">
        <v>=</v>
      </c>
      <c r="AA4425">
        <f>N4425*U4425*W4425*Y4425</f>
        <v>15.239880000000003</v>
      </c>
    </row>
    <row r="4426">
      <c r="A4426" t="str">
        <f>A4405</f>
        <v>Lantai 3</v>
      </c>
      <c r="B4426">
        <f>B4405</f>
        <v>5</v>
      </c>
      <c r="C4426" t="str">
        <v>Sengkang Lapangan</v>
      </c>
      <c r="D4426">
        <f>VLOOKUP(D4405,'Detail Balok'!$C$10:$AU$140,36,FALSE)</f>
        <v>0</v>
      </c>
      <c r="E4426" t="str">
        <v>D</v>
      </c>
      <c r="F4426">
        <f>VLOOKUP(D4405,'Detail Balok'!$C$10:$AU$140,38,FALSE)</f>
        <v>10</v>
      </c>
      <c r="G4426" t="str">
        <v>-</v>
      </c>
      <c r="H4426">
        <f>VLOOKUP(D4405,'Detail Balok'!$C$10:$AU$140,40,FALSE)</f>
        <v>200</v>
      </c>
      <c r="J4426">
        <f>(IF(D4426=0,(2*(D4406+G4406))-(F$5*8),IF(D4426=3,(2*(D4406+G4406))-(F$5*8)+(G4406-2*F$5),IF(D4426=4,(2*(D4406+G4406))-(F$5*8)+2*(G4406-2*F$5)))))/1000</f>
        <v>0.88</v>
      </c>
      <c r="K4426" t="str">
        <v>+</v>
      </c>
      <c r="L4426">
        <f>IF(D4426=0,2*MAX(6*F4426,75),(D4426-1)*2*MAX(6*F4426,75))/1000</f>
        <v>0.15</v>
      </c>
      <c r="M4426" t="str">
        <v>=</v>
      </c>
      <c r="N4426">
        <f>J4426+L4426</f>
        <v>1.03</v>
      </c>
      <c r="T4426" t="str">
        <v>x</v>
      </c>
      <c r="U4426">
        <f>0.006165*F4426^2</f>
        <v>0.6165</v>
      </c>
      <c r="V4426" t="str">
        <v>x</v>
      </c>
      <c r="W4426">
        <f>IF(D4408-MAX(D4408/4,2*G4406)*2&gt;0,ROUND((D4408-MAX(D4408/4,2*G4406)*2)/H4426,0),0)</f>
        <v>23</v>
      </c>
      <c r="X4426" t="str">
        <v>x</v>
      </c>
      <c r="Y4426">
        <f>D4411</f>
        <v>1</v>
      </c>
      <c r="Z4426" t="str">
        <v>=</v>
      </c>
      <c r="AA4426">
        <f>N4426*U4426*W4426*Y4426</f>
        <v>14.604885000000001</v>
      </c>
    </row>
    <row r="4427">
      <c r="A4427" t="str">
        <f>A4405</f>
        <v>Lantai 3</v>
      </c>
      <c r="B4427">
        <f>B4405</f>
        <v>5</v>
      </c>
      <c r="C4427" t="str">
        <v>Sengkang Tumpuan</v>
      </c>
      <c r="D4427">
        <f>VLOOKUP(D4405,'Detail Balok'!$C$10:$AU$140,41,FALSE)</f>
        <v>0</v>
      </c>
      <c r="E4427" t="str">
        <v>D</v>
      </c>
      <c r="F4427">
        <f>VLOOKUP(D4405,'Detail Balok'!$C$10:$AU$140,43,FALSE)</f>
        <v>10</v>
      </c>
      <c r="G4427" t="str">
        <v>-</v>
      </c>
      <c r="H4427">
        <f>VLOOKUP(D4405,'Detail Balok'!$C$10:$AU$140,45,FALSE)</f>
        <v>100</v>
      </c>
      <c r="J4427">
        <f>(IF(D4427=0,(2*(D4406+G4406))-(F$5*8),IF(D4427=3,(2*(D4406+G4406))-(F$5*8)+(G4406-2*F$5),IF(D4427=4,(2*(D4406+G4406))-(F$5*8)+2*(G4406-2*F$5)))))/1000</f>
        <v>0.88</v>
      </c>
      <c r="K4427" t="str">
        <v>+</v>
      </c>
      <c r="L4427">
        <f>IF(D4427=0,2*MAX(6*F4427,75),(D4427-1)*2*MAX(6*F4427,75))/1000</f>
        <v>0.15</v>
      </c>
      <c r="M4427" t="str">
        <v>=</v>
      </c>
      <c r="N4427">
        <f>J4427+L4427</f>
        <v>1.03</v>
      </c>
      <c r="T4427" t="str">
        <v>x</v>
      </c>
      <c r="U4427">
        <f>0.006165*F4427^2</f>
        <v>0.6165</v>
      </c>
      <c r="V4427" t="str">
        <v>x</v>
      </c>
      <c r="W4427">
        <f>IF(D4408&gt;4*G4406,ROUND(MAX(D4408/4,2*G4406)/H4427,0)+1,0)</f>
        <v>24</v>
      </c>
      <c r="X4427" t="str">
        <v>x</v>
      </c>
      <c r="Y4427">
        <f>D4411</f>
        <v>1</v>
      </c>
      <c r="Z4427" t="str">
        <v>=</v>
      </c>
      <c r="AA4427">
        <f>N4427*U4427*W4427*Y4427</f>
        <v>15.239880000000003</v>
      </c>
    </row>
    <row r="4429">
      <c r="A4429" t="str">
        <f>A4405</f>
        <v>Lantai 3</v>
      </c>
      <c r="B4429">
        <f>B4405</f>
        <v>5</v>
      </c>
      <c r="C4429" t="str">
        <v>Kait Horizontal Tump.</v>
      </c>
      <c r="D4429">
        <f>VLOOKUP(D4405,'Detail Balok'!$C$10:$BJ$140,46,FALSE)</f>
        <v>0</v>
      </c>
      <c r="E4429" t="str">
        <v>D</v>
      </c>
      <c r="F4429">
        <f>VLOOKUP(D4405,'Detail Balok'!$C$10:$BJ$140,48,FALSE)</f>
        <v>0</v>
      </c>
      <c r="G4429" t="str">
        <v>-</v>
      </c>
      <c r="H4429">
        <f>VLOOKUP(D4405,'Detail Balok'!$C$10:$BJ$140,50,FALSE)</f>
        <v>100</v>
      </c>
      <c r="J4429">
        <f>(D4406-2*F$5)/1000</f>
        <v>0.12</v>
      </c>
      <c r="K4429" t="str">
        <v>+</v>
      </c>
      <c r="L4429">
        <f>IF(D4429=0,2*MAX(6*F4429,75),(D4429-1)*2*MAX(6*F4429,75))/1000</f>
        <v>0.15</v>
      </c>
      <c r="M4429" t="str">
        <v>=</v>
      </c>
      <c r="N4429">
        <f>J4429+L4429</f>
        <v>0.27</v>
      </c>
      <c r="T4429" t="str">
        <v>x</v>
      </c>
      <c r="U4429">
        <f>0.006165*F4429^2</f>
        <v>0</v>
      </c>
      <c r="V4429" t="str">
        <v>x</v>
      </c>
      <c r="W4429">
        <f>W4425</f>
        <v>24</v>
      </c>
      <c r="X4429" t="str">
        <v>x</v>
      </c>
      <c r="Y4429">
        <f>D4415</f>
        <v>3</v>
      </c>
      <c r="Z4429" t="str">
        <v>=</v>
      </c>
      <c r="AA4429">
        <f>N4429*U4429*W4429*Y4429</f>
        <v>0</v>
      </c>
    </row>
    <row r="4430">
      <c r="A4430" t="str">
        <f>A4405</f>
        <v>Lantai 3</v>
      </c>
      <c r="B4430">
        <f>B4405</f>
        <v>5</v>
      </c>
      <c r="C4430" t="str">
        <v>Kait Horizontal Lap.</v>
      </c>
      <c r="D4430">
        <f>VLOOKUP(D4405,'Detail Balok'!$C$10:$BJ$140,51,FALSE)</f>
        <v>0</v>
      </c>
      <c r="E4430" t="str">
        <v>D</v>
      </c>
      <c r="F4430">
        <f>VLOOKUP(D4405,'Detail Balok'!$C$10:$BJ$140,53,FALSE)</f>
        <v>0</v>
      </c>
      <c r="G4430" t="str">
        <v>-</v>
      </c>
      <c r="H4430">
        <f>VLOOKUP(D4405,'Detail Balok'!$C$10:$BJ$140,55,FALSE)</f>
        <v>100</v>
      </c>
      <c r="J4430">
        <f>(D4406-2*F$5)/1000</f>
        <v>0.12</v>
      </c>
      <c r="K4430" t="str">
        <v>+</v>
      </c>
      <c r="L4430">
        <f>IF(D4430=0,2*MAX(6*F4430,75),(D4430-1)*2*MAX(6*F4430,75))/1000</f>
        <v>0.15</v>
      </c>
      <c r="M4430" t="str">
        <v>=</v>
      </c>
      <c r="N4430">
        <f>J4430+L4430</f>
        <v>0.27</v>
      </c>
      <c r="T4430" t="str">
        <v>x</v>
      </c>
      <c r="U4430">
        <f>0.006165*F4430^2</f>
        <v>0</v>
      </c>
      <c r="V4430" t="str">
        <v>x</v>
      </c>
      <c r="W4430">
        <f>W4426</f>
        <v>23</v>
      </c>
      <c r="X4430" t="str">
        <v>x</v>
      </c>
      <c r="Y4430">
        <f>D4415</f>
        <v>3</v>
      </c>
      <c r="Z4430" t="str">
        <v>=</v>
      </c>
      <c r="AA4430">
        <f>N4430*U4430*W4430*Y4430</f>
        <v>0</v>
      </c>
    </row>
    <row r="4431">
      <c r="A4431" t="str">
        <f>A4405</f>
        <v>Lantai 3</v>
      </c>
      <c r="B4431">
        <f>B4405</f>
        <v>5</v>
      </c>
      <c r="C4431" t="str">
        <v>Kait Horizontal Tump.</v>
      </c>
      <c r="D4431">
        <f>VLOOKUP(D4405,'Detail Balok'!$C$10:$BJ$140,56,FALSE)</f>
        <v>0</v>
      </c>
      <c r="E4431" t="str">
        <v>D</v>
      </c>
      <c r="F4431">
        <f>VLOOKUP(D4405,'Detail Balok'!$C$10:$BJ$140,58,FALSE)</f>
        <v>0</v>
      </c>
      <c r="G4431" t="str">
        <v>-</v>
      </c>
      <c r="H4431">
        <f>VLOOKUP(D4405,'Detail Balok'!$C$10:$BJ$140,60,FALSE)</f>
        <v>100</v>
      </c>
      <c r="J4431">
        <f>(D4406-2*F$5)/1000</f>
        <v>0.12</v>
      </c>
      <c r="K4431" t="str">
        <v>+</v>
      </c>
      <c r="L4431">
        <f>IF(D4431=0,2*MAX(6*F4431,75),(D4431-1)*2*MAX(6*F4431,75))/1000</f>
        <v>0.15</v>
      </c>
      <c r="M4431" t="str">
        <v>=</v>
      </c>
      <c r="N4431">
        <f>J4431+L4431</f>
        <v>0.27</v>
      </c>
      <c r="T4431" t="str">
        <v>x</v>
      </c>
      <c r="U4431">
        <f>0.006165*F4431^2</f>
        <v>0</v>
      </c>
      <c r="V4431" t="str">
        <v>x</v>
      </c>
      <c r="W4431">
        <f>W4427</f>
        <v>24</v>
      </c>
      <c r="X4431" t="str">
        <v>x</v>
      </c>
      <c r="Y4431">
        <f>D4415</f>
        <v>3</v>
      </c>
      <c r="Z4431" t="str">
        <v>=</v>
      </c>
      <c r="AA4431">
        <f>N4431*U4431*W4431*Y4431</f>
        <v>0</v>
      </c>
    </row>
    <row r="4435">
      <c r="A4435" t="str">
        <f>A4405</f>
        <v>Lantai 3</v>
      </c>
      <c r="B4435">
        <f>B4405+1</f>
        <v>6</v>
      </c>
      <c r="C4435" t="str">
        <f>CONCATENATE(A4435," no. ",B4435)</f>
        <v>Lantai 3 no. 6</v>
      </c>
      <c r="D4435" t="str">
        <f>VLOOKUP(C4435,'Data Panjang Balok'!$C$9:$N$254,2,FALSE)</f>
        <v>B26-1</v>
      </c>
    </row>
    <row r="4436">
      <c r="C4436" t="str">
        <v>Dimensi</v>
      </c>
      <c r="D4436">
        <f>VLOOKUP(D4435,'Detail Balok'!$C$10:$AU$140,2,FALSE)</f>
        <v>200</v>
      </c>
      <c r="F4436" t="str">
        <v>x</v>
      </c>
      <c r="G4436">
        <f>VLOOKUP(D4435,'Detail Balok'!$C$10:$AU$140,3,FALSE)</f>
        <v>600</v>
      </c>
    </row>
    <row r="4437">
      <c r="C4437" t="str">
        <v>Panjang as ke as</v>
      </c>
      <c r="D4437">
        <f>VLOOKUP(C4435,'Data Panjang Balok'!$C$9:$N$254,4,FALSE)</f>
        <v>9000</v>
      </c>
    </row>
    <row r="4438">
      <c r="C4438" t="str">
        <v>Panjang netto</v>
      </c>
      <c r="D4438">
        <f>VLOOKUP(C4435,'Data Panjang Balok'!$C$9:$N$254,7,FALSE)</f>
        <v>9000</v>
      </c>
    </row>
    <row r="4439">
      <c r="C4439" t="str">
        <v>Kolom / balok kiri</v>
      </c>
      <c r="D4439">
        <f>VLOOKUP(C4435,'Data Panjang Balok'!$C$9:$N$254,9,FALSE)</f>
        <v>0</v>
      </c>
    </row>
    <row r="4440">
      <c r="C4440" t="str">
        <v>Kolom / balok kanan</v>
      </c>
      <c r="D4440">
        <f>VLOOKUP(C4435,'Data Panjang Balok'!$C$9:$N$254,10,FALSE)</f>
        <v>0</v>
      </c>
    </row>
    <row r="4441">
      <c r="C4441" t="str">
        <v>Jumlah</v>
      </c>
      <c r="D4441">
        <f>VLOOKUP(C4435,'Data Panjang Balok'!$C$9:$N$254,3,FALSE)</f>
        <v>1</v>
      </c>
    </row>
    <row r="4442">
      <c r="A4442" t="str">
        <f>A4435</f>
        <v>Lantai 3</v>
      </c>
      <c r="B4442">
        <f>B4435</f>
        <v>6</v>
      </c>
      <c r="C4442" t="str">
        <v>Tul Atas Tumpuan</v>
      </c>
      <c r="D4442">
        <f>VLOOKUP(D4435,'Detail Balok'!$C$10:$AU$140,4,FALSE)</f>
        <v>4</v>
      </c>
      <c r="E4442" t="str">
        <v>D</v>
      </c>
      <c r="F4442">
        <f>VLOOKUP(D4435,'Detail Balok'!$C$10:$AU$140,6,FALSE)</f>
        <v>16</v>
      </c>
      <c r="I4442" t="str">
        <v>(</v>
      </c>
      <c r="J4442">
        <f>+D4437/4/1000</f>
        <v>2.25</v>
      </c>
      <c r="K4442" t="str">
        <v>+</v>
      </c>
      <c r="L4442">
        <f>MAX(VLOOKUP(F4442,N$6:P$15,3,FALSE)/1000,2/3*D4439/1000)+F$16*F4442/1000</f>
        <v>0.192</v>
      </c>
      <c r="M4442" t="str">
        <v>=</v>
      </c>
      <c r="N4442">
        <f>J4442+L4442</f>
        <v>2.442</v>
      </c>
      <c r="O4442" t="str">
        <v>+</v>
      </c>
      <c r="P4442">
        <f>D4442-D4443</f>
        <v>1</v>
      </c>
      <c r="Q4442" t="str">
        <v>x</v>
      </c>
      <c r="R4442">
        <f>IF(P4442&gt;0,$F$18*F4442/1000,0)</f>
        <v>0.24</v>
      </c>
      <c r="S4442" t="str">
        <v>)</v>
      </c>
      <c r="T4442" t="str">
        <v>x</v>
      </c>
      <c r="U4442">
        <f>0.006165*F4442^2</f>
        <v>1.57824</v>
      </c>
      <c r="X4442" t="str">
        <v>x</v>
      </c>
      <c r="Y4442">
        <f>D4441</f>
        <v>1</v>
      </c>
      <c r="Z4442" t="str">
        <v>=</v>
      </c>
      <c r="AA4442">
        <f>IF(AA4445=0,(D4442*N4442+P4442*R4442)*U4442*Y4442,0)</f>
        <v>15.795025920000002</v>
      </c>
    </row>
    <row r="4443">
      <c r="A4443" t="str">
        <f>A4435</f>
        <v>Lantai 3</v>
      </c>
      <c r="B4443">
        <f>B4435</f>
        <v>6</v>
      </c>
      <c r="C4443" t="str">
        <v>Tul Atas Lapangan</v>
      </c>
      <c r="D4443">
        <f>VLOOKUP(D4435,'Detail Balok'!$C$10:$AU$140,7,FALSE)</f>
        <v>3</v>
      </c>
      <c r="E4443" t="str">
        <v>D</v>
      </c>
      <c r="F4443">
        <f>VLOOKUP(D4435,'Detail Balok'!$C$10:$AU$140,9,FALSE)</f>
        <v>16</v>
      </c>
      <c r="I4443" t="str">
        <v>(</v>
      </c>
      <c r="J4443">
        <f>+D4437/2/1000</f>
        <v>4.5</v>
      </c>
      <c r="K4443" t="str">
        <v>+</v>
      </c>
      <c r="M4443" t="str">
        <v>=</v>
      </c>
      <c r="N4443">
        <f>J4443+L4443</f>
        <v>4.5</v>
      </c>
      <c r="O4443" t="str">
        <v>+</v>
      </c>
      <c r="P4443">
        <f>MAX(D4443-D4442,D4443-D4444)</f>
        <v>-1</v>
      </c>
      <c r="Q4443" t="str">
        <v>x</v>
      </c>
      <c r="R4443">
        <f>IF(P4443&gt;0,2*(1-2*$F$19-1/2)*D4438/1000,0)</f>
        <v>0</v>
      </c>
      <c r="S4443" t="str">
        <v>)</v>
      </c>
      <c r="T4443" t="str">
        <v>x</v>
      </c>
      <c r="U4443">
        <f>0.006165*F4443^2</f>
        <v>1.57824</v>
      </c>
      <c r="X4443" t="str">
        <v>x</v>
      </c>
      <c r="Y4443">
        <f>D4441</f>
        <v>1</v>
      </c>
      <c r="Z4443" t="str">
        <v>=</v>
      </c>
      <c r="AA4443">
        <f>IF(AA4445=0,(D4443*N4443+P4443*R4443)*U4443*Y4443,0)</f>
        <v>21.306240000000003</v>
      </c>
    </row>
    <row r="4444">
      <c r="A4444" t="str">
        <f>A4435</f>
        <v>Lantai 3</v>
      </c>
      <c r="B4444">
        <f>B4435</f>
        <v>6</v>
      </c>
      <c r="C4444" t="str">
        <v>Tul Atas Tumpuan</v>
      </c>
      <c r="D4444">
        <f>VLOOKUP(D4435,'Detail Balok'!$C$10:$AU$140,10,FALSE)</f>
        <v>4</v>
      </c>
      <c r="E4444" t="str">
        <v>D</v>
      </c>
      <c r="F4444">
        <f>VLOOKUP(D4435,'Detail Balok'!$C$10:$AU$140,12,FALSE)</f>
        <v>16</v>
      </c>
      <c r="I4444" t="str">
        <v>(</v>
      </c>
      <c r="J4444">
        <f>+D4437/4/1000</f>
        <v>2.25</v>
      </c>
      <c r="K4444" t="str">
        <v>+</v>
      </c>
      <c r="L4444">
        <f>MAX(VLOOKUP(F4444,N$6:P$15,3,FALSE)/1000,2/3*D4439/1000)+F$16*F4444/1000</f>
        <v>0.192</v>
      </c>
      <c r="M4444" t="str">
        <v>=</v>
      </c>
      <c r="N4444">
        <f>J4444+L4444</f>
        <v>2.442</v>
      </c>
      <c r="O4444" t="str">
        <v>+</v>
      </c>
      <c r="P4444">
        <f>D4444-D4443</f>
        <v>1</v>
      </c>
      <c r="Q4444" t="str">
        <v>x</v>
      </c>
      <c r="R4444">
        <f>IF(P4444&gt;0,$F$18*F4444/1000,0)</f>
        <v>0.24</v>
      </c>
      <c r="S4444" t="str">
        <v>)</v>
      </c>
      <c r="T4444" t="str">
        <v>x</v>
      </c>
      <c r="U4444">
        <f>0.006165*F4444^2</f>
        <v>1.57824</v>
      </c>
      <c r="X4444" t="str">
        <v>x</v>
      </c>
      <c r="Y4444">
        <f>D4441</f>
        <v>1</v>
      </c>
      <c r="Z4444" t="str">
        <v>=</v>
      </c>
      <c r="AA4444">
        <f>IF(AA4445=0,(D4444*N4444+P4444*R4444)*U4444*Y4444,0)</f>
        <v>15.795025920000002</v>
      </c>
    </row>
    <row r="4445">
      <c r="A4445" t="str">
        <f>A4435</f>
        <v>Lantai 3</v>
      </c>
      <c r="B4445">
        <f>B4435</f>
        <v>6</v>
      </c>
      <c r="D4445">
        <f>IF(AND(D4442=D4443,D4443=D4444,D4442=D4444),D4442,0)</f>
        <v>0</v>
      </c>
      <c r="E4445" t="str">
        <v>D</v>
      </c>
      <c r="F4445">
        <f>IF(AND(F4442=F4443,F4442=F4444,F4443=F4444),F4442,0)</f>
        <v>16</v>
      </c>
      <c r="L4445" t="str">
        <v>Total panjang per balok</v>
      </c>
      <c r="M4445" t="str">
        <v>=</v>
      </c>
      <c r="N4445">
        <f>IF(AND(D4442=D4443,D4442=D4444,D4443=D4444,F4442=F4443,F4442=F4444,F4443=F4444),SUM(N4442:N4444),0)</f>
        <v>0</v>
      </c>
      <c r="O4445" t="str">
        <v>+</v>
      </c>
      <c r="P4445">
        <f>IF(N4445&gt;12,ROUNDDOWN(N4445/12,0),0)</f>
        <v>0</v>
      </c>
      <c r="Q4445" t="str">
        <v>x</v>
      </c>
      <c r="R4445">
        <f>IF(P4445&gt;0,MAX(VLOOKUP(F4445,$D$6:$G$15,3,FALSE),600),0)/1000</f>
        <v>0</v>
      </c>
      <c r="T4445" t="str">
        <v>x</v>
      </c>
      <c r="U4445">
        <f>U4444</f>
        <v>1.57824</v>
      </c>
      <c r="V4445" t="str">
        <v>x</v>
      </c>
      <c r="W4445">
        <f>D4445</f>
        <v>0</v>
      </c>
      <c r="X4445" t="str">
        <v>x</v>
      </c>
      <c r="Y4445">
        <f>Y4444</f>
        <v>1</v>
      </c>
      <c r="Z4445" t="str">
        <v>=</v>
      </c>
      <c r="AA4445">
        <f>(N4445+P4445*R4445/1000)*U4445*W4445*Y4445</f>
        <v>0</v>
      </c>
    </row>
    <row r="4447">
      <c r="A4447" t="str">
        <f>A4435</f>
        <v>Lantai 3</v>
      </c>
      <c r="B4447">
        <f>B4435</f>
        <v>6</v>
      </c>
      <c r="C4447" t="str">
        <v>Tul Peminggang</v>
      </c>
      <c r="D4447">
        <f>VLOOKUP(D4435,'Detail Balok'!$C$10:$AU$140,13,FALSE)</f>
        <v>2</v>
      </c>
      <c r="E4447" t="str">
        <v>D</v>
      </c>
      <c r="F4447">
        <f>VLOOKUP(D4435,'Detail Balok'!$C$10:$AU$140,15,FALSE)</f>
        <v>10</v>
      </c>
      <c r="J4447">
        <f>+D4437/1000</f>
        <v>9</v>
      </c>
      <c r="K4447" t="str">
        <v>+</v>
      </c>
      <c r="L4447">
        <f>2*$F$16*F4447/1000</f>
        <v>0.24</v>
      </c>
      <c r="M4447" t="str">
        <v>=</v>
      </c>
      <c r="N4447">
        <f>J4447+L4447</f>
        <v>9.24</v>
      </c>
      <c r="O4447" t="str">
        <v>+</v>
      </c>
      <c r="P4447">
        <f>IF(N4447&gt;12,ROUNDDOWN(N4447/12,0),0)</f>
        <v>0</v>
      </c>
      <c r="Q4447" t="str">
        <v>x</v>
      </c>
      <c r="R4447">
        <f>IF(P4447&gt;0,MAX(VLOOKUP(F4447,$D$6:$G$15,3,FALSE),600),0)/1000</f>
        <v>0</v>
      </c>
      <c r="T4447" t="str">
        <v>x</v>
      </c>
      <c r="U4447">
        <f>0.006165*F4447^2</f>
        <v>0.6165</v>
      </c>
      <c r="V4447" t="str">
        <v>x</v>
      </c>
      <c r="W4447">
        <f>+D4447</f>
        <v>2</v>
      </c>
      <c r="X4447" t="str">
        <v>x</v>
      </c>
      <c r="Y4447">
        <f>D4441</f>
        <v>1</v>
      </c>
      <c r="Z4447" t="str">
        <v>=</v>
      </c>
      <c r="AA4447">
        <f>(N4447+P4447*R4447/1000)*U4447*W4447*Y4447</f>
        <v>11.392920000000002</v>
      </c>
    </row>
    <row r="4450">
      <c r="A4450" t="str">
        <f>A4435</f>
        <v>Lantai 3</v>
      </c>
      <c r="B4450">
        <f>B4435</f>
        <v>6</v>
      </c>
      <c r="C4450" t="str">
        <v>Tul Bawah Tumpuan</v>
      </c>
      <c r="D4450">
        <f>VLOOKUP(D4435,'Detail Balok'!$C$10:$AU$140,22,FALSE)</f>
        <v>3</v>
      </c>
      <c r="E4450" t="str">
        <v>D</v>
      </c>
      <c r="F4450">
        <f>VLOOKUP(D4435,'Detail Balok'!$C$10:$AU$140,24,FALSE)</f>
        <v>16</v>
      </c>
      <c r="I4450" t="str">
        <v>(</v>
      </c>
      <c r="J4450">
        <f>+J4442</f>
        <v>2.25</v>
      </c>
      <c r="K4450" t="str">
        <v>+</v>
      </c>
      <c r="L4450">
        <f>MAX(VLOOKUP(F4450,N$6:P$15,3,FALSE)/1000,2/3*D4440/1000)+F$16*F4450/1000</f>
        <v>0.192</v>
      </c>
      <c r="M4450" t="str">
        <v>=</v>
      </c>
      <c r="N4450">
        <f>J4450+L4450</f>
        <v>2.442</v>
      </c>
      <c r="O4450" t="str">
        <v>+</v>
      </c>
      <c r="P4450">
        <f>D4450-D4451</f>
        <v>-1</v>
      </c>
      <c r="Q4450" t="str">
        <v>x</v>
      </c>
      <c r="R4450">
        <f>IF(P4450&gt;0,$F$18*F4450/1000,0)</f>
        <v>0</v>
      </c>
      <c r="S4450" t="str">
        <v>)</v>
      </c>
      <c r="T4450" t="str">
        <v>x</v>
      </c>
      <c r="U4450">
        <f>0.006165*F4450^2</f>
        <v>1.57824</v>
      </c>
      <c r="X4450" t="str">
        <v>x</v>
      </c>
      <c r="Y4450">
        <f>D4441</f>
        <v>1</v>
      </c>
      <c r="Z4450" t="str">
        <v>=</v>
      </c>
      <c r="AA4450">
        <f>IF(AA4453=0,(D4450*N4450+P4450*R4450)*U4450*Y4450,0)</f>
        <v>11.56218624</v>
      </c>
    </row>
    <row r="4451">
      <c r="A4451" t="str">
        <f>A4435</f>
        <v>Lantai 3</v>
      </c>
      <c r="B4451">
        <f>B4435</f>
        <v>6</v>
      </c>
      <c r="C4451" t="str">
        <v>Tul Bawah Lapangan</v>
      </c>
      <c r="D4451">
        <f>VLOOKUP(D4435,'Detail Balok'!$C$10:$AU$140,25,FALSE)</f>
        <v>4</v>
      </c>
      <c r="E4451" t="str">
        <v>D</v>
      </c>
      <c r="F4451">
        <f>VLOOKUP(D4435,'Detail Balok'!$C$10:$AU$140,27,FALSE)</f>
        <v>16</v>
      </c>
      <c r="I4451" t="str">
        <v>(</v>
      </c>
      <c r="J4451">
        <f>+J4443</f>
        <v>4.5</v>
      </c>
      <c r="K4451" t="str">
        <v>+</v>
      </c>
      <c r="M4451" t="str">
        <v>=</v>
      </c>
      <c r="N4451">
        <f>J4451+L4451</f>
        <v>4.5</v>
      </c>
      <c r="O4451" t="str">
        <v>+</v>
      </c>
      <c r="P4451">
        <f>MAX(D4451-D4450,D4451-D4452)</f>
        <v>1</v>
      </c>
      <c r="Q4451" t="str">
        <v>x</v>
      </c>
      <c r="R4451">
        <f>IF(P4451&gt;0,2*(1-2*$F$19-1/2)*D4438/1000,0)</f>
        <v>1.7999999999999996</v>
      </c>
      <c r="S4451" t="str">
        <v>)</v>
      </c>
      <c r="T4451" t="str">
        <v>x</v>
      </c>
      <c r="U4451">
        <f>0.006165*F4451^2</f>
        <v>1.57824</v>
      </c>
      <c r="X4451" t="str">
        <v>x</v>
      </c>
      <c r="Y4451">
        <f>D4441</f>
        <v>1</v>
      </c>
      <c r="Z4451" t="str">
        <v>=</v>
      </c>
      <c r="AA4451">
        <f>IF(AA4453=0,(D4451*N4451+P4451*R4451)*U4451*Y4451,0)</f>
        <v>31.249152000000002</v>
      </c>
    </row>
    <row r="4452">
      <c r="A4452" t="str">
        <f>A4435</f>
        <v>Lantai 3</v>
      </c>
      <c r="B4452">
        <f>B4435</f>
        <v>6</v>
      </c>
      <c r="C4452" t="str">
        <v>Tul Bawah Tumpuan</v>
      </c>
      <c r="D4452">
        <f>VLOOKUP(D4435,'Detail Balok'!$C$10:$AU$140,28,FALSE)</f>
        <v>3</v>
      </c>
      <c r="E4452" t="str">
        <v>D</v>
      </c>
      <c r="F4452">
        <f>VLOOKUP(D4435,'Detail Balok'!$C$10:$AU$140,30,FALSE)</f>
        <v>16</v>
      </c>
      <c r="I4452" t="str">
        <v>(</v>
      </c>
      <c r="J4452">
        <f>+J4444</f>
        <v>2.25</v>
      </c>
      <c r="K4452" t="str">
        <v>+</v>
      </c>
      <c r="L4452">
        <f>MAX(VLOOKUP(F4452,N$6:P$15,3,FALSE)/1000,2/3*D4440/1000)+F$16*F4452/1000</f>
        <v>0.192</v>
      </c>
      <c r="M4452" t="str">
        <v>=</v>
      </c>
      <c r="N4452">
        <f>J4452+L4452</f>
        <v>2.442</v>
      </c>
      <c r="O4452" t="str">
        <v>+</v>
      </c>
      <c r="P4452">
        <f>D4452-D4451</f>
        <v>-1</v>
      </c>
      <c r="Q4452" t="str">
        <v>x</v>
      </c>
      <c r="R4452">
        <f>IF(P4452&gt;0,$F$18*F4452/1000,0)</f>
        <v>0</v>
      </c>
      <c r="S4452" t="str">
        <v>)</v>
      </c>
      <c r="T4452" t="str">
        <v>x</v>
      </c>
      <c r="U4452">
        <f>0.006165*F4452^2</f>
        <v>1.57824</v>
      </c>
      <c r="X4452" t="str">
        <v>x</v>
      </c>
      <c r="Y4452">
        <f>D4441</f>
        <v>1</v>
      </c>
      <c r="Z4452" t="str">
        <v>=</v>
      </c>
      <c r="AA4452">
        <f>IF(AA4453=0,(D4452*N4452+P4452*R4452)*U4452*Y4452,0)</f>
        <v>11.56218624</v>
      </c>
    </row>
    <row r="4453">
      <c r="A4453" t="str">
        <f>A4435</f>
        <v>Lantai 3</v>
      </c>
      <c r="B4453">
        <f>B4435</f>
        <v>6</v>
      </c>
      <c r="D4453">
        <f>IF(AND(D4450=D4451,D4451=D4452,D4450=D4452),D4450,0)</f>
        <v>0</v>
      </c>
      <c r="E4453" t="str">
        <v>D</v>
      </c>
      <c r="F4453">
        <f>IF(AND(F4450=F4451,F4450=F4452,F4451=F4452),F4450,0)</f>
        <v>16</v>
      </c>
      <c r="L4453" t="str">
        <v>Total panjang per balok</v>
      </c>
      <c r="M4453" t="str">
        <v>=</v>
      </c>
      <c r="N4453">
        <f>IF(AND(D4450=D4451,D4450=D4452,D4451=D4452,F4450=F4451,F4450=F4452,F4451=F4452),SUM(N4450:N4452),0)</f>
        <v>0</v>
      </c>
      <c r="O4453" t="str">
        <v>+</v>
      </c>
      <c r="P4453">
        <f>IF(N4453&gt;12,ROUNDDOWN(N4453/12,0),0)</f>
        <v>0</v>
      </c>
      <c r="Q4453" t="str">
        <v>x</v>
      </c>
      <c r="R4453">
        <f>IF(P4453&gt;0,MAX(VLOOKUP(F4453,$D$6:$G$15,3,FALSE),600),0)/1000</f>
        <v>0</v>
      </c>
      <c r="T4453" t="str">
        <v>x</v>
      </c>
      <c r="U4453">
        <f>U4452</f>
        <v>1.57824</v>
      </c>
      <c r="V4453" t="str">
        <v>x</v>
      </c>
      <c r="W4453">
        <f>D4453</f>
        <v>0</v>
      </c>
      <c r="X4453" t="str">
        <v>x</v>
      </c>
      <c r="Y4453">
        <f>Y4452</f>
        <v>1</v>
      </c>
      <c r="Z4453" t="str">
        <v>=</v>
      </c>
      <c r="AA4453">
        <f>(N4453+P4453*R4453/1000)*U4453*W4453*Y4453</f>
        <v>0</v>
      </c>
    </row>
    <row r="4455">
      <c r="A4455" t="str">
        <f>A4435</f>
        <v>Lantai 3</v>
      </c>
      <c r="B4455">
        <f>B4435</f>
        <v>6</v>
      </c>
      <c r="C4455" t="str">
        <v>Sengkang Tumpuan</v>
      </c>
      <c r="D4455">
        <f>VLOOKUP(D4435,'Detail Balok'!$C$10:$AU$140,31,FALSE)</f>
        <v>0</v>
      </c>
      <c r="E4455" t="str">
        <v>D</v>
      </c>
      <c r="F4455">
        <f>VLOOKUP(D4435,'Detail Balok'!$C$10:$AU$140,33,FALSE)</f>
        <v>10</v>
      </c>
      <c r="G4455" t="str">
        <v>-</v>
      </c>
      <c r="H4455">
        <f>VLOOKUP(D4435,'Detail Balok'!$C$10:$AU$140,35,FALSE)</f>
        <v>100</v>
      </c>
      <c r="J4455">
        <f>(IF(D4455=0,(2*(D4436+G4436))-(F$5*8),IF(D4455=3,(2*(D4436+G4436))-(F$5*8)+(G4436-2*F$5),IF(D4455=4,(2*(D4436+G4436))-(F$5*8)+2*(G4436-2*F$5)))))/1000</f>
        <v>1.28</v>
      </c>
      <c r="K4455" t="str">
        <v>+</v>
      </c>
      <c r="L4455">
        <f>IF(D4455=0,2*MAX(6*F4455,75),(D4455-1)*2*MAX(6*F4455,75))/1000</f>
        <v>0.15</v>
      </c>
      <c r="M4455" t="str">
        <v>=</v>
      </c>
      <c r="N4455">
        <f>J4455+L4455</f>
        <v>1.43</v>
      </c>
      <c r="T4455" t="str">
        <v>x</v>
      </c>
      <c r="U4455">
        <f>0.006165*F4455^2</f>
        <v>0.6165</v>
      </c>
      <c r="V4455" t="str">
        <v>x</v>
      </c>
      <c r="W4455">
        <f>IF(D4438&gt;4*G4436,ROUND(MAX(D4438/4,2*G4436)/H4455,0)+1,ROUND(D4438/H4455,0)+1)</f>
        <v>24</v>
      </c>
      <c r="X4455" t="str">
        <v>x</v>
      </c>
      <c r="Y4455">
        <f>D4441</f>
        <v>1</v>
      </c>
      <c r="Z4455" t="str">
        <v>=</v>
      </c>
      <c r="AA4455">
        <f>N4455*U4455*W4455*Y4455</f>
        <v>21.15828</v>
      </c>
    </row>
    <row r="4456">
      <c r="A4456" t="str">
        <f>A4435</f>
        <v>Lantai 3</v>
      </c>
      <c r="B4456">
        <f>B4435</f>
        <v>6</v>
      </c>
      <c r="C4456" t="str">
        <v>Sengkang Lapangan</v>
      </c>
      <c r="D4456">
        <f>VLOOKUP(D4435,'Detail Balok'!$C$10:$AU$140,36,FALSE)</f>
        <v>0</v>
      </c>
      <c r="E4456" t="str">
        <v>D</v>
      </c>
      <c r="F4456">
        <f>VLOOKUP(D4435,'Detail Balok'!$C$10:$AU$140,38,FALSE)</f>
        <v>10</v>
      </c>
      <c r="G4456" t="str">
        <v>-</v>
      </c>
      <c r="H4456">
        <f>VLOOKUP(D4435,'Detail Balok'!$C$10:$AU$140,40,FALSE)</f>
        <v>150</v>
      </c>
      <c r="J4456">
        <f>(IF(D4456=0,(2*(D4436+G4436))-(F$5*8),IF(D4456=3,(2*(D4436+G4436))-(F$5*8)+(G4436-2*F$5),IF(D4456=4,(2*(D4436+G4436))-(F$5*8)+2*(G4436-2*F$5)))))/1000</f>
        <v>1.28</v>
      </c>
      <c r="K4456" t="str">
        <v>+</v>
      </c>
      <c r="L4456">
        <f>IF(D4456=0,2*MAX(6*F4456,75),(D4456-1)*2*MAX(6*F4456,75))/1000</f>
        <v>0.15</v>
      </c>
      <c r="M4456" t="str">
        <v>=</v>
      </c>
      <c r="N4456">
        <f>J4456+L4456</f>
        <v>1.43</v>
      </c>
      <c r="T4456" t="str">
        <v>x</v>
      </c>
      <c r="U4456">
        <f>0.006165*F4456^2</f>
        <v>0.6165</v>
      </c>
      <c r="V4456" t="str">
        <v>x</v>
      </c>
      <c r="W4456">
        <f>IF(D4438-MAX(D4438/4,2*G4436)*2&gt;0,ROUND((D4438-MAX(D4438/4,2*G4436)*2)/H4456,0),0)</f>
        <v>30</v>
      </c>
      <c r="X4456" t="str">
        <v>x</v>
      </c>
      <c r="Y4456">
        <f>D4441</f>
        <v>1</v>
      </c>
      <c r="Z4456" t="str">
        <v>=</v>
      </c>
      <c r="AA4456">
        <f>N4456*U4456*W4456*Y4456</f>
        <v>26.44785</v>
      </c>
    </row>
    <row r="4457">
      <c r="A4457" t="str">
        <f>A4435</f>
        <v>Lantai 3</v>
      </c>
      <c r="B4457">
        <f>B4435</f>
        <v>6</v>
      </c>
      <c r="C4457" t="str">
        <v>Sengkang Tumpuan</v>
      </c>
      <c r="D4457">
        <f>VLOOKUP(D4435,'Detail Balok'!$C$10:$AU$140,41,FALSE)</f>
        <v>0</v>
      </c>
      <c r="E4457" t="str">
        <v>D</v>
      </c>
      <c r="F4457">
        <f>VLOOKUP(D4435,'Detail Balok'!$C$10:$AU$140,43,FALSE)</f>
        <v>10</v>
      </c>
      <c r="G4457" t="str">
        <v>-</v>
      </c>
      <c r="H4457">
        <f>VLOOKUP(D4435,'Detail Balok'!$C$10:$AU$140,45,FALSE)</f>
        <v>100</v>
      </c>
      <c r="J4457">
        <f>(IF(D4457=0,(2*(D4436+G4436))-(F$5*8),IF(D4457=3,(2*(D4436+G4436))-(F$5*8)+(G4436-2*F$5),IF(D4457=4,(2*(D4436+G4436))-(F$5*8)+2*(G4436-2*F$5)))))/1000</f>
        <v>1.28</v>
      </c>
      <c r="K4457" t="str">
        <v>+</v>
      </c>
      <c r="L4457">
        <f>IF(D4457=0,2*MAX(6*F4457,75),(D4457-1)*2*MAX(6*F4457,75))/1000</f>
        <v>0.15</v>
      </c>
      <c r="M4457" t="str">
        <v>=</v>
      </c>
      <c r="N4457">
        <f>J4457+L4457</f>
        <v>1.43</v>
      </c>
      <c r="T4457" t="str">
        <v>x</v>
      </c>
      <c r="U4457">
        <f>0.006165*F4457^2</f>
        <v>0.6165</v>
      </c>
      <c r="V4457" t="str">
        <v>x</v>
      </c>
      <c r="W4457">
        <f>IF(D4438&gt;4*G4436,ROUND(MAX(D4438/4,2*G4436)/H4457,0)+1,0)</f>
        <v>24</v>
      </c>
      <c r="X4457" t="str">
        <v>x</v>
      </c>
      <c r="Y4457">
        <f>D4441</f>
        <v>1</v>
      </c>
      <c r="Z4457" t="str">
        <v>=</v>
      </c>
      <c r="AA4457">
        <f>N4457*U4457*W4457*Y4457</f>
        <v>21.15828</v>
      </c>
    </row>
    <row r="4459">
      <c r="A4459" t="str">
        <f>A4435</f>
        <v>Lantai 3</v>
      </c>
      <c r="B4459">
        <f>B4435</f>
        <v>6</v>
      </c>
      <c r="C4459" t="str">
        <v>Kait Horizontal Tump.</v>
      </c>
      <c r="D4459">
        <f>VLOOKUP(D4435,'Detail Balok'!$C$10:$BJ$140,46,FALSE)</f>
        <v>0</v>
      </c>
      <c r="E4459" t="str">
        <v>D</v>
      </c>
      <c r="F4459">
        <f>VLOOKUP(D4435,'Detail Balok'!$C$10:$BJ$140,48,FALSE)</f>
        <v>0</v>
      </c>
      <c r="G4459" t="str">
        <v>-</v>
      </c>
      <c r="H4459">
        <f>VLOOKUP(D4435,'Detail Balok'!$C$10:$BJ$140,50,FALSE)</f>
        <v>100</v>
      </c>
      <c r="J4459">
        <f>(D4436-2*F$5)/1000</f>
        <v>0.12</v>
      </c>
      <c r="K4459" t="str">
        <v>+</v>
      </c>
      <c r="L4459">
        <f>IF(D4459=0,2*MAX(6*F4459,75),(D4459-1)*2*MAX(6*F4459,75))/1000</f>
        <v>0.15</v>
      </c>
      <c r="M4459" t="str">
        <v>=</v>
      </c>
      <c r="N4459">
        <f>J4459+L4459</f>
        <v>0.27</v>
      </c>
      <c r="T4459" t="str">
        <v>x</v>
      </c>
      <c r="U4459">
        <f>0.006165*F4459^2</f>
        <v>0</v>
      </c>
      <c r="V4459" t="str">
        <v>x</v>
      </c>
      <c r="W4459">
        <f>W4455</f>
        <v>24</v>
      </c>
      <c r="X4459" t="str">
        <v>x</v>
      </c>
      <c r="Y4459">
        <f>D4445</f>
        <v>0</v>
      </c>
      <c r="Z4459" t="str">
        <v>=</v>
      </c>
      <c r="AA4459">
        <f>N4459*U4459*W4459*Y4459</f>
        <v>0</v>
      </c>
    </row>
    <row r="4460">
      <c r="A4460" t="str">
        <f>A4435</f>
        <v>Lantai 3</v>
      </c>
      <c r="B4460">
        <f>B4435</f>
        <v>6</v>
      </c>
      <c r="C4460" t="str">
        <v>Kait Horizontal Lap.</v>
      </c>
      <c r="D4460">
        <f>VLOOKUP(D4435,'Detail Balok'!$C$10:$BJ$140,51,FALSE)</f>
        <v>0</v>
      </c>
      <c r="E4460" t="str">
        <v>D</v>
      </c>
      <c r="F4460">
        <f>VLOOKUP(D4435,'Detail Balok'!$C$10:$BJ$140,53,FALSE)</f>
        <v>0</v>
      </c>
      <c r="G4460" t="str">
        <v>-</v>
      </c>
      <c r="H4460">
        <f>VLOOKUP(D4435,'Detail Balok'!$C$10:$BJ$140,55,FALSE)</f>
        <v>100</v>
      </c>
      <c r="J4460">
        <f>(D4436-2*F$5)/1000</f>
        <v>0.12</v>
      </c>
      <c r="K4460" t="str">
        <v>+</v>
      </c>
      <c r="L4460">
        <f>IF(D4460=0,2*MAX(6*F4460,75),(D4460-1)*2*MAX(6*F4460,75))/1000</f>
        <v>0.15</v>
      </c>
      <c r="M4460" t="str">
        <v>=</v>
      </c>
      <c r="N4460">
        <f>J4460+L4460</f>
        <v>0.27</v>
      </c>
      <c r="T4460" t="str">
        <v>x</v>
      </c>
      <c r="U4460">
        <f>0.006165*F4460^2</f>
        <v>0</v>
      </c>
      <c r="V4460" t="str">
        <v>x</v>
      </c>
      <c r="W4460">
        <f>W4456</f>
        <v>30</v>
      </c>
      <c r="X4460" t="str">
        <v>x</v>
      </c>
      <c r="Y4460">
        <f>D4445</f>
        <v>0</v>
      </c>
      <c r="Z4460" t="str">
        <v>=</v>
      </c>
      <c r="AA4460">
        <f>N4460*U4460*W4460*Y4460</f>
        <v>0</v>
      </c>
    </row>
    <row r="4461">
      <c r="A4461" t="str">
        <f>A4435</f>
        <v>Lantai 3</v>
      </c>
      <c r="B4461">
        <f>B4435</f>
        <v>6</v>
      </c>
      <c r="C4461" t="str">
        <v>Kait Horizontal Tump.</v>
      </c>
      <c r="D4461">
        <f>VLOOKUP(D4435,'Detail Balok'!$C$10:$BJ$140,56,FALSE)</f>
        <v>0</v>
      </c>
      <c r="E4461" t="str">
        <v>D</v>
      </c>
      <c r="F4461">
        <f>VLOOKUP(D4435,'Detail Balok'!$C$10:$BJ$140,58,FALSE)</f>
        <v>0</v>
      </c>
      <c r="G4461" t="str">
        <v>-</v>
      </c>
      <c r="H4461">
        <f>VLOOKUP(D4435,'Detail Balok'!$C$10:$BJ$140,60,FALSE)</f>
        <v>100</v>
      </c>
      <c r="J4461">
        <f>(D4436-2*F$5)/1000</f>
        <v>0.12</v>
      </c>
      <c r="K4461" t="str">
        <v>+</v>
      </c>
      <c r="L4461">
        <f>IF(D4461=0,2*MAX(6*F4461,75),(D4461-1)*2*MAX(6*F4461,75))/1000</f>
        <v>0.15</v>
      </c>
      <c r="M4461" t="str">
        <v>=</v>
      </c>
      <c r="N4461">
        <f>J4461+L4461</f>
        <v>0.27</v>
      </c>
      <c r="T4461" t="str">
        <v>x</v>
      </c>
      <c r="U4461">
        <f>0.006165*F4461^2</f>
        <v>0</v>
      </c>
      <c r="V4461" t="str">
        <v>x</v>
      </c>
      <c r="W4461">
        <f>W4457</f>
        <v>24</v>
      </c>
      <c r="X4461" t="str">
        <v>x</v>
      </c>
      <c r="Y4461">
        <f>D4445</f>
        <v>0</v>
      </c>
      <c r="Z4461" t="str">
        <v>=</v>
      </c>
      <c r="AA4461">
        <f>N4461*U4461*W4461*Y4461</f>
        <v>0</v>
      </c>
    </row>
    <row r="4465">
      <c r="A4465" t="str">
        <f>A4435</f>
        <v>Lantai 3</v>
      </c>
      <c r="B4465">
        <f>B4435+1</f>
        <v>7</v>
      </c>
      <c r="C4465" t="str">
        <f>CONCATENATE(A4465," no. ",B4465)</f>
        <v>Lantai 3 no. 7</v>
      </c>
      <c r="D4465" t="str">
        <f>VLOOKUP(C4465,'Data Panjang Balok'!$C$9:$N$254,2,FALSE)</f>
        <v>CL24-1</v>
      </c>
    </row>
    <row r="4466">
      <c r="C4466" t="str">
        <v>Dimensi</v>
      </c>
      <c r="D4466">
        <f>VLOOKUP(D4465,'Detail Balok'!$C$10:$AU$140,2,FALSE)</f>
        <v>200</v>
      </c>
      <c r="F4466" t="str">
        <v>x</v>
      </c>
      <c r="G4466">
        <f>VLOOKUP(D4465,'Detail Balok'!$C$10:$AU$140,3,FALSE)</f>
        <v>400</v>
      </c>
    </row>
    <row r="4467">
      <c r="C4467" t="str">
        <v>Panjang as ke as</v>
      </c>
      <c r="D4467">
        <f>VLOOKUP(C4465,'Data Panjang Balok'!$C$9:$N$254,4,FALSE)</f>
        <v>7150</v>
      </c>
    </row>
    <row r="4468">
      <c r="C4468" t="str">
        <v>Panjang netto</v>
      </c>
      <c r="D4468">
        <f>VLOOKUP(C4465,'Data Panjang Balok'!$C$9:$N$254,7,FALSE)</f>
        <v>7150</v>
      </c>
    </row>
    <row r="4469">
      <c r="C4469" t="str">
        <v>Kolom / balok kiri</v>
      </c>
      <c r="D4469">
        <f>VLOOKUP(C4465,'Data Panjang Balok'!$C$9:$N$254,9,FALSE)</f>
        <v>0</v>
      </c>
    </row>
    <row r="4470">
      <c r="C4470" t="str">
        <v>Kolom / balok kanan</v>
      </c>
      <c r="D4470">
        <f>VLOOKUP(C4465,'Data Panjang Balok'!$C$9:$N$254,10,FALSE)</f>
        <v>0</v>
      </c>
    </row>
    <row r="4471">
      <c r="C4471" t="str">
        <v>Jumlah</v>
      </c>
      <c r="D4471">
        <f>VLOOKUP(C4465,'Data Panjang Balok'!$C$9:$N$254,3,FALSE)</f>
        <v>1</v>
      </c>
    </row>
    <row r="4472">
      <c r="A4472" t="str">
        <f>A4465</f>
        <v>Lantai 3</v>
      </c>
      <c r="B4472">
        <f>B4465</f>
        <v>7</v>
      </c>
      <c r="C4472" t="str">
        <v>Tul Atas Tumpuan</v>
      </c>
      <c r="D4472">
        <f>VLOOKUP(D4465,'Detail Balok'!$C$10:$AU$140,4,FALSE)</f>
        <v>3</v>
      </c>
      <c r="E4472" t="str">
        <v>D</v>
      </c>
      <c r="F4472">
        <f>VLOOKUP(D4465,'Detail Balok'!$C$10:$AU$140,6,FALSE)</f>
        <v>16</v>
      </c>
      <c r="I4472" t="str">
        <v>(</v>
      </c>
      <c r="J4472">
        <f>+D4467/4/1000</f>
        <v>1.7875</v>
      </c>
      <c r="K4472" t="str">
        <v>+</v>
      </c>
      <c r="L4472">
        <f>MAX(VLOOKUP(F4472,N$6:P$15,3,FALSE)/1000,2/3*D4469/1000)+F$16*F4472/1000</f>
        <v>0.192</v>
      </c>
      <c r="M4472" t="str">
        <v>=</v>
      </c>
      <c r="N4472">
        <f>J4472+L4472</f>
        <v>1.9795</v>
      </c>
      <c r="O4472" t="str">
        <v>+</v>
      </c>
      <c r="P4472">
        <f>D4472-D4473</f>
        <v>0</v>
      </c>
      <c r="Q4472" t="str">
        <v>x</v>
      </c>
      <c r="R4472">
        <f>IF(P4472&gt;0,$F$18*F4472/1000,0)</f>
        <v>0</v>
      </c>
      <c r="S4472" t="str">
        <v>)</v>
      </c>
      <c r="T4472" t="str">
        <v>x</v>
      </c>
      <c r="U4472">
        <f>0.006165*F4472^2</f>
        <v>1.57824</v>
      </c>
      <c r="X4472" t="str">
        <v>x</v>
      </c>
      <c r="Y4472">
        <f>D4471</f>
        <v>1</v>
      </c>
      <c r="Z4472" t="str">
        <v>=</v>
      </c>
      <c r="AA4472">
        <f>IF(AA4475=0,(D4472*N4472+P4472*R4472)*U4472*Y4472,0)</f>
        <v>0</v>
      </c>
    </row>
    <row r="4473">
      <c r="A4473" t="str">
        <f>A4465</f>
        <v>Lantai 3</v>
      </c>
      <c r="B4473">
        <f>B4465</f>
        <v>7</v>
      </c>
      <c r="C4473" t="str">
        <v>Tul Atas Lapangan</v>
      </c>
      <c r="D4473">
        <f>VLOOKUP(D4465,'Detail Balok'!$C$10:$AU$140,7,FALSE)</f>
        <v>3</v>
      </c>
      <c r="E4473" t="str">
        <v>D</v>
      </c>
      <c r="F4473">
        <f>VLOOKUP(D4465,'Detail Balok'!$C$10:$AU$140,9,FALSE)</f>
        <v>16</v>
      </c>
      <c r="I4473" t="str">
        <v>(</v>
      </c>
      <c r="J4473">
        <f>+D4467/2/1000</f>
        <v>3.575</v>
      </c>
      <c r="K4473" t="str">
        <v>+</v>
      </c>
      <c r="M4473" t="str">
        <v>=</v>
      </c>
      <c r="N4473">
        <f>J4473+L4473</f>
        <v>3.575</v>
      </c>
      <c r="O4473" t="str">
        <v>+</v>
      </c>
      <c r="P4473">
        <f>MAX(D4473-D4472,D4473-D4474)</f>
        <v>0</v>
      </c>
      <c r="Q4473" t="str">
        <v>x</v>
      </c>
      <c r="R4473">
        <f>IF(P4473&gt;0,2*(1-2*$F$19-1/2)*D4468/1000,0)</f>
        <v>0</v>
      </c>
      <c r="S4473" t="str">
        <v>)</v>
      </c>
      <c r="T4473" t="str">
        <v>x</v>
      </c>
      <c r="U4473">
        <f>0.006165*F4473^2</f>
        <v>1.57824</v>
      </c>
      <c r="X4473" t="str">
        <v>x</v>
      </c>
      <c r="Y4473">
        <f>D4471</f>
        <v>1</v>
      </c>
      <c r="Z4473" t="str">
        <v>=</v>
      </c>
      <c r="AA4473">
        <f>IF(AA4475=0,(D4473*N4473+P4473*R4473)*U4473*Y4473,0)</f>
        <v>0</v>
      </c>
    </row>
    <row r="4474">
      <c r="A4474" t="str">
        <f>A4465</f>
        <v>Lantai 3</v>
      </c>
      <c r="B4474">
        <f>B4465</f>
        <v>7</v>
      </c>
      <c r="C4474" t="str">
        <v>Tul Atas Tumpuan</v>
      </c>
      <c r="D4474">
        <f>VLOOKUP(D4465,'Detail Balok'!$C$10:$AU$140,10,FALSE)</f>
        <v>3</v>
      </c>
      <c r="E4474" t="str">
        <v>D</v>
      </c>
      <c r="F4474">
        <f>VLOOKUP(D4465,'Detail Balok'!$C$10:$AU$140,12,FALSE)</f>
        <v>16</v>
      </c>
      <c r="I4474" t="str">
        <v>(</v>
      </c>
      <c r="J4474">
        <f>+D4467/4/1000</f>
        <v>1.7875</v>
      </c>
      <c r="K4474" t="str">
        <v>+</v>
      </c>
      <c r="L4474">
        <f>MAX(VLOOKUP(F4474,N$6:P$15,3,FALSE)/1000,2/3*D4469/1000)+F$16*F4474/1000</f>
        <v>0.192</v>
      </c>
      <c r="M4474" t="str">
        <v>=</v>
      </c>
      <c r="N4474">
        <f>J4474+L4474</f>
        <v>1.9795</v>
      </c>
      <c r="O4474" t="str">
        <v>+</v>
      </c>
      <c r="P4474">
        <f>D4474-D4473</f>
        <v>0</v>
      </c>
      <c r="Q4474" t="str">
        <v>x</v>
      </c>
      <c r="R4474">
        <f>IF(P4474&gt;0,$F$18*F4474/1000,0)</f>
        <v>0</v>
      </c>
      <c r="S4474" t="str">
        <v>)</v>
      </c>
      <c r="T4474" t="str">
        <v>x</v>
      </c>
      <c r="U4474">
        <f>0.006165*F4474^2</f>
        <v>1.57824</v>
      </c>
      <c r="X4474" t="str">
        <v>x</v>
      </c>
      <c r="Y4474">
        <f>D4471</f>
        <v>1</v>
      </c>
      <c r="Z4474" t="str">
        <v>=</v>
      </c>
      <c r="AA4474">
        <f>IF(AA4475=0,(D4474*N4474+P4474*R4474)*U4474*Y4474,0)</f>
        <v>0</v>
      </c>
    </row>
    <row r="4475">
      <c r="A4475" t="str">
        <f>A4465</f>
        <v>Lantai 3</v>
      </c>
      <c r="B4475">
        <f>B4465</f>
        <v>7</v>
      </c>
      <c r="D4475">
        <f>IF(AND(D4472=D4473,D4473=D4474,D4472=D4474),D4472,0)</f>
        <v>3</v>
      </c>
      <c r="E4475" t="str">
        <v>D</v>
      </c>
      <c r="F4475">
        <f>IF(AND(F4472=F4473,F4472=F4474,F4473=F4474),F4472,0)</f>
        <v>16</v>
      </c>
      <c r="L4475" t="str">
        <v>Total panjang per balok</v>
      </c>
      <c r="M4475" t="str">
        <v>=</v>
      </c>
      <c r="N4475">
        <f>IF(AND(D4472=D4473,D4472=D4474,D4473=D4474,F4472=F4473,F4472=F4474,F4473=F4474),SUM(N4472:N4474),0)</f>
        <v>7.534</v>
      </c>
      <c r="O4475" t="str">
        <v>+</v>
      </c>
      <c r="P4475">
        <f>IF(N4475&gt;12,ROUNDDOWN(N4475/12,0),0)</f>
        <v>0</v>
      </c>
      <c r="Q4475" t="str">
        <v>x</v>
      </c>
      <c r="R4475">
        <f>IF(P4475&gt;0,MAX(VLOOKUP(F4475,$D$6:$G$15,3,FALSE),600),0)/1000</f>
        <v>0</v>
      </c>
      <c r="T4475" t="str">
        <v>x</v>
      </c>
      <c r="U4475">
        <f>U4474</f>
        <v>1.57824</v>
      </c>
      <c r="V4475" t="str">
        <v>x</v>
      </c>
      <c r="W4475">
        <f>D4475</f>
        <v>3</v>
      </c>
      <c r="X4475" t="str">
        <v>x</v>
      </c>
      <c r="Y4475">
        <f>Y4474</f>
        <v>1</v>
      </c>
      <c r="Z4475" t="str">
        <v>=</v>
      </c>
      <c r="AA4475">
        <f>(N4475+P4475*R4475/1000)*U4475*W4475*Y4475</f>
        <v>35.671380479999996</v>
      </c>
    </row>
    <row r="4477">
      <c r="A4477" t="str">
        <f>A4465</f>
        <v>Lantai 3</v>
      </c>
      <c r="B4477">
        <f>B4465</f>
        <v>7</v>
      </c>
      <c r="C4477" t="str">
        <v>Tul Peminggang</v>
      </c>
      <c r="D4477">
        <f>VLOOKUP(D4465,'Detail Balok'!$C$10:$AU$140,13,FALSE)</f>
        <v>0</v>
      </c>
      <c r="E4477" t="str">
        <v>D</v>
      </c>
      <c r="F4477">
        <f>VLOOKUP(D4465,'Detail Balok'!$C$10:$AU$140,15,FALSE)</f>
        <v>8</v>
      </c>
      <c r="J4477">
        <f>+D4467/1000</f>
        <v>7.15</v>
      </c>
      <c r="K4477" t="str">
        <v>+</v>
      </c>
      <c r="L4477">
        <f>2*$F$16*F4477/1000</f>
        <v>0.192</v>
      </c>
      <c r="M4477" t="str">
        <v>=</v>
      </c>
      <c r="N4477">
        <f>J4477+L4477</f>
        <v>7.3420000000000005</v>
      </c>
      <c r="O4477" t="str">
        <v>+</v>
      </c>
      <c r="P4477">
        <f>IF(N4477&gt;12,ROUNDDOWN(N4477/12,0),0)</f>
        <v>0</v>
      </c>
      <c r="Q4477" t="str">
        <v>x</v>
      </c>
      <c r="R4477">
        <f>IF(P4477&gt;0,MAX(VLOOKUP(F4477,$D$6:$G$15,3,FALSE),600),0)/1000</f>
        <v>0</v>
      </c>
      <c r="T4477" t="str">
        <v>x</v>
      </c>
      <c r="U4477">
        <f>0.006165*F4477^2</f>
        <v>0.39456</v>
      </c>
      <c r="V4477" t="str">
        <v>x</v>
      </c>
      <c r="W4477">
        <f>+D4477</f>
        <v>0</v>
      </c>
      <c r="X4477" t="str">
        <v>x</v>
      </c>
      <c r="Y4477">
        <f>D4471</f>
        <v>1</v>
      </c>
      <c r="Z4477" t="str">
        <v>=</v>
      </c>
      <c r="AA4477">
        <f>(N4477+P4477*R4477/1000)*U4477*W4477*Y4477</f>
        <v>0</v>
      </c>
    </row>
    <row r="4480">
      <c r="A4480" t="str">
        <f>A4465</f>
        <v>Lantai 3</v>
      </c>
      <c r="B4480">
        <f>B4465</f>
        <v>7</v>
      </c>
      <c r="C4480" t="str">
        <v>Tul Bawah Tumpuan</v>
      </c>
      <c r="D4480">
        <f>VLOOKUP(D4465,'Detail Balok'!$C$10:$AU$140,22,FALSE)</f>
        <v>3</v>
      </c>
      <c r="E4480" t="str">
        <v>D</v>
      </c>
      <c r="F4480">
        <f>VLOOKUP(D4465,'Detail Balok'!$C$10:$AU$140,24,FALSE)</f>
        <v>16</v>
      </c>
      <c r="I4480" t="str">
        <v>(</v>
      </c>
      <c r="J4480">
        <f>+J4472</f>
        <v>1.7875</v>
      </c>
      <c r="K4480" t="str">
        <v>+</v>
      </c>
      <c r="L4480">
        <f>MAX(VLOOKUP(F4480,N$6:P$15,3,FALSE)/1000,2/3*D4470/1000)+F$16*F4480/1000</f>
        <v>0.192</v>
      </c>
      <c r="M4480" t="str">
        <v>=</v>
      </c>
      <c r="N4480">
        <f>J4480+L4480</f>
        <v>1.9795</v>
      </c>
      <c r="O4480" t="str">
        <v>+</v>
      </c>
      <c r="P4480">
        <f>D4480-D4481</f>
        <v>0</v>
      </c>
      <c r="Q4480" t="str">
        <v>x</v>
      </c>
      <c r="R4480">
        <f>IF(P4480&gt;0,$F$18*F4480/1000,0)</f>
        <v>0</v>
      </c>
      <c r="S4480" t="str">
        <v>)</v>
      </c>
      <c r="T4480" t="str">
        <v>x</v>
      </c>
      <c r="U4480">
        <f>0.006165*F4480^2</f>
        <v>1.57824</v>
      </c>
      <c r="X4480" t="str">
        <v>x</v>
      </c>
      <c r="Y4480">
        <f>D4471</f>
        <v>1</v>
      </c>
      <c r="Z4480" t="str">
        <v>=</v>
      </c>
      <c r="AA4480">
        <f>IF(AA4483=0,(D4480*N4480+P4480*R4480)*U4480*Y4480,0)</f>
        <v>0</v>
      </c>
    </row>
    <row r="4481">
      <c r="A4481" t="str">
        <f>A4465</f>
        <v>Lantai 3</v>
      </c>
      <c r="B4481">
        <f>B4465</f>
        <v>7</v>
      </c>
      <c r="C4481" t="str">
        <v>Tul Bawah Lapangan</v>
      </c>
      <c r="D4481">
        <f>VLOOKUP(D4465,'Detail Balok'!$C$10:$AU$140,25,FALSE)</f>
        <v>3</v>
      </c>
      <c r="E4481" t="str">
        <v>D</v>
      </c>
      <c r="F4481">
        <f>VLOOKUP(D4465,'Detail Balok'!$C$10:$AU$140,27,FALSE)</f>
        <v>16</v>
      </c>
      <c r="I4481" t="str">
        <v>(</v>
      </c>
      <c r="J4481">
        <f>+J4473</f>
        <v>3.575</v>
      </c>
      <c r="K4481" t="str">
        <v>+</v>
      </c>
      <c r="M4481" t="str">
        <v>=</v>
      </c>
      <c r="N4481">
        <f>J4481+L4481</f>
        <v>3.575</v>
      </c>
      <c r="O4481" t="str">
        <v>+</v>
      </c>
      <c r="P4481">
        <f>MAX(D4481-D4480,D4481-D4482)</f>
        <v>0</v>
      </c>
      <c r="Q4481" t="str">
        <v>x</v>
      </c>
      <c r="R4481">
        <f>IF(P4481&gt;0,2*(1-2*$F$19-1/2)*D4468/1000,0)</f>
        <v>0</v>
      </c>
      <c r="S4481" t="str">
        <v>)</v>
      </c>
      <c r="T4481" t="str">
        <v>x</v>
      </c>
      <c r="U4481">
        <f>0.006165*F4481^2</f>
        <v>1.57824</v>
      </c>
      <c r="X4481" t="str">
        <v>x</v>
      </c>
      <c r="Y4481">
        <f>D4471</f>
        <v>1</v>
      </c>
      <c r="Z4481" t="str">
        <v>=</v>
      </c>
      <c r="AA4481">
        <f>IF(AA4483=0,(D4481*N4481+P4481*R4481)*U4481*Y4481,0)</f>
        <v>0</v>
      </c>
    </row>
    <row r="4482">
      <c r="A4482" t="str">
        <f>A4465</f>
        <v>Lantai 3</v>
      </c>
      <c r="B4482">
        <f>B4465</f>
        <v>7</v>
      </c>
      <c r="C4482" t="str">
        <v>Tul Bawah Tumpuan</v>
      </c>
      <c r="D4482">
        <f>VLOOKUP(D4465,'Detail Balok'!$C$10:$AU$140,28,FALSE)</f>
        <v>3</v>
      </c>
      <c r="E4482" t="str">
        <v>D</v>
      </c>
      <c r="F4482">
        <f>VLOOKUP(D4465,'Detail Balok'!$C$10:$AU$140,30,FALSE)</f>
        <v>16</v>
      </c>
      <c r="I4482" t="str">
        <v>(</v>
      </c>
      <c r="J4482">
        <f>+J4474</f>
        <v>1.7875</v>
      </c>
      <c r="K4482" t="str">
        <v>+</v>
      </c>
      <c r="L4482">
        <f>MAX(VLOOKUP(F4482,N$6:P$15,3,FALSE)/1000,2/3*D4470/1000)+F$16*F4482/1000</f>
        <v>0.192</v>
      </c>
      <c r="M4482" t="str">
        <v>=</v>
      </c>
      <c r="N4482">
        <f>J4482+L4482</f>
        <v>1.9795</v>
      </c>
      <c r="O4482" t="str">
        <v>+</v>
      </c>
      <c r="P4482">
        <f>D4482-D4481</f>
        <v>0</v>
      </c>
      <c r="Q4482" t="str">
        <v>x</v>
      </c>
      <c r="R4482">
        <f>IF(P4482&gt;0,$F$18*F4482/1000,0)</f>
        <v>0</v>
      </c>
      <c r="S4482" t="str">
        <v>)</v>
      </c>
      <c r="T4482" t="str">
        <v>x</v>
      </c>
      <c r="U4482">
        <f>0.006165*F4482^2</f>
        <v>1.57824</v>
      </c>
      <c r="X4482" t="str">
        <v>x</v>
      </c>
      <c r="Y4482">
        <f>D4471</f>
        <v>1</v>
      </c>
      <c r="Z4482" t="str">
        <v>=</v>
      </c>
      <c r="AA4482">
        <f>IF(AA4483=0,(D4482*N4482+P4482*R4482)*U4482*Y4482,0)</f>
        <v>0</v>
      </c>
    </row>
    <row r="4483">
      <c r="A4483" t="str">
        <f>A4465</f>
        <v>Lantai 3</v>
      </c>
      <c r="B4483">
        <f>B4465</f>
        <v>7</v>
      </c>
      <c r="D4483">
        <f>IF(AND(D4480=D4481,D4481=D4482,D4480=D4482),D4480,0)</f>
        <v>3</v>
      </c>
      <c r="E4483" t="str">
        <v>D</v>
      </c>
      <c r="F4483">
        <f>IF(AND(F4480=F4481,F4480=F4482,F4481=F4482),F4480,0)</f>
        <v>16</v>
      </c>
      <c r="L4483" t="str">
        <v>Total panjang per balok</v>
      </c>
      <c r="M4483" t="str">
        <v>=</v>
      </c>
      <c r="N4483">
        <f>IF(AND(D4480=D4481,D4480=D4482,D4481=D4482,F4480=F4481,F4480=F4482,F4481=F4482),SUM(N4480:N4482),0)</f>
        <v>7.534</v>
      </c>
      <c r="O4483" t="str">
        <v>+</v>
      </c>
      <c r="P4483">
        <f>IF(N4483&gt;12,ROUNDDOWN(N4483/12,0),0)</f>
        <v>0</v>
      </c>
      <c r="Q4483" t="str">
        <v>x</v>
      </c>
      <c r="R4483">
        <f>IF(P4483&gt;0,MAX(VLOOKUP(F4483,$D$6:$G$15,3,FALSE),600),0)/1000</f>
        <v>0</v>
      </c>
      <c r="T4483" t="str">
        <v>x</v>
      </c>
      <c r="U4483">
        <f>U4482</f>
        <v>1.57824</v>
      </c>
      <c r="V4483" t="str">
        <v>x</v>
      </c>
      <c r="W4483">
        <f>D4483</f>
        <v>3</v>
      </c>
      <c r="X4483" t="str">
        <v>x</v>
      </c>
      <c r="Y4483">
        <f>Y4482</f>
        <v>1</v>
      </c>
      <c r="Z4483" t="str">
        <v>=</v>
      </c>
      <c r="AA4483">
        <f>(N4483+P4483*R4483/1000)*U4483*W4483*Y4483</f>
        <v>35.671380479999996</v>
      </c>
    </row>
    <row r="4485">
      <c r="A4485" t="str">
        <f>A4465</f>
        <v>Lantai 3</v>
      </c>
      <c r="B4485">
        <f>B4465</f>
        <v>7</v>
      </c>
      <c r="C4485" t="str">
        <v>Sengkang Tumpuan</v>
      </c>
      <c r="D4485">
        <f>VLOOKUP(D4465,'Detail Balok'!$C$10:$AU$140,31,FALSE)</f>
        <v>0</v>
      </c>
      <c r="E4485" t="str">
        <v>D</v>
      </c>
      <c r="F4485">
        <f>VLOOKUP(D4465,'Detail Balok'!$C$10:$AU$140,33,FALSE)</f>
        <v>10</v>
      </c>
      <c r="G4485" t="str">
        <v>-</v>
      </c>
      <c r="H4485">
        <f>VLOOKUP(D4465,'Detail Balok'!$C$10:$AU$140,35,FALSE)</f>
        <v>100</v>
      </c>
      <c r="J4485">
        <f>(IF(D4485=0,(2*(D4466+G4466))-(F$5*8),IF(D4485=3,(2*(D4466+G4466))-(F$5*8)+(G4466-2*F$5),IF(D4485=4,(2*(D4466+G4466))-(F$5*8)+2*(G4466-2*F$5)))))/1000</f>
        <v>0.88</v>
      </c>
      <c r="K4485" t="str">
        <v>+</v>
      </c>
      <c r="L4485">
        <f>IF(D4485=0,2*MAX(6*F4485,75),(D4485-1)*2*MAX(6*F4485,75))/1000</f>
        <v>0.15</v>
      </c>
      <c r="M4485" t="str">
        <v>=</v>
      </c>
      <c r="N4485">
        <f>J4485+L4485</f>
        <v>1.03</v>
      </c>
      <c r="T4485" t="str">
        <v>x</v>
      </c>
      <c r="U4485">
        <f>0.006165*F4485^2</f>
        <v>0.6165</v>
      </c>
      <c r="V4485" t="str">
        <v>x</v>
      </c>
      <c r="W4485">
        <f>IF(D4468&gt;4*G4466,ROUND(MAX(D4468/4,2*G4466)/H4485,0)+1,ROUND(D4468/H4485,0)+1)</f>
        <v>19</v>
      </c>
      <c r="X4485" t="str">
        <v>x</v>
      </c>
      <c r="Y4485">
        <f>D4471</f>
        <v>1</v>
      </c>
      <c r="Z4485" t="str">
        <v>=</v>
      </c>
      <c r="AA4485">
        <f>N4485*U4485*W4485*Y4485</f>
        <v>12.064905000000001</v>
      </c>
    </row>
    <row r="4486">
      <c r="A4486" t="str">
        <f>A4465</f>
        <v>Lantai 3</v>
      </c>
      <c r="B4486">
        <f>B4465</f>
        <v>7</v>
      </c>
      <c r="C4486" t="str">
        <v>Sengkang Lapangan</v>
      </c>
      <c r="D4486">
        <f>VLOOKUP(D4465,'Detail Balok'!$C$10:$AU$140,36,FALSE)</f>
        <v>0</v>
      </c>
      <c r="E4486" t="str">
        <v>D</v>
      </c>
      <c r="F4486">
        <f>VLOOKUP(D4465,'Detail Balok'!$C$10:$AU$140,38,FALSE)</f>
        <v>10</v>
      </c>
      <c r="G4486" t="str">
        <v>-</v>
      </c>
      <c r="H4486">
        <f>VLOOKUP(D4465,'Detail Balok'!$C$10:$AU$140,40,FALSE)</f>
        <v>100</v>
      </c>
      <c r="J4486">
        <f>(IF(D4486=0,(2*(D4466+G4466))-(F$5*8),IF(D4486=3,(2*(D4466+G4466))-(F$5*8)+(G4466-2*F$5),IF(D4486=4,(2*(D4466+G4466))-(F$5*8)+2*(G4466-2*F$5)))))/1000</f>
        <v>0.88</v>
      </c>
      <c r="K4486" t="str">
        <v>+</v>
      </c>
      <c r="L4486">
        <f>IF(D4486=0,2*MAX(6*F4486,75),(D4486-1)*2*MAX(6*F4486,75))/1000</f>
        <v>0.15</v>
      </c>
      <c r="M4486" t="str">
        <v>=</v>
      </c>
      <c r="N4486">
        <f>J4486+L4486</f>
        <v>1.03</v>
      </c>
      <c r="T4486" t="str">
        <v>x</v>
      </c>
      <c r="U4486">
        <f>0.006165*F4486^2</f>
        <v>0.6165</v>
      </c>
      <c r="V4486" t="str">
        <v>x</v>
      </c>
      <c r="W4486">
        <f>IF(D4468-MAX(D4468/4,2*G4466)*2&gt;0,ROUND((D4468-MAX(D4468/4,2*G4466)*2)/H4486,0),0)</f>
        <v>36</v>
      </c>
      <c r="X4486" t="str">
        <v>x</v>
      </c>
      <c r="Y4486">
        <f>D4471</f>
        <v>1</v>
      </c>
      <c r="Z4486" t="str">
        <v>=</v>
      </c>
      <c r="AA4486">
        <f>N4486*U4486*W4486*Y4486</f>
        <v>22.859820000000003</v>
      </c>
    </row>
    <row r="4487">
      <c r="A4487" t="str">
        <f>A4465</f>
        <v>Lantai 3</v>
      </c>
      <c r="B4487">
        <f>B4465</f>
        <v>7</v>
      </c>
      <c r="C4487" t="str">
        <v>Sengkang Tumpuan</v>
      </c>
      <c r="D4487">
        <f>VLOOKUP(D4465,'Detail Balok'!$C$10:$AU$140,41,FALSE)</f>
        <v>0</v>
      </c>
      <c r="E4487" t="str">
        <v>D</v>
      </c>
      <c r="F4487">
        <f>VLOOKUP(D4465,'Detail Balok'!$C$10:$AU$140,43,FALSE)</f>
        <v>10</v>
      </c>
      <c r="G4487" t="str">
        <v>-</v>
      </c>
      <c r="H4487">
        <f>VLOOKUP(D4465,'Detail Balok'!$C$10:$AU$140,45,FALSE)</f>
        <v>100</v>
      </c>
      <c r="J4487">
        <f>(IF(D4487=0,(2*(D4466+G4466))-(F$5*8),IF(D4487=3,(2*(D4466+G4466))-(F$5*8)+(G4466-2*F$5),IF(D4487=4,(2*(D4466+G4466))-(F$5*8)+2*(G4466-2*F$5)))))/1000</f>
        <v>0.88</v>
      </c>
      <c r="K4487" t="str">
        <v>+</v>
      </c>
      <c r="L4487">
        <f>IF(D4487=0,2*MAX(6*F4487,75),(D4487-1)*2*MAX(6*F4487,75))/1000</f>
        <v>0.15</v>
      </c>
      <c r="M4487" t="str">
        <v>=</v>
      </c>
      <c r="N4487">
        <f>J4487+L4487</f>
        <v>1.03</v>
      </c>
      <c r="T4487" t="str">
        <v>x</v>
      </c>
      <c r="U4487">
        <f>0.006165*F4487^2</f>
        <v>0.6165</v>
      </c>
      <c r="V4487" t="str">
        <v>x</v>
      </c>
      <c r="W4487">
        <f>IF(D4468&gt;4*G4466,ROUND(MAX(D4468/4,2*G4466)/H4487,0)+1,0)</f>
        <v>19</v>
      </c>
      <c r="X4487" t="str">
        <v>x</v>
      </c>
      <c r="Y4487">
        <f>D4471</f>
        <v>1</v>
      </c>
      <c r="Z4487" t="str">
        <v>=</v>
      </c>
      <c r="AA4487">
        <f>N4487*U4487*W4487*Y4487</f>
        <v>12.064905000000001</v>
      </c>
    </row>
    <row r="4489">
      <c r="A4489" t="str">
        <f>A4465</f>
        <v>Lantai 3</v>
      </c>
      <c r="B4489">
        <f>B4465</f>
        <v>7</v>
      </c>
      <c r="C4489" t="str">
        <v>Kait Horizontal Tump.</v>
      </c>
      <c r="D4489">
        <f>VLOOKUP(D4465,'Detail Balok'!$C$10:$BJ$140,46,FALSE)</f>
        <v>0</v>
      </c>
      <c r="E4489" t="str">
        <v>D</v>
      </c>
      <c r="F4489">
        <f>VLOOKUP(D4465,'Detail Balok'!$C$10:$BJ$140,48,FALSE)</f>
        <v>0</v>
      </c>
      <c r="G4489" t="str">
        <v>-</v>
      </c>
      <c r="H4489">
        <f>VLOOKUP(D4465,'Detail Balok'!$C$10:$BJ$140,50,FALSE)</f>
        <v>100</v>
      </c>
      <c r="J4489">
        <f>(D4466-2*F$5)/1000</f>
        <v>0.12</v>
      </c>
      <c r="K4489" t="str">
        <v>+</v>
      </c>
      <c r="L4489">
        <f>IF(D4489=0,2*MAX(6*F4489,75),(D4489-1)*2*MAX(6*F4489,75))/1000</f>
        <v>0.15</v>
      </c>
      <c r="M4489" t="str">
        <v>=</v>
      </c>
      <c r="N4489">
        <f>J4489+L4489</f>
        <v>0.27</v>
      </c>
      <c r="T4489" t="str">
        <v>x</v>
      </c>
      <c r="U4489">
        <f>0.006165*F4489^2</f>
        <v>0</v>
      </c>
      <c r="V4489" t="str">
        <v>x</v>
      </c>
      <c r="W4489">
        <f>W4485</f>
        <v>19</v>
      </c>
      <c r="X4489" t="str">
        <v>x</v>
      </c>
      <c r="Y4489">
        <f>D4475</f>
        <v>3</v>
      </c>
      <c r="Z4489" t="str">
        <v>=</v>
      </c>
      <c r="AA4489">
        <f>N4489*U4489*W4489*Y4489</f>
        <v>0</v>
      </c>
    </row>
    <row r="4490">
      <c r="A4490" t="str">
        <f>A4465</f>
        <v>Lantai 3</v>
      </c>
      <c r="B4490">
        <f>B4465</f>
        <v>7</v>
      </c>
      <c r="C4490" t="str">
        <v>Kait Horizontal Lap.</v>
      </c>
      <c r="D4490">
        <f>VLOOKUP(D4465,'Detail Balok'!$C$10:$BJ$140,51,FALSE)</f>
        <v>0</v>
      </c>
      <c r="E4490" t="str">
        <v>D</v>
      </c>
      <c r="F4490">
        <f>VLOOKUP(D4465,'Detail Balok'!$C$10:$BJ$140,53,FALSE)</f>
        <v>0</v>
      </c>
      <c r="G4490" t="str">
        <v>-</v>
      </c>
      <c r="H4490">
        <f>VLOOKUP(D4465,'Detail Balok'!$C$10:$BJ$140,55,FALSE)</f>
        <v>100</v>
      </c>
      <c r="J4490">
        <f>(D4466-2*F$5)/1000</f>
        <v>0.12</v>
      </c>
      <c r="K4490" t="str">
        <v>+</v>
      </c>
      <c r="L4490">
        <f>IF(D4490=0,2*MAX(6*F4490,75),(D4490-1)*2*MAX(6*F4490,75))/1000</f>
        <v>0.15</v>
      </c>
      <c r="M4490" t="str">
        <v>=</v>
      </c>
      <c r="N4490">
        <f>J4490+L4490</f>
        <v>0.27</v>
      </c>
      <c r="T4490" t="str">
        <v>x</v>
      </c>
      <c r="U4490">
        <f>0.006165*F4490^2</f>
        <v>0</v>
      </c>
      <c r="V4490" t="str">
        <v>x</v>
      </c>
      <c r="W4490">
        <f>W4486</f>
        <v>36</v>
      </c>
      <c r="X4490" t="str">
        <v>x</v>
      </c>
      <c r="Y4490">
        <f>D4475</f>
        <v>3</v>
      </c>
      <c r="Z4490" t="str">
        <v>=</v>
      </c>
      <c r="AA4490">
        <f>N4490*U4490*W4490*Y4490</f>
        <v>0</v>
      </c>
    </row>
    <row r="4491">
      <c r="A4491" t="str">
        <f>A4465</f>
        <v>Lantai 3</v>
      </c>
      <c r="B4491">
        <f>B4465</f>
        <v>7</v>
      </c>
      <c r="C4491" t="str">
        <v>Kait Horizontal Tump.</v>
      </c>
      <c r="D4491">
        <f>VLOOKUP(D4465,'Detail Balok'!$C$10:$BJ$140,56,FALSE)</f>
        <v>0</v>
      </c>
      <c r="E4491" t="str">
        <v>D</v>
      </c>
      <c r="F4491">
        <f>VLOOKUP(D4465,'Detail Balok'!$C$10:$BJ$140,58,FALSE)</f>
        <v>0</v>
      </c>
      <c r="G4491" t="str">
        <v>-</v>
      </c>
      <c r="H4491">
        <f>VLOOKUP(D4465,'Detail Balok'!$C$10:$BJ$140,60,FALSE)</f>
        <v>100</v>
      </c>
      <c r="J4491">
        <f>(D4466-2*F$5)/1000</f>
        <v>0.12</v>
      </c>
      <c r="K4491" t="str">
        <v>+</v>
      </c>
      <c r="L4491">
        <f>IF(D4491=0,2*MAX(6*F4491,75),(D4491-1)*2*MAX(6*F4491,75))/1000</f>
        <v>0.15</v>
      </c>
      <c r="M4491" t="str">
        <v>=</v>
      </c>
      <c r="N4491">
        <f>J4491+L4491</f>
        <v>0.27</v>
      </c>
      <c r="T4491" t="str">
        <v>x</v>
      </c>
      <c r="U4491">
        <f>0.006165*F4491^2</f>
        <v>0</v>
      </c>
      <c r="V4491" t="str">
        <v>x</v>
      </c>
      <c r="W4491">
        <f>W4487</f>
        <v>19</v>
      </c>
      <c r="X4491" t="str">
        <v>x</v>
      </c>
      <c r="Y4491">
        <f>D4475</f>
        <v>3</v>
      </c>
      <c r="Z4491" t="str">
        <v>=</v>
      </c>
      <c r="AA4491">
        <f>N4491*U4491*W4491*Y4491</f>
        <v>0</v>
      </c>
    </row>
    <row r="4495">
      <c r="A4495" t="str">
        <f>A4465</f>
        <v>Lantai 3</v>
      </c>
      <c r="B4495">
        <f>B4465+1</f>
        <v>8</v>
      </c>
      <c r="C4495" t="str">
        <f>CONCATENATE(A4495," no. ",B4495)</f>
        <v>Lantai 3 no. 8</v>
      </c>
      <c r="D4495" t="str">
        <f>VLOOKUP(C4495,'Data Panjang Balok'!$C$9:$N$254,2,FALSE)</f>
        <v>B26-1</v>
      </c>
    </row>
    <row r="4496">
      <c r="C4496" t="str">
        <v>Dimensi</v>
      </c>
      <c r="D4496">
        <f>VLOOKUP(D4495,'Detail Balok'!$C$10:$AU$140,2,FALSE)</f>
        <v>200</v>
      </c>
      <c r="F4496" t="str">
        <v>x</v>
      </c>
      <c r="G4496">
        <f>VLOOKUP(D4495,'Detail Balok'!$C$10:$AU$140,3,FALSE)</f>
        <v>600</v>
      </c>
    </row>
    <row r="4497">
      <c r="C4497" t="str">
        <v>Panjang as ke as</v>
      </c>
      <c r="D4497">
        <f>VLOOKUP(C4495,'Data Panjang Balok'!$C$9:$N$254,4,FALSE)</f>
        <v>6075</v>
      </c>
    </row>
    <row r="4498">
      <c r="C4498" t="str">
        <v>Panjang netto</v>
      </c>
      <c r="D4498">
        <f>VLOOKUP(C4495,'Data Panjang Balok'!$C$9:$N$254,7,FALSE)</f>
        <v>6075</v>
      </c>
    </row>
    <row r="4499">
      <c r="C4499" t="str">
        <v>Kolom / balok kiri</v>
      </c>
      <c r="D4499">
        <f>VLOOKUP(C4495,'Data Panjang Balok'!$C$9:$N$254,9,FALSE)</f>
        <v>0</v>
      </c>
    </row>
    <row r="4500">
      <c r="C4500" t="str">
        <v>Kolom / balok kanan</v>
      </c>
      <c r="D4500">
        <f>VLOOKUP(C4495,'Data Panjang Balok'!$C$9:$N$254,10,FALSE)</f>
        <v>0</v>
      </c>
    </row>
    <row r="4501">
      <c r="C4501" t="str">
        <v>Jumlah</v>
      </c>
      <c r="D4501">
        <f>VLOOKUP(C4495,'Data Panjang Balok'!$C$9:$N$254,3,FALSE)</f>
        <v>1</v>
      </c>
    </row>
    <row r="4502">
      <c r="A4502" t="str">
        <f>A4495</f>
        <v>Lantai 3</v>
      </c>
      <c r="B4502">
        <f>B4495</f>
        <v>8</v>
      </c>
      <c r="C4502" t="str">
        <v>Tul Atas Tumpuan</v>
      </c>
      <c r="D4502">
        <f>VLOOKUP(D4495,'Detail Balok'!$C$10:$AU$140,4,FALSE)</f>
        <v>4</v>
      </c>
      <c r="E4502" t="str">
        <v>D</v>
      </c>
      <c r="F4502">
        <f>VLOOKUP(D4495,'Detail Balok'!$C$10:$AU$140,6,FALSE)</f>
        <v>16</v>
      </c>
      <c r="I4502" t="str">
        <v>(</v>
      </c>
      <c r="J4502">
        <f>+D4497/4/1000</f>
        <v>1.51875</v>
      </c>
      <c r="K4502" t="str">
        <v>+</v>
      </c>
      <c r="L4502">
        <f>MAX(VLOOKUP(F4502,N$6:P$15,3,FALSE)/1000,2/3*D4499/1000)+F$16*F4502/1000</f>
        <v>0.192</v>
      </c>
      <c r="M4502" t="str">
        <v>=</v>
      </c>
      <c r="N4502">
        <f>J4502+L4502</f>
        <v>1.71075</v>
      </c>
      <c r="O4502" t="str">
        <v>+</v>
      </c>
      <c r="P4502">
        <f>D4502-D4503</f>
        <v>1</v>
      </c>
      <c r="Q4502" t="str">
        <v>x</v>
      </c>
      <c r="R4502">
        <f>IF(P4502&gt;0,$F$18*F4502/1000,0)</f>
        <v>0.24</v>
      </c>
      <c r="S4502" t="str">
        <v>)</v>
      </c>
      <c r="T4502" t="str">
        <v>x</v>
      </c>
      <c r="U4502">
        <f>0.006165*F4502^2</f>
        <v>1.57824</v>
      </c>
      <c r="X4502" t="str">
        <v>x</v>
      </c>
      <c r="Y4502">
        <f>D4501</f>
        <v>1</v>
      </c>
      <c r="Z4502" t="str">
        <v>=</v>
      </c>
      <c r="AA4502">
        <f>IF(AA4505=0,(D4502*N4502+P4502*R4502)*U4502*Y4502,0)</f>
        <v>11.178673920000001</v>
      </c>
    </row>
    <row r="4503">
      <c r="A4503" t="str">
        <f>A4495</f>
        <v>Lantai 3</v>
      </c>
      <c r="B4503">
        <f>B4495</f>
        <v>8</v>
      </c>
      <c r="C4503" t="str">
        <v>Tul Atas Lapangan</v>
      </c>
      <c r="D4503">
        <f>VLOOKUP(D4495,'Detail Balok'!$C$10:$AU$140,7,FALSE)</f>
        <v>3</v>
      </c>
      <c r="E4503" t="str">
        <v>D</v>
      </c>
      <c r="F4503">
        <f>VLOOKUP(D4495,'Detail Balok'!$C$10:$AU$140,9,FALSE)</f>
        <v>16</v>
      </c>
      <c r="I4503" t="str">
        <v>(</v>
      </c>
      <c r="J4503">
        <f>+D4497/2/1000</f>
        <v>3.0375</v>
      </c>
      <c r="K4503" t="str">
        <v>+</v>
      </c>
      <c r="M4503" t="str">
        <v>=</v>
      </c>
      <c r="N4503">
        <f>J4503+L4503</f>
        <v>3.0375</v>
      </c>
      <c r="O4503" t="str">
        <v>+</v>
      </c>
      <c r="P4503">
        <f>MAX(D4503-D4502,D4503-D4504)</f>
        <v>-1</v>
      </c>
      <c r="Q4503" t="str">
        <v>x</v>
      </c>
      <c r="R4503">
        <f>IF(P4503&gt;0,2*(1-2*$F$19-1/2)*D4498/1000,0)</f>
        <v>0</v>
      </c>
      <c r="S4503" t="str">
        <v>)</v>
      </c>
      <c r="T4503" t="str">
        <v>x</v>
      </c>
      <c r="U4503">
        <f>0.006165*F4503^2</f>
        <v>1.57824</v>
      </c>
      <c r="X4503" t="str">
        <v>x</v>
      </c>
      <c r="Y4503">
        <f>D4501</f>
        <v>1</v>
      </c>
      <c r="Z4503" t="str">
        <v>=</v>
      </c>
      <c r="AA4503">
        <f>IF(AA4505=0,(D4503*N4503+P4503*R4503)*U4503*Y4503,0)</f>
        <v>14.381712000000002</v>
      </c>
    </row>
    <row r="4504">
      <c r="A4504" t="str">
        <f>A4495</f>
        <v>Lantai 3</v>
      </c>
      <c r="B4504">
        <f>B4495</f>
        <v>8</v>
      </c>
      <c r="C4504" t="str">
        <v>Tul Atas Tumpuan</v>
      </c>
      <c r="D4504">
        <f>VLOOKUP(D4495,'Detail Balok'!$C$10:$AU$140,10,FALSE)</f>
        <v>4</v>
      </c>
      <c r="E4504" t="str">
        <v>D</v>
      </c>
      <c r="F4504">
        <f>VLOOKUP(D4495,'Detail Balok'!$C$10:$AU$140,12,FALSE)</f>
        <v>16</v>
      </c>
      <c r="I4504" t="str">
        <v>(</v>
      </c>
      <c r="J4504">
        <f>+D4497/4/1000</f>
        <v>1.51875</v>
      </c>
      <c r="K4504" t="str">
        <v>+</v>
      </c>
      <c r="L4504">
        <f>MAX(VLOOKUP(F4504,N$6:P$15,3,FALSE)/1000,2/3*D4499/1000)+F$16*F4504/1000</f>
        <v>0.192</v>
      </c>
      <c r="M4504" t="str">
        <v>=</v>
      </c>
      <c r="N4504">
        <f>J4504+L4504</f>
        <v>1.71075</v>
      </c>
      <c r="O4504" t="str">
        <v>+</v>
      </c>
      <c r="P4504">
        <f>D4504-D4503</f>
        <v>1</v>
      </c>
      <c r="Q4504" t="str">
        <v>x</v>
      </c>
      <c r="R4504">
        <f>IF(P4504&gt;0,$F$18*F4504/1000,0)</f>
        <v>0.24</v>
      </c>
      <c r="S4504" t="str">
        <v>)</v>
      </c>
      <c r="T4504" t="str">
        <v>x</v>
      </c>
      <c r="U4504">
        <f>0.006165*F4504^2</f>
        <v>1.57824</v>
      </c>
      <c r="X4504" t="str">
        <v>x</v>
      </c>
      <c r="Y4504">
        <f>D4501</f>
        <v>1</v>
      </c>
      <c r="Z4504" t="str">
        <v>=</v>
      </c>
      <c r="AA4504">
        <f>IF(AA4505=0,(D4504*N4504+P4504*R4504)*U4504*Y4504,0)</f>
        <v>11.178673920000001</v>
      </c>
    </row>
    <row r="4505">
      <c r="A4505" t="str">
        <f>A4495</f>
        <v>Lantai 3</v>
      </c>
      <c r="B4505">
        <f>B4495</f>
        <v>8</v>
      </c>
      <c r="D4505">
        <f>IF(AND(D4502=D4503,D4503=D4504,D4502=D4504),D4502,0)</f>
        <v>0</v>
      </c>
      <c r="E4505" t="str">
        <v>D</v>
      </c>
      <c r="F4505">
        <f>IF(AND(F4502=F4503,F4502=F4504,F4503=F4504),F4502,0)</f>
        <v>16</v>
      </c>
      <c r="L4505" t="str">
        <v>Total panjang per balok</v>
      </c>
      <c r="M4505" t="str">
        <v>=</v>
      </c>
      <c r="N4505">
        <f>IF(AND(D4502=D4503,D4502=D4504,D4503=D4504,F4502=F4503,F4502=F4504,F4503=F4504),SUM(N4502:N4504),0)</f>
        <v>0</v>
      </c>
      <c r="O4505" t="str">
        <v>+</v>
      </c>
      <c r="P4505">
        <f>IF(N4505&gt;12,ROUNDDOWN(N4505/12,0),0)</f>
        <v>0</v>
      </c>
      <c r="Q4505" t="str">
        <v>x</v>
      </c>
      <c r="R4505">
        <f>IF(P4505&gt;0,MAX(VLOOKUP(F4505,$D$6:$G$15,3,FALSE),600),0)/1000</f>
        <v>0</v>
      </c>
      <c r="T4505" t="str">
        <v>x</v>
      </c>
      <c r="U4505">
        <f>U4504</f>
        <v>1.57824</v>
      </c>
      <c r="V4505" t="str">
        <v>x</v>
      </c>
      <c r="W4505">
        <f>D4505</f>
        <v>0</v>
      </c>
      <c r="X4505" t="str">
        <v>x</v>
      </c>
      <c r="Y4505">
        <f>Y4504</f>
        <v>1</v>
      </c>
      <c r="Z4505" t="str">
        <v>=</v>
      </c>
      <c r="AA4505">
        <f>(N4505+P4505*R4505/1000)*U4505*W4505*Y4505</f>
        <v>0</v>
      </c>
    </row>
    <row r="4507">
      <c r="A4507" t="str">
        <f>A4495</f>
        <v>Lantai 3</v>
      </c>
      <c r="B4507">
        <f>B4495</f>
        <v>8</v>
      </c>
      <c r="C4507" t="str">
        <v>Tul Peminggang</v>
      </c>
      <c r="D4507">
        <f>VLOOKUP(D4495,'Detail Balok'!$C$10:$AU$140,13,FALSE)</f>
        <v>2</v>
      </c>
      <c r="E4507" t="str">
        <v>D</v>
      </c>
      <c r="F4507">
        <f>VLOOKUP(D4495,'Detail Balok'!$C$10:$AU$140,15,FALSE)</f>
        <v>10</v>
      </c>
      <c r="J4507">
        <f>+D4497/1000</f>
        <v>6.075</v>
      </c>
      <c r="K4507" t="str">
        <v>+</v>
      </c>
      <c r="L4507">
        <f>2*$F$16*F4507/1000</f>
        <v>0.24</v>
      </c>
      <c r="M4507" t="str">
        <v>=</v>
      </c>
      <c r="N4507">
        <f>J4507+L4507</f>
        <v>6.315</v>
      </c>
      <c r="O4507" t="str">
        <v>+</v>
      </c>
      <c r="P4507">
        <f>IF(N4507&gt;12,ROUNDDOWN(N4507/12,0),0)</f>
        <v>0</v>
      </c>
      <c r="Q4507" t="str">
        <v>x</v>
      </c>
      <c r="R4507">
        <f>IF(P4507&gt;0,MAX(VLOOKUP(F4507,$D$6:$G$15,3,FALSE),600),0)/1000</f>
        <v>0</v>
      </c>
      <c r="T4507" t="str">
        <v>x</v>
      </c>
      <c r="U4507">
        <f>0.006165*F4507^2</f>
        <v>0.6165</v>
      </c>
      <c r="V4507" t="str">
        <v>x</v>
      </c>
      <c r="W4507">
        <f>+D4507</f>
        <v>2</v>
      </c>
      <c r="X4507" t="str">
        <v>x</v>
      </c>
      <c r="Y4507">
        <f>D4501</f>
        <v>1</v>
      </c>
      <c r="Z4507" t="str">
        <v>=</v>
      </c>
      <c r="AA4507">
        <f>(N4507+P4507*R4507/1000)*U4507*W4507*Y4507</f>
        <v>7.7863950000000015</v>
      </c>
    </row>
    <row r="4510">
      <c r="A4510" t="str">
        <f>A4495</f>
        <v>Lantai 3</v>
      </c>
      <c r="B4510">
        <f>B4495</f>
        <v>8</v>
      </c>
      <c r="C4510" t="str">
        <v>Tul Bawah Tumpuan</v>
      </c>
      <c r="D4510">
        <f>VLOOKUP(D4495,'Detail Balok'!$C$10:$AU$140,22,FALSE)</f>
        <v>3</v>
      </c>
      <c r="E4510" t="str">
        <v>D</v>
      </c>
      <c r="F4510">
        <f>VLOOKUP(D4495,'Detail Balok'!$C$10:$AU$140,24,FALSE)</f>
        <v>16</v>
      </c>
      <c r="I4510" t="str">
        <v>(</v>
      </c>
      <c r="J4510">
        <f>+J4502</f>
        <v>1.51875</v>
      </c>
      <c r="K4510" t="str">
        <v>+</v>
      </c>
      <c r="L4510">
        <f>MAX(VLOOKUP(F4510,N$6:P$15,3,FALSE)/1000,2/3*D4500/1000)+F$16*F4510/1000</f>
        <v>0.192</v>
      </c>
      <c r="M4510" t="str">
        <v>=</v>
      </c>
      <c r="N4510">
        <f>J4510+L4510</f>
        <v>1.71075</v>
      </c>
      <c r="O4510" t="str">
        <v>+</v>
      </c>
      <c r="P4510">
        <f>D4510-D4511</f>
        <v>-1</v>
      </c>
      <c r="Q4510" t="str">
        <v>x</v>
      </c>
      <c r="R4510">
        <f>IF(P4510&gt;0,$F$18*F4510/1000,0)</f>
        <v>0</v>
      </c>
      <c r="S4510" t="str">
        <v>)</v>
      </c>
      <c r="T4510" t="str">
        <v>x</v>
      </c>
      <c r="U4510">
        <f>0.006165*F4510^2</f>
        <v>1.57824</v>
      </c>
      <c r="X4510" t="str">
        <v>x</v>
      </c>
      <c r="Y4510">
        <f>D4501</f>
        <v>1</v>
      </c>
      <c r="Z4510" t="str">
        <v>=</v>
      </c>
      <c r="AA4510">
        <f>IF(AA4513=0,(D4510*N4510+P4510*R4510)*U4510*Y4510,0)</f>
        <v>8.09992224</v>
      </c>
    </row>
    <row r="4511">
      <c r="A4511" t="str">
        <f>A4495</f>
        <v>Lantai 3</v>
      </c>
      <c r="B4511">
        <f>B4495</f>
        <v>8</v>
      </c>
      <c r="C4511" t="str">
        <v>Tul Bawah Lapangan</v>
      </c>
      <c r="D4511">
        <f>VLOOKUP(D4495,'Detail Balok'!$C$10:$AU$140,25,FALSE)</f>
        <v>4</v>
      </c>
      <c r="E4511" t="str">
        <v>D</v>
      </c>
      <c r="F4511">
        <f>VLOOKUP(D4495,'Detail Balok'!$C$10:$AU$140,27,FALSE)</f>
        <v>16</v>
      </c>
      <c r="I4511" t="str">
        <v>(</v>
      </c>
      <c r="J4511">
        <f>+J4503</f>
        <v>3.0375</v>
      </c>
      <c r="K4511" t="str">
        <v>+</v>
      </c>
      <c r="M4511" t="str">
        <v>=</v>
      </c>
      <c r="N4511">
        <f>J4511+L4511</f>
        <v>3.0375</v>
      </c>
      <c r="O4511" t="str">
        <v>+</v>
      </c>
      <c r="P4511">
        <f>MAX(D4511-D4510,D4511-D4512)</f>
        <v>1</v>
      </c>
      <c r="Q4511" t="str">
        <v>x</v>
      </c>
      <c r="R4511">
        <f>IF(P4511&gt;0,2*(1-2*$F$19-1/2)*D4498/1000,0)</f>
        <v>1.2149999999999999</v>
      </c>
      <c r="S4511" t="str">
        <v>)</v>
      </c>
      <c r="T4511" t="str">
        <v>x</v>
      </c>
      <c r="U4511">
        <f>0.006165*F4511^2</f>
        <v>1.57824</v>
      </c>
      <c r="X4511" t="str">
        <v>x</v>
      </c>
      <c r="Y4511">
        <f>D4501</f>
        <v>1</v>
      </c>
      <c r="Z4511" t="str">
        <v>=</v>
      </c>
      <c r="AA4511">
        <f>IF(AA4513=0,(D4511*N4511+P4511*R4511)*U4511*Y4511,0)</f>
        <v>21.0931776</v>
      </c>
    </row>
    <row r="4512">
      <c r="A4512" t="str">
        <f>A4495</f>
        <v>Lantai 3</v>
      </c>
      <c r="B4512">
        <f>B4495</f>
        <v>8</v>
      </c>
      <c r="C4512" t="str">
        <v>Tul Bawah Tumpuan</v>
      </c>
      <c r="D4512">
        <f>VLOOKUP(D4495,'Detail Balok'!$C$10:$AU$140,28,FALSE)</f>
        <v>3</v>
      </c>
      <c r="E4512" t="str">
        <v>D</v>
      </c>
      <c r="F4512">
        <f>VLOOKUP(D4495,'Detail Balok'!$C$10:$AU$140,30,FALSE)</f>
        <v>16</v>
      </c>
      <c r="I4512" t="str">
        <v>(</v>
      </c>
      <c r="J4512">
        <f>+J4504</f>
        <v>1.51875</v>
      </c>
      <c r="K4512" t="str">
        <v>+</v>
      </c>
      <c r="L4512">
        <f>MAX(VLOOKUP(F4512,N$6:P$15,3,FALSE)/1000,2/3*D4500/1000)+F$16*F4512/1000</f>
        <v>0.192</v>
      </c>
      <c r="M4512" t="str">
        <v>=</v>
      </c>
      <c r="N4512">
        <f>J4512+L4512</f>
        <v>1.71075</v>
      </c>
      <c r="O4512" t="str">
        <v>+</v>
      </c>
      <c r="P4512">
        <f>D4512-D4511</f>
        <v>-1</v>
      </c>
      <c r="Q4512" t="str">
        <v>x</v>
      </c>
      <c r="R4512">
        <f>IF(P4512&gt;0,$F$18*F4512/1000,0)</f>
        <v>0</v>
      </c>
      <c r="S4512" t="str">
        <v>)</v>
      </c>
      <c r="T4512" t="str">
        <v>x</v>
      </c>
      <c r="U4512">
        <f>0.006165*F4512^2</f>
        <v>1.57824</v>
      </c>
      <c r="X4512" t="str">
        <v>x</v>
      </c>
      <c r="Y4512">
        <f>D4501</f>
        <v>1</v>
      </c>
      <c r="Z4512" t="str">
        <v>=</v>
      </c>
      <c r="AA4512">
        <f>IF(AA4513=0,(D4512*N4512+P4512*R4512)*U4512*Y4512,0)</f>
        <v>8.09992224</v>
      </c>
    </row>
    <row r="4513">
      <c r="A4513" t="str">
        <f>A4495</f>
        <v>Lantai 3</v>
      </c>
      <c r="B4513">
        <f>B4495</f>
        <v>8</v>
      </c>
      <c r="D4513">
        <f>IF(AND(D4510=D4511,D4511=D4512,D4510=D4512),D4510,0)</f>
        <v>0</v>
      </c>
      <c r="E4513" t="str">
        <v>D</v>
      </c>
      <c r="F4513">
        <f>IF(AND(F4510=F4511,F4510=F4512,F4511=F4512),F4510,0)</f>
        <v>16</v>
      </c>
      <c r="L4513" t="str">
        <v>Total panjang per balok</v>
      </c>
      <c r="M4513" t="str">
        <v>=</v>
      </c>
      <c r="N4513">
        <f>IF(AND(D4510=D4511,D4510=D4512,D4511=D4512,F4510=F4511,F4510=F4512,F4511=F4512),SUM(N4510:N4512),0)</f>
        <v>0</v>
      </c>
      <c r="O4513" t="str">
        <v>+</v>
      </c>
      <c r="P4513">
        <f>IF(N4513&gt;12,ROUNDDOWN(N4513/12,0),0)</f>
        <v>0</v>
      </c>
      <c r="Q4513" t="str">
        <v>x</v>
      </c>
      <c r="R4513">
        <f>IF(P4513&gt;0,MAX(VLOOKUP(F4513,$D$6:$G$15,3,FALSE),600),0)/1000</f>
        <v>0</v>
      </c>
      <c r="T4513" t="str">
        <v>x</v>
      </c>
      <c r="U4513">
        <f>U4512</f>
        <v>1.57824</v>
      </c>
      <c r="V4513" t="str">
        <v>x</v>
      </c>
      <c r="W4513">
        <f>D4513</f>
        <v>0</v>
      </c>
      <c r="X4513" t="str">
        <v>x</v>
      </c>
      <c r="Y4513">
        <f>Y4512</f>
        <v>1</v>
      </c>
      <c r="Z4513" t="str">
        <v>=</v>
      </c>
      <c r="AA4513">
        <f>(N4513+P4513*R4513/1000)*U4513*W4513*Y4513</f>
        <v>0</v>
      </c>
    </row>
    <row r="4515">
      <c r="A4515" t="str">
        <f>A4495</f>
        <v>Lantai 3</v>
      </c>
      <c r="B4515">
        <f>B4495</f>
        <v>8</v>
      </c>
      <c r="C4515" t="str">
        <v>Sengkang Tumpuan</v>
      </c>
      <c r="D4515">
        <f>VLOOKUP(D4495,'Detail Balok'!$C$10:$AU$140,31,FALSE)</f>
        <v>0</v>
      </c>
      <c r="E4515" t="str">
        <v>D</v>
      </c>
      <c r="F4515">
        <f>VLOOKUP(D4495,'Detail Balok'!$C$10:$AU$140,33,FALSE)</f>
        <v>10</v>
      </c>
      <c r="G4515" t="str">
        <v>-</v>
      </c>
      <c r="H4515">
        <f>VLOOKUP(D4495,'Detail Balok'!$C$10:$AU$140,35,FALSE)</f>
        <v>100</v>
      </c>
      <c r="J4515">
        <f>(IF(D4515=0,(2*(D4496+G4496))-(F$5*8),IF(D4515=3,(2*(D4496+G4496))-(F$5*8)+(G4496-2*F$5),IF(D4515=4,(2*(D4496+G4496))-(F$5*8)+2*(G4496-2*F$5)))))/1000</f>
        <v>1.28</v>
      </c>
      <c r="K4515" t="str">
        <v>+</v>
      </c>
      <c r="L4515">
        <f>IF(D4515=0,2*MAX(6*F4515,75),(D4515-1)*2*MAX(6*F4515,75))/1000</f>
        <v>0.15</v>
      </c>
      <c r="M4515" t="str">
        <v>=</v>
      </c>
      <c r="N4515">
        <f>J4515+L4515</f>
        <v>1.43</v>
      </c>
      <c r="T4515" t="str">
        <v>x</v>
      </c>
      <c r="U4515">
        <f>0.006165*F4515^2</f>
        <v>0.6165</v>
      </c>
      <c r="V4515" t="str">
        <v>x</v>
      </c>
      <c r="W4515">
        <f>IF(D4498&gt;4*G4496,ROUND(MAX(D4498/4,2*G4496)/H4515,0)+1,ROUND(D4498/H4515,0)+1)</f>
        <v>16</v>
      </c>
      <c r="X4515" t="str">
        <v>x</v>
      </c>
      <c r="Y4515">
        <f>D4501</f>
        <v>1</v>
      </c>
      <c r="Z4515" t="str">
        <v>=</v>
      </c>
      <c r="AA4515">
        <f>N4515*U4515*W4515*Y4515</f>
        <v>14.10552</v>
      </c>
    </row>
    <row r="4516">
      <c r="A4516" t="str">
        <f>A4495</f>
        <v>Lantai 3</v>
      </c>
      <c r="B4516">
        <f>B4495</f>
        <v>8</v>
      </c>
      <c r="C4516" t="str">
        <v>Sengkang Lapangan</v>
      </c>
      <c r="D4516">
        <f>VLOOKUP(D4495,'Detail Balok'!$C$10:$AU$140,36,FALSE)</f>
        <v>0</v>
      </c>
      <c r="E4516" t="str">
        <v>D</v>
      </c>
      <c r="F4516">
        <f>VLOOKUP(D4495,'Detail Balok'!$C$10:$AU$140,38,FALSE)</f>
        <v>10</v>
      </c>
      <c r="G4516" t="str">
        <v>-</v>
      </c>
      <c r="H4516">
        <f>VLOOKUP(D4495,'Detail Balok'!$C$10:$AU$140,40,FALSE)</f>
        <v>150</v>
      </c>
      <c r="J4516">
        <f>(IF(D4516=0,(2*(D4496+G4496))-(F$5*8),IF(D4516=3,(2*(D4496+G4496))-(F$5*8)+(G4496-2*F$5),IF(D4516=4,(2*(D4496+G4496))-(F$5*8)+2*(G4496-2*F$5)))))/1000</f>
        <v>1.28</v>
      </c>
      <c r="K4516" t="str">
        <v>+</v>
      </c>
      <c r="L4516">
        <f>IF(D4516=0,2*MAX(6*F4516,75),(D4516-1)*2*MAX(6*F4516,75))/1000</f>
        <v>0.15</v>
      </c>
      <c r="M4516" t="str">
        <v>=</v>
      </c>
      <c r="N4516">
        <f>J4516+L4516</f>
        <v>1.43</v>
      </c>
      <c r="T4516" t="str">
        <v>x</v>
      </c>
      <c r="U4516">
        <f>0.006165*F4516^2</f>
        <v>0.6165</v>
      </c>
      <c r="V4516" t="str">
        <v>x</v>
      </c>
      <c r="W4516">
        <f>IF(D4498-MAX(D4498/4,2*G4496)*2&gt;0,ROUND((D4498-MAX(D4498/4,2*G4496)*2)/H4516,0),0)</f>
        <v>20</v>
      </c>
      <c r="X4516" t="str">
        <v>x</v>
      </c>
      <c r="Y4516">
        <f>D4501</f>
        <v>1</v>
      </c>
      <c r="Z4516" t="str">
        <v>=</v>
      </c>
      <c r="AA4516">
        <f>N4516*U4516*W4516*Y4516</f>
        <v>17.6319</v>
      </c>
    </row>
    <row r="4517">
      <c r="A4517" t="str">
        <f>A4495</f>
        <v>Lantai 3</v>
      </c>
      <c r="B4517">
        <f>B4495</f>
        <v>8</v>
      </c>
      <c r="C4517" t="str">
        <v>Sengkang Tumpuan</v>
      </c>
      <c r="D4517">
        <f>VLOOKUP(D4495,'Detail Balok'!$C$10:$AU$140,41,FALSE)</f>
        <v>0</v>
      </c>
      <c r="E4517" t="str">
        <v>D</v>
      </c>
      <c r="F4517">
        <f>VLOOKUP(D4495,'Detail Balok'!$C$10:$AU$140,43,FALSE)</f>
        <v>10</v>
      </c>
      <c r="G4517" t="str">
        <v>-</v>
      </c>
      <c r="H4517">
        <f>VLOOKUP(D4495,'Detail Balok'!$C$10:$AU$140,45,FALSE)</f>
        <v>100</v>
      </c>
      <c r="J4517">
        <f>(IF(D4517=0,(2*(D4496+G4496))-(F$5*8),IF(D4517=3,(2*(D4496+G4496))-(F$5*8)+(G4496-2*F$5),IF(D4517=4,(2*(D4496+G4496))-(F$5*8)+2*(G4496-2*F$5)))))/1000</f>
        <v>1.28</v>
      </c>
      <c r="K4517" t="str">
        <v>+</v>
      </c>
      <c r="L4517">
        <f>IF(D4517=0,2*MAX(6*F4517,75),(D4517-1)*2*MAX(6*F4517,75))/1000</f>
        <v>0.15</v>
      </c>
      <c r="M4517" t="str">
        <v>=</v>
      </c>
      <c r="N4517">
        <f>J4517+L4517</f>
        <v>1.43</v>
      </c>
      <c r="T4517" t="str">
        <v>x</v>
      </c>
      <c r="U4517">
        <f>0.006165*F4517^2</f>
        <v>0.6165</v>
      </c>
      <c r="V4517" t="str">
        <v>x</v>
      </c>
      <c r="W4517">
        <f>IF(D4498&gt;4*G4496,ROUND(MAX(D4498/4,2*G4496)/H4517,0)+1,0)</f>
        <v>16</v>
      </c>
      <c r="X4517" t="str">
        <v>x</v>
      </c>
      <c r="Y4517">
        <f>D4501</f>
        <v>1</v>
      </c>
      <c r="Z4517" t="str">
        <v>=</v>
      </c>
      <c r="AA4517">
        <f>N4517*U4517*W4517*Y4517</f>
        <v>14.10552</v>
      </c>
    </row>
    <row r="4519">
      <c r="A4519" t="str">
        <f>A4495</f>
        <v>Lantai 3</v>
      </c>
      <c r="B4519">
        <f>B4495</f>
        <v>8</v>
      </c>
      <c r="C4519" t="str">
        <v>Kait Horizontal Tump.</v>
      </c>
      <c r="D4519">
        <f>VLOOKUP(D4495,'Detail Balok'!$C$10:$BJ$140,46,FALSE)</f>
        <v>0</v>
      </c>
      <c r="E4519" t="str">
        <v>D</v>
      </c>
      <c r="F4519">
        <f>VLOOKUP(D4495,'Detail Balok'!$C$10:$BJ$140,48,FALSE)</f>
        <v>0</v>
      </c>
      <c r="G4519" t="str">
        <v>-</v>
      </c>
      <c r="H4519">
        <f>VLOOKUP(D4495,'Detail Balok'!$C$10:$BJ$140,50,FALSE)</f>
        <v>100</v>
      </c>
      <c r="J4519">
        <f>(D4496-2*F$5)/1000</f>
        <v>0.12</v>
      </c>
      <c r="K4519" t="str">
        <v>+</v>
      </c>
      <c r="L4519">
        <f>IF(D4519=0,2*MAX(6*F4519,75),(D4519-1)*2*MAX(6*F4519,75))/1000</f>
        <v>0.15</v>
      </c>
      <c r="M4519" t="str">
        <v>=</v>
      </c>
      <c r="N4519">
        <f>J4519+L4519</f>
        <v>0.27</v>
      </c>
      <c r="T4519" t="str">
        <v>x</v>
      </c>
      <c r="U4519">
        <f>0.006165*F4519^2</f>
        <v>0</v>
      </c>
      <c r="V4519" t="str">
        <v>x</v>
      </c>
      <c r="W4519">
        <f>W4515</f>
        <v>16</v>
      </c>
      <c r="X4519" t="str">
        <v>x</v>
      </c>
      <c r="Y4519">
        <f>D4505</f>
        <v>0</v>
      </c>
      <c r="Z4519" t="str">
        <v>=</v>
      </c>
      <c r="AA4519">
        <f>N4519*U4519*W4519*Y4519</f>
        <v>0</v>
      </c>
    </row>
    <row r="4520">
      <c r="A4520" t="str">
        <f>A4495</f>
        <v>Lantai 3</v>
      </c>
      <c r="B4520">
        <f>B4495</f>
        <v>8</v>
      </c>
      <c r="C4520" t="str">
        <v>Kait Horizontal Lap.</v>
      </c>
      <c r="D4520">
        <f>VLOOKUP(D4495,'Detail Balok'!$C$10:$BJ$140,51,FALSE)</f>
        <v>0</v>
      </c>
      <c r="E4520" t="str">
        <v>D</v>
      </c>
      <c r="F4520">
        <f>VLOOKUP(D4495,'Detail Balok'!$C$10:$BJ$140,53,FALSE)</f>
        <v>0</v>
      </c>
      <c r="G4520" t="str">
        <v>-</v>
      </c>
      <c r="H4520">
        <f>VLOOKUP(D4495,'Detail Balok'!$C$10:$BJ$140,55,FALSE)</f>
        <v>100</v>
      </c>
      <c r="J4520">
        <f>(D4496-2*F$5)/1000</f>
        <v>0.12</v>
      </c>
      <c r="K4520" t="str">
        <v>+</v>
      </c>
      <c r="L4520">
        <f>IF(D4520=0,2*MAX(6*F4520,75),(D4520-1)*2*MAX(6*F4520,75))/1000</f>
        <v>0.15</v>
      </c>
      <c r="M4520" t="str">
        <v>=</v>
      </c>
      <c r="N4520">
        <f>J4520+L4520</f>
        <v>0.27</v>
      </c>
      <c r="T4520" t="str">
        <v>x</v>
      </c>
      <c r="U4520">
        <f>0.006165*F4520^2</f>
        <v>0</v>
      </c>
      <c r="V4520" t="str">
        <v>x</v>
      </c>
      <c r="W4520">
        <f>W4516</f>
        <v>20</v>
      </c>
      <c r="X4520" t="str">
        <v>x</v>
      </c>
      <c r="Y4520">
        <f>D4505</f>
        <v>0</v>
      </c>
      <c r="Z4520" t="str">
        <v>=</v>
      </c>
      <c r="AA4520">
        <f>N4520*U4520*W4520*Y4520</f>
        <v>0</v>
      </c>
    </row>
    <row r="4521">
      <c r="A4521" t="str">
        <f>A4495</f>
        <v>Lantai 3</v>
      </c>
      <c r="B4521">
        <f>B4495</f>
        <v>8</v>
      </c>
      <c r="C4521" t="str">
        <v>Kait Horizontal Tump.</v>
      </c>
      <c r="D4521">
        <f>VLOOKUP(D4495,'Detail Balok'!$C$10:$BJ$140,56,FALSE)</f>
        <v>0</v>
      </c>
      <c r="E4521" t="str">
        <v>D</v>
      </c>
      <c r="F4521">
        <f>VLOOKUP(D4495,'Detail Balok'!$C$10:$BJ$140,58,FALSE)</f>
        <v>0</v>
      </c>
      <c r="G4521" t="str">
        <v>-</v>
      </c>
      <c r="H4521">
        <f>VLOOKUP(D4495,'Detail Balok'!$C$10:$BJ$140,60,FALSE)</f>
        <v>100</v>
      </c>
      <c r="J4521">
        <f>(D4496-2*F$5)/1000</f>
        <v>0.12</v>
      </c>
      <c r="K4521" t="str">
        <v>+</v>
      </c>
      <c r="L4521">
        <f>IF(D4521=0,2*MAX(6*F4521,75),(D4521-1)*2*MAX(6*F4521,75))/1000</f>
        <v>0.15</v>
      </c>
      <c r="M4521" t="str">
        <v>=</v>
      </c>
      <c r="N4521">
        <f>J4521+L4521</f>
        <v>0.27</v>
      </c>
      <c r="T4521" t="str">
        <v>x</v>
      </c>
      <c r="U4521">
        <f>0.006165*F4521^2</f>
        <v>0</v>
      </c>
      <c r="V4521" t="str">
        <v>x</v>
      </c>
      <c r="W4521">
        <f>W4517</f>
        <v>16</v>
      </c>
      <c r="X4521" t="str">
        <v>x</v>
      </c>
      <c r="Y4521">
        <f>D4505</f>
        <v>0</v>
      </c>
      <c r="Z4521" t="str">
        <v>=</v>
      </c>
      <c r="AA4521">
        <f>N4521*U4521*W4521*Y4521</f>
        <v>0</v>
      </c>
    </row>
    <row r="4525">
      <c r="A4525" t="str">
        <f>A4495</f>
        <v>Lantai 3</v>
      </c>
      <c r="B4525">
        <f>B4495+1</f>
        <v>9</v>
      </c>
      <c r="C4525" t="str">
        <f>CONCATENATE(A4525," no. ",B4525)</f>
        <v>Lantai 3 no. 9</v>
      </c>
      <c r="D4525" t="str">
        <f>VLOOKUP(C4525,'Data Panjang Balok'!$C$9:$N$254,2,FALSE)</f>
        <v>CL24-1</v>
      </c>
    </row>
    <row r="4526">
      <c r="C4526" t="str">
        <v>Dimensi</v>
      </c>
      <c r="D4526">
        <f>VLOOKUP(D4525,'Detail Balok'!$C$10:$AU$140,2,FALSE)</f>
        <v>200</v>
      </c>
      <c r="F4526" t="str">
        <v>x</v>
      </c>
      <c r="G4526">
        <f>VLOOKUP(D4525,'Detail Balok'!$C$10:$AU$140,3,FALSE)</f>
        <v>400</v>
      </c>
    </row>
    <row r="4527">
      <c r="C4527" t="str">
        <v>Panjang as ke as</v>
      </c>
      <c r="D4527">
        <f>VLOOKUP(C4525,'Data Panjang Balok'!$C$9:$N$254,4,FALSE)</f>
        <v>1000</v>
      </c>
    </row>
    <row r="4528">
      <c r="C4528" t="str">
        <v>Panjang netto</v>
      </c>
      <c r="D4528">
        <f>VLOOKUP(C4525,'Data Panjang Balok'!$C$9:$N$254,7,FALSE)</f>
        <v>1000</v>
      </c>
    </row>
    <row r="4529">
      <c r="C4529" t="str">
        <v>Kolom / balok kiri</v>
      </c>
      <c r="D4529">
        <f>VLOOKUP(C4525,'Data Panjang Balok'!$C$9:$N$254,9,FALSE)</f>
        <v>0</v>
      </c>
    </row>
    <row r="4530">
      <c r="C4530" t="str">
        <v>Kolom / balok kanan</v>
      </c>
      <c r="D4530">
        <f>VLOOKUP(C4525,'Data Panjang Balok'!$C$9:$N$254,10,FALSE)</f>
        <v>0</v>
      </c>
    </row>
    <row r="4531">
      <c r="C4531" t="str">
        <v>Jumlah</v>
      </c>
      <c r="D4531">
        <f>VLOOKUP(C4525,'Data Panjang Balok'!$C$9:$N$254,3,FALSE)</f>
        <v>1</v>
      </c>
    </row>
    <row r="4532">
      <c r="A4532" t="str">
        <f>A4525</f>
        <v>Lantai 3</v>
      </c>
      <c r="B4532">
        <f>B4525</f>
        <v>9</v>
      </c>
      <c r="C4532" t="str">
        <v>Tul Atas Tumpuan</v>
      </c>
      <c r="D4532">
        <f>VLOOKUP(D4525,'Detail Balok'!$C$10:$AU$140,4,FALSE)</f>
        <v>3</v>
      </c>
      <c r="E4532" t="str">
        <v>D</v>
      </c>
      <c r="F4532">
        <f>VLOOKUP(D4525,'Detail Balok'!$C$10:$AU$140,6,FALSE)</f>
        <v>16</v>
      </c>
      <c r="I4532" t="str">
        <v>(</v>
      </c>
      <c r="J4532">
        <f>+D4527/4/1000</f>
        <v>0.25</v>
      </c>
      <c r="K4532" t="str">
        <v>+</v>
      </c>
      <c r="L4532">
        <f>MAX(VLOOKUP(F4532,N$6:P$15,3,FALSE)/1000,2/3*D4529/1000)+F$16*F4532/1000</f>
        <v>0.192</v>
      </c>
      <c r="M4532" t="str">
        <v>=</v>
      </c>
      <c r="N4532">
        <f>J4532+L4532</f>
        <v>0.442</v>
      </c>
      <c r="O4532" t="str">
        <v>+</v>
      </c>
      <c r="P4532">
        <f>D4532-D4533</f>
        <v>0</v>
      </c>
      <c r="Q4532" t="str">
        <v>x</v>
      </c>
      <c r="R4532">
        <f>IF(P4532&gt;0,$F$18*F4532/1000,0)</f>
        <v>0</v>
      </c>
      <c r="S4532" t="str">
        <v>)</v>
      </c>
      <c r="T4532" t="str">
        <v>x</v>
      </c>
      <c r="U4532">
        <f>0.006165*F4532^2</f>
        <v>1.57824</v>
      </c>
      <c r="X4532" t="str">
        <v>x</v>
      </c>
      <c r="Y4532">
        <f>D4531</f>
        <v>1</v>
      </c>
      <c r="Z4532" t="str">
        <v>=</v>
      </c>
      <c r="AA4532">
        <f>IF(AA4535=0,(D4532*N4532+P4532*R4532)*U4532*Y4532,0)</f>
        <v>0</v>
      </c>
    </row>
    <row r="4533">
      <c r="A4533" t="str">
        <f>A4525</f>
        <v>Lantai 3</v>
      </c>
      <c r="B4533">
        <f>B4525</f>
        <v>9</v>
      </c>
      <c r="C4533" t="str">
        <v>Tul Atas Lapangan</v>
      </c>
      <c r="D4533">
        <f>VLOOKUP(D4525,'Detail Balok'!$C$10:$AU$140,7,FALSE)</f>
        <v>3</v>
      </c>
      <c r="E4533" t="str">
        <v>D</v>
      </c>
      <c r="F4533">
        <f>VLOOKUP(D4525,'Detail Balok'!$C$10:$AU$140,9,FALSE)</f>
        <v>16</v>
      </c>
      <c r="I4533" t="str">
        <v>(</v>
      </c>
      <c r="J4533">
        <f>+D4527/2/1000</f>
        <v>0.5</v>
      </c>
      <c r="K4533" t="str">
        <v>+</v>
      </c>
      <c r="M4533" t="str">
        <v>=</v>
      </c>
      <c r="N4533">
        <f>J4533+L4533</f>
        <v>0.5</v>
      </c>
      <c r="O4533" t="str">
        <v>+</v>
      </c>
      <c r="P4533">
        <f>MAX(D4533-D4532,D4533-D4534)</f>
        <v>0</v>
      </c>
      <c r="Q4533" t="str">
        <v>x</v>
      </c>
      <c r="R4533">
        <f>IF(P4533&gt;0,2*(1-2*$F$19-1/2)*D4528/1000,0)</f>
        <v>0</v>
      </c>
      <c r="S4533" t="str">
        <v>)</v>
      </c>
      <c r="T4533" t="str">
        <v>x</v>
      </c>
      <c r="U4533">
        <f>0.006165*F4533^2</f>
        <v>1.57824</v>
      </c>
      <c r="X4533" t="str">
        <v>x</v>
      </c>
      <c r="Y4533">
        <f>D4531</f>
        <v>1</v>
      </c>
      <c r="Z4533" t="str">
        <v>=</v>
      </c>
      <c r="AA4533">
        <f>IF(AA4535=0,(D4533*N4533+P4533*R4533)*U4533*Y4533,0)</f>
        <v>0</v>
      </c>
    </row>
    <row r="4534">
      <c r="A4534" t="str">
        <f>A4525</f>
        <v>Lantai 3</v>
      </c>
      <c r="B4534">
        <f>B4525</f>
        <v>9</v>
      </c>
      <c r="C4534" t="str">
        <v>Tul Atas Tumpuan</v>
      </c>
      <c r="D4534">
        <f>VLOOKUP(D4525,'Detail Balok'!$C$10:$AU$140,10,FALSE)</f>
        <v>3</v>
      </c>
      <c r="E4534" t="str">
        <v>D</v>
      </c>
      <c r="F4534">
        <f>VLOOKUP(D4525,'Detail Balok'!$C$10:$AU$140,12,FALSE)</f>
        <v>16</v>
      </c>
      <c r="I4534" t="str">
        <v>(</v>
      </c>
      <c r="J4534">
        <f>+D4527/4/1000</f>
        <v>0.25</v>
      </c>
      <c r="K4534" t="str">
        <v>+</v>
      </c>
      <c r="L4534">
        <f>MAX(VLOOKUP(F4534,N$6:P$15,3,FALSE)/1000,2/3*D4529/1000)+F$16*F4534/1000</f>
        <v>0.192</v>
      </c>
      <c r="M4534" t="str">
        <v>=</v>
      </c>
      <c r="N4534">
        <f>J4534+L4534</f>
        <v>0.442</v>
      </c>
      <c r="O4534" t="str">
        <v>+</v>
      </c>
      <c r="P4534">
        <f>D4534-D4533</f>
        <v>0</v>
      </c>
      <c r="Q4534" t="str">
        <v>x</v>
      </c>
      <c r="R4534">
        <f>IF(P4534&gt;0,$F$18*F4534/1000,0)</f>
        <v>0</v>
      </c>
      <c r="S4534" t="str">
        <v>)</v>
      </c>
      <c r="T4534" t="str">
        <v>x</v>
      </c>
      <c r="U4534">
        <f>0.006165*F4534^2</f>
        <v>1.57824</v>
      </c>
      <c r="X4534" t="str">
        <v>x</v>
      </c>
      <c r="Y4534">
        <f>D4531</f>
        <v>1</v>
      </c>
      <c r="Z4534" t="str">
        <v>=</v>
      </c>
      <c r="AA4534">
        <f>IF(AA4535=0,(D4534*N4534+P4534*R4534)*U4534*Y4534,0)</f>
        <v>0</v>
      </c>
    </row>
    <row r="4535">
      <c r="A4535" t="str">
        <f>A4525</f>
        <v>Lantai 3</v>
      </c>
      <c r="B4535">
        <f>B4525</f>
        <v>9</v>
      </c>
      <c r="D4535">
        <f>IF(AND(D4532=D4533,D4533=D4534,D4532=D4534),D4532,0)</f>
        <v>3</v>
      </c>
      <c r="E4535" t="str">
        <v>D</v>
      </c>
      <c r="F4535">
        <f>IF(AND(F4532=F4533,F4532=F4534,F4533=F4534),F4532,0)</f>
        <v>16</v>
      </c>
      <c r="L4535" t="str">
        <v>Total panjang per balok</v>
      </c>
      <c r="M4535" t="str">
        <v>=</v>
      </c>
      <c r="N4535">
        <f>IF(AND(D4532=D4533,D4532=D4534,D4533=D4534,F4532=F4533,F4532=F4534,F4533=F4534),SUM(N4532:N4534),0)</f>
        <v>1.384</v>
      </c>
      <c r="O4535" t="str">
        <v>+</v>
      </c>
      <c r="P4535">
        <f>IF(N4535&gt;12,ROUNDDOWN(N4535/12,0),0)</f>
        <v>0</v>
      </c>
      <c r="Q4535" t="str">
        <v>x</v>
      </c>
      <c r="R4535">
        <f>IF(P4535&gt;0,MAX(VLOOKUP(F4535,$D$6:$G$15,3,FALSE),600),0)/1000</f>
        <v>0</v>
      </c>
      <c r="T4535" t="str">
        <v>x</v>
      </c>
      <c r="U4535">
        <f>U4534</f>
        <v>1.57824</v>
      </c>
      <c r="V4535" t="str">
        <v>x</v>
      </c>
      <c r="W4535">
        <f>D4535</f>
        <v>3</v>
      </c>
      <c r="X4535" t="str">
        <v>x</v>
      </c>
      <c r="Y4535">
        <f>Y4534</f>
        <v>1</v>
      </c>
      <c r="Z4535" t="str">
        <v>=</v>
      </c>
      <c r="AA4535">
        <f>(N4535+P4535*R4535/1000)*U4535*W4535*Y4535</f>
        <v>6.552852479999999</v>
      </c>
    </row>
    <row r="4537">
      <c r="A4537" t="str">
        <f>A4525</f>
        <v>Lantai 3</v>
      </c>
      <c r="B4537">
        <f>B4525</f>
        <v>9</v>
      </c>
      <c r="C4537" t="str">
        <v>Tul Peminggang</v>
      </c>
      <c r="D4537">
        <f>VLOOKUP(D4525,'Detail Balok'!$C$10:$AU$140,13,FALSE)</f>
        <v>0</v>
      </c>
      <c r="E4537" t="str">
        <v>D</v>
      </c>
      <c r="F4537">
        <f>VLOOKUP(D4525,'Detail Balok'!$C$10:$AU$140,15,FALSE)</f>
        <v>8</v>
      </c>
      <c r="J4537">
        <f>+D4527/1000</f>
        <v>1</v>
      </c>
      <c r="K4537" t="str">
        <v>+</v>
      </c>
      <c r="L4537">
        <f>2*$F$16*F4537/1000</f>
        <v>0.192</v>
      </c>
      <c r="M4537" t="str">
        <v>=</v>
      </c>
      <c r="N4537">
        <f>J4537+L4537</f>
        <v>1.192</v>
      </c>
      <c r="O4537" t="str">
        <v>+</v>
      </c>
      <c r="P4537">
        <f>IF(N4537&gt;12,ROUNDDOWN(N4537/12,0),0)</f>
        <v>0</v>
      </c>
      <c r="Q4537" t="str">
        <v>x</v>
      </c>
      <c r="R4537">
        <f>IF(P4537&gt;0,MAX(VLOOKUP(F4537,$D$6:$G$15,3,FALSE),600),0)/1000</f>
        <v>0</v>
      </c>
      <c r="T4537" t="str">
        <v>x</v>
      </c>
      <c r="U4537">
        <f>0.006165*F4537^2</f>
        <v>0.39456</v>
      </c>
      <c r="V4537" t="str">
        <v>x</v>
      </c>
      <c r="W4537">
        <f>+D4537</f>
        <v>0</v>
      </c>
      <c r="X4537" t="str">
        <v>x</v>
      </c>
      <c r="Y4537">
        <f>D4531</f>
        <v>1</v>
      </c>
      <c r="Z4537" t="str">
        <v>=</v>
      </c>
      <c r="AA4537">
        <f>(N4537+P4537*R4537/1000)*U4537*W4537*Y4537</f>
        <v>0</v>
      </c>
    </row>
    <row r="4540">
      <c r="A4540" t="str">
        <f>A4525</f>
        <v>Lantai 3</v>
      </c>
      <c r="B4540">
        <f>B4525</f>
        <v>9</v>
      </c>
      <c r="C4540" t="str">
        <v>Tul Bawah Tumpuan</v>
      </c>
      <c r="D4540">
        <f>VLOOKUP(D4525,'Detail Balok'!$C$10:$AU$140,22,FALSE)</f>
        <v>3</v>
      </c>
      <c r="E4540" t="str">
        <v>D</v>
      </c>
      <c r="F4540">
        <f>VLOOKUP(D4525,'Detail Balok'!$C$10:$AU$140,24,FALSE)</f>
        <v>16</v>
      </c>
      <c r="I4540" t="str">
        <v>(</v>
      </c>
      <c r="J4540">
        <f>+J4532</f>
        <v>0.25</v>
      </c>
      <c r="K4540" t="str">
        <v>+</v>
      </c>
      <c r="L4540">
        <f>MAX(VLOOKUP(F4540,N$6:P$15,3,FALSE)/1000,2/3*D4530/1000)+F$16*F4540/1000</f>
        <v>0.192</v>
      </c>
      <c r="M4540" t="str">
        <v>=</v>
      </c>
      <c r="N4540">
        <f>J4540+L4540</f>
        <v>0.442</v>
      </c>
      <c r="O4540" t="str">
        <v>+</v>
      </c>
      <c r="P4540">
        <f>D4540-D4541</f>
        <v>0</v>
      </c>
      <c r="Q4540" t="str">
        <v>x</v>
      </c>
      <c r="R4540">
        <f>IF(P4540&gt;0,$F$18*F4540/1000,0)</f>
        <v>0</v>
      </c>
      <c r="S4540" t="str">
        <v>)</v>
      </c>
      <c r="T4540" t="str">
        <v>x</v>
      </c>
      <c r="U4540">
        <f>0.006165*F4540^2</f>
        <v>1.57824</v>
      </c>
      <c r="X4540" t="str">
        <v>x</v>
      </c>
      <c r="Y4540">
        <f>D4531</f>
        <v>1</v>
      </c>
      <c r="Z4540" t="str">
        <v>=</v>
      </c>
      <c r="AA4540">
        <f>IF(AA4543=0,(D4540*N4540+P4540*R4540)*U4540*Y4540,0)</f>
        <v>0</v>
      </c>
    </row>
    <row r="4541">
      <c r="A4541" t="str">
        <f>A4525</f>
        <v>Lantai 3</v>
      </c>
      <c r="B4541">
        <f>B4525</f>
        <v>9</v>
      </c>
      <c r="C4541" t="str">
        <v>Tul Bawah Lapangan</v>
      </c>
      <c r="D4541">
        <f>VLOOKUP(D4525,'Detail Balok'!$C$10:$AU$140,25,FALSE)</f>
        <v>3</v>
      </c>
      <c r="E4541" t="str">
        <v>D</v>
      </c>
      <c r="F4541">
        <f>VLOOKUP(D4525,'Detail Balok'!$C$10:$AU$140,27,FALSE)</f>
        <v>16</v>
      </c>
      <c r="I4541" t="str">
        <v>(</v>
      </c>
      <c r="J4541">
        <f>+J4533</f>
        <v>0.5</v>
      </c>
      <c r="K4541" t="str">
        <v>+</v>
      </c>
      <c r="M4541" t="str">
        <v>=</v>
      </c>
      <c r="N4541">
        <f>J4541+L4541</f>
        <v>0.5</v>
      </c>
      <c r="O4541" t="str">
        <v>+</v>
      </c>
      <c r="P4541">
        <f>MAX(D4541-D4540,D4541-D4542)</f>
        <v>0</v>
      </c>
      <c r="Q4541" t="str">
        <v>x</v>
      </c>
      <c r="R4541">
        <f>IF(P4541&gt;0,2*(1-2*$F$19-1/2)*D4528/1000,0)</f>
        <v>0</v>
      </c>
      <c r="S4541" t="str">
        <v>)</v>
      </c>
      <c r="T4541" t="str">
        <v>x</v>
      </c>
      <c r="U4541">
        <f>0.006165*F4541^2</f>
        <v>1.57824</v>
      </c>
      <c r="X4541" t="str">
        <v>x</v>
      </c>
      <c r="Y4541">
        <f>D4531</f>
        <v>1</v>
      </c>
      <c r="Z4541" t="str">
        <v>=</v>
      </c>
      <c r="AA4541">
        <f>IF(AA4543=0,(D4541*N4541+P4541*R4541)*U4541*Y4541,0)</f>
        <v>0</v>
      </c>
    </row>
    <row r="4542">
      <c r="A4542" t="str">
        <f>A4525</f>
        <v>Lantai 3</v>
      </c>
      <c r="B4542">
        <f>B4525</f>
        <v>9</v>
      </c>
      <c r="C4542" t="str">
        <v>Tul Bawah Tumpuan</v>
      </c>
      <c r="D4542">
        <f>VLOOKUP(D4525,'Detail Balok'!$C$10:$AU$140,28,FALSE)</f>
        <v>3</v>
      </c>
      <c r="E4542" t="str">
        <v>D</v>
      </c>
      <c r="F4542">
        <f>VLOOKUP(D4525,'Detail Balok'!$C$10:$AU$140,30,FALSE)</f>
        <v>16</v>
      </c>
      <c r="I4542" t="str">
        <v>(</v>
      </c>
      <c r="J4542">
        <f>+J4534</f>
        <v>0.25</v>
      </c>
      <c r="K4542" t="str">
        <v>+</v>
      </c>
      <c r="L4542">
        <f>MAX(VLOOKUP(F4542,N$6:P$15,3,FALSE)/1000,2/3*D4530/1000)+F$16*F4542/1000</f>
        <v>0.192</v>
      </c>
      <c r="M4542" t="str">
        <v>=</v>
      </c>
      <c r="N4542">
        <f>J4542+L4542</f>
        <v>0.442</v>
      </c>
      <c r="O4542" t="str">
        <v>+</v>
      </c>
      <c r="P4542">
        <f>D4542-D4541</f>
        <v>0</v>
      </c>
      <c r="Q4542" t="str">
        <v>x</v>
      </c>
      <c r="R4542">
        <f>IF(P4542&gt;0,$F$18*F4542/1000,0)</f>
        <v>0</v>
      </c>
      <c r="S4542" t="str">
        <v>)</v>
      </c>
      <c r="T4542" t="str">
        <v>x</v>
      </c>
      <c r="U4542">
        <f>0.006165*F4542^2</f>
        <v>1.57824</v>
      </c>
      <c r="X4542" t="str">
        <v>x</v>
      </c>
      <c r="Y4542">
        <f>D4531</f>
        <v>1</v>
      </c>
      <c r="Z4542" t="str">
        <v>=</v>
      </c>
      <c r="AA4542">
        <f>IF(AA4543=0,(D4542*N4542+P4542*R4542)*U4542*Y4542,0)</f>
        <v>0</v>
      </c>
    </row>
    <row r="4543">
      <c r="A4543" t="str">
        <f>A4525</f>
        <v>Lantai 3</v>
      </c>
      <c r="B4543">
        <f>B4525</f>
        <v>9</v>
      </c>
      <c r="D4543">
        <f>IF(AND(D4540=D4541,D4541=D4542,D4540=D4542),D4540,0)</f>
        <v>3</v>
      </c>
      <c r="E4543" t="str">
        <v>D</v>
      </c>
      <c r="F4543">
        <f>IF(AND(F4540=F4541,F4540=F4542,F4541=F4542),F4540,0)</f>
        <v>16</v>
      </c>
      <c r="L4543" t="str">
        <v>Total panjang per balok</v>
      </c>
      <c r="M4543" t="str">
        <v>=</v>
      </c>
      <c r="N4543">
        <f>IF(AND(D4540=D4541,D4540=D4542,D4541=D4542,F4540=F4541,F4540=F4542,F4541=F4542),SUM(N4540:N4542),0)</f>
        <v>1.384</v>
      </c>
      <c r="O4543" t="str">
        <v>+</v>
      </c>
      <c r="P4543">
        <f>IF(N4543&gt;12,ROUNDDOWN(N4543/12,0),0)</f>
        <v>0</v>
      </c>
      <c r="Q4543" t="str">
        <v>x</v>
      </c>
      <c r="R4543">
        <f>IF(P4543&gt;0,MAX(VLOOKUP(F4543,$D$6:$G$15,3,FALSE),600),0)/1000</f>
        <v>0</v>
      </c>
      <c r="T4543" t="str">
        <v>x</v>
      </c>
      <c r="U4543">
        <f>U4542</f>
        <v>1.57824</v>
      </c>
      <c r="V4543" t="str">
        <v>x</v>
      </c>
      <c r="W4543">
        <f>D4543</f>
        <v>3</v>
      </c>
      <c r="X4543" t="str">
        <v>x</v>
      </c>
      <c r="Y4543">
        <f>Y4542</f>
        <v>1</v>
      </c>
      <c r="Z4543" t="str">
        <v>=</v>
      </c>
      <c r="AA4543">
        <f>(N4543+P4543*R4543/1000)*U4543*W4543*Y4543</f>
        <v>6.552852479999999</v>
      </c>
    </row>
    <row r="4545">
      <c r="A4545" t="str">
        <f>A4525</f>
        <v>Lantai 3</v>
      </c>
      <c r="B4545">
        <f>B4525</f>
        <v>9</v>
      </c>
      <c r="C4545" t="str">
        <v>Sengkang Tumpuan</v>
      </c>
      <c r="D4545">
        <f>VLOOKUP(D4525,'Detail Balok'!$C$10:$AU$140,31,FALSE)</f>
        <v>0</v>
      </c>
      <c r="E4545" t="str">
        <v>D</v>
      </c>
      <c r="F4545">
        <f>VLOOKUP(D4525,'Detail Balok'!$C$10:$AU$140,33,FALSE)</f>
        <v>10</v>
      </c>
      <c r="G4545" t="str">
        <v>-</v>
      </c>
      <c r="H4545">
        <f>VLOOKUP(D4525,'Detail Balok'!$C$10:$AU$140,35,FALSE)</f>
        <v>100</v>
      </c>
      <c r="J4545">
        <f>(IF(D4545=0,(2*(D4526+G4526))-(F$5*8),IF(D4545=3,(2*(D4526+G4526))-(F$5*8)+(G4526-2*F$5),IF(D4545=4,(2*(D4526+G4526))-(F$5*8)+2*(G4526-2*F$5)))))/1000</f>
        <v>0.88</v>
      </c>
      <c r="K4545" t="str">
        <v>+</v>
      </c>
      <c r="L4545">
        <f>IF(D4545=0,2*MAX(6*F4545,75),(D4545-1)*2*MAX(6*F4545,75))/1000</f>
        <v>0.15</v>
      </c>
      <c r="M4545" t="str">
        <v>=</v>
      </c>
      <c r="N4545">
        <f>J4545+L4545</f>
        <v>1.03</v>
      </c>
      <c r="T4545" t="str">
        <v>x</v>
      </c>
      <c r="U4545">
        <f>0.006165*F4545^2</f>
        <v>0.6165</v>
      </c>
      <c r="V4545" t="str">
        <v>x</v>
      </c>
      <c r="W4545">
        <f>IF(D4528&gt;4*G4526,ROUND(MAX(D4528/4,2*G4526)/H4545,0)+1,ROUND(D4528/H4545,0)+1)</f>
        <v>11</v>
      </c>
      <c r="X4545" t="str">
        <v>x</v>
      </c>
      <c r="Y4545">
        <f>D4531</f>
        <v>1</v>
      </c>
      <c r="Z4545" t="str">
        <v>=</v>
      </c>
      <c r="AA4545">
        <f>N4545*U4545*W4545*Y4545</f>
        <v>6.984945000000001</v>
      </c>
    </row>
    <row r="4546">
      <c r="A4546" t="str">
        <f>A4525</f>
        <v>Lantai 3</v>
      </c>
      <c r="B4546">
        <f>B4525</f>
        <v>9</v>
      </c>
      <c r="C4546" t="str">
        <v>Sengkang Lapangan</v>
      </c>
      <c r="D4546">
        <f>VLOOKUP(D4525,'Detail Balok'!$C$10:$AU$140,36,FALSE)</f>
        <v>0</v>
      </c>
      <c r="E4546" t="str">
        <v>D</v>
      </c>
      <c r="F4546">
        <f>VLOOKUP(D4525,'Detail Balok'!$C$10:$AU$140,38,FALSE)</f>
        <v>10</v>
      </c>
      <c r="G4546" t="str">
        <v>-</v>
      </c>
      <c r="H4546">
        <f>VLOOKUP(D4525,'Detail Balok'!$C$10:$AU$140,40,FALSE)</f>
        <v>100</v>
      </c>
      <c r="J4546">
        <f>(IF(D4546=0,(2*(D4526+G4526))-(F$5*8),IF(D4546=3,(2*(D4526+G4526))-(F$5*8)+(G4526-2*F$5),IF(D4546=4,(2*(D4526+G4526))-(F$5*8)+2*(G4526-2*F$5)))))/1000</f>
        <v>0.88</v>
      </c>
      <c r="K4546" t="str">
        <v>+</v>
      </c>
      <c r="L4546">
        <f>IF(D4546=0,2*MAX(6*F4546,75),(D4546-1)*2*MAX(6*F4546,75))/1000</f>
        <v>0.15</v>
      </c>
      <c r="M4546" t="str">
        <v>=</v>
      </c>
      <c r="N4546">
        <f>J4546+L4546</f>
        <v>1.03</v>
      </c>
      <c r="T4546" t="str">
        <v>x</v>
      </c>
      <c r="U4546">
        <f>0.006165*F4546^2</f>
        <v>0.6165</v>
      </c>
      <c r="V4546" t="str">
        <v>x</v>
      </c>
      <c r="W4546">
        <f>IF(D4528-MAX(D4528/4,2*G4526)*2&gt;0,ROUND((D4528-MAX(D4528/4,2*G4526)*2)/H4546,0),0)</f>
        <v>0</v>
      </c>
      <c r="X4546" t="str">
        <v>x</v>
      </c>
      <c r="Y4546">
        <f>D4531</f>
        <v>1</v>
      </c>
      <c r="Z4546" t="str">
        <v>=</v>
      </c>
      <c r="AA4546">
        <f>N4546*U4546*W4546*Y4546</f>
        <v>0</v>
      </c>
    </row>
    <row r="4547">
      <c r="A4547" t="str">
        <f>A4525</f>
        <v>Lantai 3</v>
      </c>
      <c r="B4547">
        <f>B4525</f>
        <v>9</v>
      </c>
      <c r="C4547" t="str">
        <v>Sengkang Tumpuan</v>
      </c>
      <c r="D4547">
        <f>VLOOKUP(D4525,'Detail Balok'!$C$10:$AU$140,41,FALSE)</f>
        <v>0</v>
      </c>
      <c r="E4547" t="str">
        <v>D</v>
      </c>
      <c r="F4547">
        <f>VLOOKUP(D4525,'Detail Balok'!$C$10:$AU$140,43,FALSE)</f>
        <v>10</v>
      </c>
      <c r="G4547" t="str">
        <v>-</v>
      </c>
      <c r="H4547">
        <f>VLOOKUP(D4525,'Detail Balok'!$C$10:$AU$140,45,FALSE)</f>
        <v>100</v>
      </c>
      <c r="J4547">
        <f>(IF(D4547=0,(2*(D4526+G4526))-(F$5*8),IF(D4547=3,(2*(D4526+G4526))-(F$5*8)+(G4526-2*F$5),IF(D4547=4,(2*(D4526+G4526))-(F$5*8)+2*(G4526-2*F$5)))))/1000</f>
        <v>0.88</v>
      </c>
      <c r="K4547" t="str">
        <v>+</v>
      </c>
      <c r="L4547">
        <f>IF(D4547=0,2*MAX(6*F4547,75),(D4547-1)*2*MAX(6*F4547,75))/1000</f>
        <v>0.15</v>
      </c>
      <c r="M4547" t="str">
        <v>=</v>
      </c>
      <c r="N4547">
        <f>J4547+L4547</f>
        <v>1.03</v>
      </c>
      <c r="T4547" t="str">
        <v>x</v>
      </c>
      <c r="U4547">
        <f>0.006165*F4547^2</f>
        <v>0.6165</v>
      </c>
      <c r="V4547" t="str">
        <v>x</v>
      </c>
      <c r="W4547">
        <f>IF(D4528&gt;4*G4526,ROUND(MAX(D4528/4,2*G4526)/H4547,0)+1,0)</f>
        <v>0</v>
      </c>
      <c r="X4547" t="str">
        <v>x</v>
      </c>
      <c r="Y4547">
        <f>D4531</f>
        <v>1</v>
      </c>
      <c r="Z4547" t="str">
        <v>=</v>
      </c>
      <c r="AA4547">
        <f>N4547*U4547*W4547*Y4547</f>
        <v>0</v>
      </c>
    </row>
    <row r="4549">
      <c r="A4549" t="str">
        <f>A4525</f>
        <v>Lantai 3</v>
      </c>
      <c r="B4549">
        <f>B4525</f>
        <v>9</v>
      </c>
      <c r="C4549" t="str">
        <v>Kait Horizontal Tump.</v>
      </c>
      <c r="D4549">
        <f>VLOOKUP(D4525,'Detail Balok'!$C$10:$BJ$140,46,FALSE)</f>
        <v>0</v>
      </c>
      <c r="E4549" t="str">
        <v>D</v>
      </c>
      <c r="F4549">
        <f>VLOOKUP(D4525,'Detail Balok'!$C$10:$BJ$140,48,FALSE)</f>
        <v>0</v>
      </c>
      <c r="G4549" t="str">
        <v>-</v>
      </c>
      <c r="H4549">
        <f>VLOOKUP(D4525,'Detail Balok'!$C$10:$BJ$140,50,FALSE)</f>
        <v>100</v>
      </c>
      <c r="J4549">
        <f>(D4526-2*F$5)/1000</f>
        <v>0.12</v>
      </c>
      <c r="K4549" t="str">
        <v>+</v>
      </c>
      <c r="L4549">
        <f>IF(D4549=0,2*MAX(6*F4549,75),(D4549-1)*2*MAX(6*F4549,75))/1000</f>
        <v>0.15</v>
      </c>
      <c r="M4549" t="str">
        <v>=</v>
      </c>
      <c r="N4549">
        <f>J4549+L4549</f>
        <v>0.27</v>
      </c>
      <c r="T4549" t="str">
        <v>x</v>
      </c>
      <c r="U4549">
        <f>0.006165*F4549^2</f>
        <v>0</v>
      </c>
      <c r="V4549" t="str">
        <v>x</v>
      </c>
      <c r="W4549">
        <f>W4545</f>
        <v>11</v>
      </c>
      <c r="X4549" t="str">
        <v>x</v>
      </c>
      <c r="Y4549">
        <f>D4535</f>
        <v>3</v>
      </c>
      <c r="Z4549" t="str">
        <v>=</v>
      </c>
      <c r="AA4549">
        <f>N4549*U4549*W4549*Y4549</f>
        <v>0</v>
      </c>
    </row>
    <row r="4550">
      <c r="A4550" t="str">
        <f>A4525</f>
        <v>Lantai 3</v>
      </c>
      <c r="B4550">
        <f>B4525</f>
        <v>9</v>
      </c>
      <c r="C4550" t="str">
        <v>Kait Horizontal Lap.</v>
      </c>
      <c r="D4550">
        <f>VLOOKUP(D4525,'Detail Balok'!$C$10:$BJ$140,51,FALSE)</f>
        <v>0</v>
      </c>
      <c r="E4550" t="str">
        <v>D</v>
      </c>
      <c r="F4550">
        <f>VLOOKUP(D4525,'Detail Balok'!$C$10:$BJ$140,53,FALSE)</f>
        <v>0</v>
      </c>
      <c r="G4550" t="str">
        <v>-</v>
      </c>
      <c r="H4550">
        <f>VLOOKUP(D4525,'Detail Balok'!$C$10:$BJ$140,55,FALSE)</f>
        <v>100</v>
      </c>
      <c r="J4550">
        <f>(D4526-2*F$5)/1000</f>
        <v>0.12</v>
      </c>
      <c r="K4550" t="str">
        <v>+</v>
      </c>
      <c r="L4550">
        <f>IF(D4550=0,2*MAX(6*F4550,75),(D4550-1)*2*MAX(6*F4550,75))/1000</f>
        <v>0.15</v>
      </c>
      <c r="M4550" t="str">
        <v>=</v>
      </c>
      <c r="N4550">
        <f>J4550+L4550</f>
        <v>0.27</v>
      </c>
      <c r="T4550" t="str">
        <v>x</v>
      </c>
      <c r="U4550">
        <f>0.006165*F4550^2</f>
        <v>0</v>
      </c>
      <c r="V4550" t="str">
        <v>x</v>
      </c>
      <c r="W4550">
        <f>W4546</f>
        <v>0</v>
      </c>
      <c r="X4550" t="str">
        <v>x</v>
      </c>
      <c r="Y4550">
        <f>D4535</f>
        <v>3</v>
      </c>
      <c r="Z4550" t="str">
        <v>=</v>
      </c>
      <c r="AA4550">
        <f>N4550*U4550*W4550*Y4550</f>
        <v>0</v>
      </c>
    </row>
    <row r="4551">
      <c r="A4551" t="str">
        <f>A4525</f>
        <v>Lantai 3</v>
      </c>
      <c r="B4551">
        <f>B4525</f>
        <v>9</v>
      </c>
      <c r="C4551" t="str">
        <v>Kait Horizontal Tump.</v>
      </c>
      <c r="D4551">
        <f>VLOOKUP(D4525,'Detail Balok'!$C$10:$BJ$140,56,FALSE)</f>
        <v>0</v>
      </c>
      <c r="E4551" t="str">
        <v>D</v>
      </c>
      <c r="F4551">
        <f>VLOOKUP(D4525,'Detail Balok'!$C$10:$BJ$140,58,FALSE)</f>
        <v>0</v>
      </c>
      <c r="G4551" t="str">
        <v>-</v>
      </c>
      <c r="H4551">
        <f>VLOOKUP(D4525,'Detail Balok'!$C$10:$BJ$140,60,FALSE)</f>
        <v>100</v>
      </c>
      <c r="J4551">
        <f>(D4526-2*F$5)/1000</f>
        <v>0.12</v>
      </c>
      <c r="K4551" t="str">
        <v>+</v>
      </c>
      <c r="L4551">
        <f>IF(D4551=0,2*MAX(6*F4551,75),(D4551-1)*2*MAX(6*F4551,75))/1000</f>
        <v>0.15</v>
      </c>
      <c r="M4551" t="str">
        <v>=</v>
      </c>
      <c r="N4551">
        <f>J4551+L4551</f>
        <v>0.27</v>
      </c>
      <c r="T4551" t="str">
        <v>x</v>
      </c>
      <c r="U4551">
        <f>0.006165*F4551^2</f>
        <v>0</v>
      </c>
      <c r="V4551" t="str">
        <v>x</v>
      </c>
      <c r="W4551">
        <f>W4547</f>
        <v>0</v>
      </c>
      <c r="X4551" t="str">
        <v>x</v>
      </c>
      <c r="Y4551">
        <f>D4535</f>
        <v>3</v>
      </c>
      <c r="Z4551" t="str">
        <v>=</v>
      </c>
      <c r="AA4551">
        <f>N4551*U4551*W4551*Y4551</f>
        <v>0</v>
      </c>
    </row>
    <row r="4555">
      <c r="A4555" t="str">
        <f>A4525</f>
        <v>Lantai 3</v>
      </c>
      <c r="B4555">
        <f>B4525+1</f>
        <v>10</v>
      </c>
      <c r="C4555" t="str">
        <f>CONCATENATE(A4555," no. ",B4555)</f>
        <v>Lantai 3 no. 10</v>
      </c>
      <c r="D4555" t="str">
        <f>VLOOKUP(C4555,'Data Panjang Balok'!$C$9:$N$254,2,FALSE)</f>
        <v>B24-1</v>
      </c>
    </row>
    <row r="4556">
      <c r="C4556" t="str">
        <v>Dimensi</v>
      </c>
      <c r="D4556">
        <f>VLOOKUP(D4555,'Detail Balok'!$C$10:$AU$140,2,FALSE)</f>
        <v>200</v>
      </c>
      <c r="F4556" t="str">
        <v>x</v>
      </c>
      <c r="G4556">
        <f>VLOOKUP(D4555,'Detail Balok'!$C$10:$AU$140,3,FALSE)</f>
        <v>400</v>
      </c>
    </row>
    <row r="4557">
      <c r="C4557" t="str">
        <v>Panjang as ke as</v>
      </c>
      <c r="D4557">
        <f>VLOOKUP(C4555,'Data Panjang Balok'!$C$9:$N$254,4,FALSE)</f>
        <v>3425</v>
      </c>
    </row>
    <row r="4558">
      <c r="C4558" t="str">
        <v>Panjang netto</v>
      </c>
      <c r="D4558">
        <f>VLOOKUP(C4555,'Data Panjang Balok'!$C$9:$N$254,7,FALSE)</f>
        <v>3425</v>
      </c>
    </row>
    <row r="4559">
      <c r="C4559" t="str">
        <v>Kolom / balok kiri</v>
      </c>
      <c r="D4559">
        <f>VLOOKUP(C4555,'Data Panjang Balok'!$C$9:$N$254,9,FALSE)</f>
        <v>0</v>
      </c>
    </row>
    <row r="4560">
      <c r="C4560" t="str">
        <v>Kolom / balok kanan</v>
      </c>
      <c r="D4560">
        <f>VLOOKUP(C4555,'Data Panjang Balok'!$C$9:$N$254,10,FALSE)</f>
        <v>0</v>
      </c>
    </row>
    <row r="4561">
      <c r="C4561" t="str">
        <v>Jumlah</v>
      </c>
      <c r="D4561">
        <f>VLOOKUP(C4555,'Data Panjang Balok'!$C$9:$N$254,3,FALSE)</f>
        <v>1</v>
      </c>
    </row>
    <row r="4562">
      <c r="A4562" t="str">
        <f>A4555</f>
        <v>Lantai 3</v>
      </c>
      <c r="B4562">
        <f>B4555</f>
        <v>10</v>
      </c>
      <c r="C4562" t="str">
        <v>Tul Atas Tumpuan</v>
      </c>
      <c r="D4562">
        <f>VLOOKUP(D4555,'Detail Balok'!$C$10:$AU$140,4,FALSE)</f>
        <v>3</v>
      </c>
      <c r="E4562" t="str">
        <v>D</v>
      </c>
      <c r="F4562">
        <f>VLOOKUP(D4555,'Detail Balok'!$C$10:$AU$140,6,FALSE)</f>
        <v>13</v>
      </c>
      <c r="I4562" t="str">
        <v>(</v>
      </c>
      <c r="J4562">
        <f>+D4557/4/1000</f>
        <v>0.85625</v>
      </c>
      <c r="K4562" t="str">
        <v>+</v>
      </c>
      <c r="L4562">
        <f>MAX(VLOOKUP(F4562,N$6:P$15,3,FALSE)/1000,2/3*D4559/1000)+F$16*F4562/1000</f>
        <v>0.156</v>
      </c>
      <c r="M4562" t="str">
        <v>=</v>
      </c>
      <c r="N4562">
        <f>J4562+L4562</f>
        <v>1.0122499999999999</v>
      </c>
      <c r="O4562" t="str">
        <v>+</v>
      </c>
      <c r="P4562">
        <f>D4562-D4563</f>
        <v>0</v>
      </c>
      <c r="Q4562" t="str">
        <v>x</v>
      </c>
      <c r="R4562">
        <f>IF(P4562&gt;0,$F$18*F4562/1000,0)</f>
        <v>0</v>
      </c>
      <c r="S4562" t="str">
        <v>)</v>
      </c>
      <c r="T4562" t="str">
        <v>x</v>
      </c>
      <c r="U4562">
        <f>0.006165*F4562^2</f>
        <v>1.041885</v>
      </c>
      <c r="X4562" t="str">
        <v>x</v>
      </c>
      <c r="Y4562">
        <f>D4561</f>
        <v>1</v>
      </c>
      <c r="Z4562" t="str">
        <v>=</v>
      </c>
      <c r="AA4562">
        <f>IF(AA4565=0,(D4562*N4562+P4562*R4562)*U4562*Y4562,0)</f>
        <v>0</v>
      </c>
    </row>
    <row r="4563">
      <c r="A4563" t="str">
        <f>A4555</f>
        <v>Lantai 3</v>
      </c>
      <c r="B4563">
        <f>B4555</f>
        <v>10</v>
      </c>
      <c r="C4563" t="str">
        <v>Tul Atas Lapangan</v>
      </c>
      <c r="D4563">
        <f>VLOOKUP(D4555,'Detail Balok'!$C$10:$AU$140,7,FALSE)</f>
        <v>3</v>
      </c>
      <c r="E4563" t="str">
        <v>D</v>
      </c>
      <c r="F4563">
        <f>VLOOKUP(D4555,'Detail Balok'!$C$10:$AU$140,9,FALSE)</f>
        <v>13</v>
      </c>
      <c r="I4563" t="str">
        <v>(</v>
      </c>
      <c r="J4563">
        <f>+D4557/2/1000</f>
        <v>1.7125</v>
      </c>
      <c r="K4563" t="str">
        <v>+</v>
      </c>
      <c r="M4563" t="str">
        <v>=</v>
      </c>
      <c r="N4563">
        <f>J4563+L4563</f>
        <v>1.7125</v>
      </c>
      <c r="O4563" t="str">
        <v>+</v>
      </c>
      <c r="P4563">
        <f>MAX(D4563-D4562,D4563-D4564)</f>
        <v>0</v>
      </c>
      <c r="Q4563" t="str">
        <v>x</v>
      </c>
      <c r="R4563">
        <f>IF(P4563&gt;0,2*(1-2*$F$19-1/2)*D4558/1000,0)</f>
        <v>0</v>
      </c>
      <c r="S4563" t="str">
        <v>)</v>
      </c>
      <c r="T4563" t="str">
        <v>x</v>
      </c>
      <c r="U4563">
        <f>0.006165*F4563^2</f>
        <v>1.041885</v>
      </c>
      <c r="X4563" t="str">
        <v>x</v>
      </c>
      <c r="Y4563">
        <f>D4561</f>
        <v>1</v>
      </c>
      <c r="Z4563" t="str">
        <v>=</v>
      </c>
      <c r="AA4563">
        <f>IF(AA4565=0,(D4563*N4563+P4563*R4563)*U4563*Y4563,0)</f>
        <v>0</v>
      </c>
    </row>
    <row r="4564">
      <c r="A4564" t="str">
        <f>A4555</f>
        <v>Lantai 3</v>
      </c>
      <c r="B4564">
        <f>B4555</f>
        <v>10</v>
      </c>
      <c r="C4564" t="str">
        <v>Tul Atas Tumpuan</v>
      </c>
      <c r="D4564">
        <f>VLOOKUP(D4555,'Detail Balok'!$C$10:$AU$140,10,FALSE)</f>
        <v>3</v>
      </c>
      <c r="E4564" t="str">
        <v>D</v>
      </c>
      <c r="F4564">
        <f>VLOOKUP(D4555,'Detail Balok'!$C$10:$AU$140,12,FALSE)</f>
        <v>13</v>
      </c>
      <c r="I4564" t="str">
        <v>(</v>
      </c>
      <c r="J4564">
        <f>+D4557/4/1000</f>
        <v>0.85625</v>
      </c>
      <c r="K4564" t="str">
        <v>+</v>
      </c>
      <c r="L4564">
        <f>MAX(VLOOKUP(F4564,N$6:P$15,3,FALSE)/1000,2/3*D4559/1000)+F$16*F4564/1000</f>
        <v>0.156</v>
      </c>
      <c r="M4564" t="str">
        <v>=</v>
      </c>
      <c r="N4564">
        <f>J4564+L4564</f>
        <v>1.0122499999999999</v>
      </c>
      <c r="O4564" t="str">
        <v>+</v>
      </c>
      <c r="P4564">
        <f>D4564-D4563</f>
        <v>0</v>
      </c>
      <c r="Q4564" t="str">
        <v>x</v>
      </c>
      <c r="R4564">
        <f>IF(P4564&gt;0,$F$18*F4564/1000,0)</f>
        <v>0</v>
      </c>
      <c r="S4564" t="str">
        <v>)</v>
      </c>
      <c r="T4564" t="str">
        <v>x</v>
      </c>
      <c r="U4564">
        <f>0.006165*F4564^2</f>
        <v>1.041885</v>
      </c>
      <c r="X4564" t="str">
        <v>x</v>
      </c>
      <c r="Y4564">
        <f>D4561</f>
        <v>1</v>
      </c>
      <c r="Z4564" t="str">
        <v>=</v>
      </c>
      <c r="AA4564">
        <f>IF(AA4565=0,(D4564*N4564+P4564*R4564)*U4564*Y4564,0)</f>
        <v>0</v>
      </c>
    </row>
    <row r="4565">
      <c r="A4565" t="str">
        <f>A4555</f>
        <v>Lantai 3</v>
      </c>
      <c r="B4565">
        <f>B4555</f>
        <v>10</v>
      </c>
      <c r="D4565">
        <f>IF(AND(D4562=D4563,D4563=D4564,D4562=D4564),D4562,0)</f>
        <v>3</v>
      </c>
      <c r="E4565" t="str">
        <v>D</v>
      </c>
      <c r="F4565">
        <f>IF(AND(F4562=F4563,F4562=F4564,F4563=F4564),F4562,0)</f>
        <v>13</v>
      </c>
      <c r="L4565" t="str">
        <v>Total panjang per balok</v>
      </c>
      <c r="M4565" t="str">
        <v>=</v>
      </c>
      <c r="N4565">
        <f>IF(AND(D4562=D4563,D4562=D4564,D4563=D4564,F4562=F4563,F4562=F4564,F4563=F4564),SUM(N4562:N4564),0)</f>
        <v>3.7369999999999997</v>
      </c>
      <c r="O4565" t="str">
        <v>+</v>
      </c>
      <c r="P4565">
        <f>IF(N4565&gt;12,ROUNDDOWN(N4565/12,0),0)</f>
        <v>0</v>
      </c>
      <c r="Q4565" t="str">
        <v>x</v>
      </c>
      <c r="R4565">
        <f>IF(P4565&gt;0,MAX(VLOOKUP(F4565,$D$6:$G$15,3,FALSE),600),0)/1000</f>
        <v>0</v>
      </c>
      <c r="T4565" t="str">
        <v>x</v>
      </c>
      <c r="U4565">
        <f>U4564</f>
        <v>1.041885</v>
      </c>
      <c r="V4565" t="str">
        <v>x</v>
      </c>
      <c r="W4565">
        <f>D4565</f>
        <v>3</v>
      </c>
      <c r="X4565" t="str">
        <v>x</v>
      </c>
      <c r="Y4565">
        <f>Y4564</f>
        <v>1</v>
      </c>
      <c r="Z4565" t="str">
        <v>=</v>
      </c>
      <c r="AA4565">
        <f>(N4565+P4565*R4565/1000)*U4565*W4565*Y4565</f>
        <v>11.680572734999998</v>
      </c>
    </row>
    <row r="4567">
      <c r="A4567" t="str">
        <f>A4555</f>
        <v>Lantai 3</v>
      </c>
      <c r="B4567">
        <f>B4555</f>
        <v>10</v>
      </c>
      <c r="C4567" t="str">
        <v>Tul Peminggang</v>
      </c>
      <c r="D4567">
        <f>VLOOKUP(D4555,'Detail Balok'!$C$10:$AU$140,13,FALSE)</f>
        <v>0</v>
      </c>
      <c r="E4567" t="str">
        <v>D</v>
      </c>
      <c r="F4567">
        <f>VLOOKUP(D4555,'Detail Balok'!$C$10:$AU$140,15,FALSE)</f>
        <v>8</v>
      </c>
      <c r="J4567">
        <f>+D4557/1000</f>
        <v>3.425</v>
      </c>
      <c r="K4567" t="str">
        <v>+</v>
      </c>
      <c r="L4567">
        <f>2*$F$16*F4567/1000</f>
        <v>0.192</v>
      </c>
      <c r="M4567" t="str">
        <v>=</v>
      </c>
      <c r="N4567">
        <f>J4567+L4567</f>
        <v>3.617</v>
      </c>
      <c r="O4567" t="str">
        <v>+</v>
      </c>
      <c r="P4567">
        <f>IF(N4567&gt;12,ROUNDDOWN(N4567/12,0),0)</f>
        <v>0</v>
      </c>
      <c r="Q4567" t="str">
        <v>x</v>
      </c>
      <c r="R4567">
        <f>IF(P4567&gt;0,MAX(VLOOKUP(F4567,$D$6:$G$15,3,FALSE),600),0)/1000</f>
        <v>0</v>
      </c>
      <c r="T4567" t="str">
        <v>x</v>
      </c>
      <c r="U4567">
        <f>0.006165*F4567^2</f>
        <v>0.39456</v>
      </c>
      <c r="V4567" t="str">
        <v>x</v>
      </c>
      <c r="W4567">
        <f>+D4567</f>
        <v>0</v>
      </c>
      <c r="X4567" t="str">
        <v>x</v>
      </c>
      <c r="Y4567">
        <f>D4561</f>
        <v>1</v>
      </c>
      <c r="Z4567" t="str">
        <v>=</v>
      </c>
      <c r="AA4567">
        <f>(N4567+P4567*R4567/1000)*U4567*W4567*Y4567</f>
        <v>0</v>
      </c>
    </row>
    <row r="4570">
      <c r="A4570" t="str">
        <f>A4555</f>
        <v>Lantai 3</v>
      </c>
      <c r="B4570">
        <f>B4555</f>
        <v>10</v>
      </c>
      <c r="C4570" t="str">
        <v>Tul Bawah Tumpuan</v>
      </c>
      <c r="D4570">
        <f>VLOOKUP(D4555,'Detail Balok'!$C$10:$AU$140,22,FALSE)</f>
        <v>3</v>
      </c>
      <c r="E4570" t="str">
        <v>D</v>
      </c>
      <c r="F4570">
        <f>VLOOKUP(D4555,'Detail Balok'!$C$10:$AU$140,24,FALSE)</f>
        <v>13</v>
      </c>
      <c r="I4570" t="str">
        <v>(</v>
      </c>
      <c r="J4570">
        <f>+J4562</f>
        <v>0.85625</v>
      </c>
      <c r="K4570" t="str">
        <v>+</v>
      </c>
      <c r="L4570">
        <f>MAX(VLOOKUP(F4570,N$6:P$15,3,FALSE)/1000,2/3*D4560/1000)+F$16*F4570/1000</f>
        <v>0.156</v>
      </c>
      <c r="M4570" t="str">
        <v>=</v>
      </c>
      <c r="N4570">
        <f>J4570+L4570</f>
        <v>1.0122499999999999</v>
      </c>
      <c r="O4570" t="str">
        <v>+</v>
      </c>
      <c r="P4570">
        <f>D4570-D4571</f>
        <v>0</v>
      </c>
      <c r="Q4570" t="str">
        <v>x</v>
      </c>
      <c r="R4570">
        <f>IF(P4570&gt;0,$F$18*F4570/1000,0)</f>
        <v>0</v>
      </c>
      <c r="S4570" t="str">
        <v>)</v>
      </c>
      <c r="T4570" t="str">
        <v>x</v>
      </c>
      <c r="U4570">
        <f>0.006165*F4570^2</f>
        <v>1.041885</v>
      </c>
      <c r="X4570" t="str">
        <v>x</v>
      </c>
      <c r="Y4570">
        <f>D4561</f>
        <v>1</v>
      </c>
      <c r="Z4570" t="str">
        <v>=</v>
      </c>
      <c r="AA4570">
        <f>IF(AA4573=0,(D4570*N4570+P4570*R4570)*U4570*Y4570,0)</f>
        <v>0</v>
      </c>
    </row>
    <row r="4571">
      <c r="A4571" t="str">
        <f>A4555</f>
        <v>Lantai 3</v>
      </c>
      <c r="B4571">
        <f>B4555</f>
        <v>10</v>
      </c>
      <c r="C4571" t="str">
        <v>Tul Bawah Lapangan</v>
      </c>
      <c r="D4571">
        <f>VLOOKUP(D4555,'Detail Balok'!$C$10:$AU$140,25,FALSE)</f>
        <v>3</v>
      </c>
      <c r="E4571" t="str">
        <v>D</v>
      </c>
      <c r="F4571">
        <f>VLOOKUP(D4555,'Detail Balok'!$C$10:$AU$140,27,FALSE)</f>
        <v>13</v>
      </c>
      <c r="I4571" t="str">
        <v>(</v>
      </c>
      <c r="J4571">
        <f>+J4563</f>
        <v>1.7125</v>
      </c>
      <c r="K4571" t="str">
        <v>+</v>
      </c>
      <c r="M4571" t="str">
        <v>=</v>
      </c>
      <c r="N4571">
        <f>J4571+L4571</f>
        <v>1.7125</v>
      </c>
      <c r="O4571" t="str">
        <v>+</v>
      </c>
      <c r="P4571">
        <f>MAX(D4571-D4570,D4571-D4572)</f>
        <v>0</v>
      </c>
      <c r="Q4571" t="str">
        <v>x</v>
      </c>
      <c r="R4571">
        <f>IF(P4571&gt;0,2*(1-2*$F$19-1/2)*D4558/1000,0)</f>
        <v>0</v>
      </c>
      <c r="S4571" t="str">
        <v>)</v>
      </c>
      <c r="T4571" t="str">
        <v>x</v>
      </c>
      <c r="U4571">
        <f>0.006165*F4571^2</f>
        <v>1.041885</v>
      </c>
      <c r="X4571" t="str">
        <v>x</v>
      </c>
      <c r="Y4571">
        <f>D4561</f>
        <v>1</v>
      </c>
      <c r="Z4571" t="str">
        <v>=</v>
      </c>
      <c r="AA4571">
        <f>IF(AA4573=0,(D4571*N4571+P4571*R4571)*U4571*Y4571,0)</f>
        <v>0</v>
      </c>
    </row>
    <row r="4572">
      <c r="A4572" t="str">
        <f>A4555</f>
        <v>Lantai 3</v>
      </c>
      <c r="B4572">
        <f>B4555</f>
        <v>10</v>
      </c>
      <c r="C4572" t="str">
        <v>Tul Bawah Tumpuan</v>
      </c>
      <c r="D4572">
        <f>VLOOKUP(D4555,'Detail Balok'!$C$10:$AU$140,28,FALSE)</f>
        <v>3</v>
      </c>
      <c r="E4572" t="str">
        <v>D</v>
      </c>
      <c r="F4572">
        <f>VLOOKUP(D4555,'Detail Balok'!$C$10:$AU$140,30,FALSE)</f>
        <v>13</v>
      </c>
      <c r="I4572" t="str">
        <v>(</v>
      </c>
      <c r="J4572">
        <f>+J4564</f>
        <v>0.85625</v>
      </c>
      <c r="K4572" t="str">
        <v>+</v>
      </c>
      <c r="L4572">
        <f>MAX(VLOOKUP(F4572,N$6:P$15,3,FALSE)/1000,2/3*D4560/1000)+F$16*F4572/1000</f>
        <v>0.156</v>
      </c>
      <c r="M4572" t="str">
        <v>=</v>
      </c>
      <c r="N4572">
        <f>J4572+L4572</f>
        <v>1.0122499999999999</v>
      </c>
      <c r="O4572" t="str">
        <v>+</v>
      </c>
      <c r="P4572">
        <f>D4572-D4571</f>
        <v>0</v>
      </c>
      <c r="Q4572" t="str">
        <v>x</v>
      </c>
      <c r="R4572">
        <f>IF(P4572&gt;0,$F$18*F4572/1000,0)</f>
        <v>0</v>
      </c>
      <c r="S4572" t="str">
        <v>)</v>
      </c>
      <c r="T4572" t="str">
        <v>x</v>
      </c>
      <c r="U4572">
        <f>0.006165*F4572^2</f>
        <v>1.041885</v>
      </c>
      <c r="X4572" t="str">
        <v>x</v>
      </c>
      <c r="Y4572">
        <f>D4561</f>
        <v>1</v>
      </c>
      <c r="Z4572" t="str">
        <v>=</v>
      </c>
      <c r="AA4572">
        <f>IF(AA4573=0,(D4572*N4572+P4572*R4572)*U4572*Y4572,0)</f>
        <v>0</v>
      </c>
    </row>
    <row r="4573">
      <c r="A4573" t="str">
        <f>A4555</f>
        <v>Lantai 3</v>
      </c>
      <c r="B4573">
        <f>B4555</f>
        <v>10</v>
      </c>
      <c r="D4573">
        <f>IF(AND(D4570=D4571,D4571=D4572,D4570=D4572),D4570,0)</f>
        <v>3</v>
      </c>
      <c r="E4573" t="str">
        <v>D</v>
      </c>
      <c r="F4573">
        <f>IF(AND(F4570=F4571,F4570=F4572,F4571=F4572),F4570,0)</f>
        <v>13</v>
      </c>
      <c r="L4573" t="str">
        <v>Total panjang per balok</v>
      </c>
      <c r="M4573" t="str">
        <v>=</v>
      </c>
      <c r="N4573">
        <f>IF(AND(D4570=D4571,D4570=D4572,D4571=D4572,F4570=F4571,F4570=F4572,F4571=F4572),SUM(N4570:N4572),0)</f>
        <v>3.7369999999999997</v>
      </c>
      <c r="O4573" t="str">
        <v>+</v>
      </c>
      <c r="P4573">
        <f>IF(N4573&gt;12,ROUNDDOWN(N4573/12,0),0)</f>
        <v>0</v>
      </c>
      <c r="Q4573" t="str">
        <v>x</v>
      </c>
      <c r="R4573">
        <f>IF(P4573&gt;0,MAX(VLOOKUP(F4573,$D$6:$G$15,3,FALSE),600),0)/1000</f>
        <v>0</v>
      </c>
      <c r="T4573" t="str">
        <v>x</v>
      </c>
      <c r="U4573">
        <f>U4572</f>
        <v>1.041885</v>
      </c>
      <c r="V4573" t="str">
        <v>x</v>
      </c>
      <c r="W4573">
        <f>D4573</f>
        <v>3</v>
      </c>
      <c r="X4573" t="str">
        <v>x</v>
      </c>
      <c r="Y4573">
        <f>Y4572</f>
        <v>1</v>
      </c>
      <c r="Z4573" t="str">
        <v>=</v>
      </c>
      <c r="AA4573">
        <f>(N4573+P4573*R4573/1000)*U4573*W4573*Y4573</f>
        <v>11.680572734999998</v>
      </c>
    </row>
    <row r="4575">
      <c r="A4575" t="str">
        <f>A4555</f>
        <v>Lantai 3</v>
      </c>
      <c r="B4575">
        <f>B4555</f>
        <v>10</v>
      </c>
      <c r="C4575" t="str">
        <v>Sengkang Tumpuan</v>
      </c>
      <c r="D4575">
        <f>VLOOKUP(D4555,'Detail Balok'!$C$10:$AU$140,31,FALSE)</f>
        <v>0</v>
      </c>
      <c r="E4575" t="str">
        <v>D</v>
      </c>
      <c r="F4575">
        <f>VLOOKUP(D4555,'Detail Balok'!$C$10:$AU$140,33,FALSE)</f>
        <v>10</v>
      </c>
      <c r="G4575" t="str">
        <v>-</v>
      </c>
      <c r="H4575">
        <f>VLOOKUP(D4555,'Detail Balok'!$C$10:$AU$140,35,FALSE)</f>
        <v>100</v>
      </c>
      <c r="J4575">
        <f>(IF(D4575=0,(2*(D4556+G4556))-(F$5*8),IF(D4575=3,(2*(D4556+G4556))-(F$5*8)+(G4556-2*F$5),IF(D4575=4,(2*(D4556+G4556))-(F$5*8)+2*(G4556-2*F$5)))))/1000</f>
        <v>0.88</v>
      </c>
      <c r="K4575" t="str">
        <v>+</v>
      </c>
      <c r="L4575">
        <f>IF(D4575=0,2*MAX(6*F4575,75),(D4575-1)*2*MAX(6*F4575,75))/1000</f>
        <v>0.15</v>
      </c>
      <c r="M4575" t="str">
        <v>=</v>
      </c>
      <c r="N4575">
        <f>J4575+L4575</f>
        <v>1.03</v>
      </c>
      <c r="T4575" t="str">
        <v>x</v>
      </c>
      <c r="U4575">
        <f>0.006165*F4575^2</f>
        <v>0.6165</v>
      </c>
      <c r="V4575" t="str">
        <v>x</v>
      </c>
      <c r="W4575">
        <f>IF(D4558&gt;4*G4556,ROUND(MAX(D4558/4,2*G4556)/H4575,0)+1,ROUND(D4558/H4575,0)+1)</f>
        <v>10</v>
      </c>
      <c r="X4575" t="str">
        <v>x</v>
      </c>
      <c r="Y4575">
        <f>D4561</f>
        <v>1</v>
      </c>
      <c r="Z4575" t="str">
        <v>=</v>
      </c>
      <c r="AA4575">
        <f>N4575*U4575*W4575*Y4575</f>
        <v>6.349950000000001</v>
      </c>
    </row>
    <row r="4576">
      <c r="A4576" t="str">
        <f>A4555</f>
        <v>Lantai 3</v>
      </c>
      <c r="B4576">
        <f>B4555</f>
        <v>10</v>
      </c>
      <c r="C4576" t="str">
        <v>Sengkang Lapangan</v>
      </c>
      <c r="D4576">
        <f>VLOOKUP(D4555,'Detail Balok'!$C$10:$AU$140,36,FALSE)</f>
        <v>0</v>
      </c>
      <c r="E4576" t="str">
        <v>D</v>
      </c>
      <c r="F4576">
        <f>VLOOKUP(D4555,'Detail Balok'!$C$10:$AU$140,38,FALSE)</f>
        <v>10</v>
      </c>
      <c r="G4576" t="str">
        <v>-</v>
      </c>
      <c r="H4576">
        <f>VLOOKUP(D4555,'Detail Balok'!$C$10:$AU$140,40,FALSE)</f>
        <v>200</v>
      </c>
      <c r="J4576">
        <f>(IF(D4576=0,(2*(D4556+G4556))-(F$5*8),IF(D4576=3,(2*(D4556+G4556))-(F$5*8)+(G4556-2*F$5),IF(D4576=4,(2*(D4556+G4556))-(F$5*8)+2*(G4556-2*F$5)))))/1000</f>
        <v>0.88</v>
      </c>
      <c r="K4576" t="str">
        <v>+</v>
      </c>
      <c r="L4576">
        <f>IF(D4576=0,2*MAX(6*F4576,75),(D4576-1)*2*MAX(6*F4576,75))/1000</f>
        <v>0.15</v>
      </c>
      <c r="M4576" t="str">
        <v>=</v>
      </c>
      <c r="N4576">
        <f>J4576+L4576</f>
        <v>1.03</v>
      </c>
      <c r="T4576" t="str">
        <v>x</v>
      </c>
      <c r="U4576">
        <f>0.006165*F4576^2</f>
        <v>0.6165</v>
      </c>
      <c r="V4576" t="str">
        <v>x</v>
      </c>
      <c r="W4576">
        <f>IF(D4558-MAX(D4558/4,2*G4556)*2&gt;0,ROUND((D4558-MAX(D4558/4,2*G4556)*2)/H4576,0),0)</f>
        <v>9</v>
      </c>
      <c r="X4576" t="str">
        <v>x</v>
      </c>
      <c r="Y4576">
        <f>D4561</f>
        <v>1</v>
      </c>
      <c r="Z4576" t="str">
        <v>=</v>
      </c>
      <c r="AA4576">
        <f>N4576*U4576*W4576*Y4576</f>
        <v>5.714955000000001</v>
      </c>
    </row>
    <row r="4577">
      <c r="A4577" t="str">
        <f>A4555</f>
        <v>Lantai 3</v>
      </c>
      <c r="B4577">
        <f>B4555</f>
        <v>10</v>
      </c>
      <c r="C4577" t="str">
        <v>Sengkang Tumpuan</v>
      </c>
      <c r="D4577">
        <f>VLOOKUP(D4555,'Detail Balok'!$C$10:$AU$140,41,FALSE)</f>
        <v>0</v>
      </c>
      <c r="E4577" t="str">
        <v>D</v>
      </c>
      <c r="F4577">
        <f>VLOOKUP(D4555,'Detail Balok'!$C$10:$AU$140,43,FALSE)</f>
        <v>10</v>
      </c>
      <c r="G4577" t="str">
        <v>-</v>
      </c>
      <c r="H4577">
        <f>VLOOKUP(D4555,'Detail Balok'!$C$10:$AU$140,45,FALSE)</f>
        <v>100</v>
      </c>
      <c r="J4577">
        <f>(IF(D4577=0,(2*(D4556+G4556))-(F$5*8),IF(D4577=3,(2*(D4556+G4556))-(F$5*8)+(G4556-2*F$5),IF(D4577=4,(2*(D4556+G4556))-(F$5*8)+2*(G4556-2*F$5)))))/1000</f>
        <v>0.88</v>
      </c>
      <c r="K4577" t="str">
        <v>+</v>
      </c>
      <c r="L4577">
        <f>IF(D4577=0,2*MAX(6*F4577,75),(D4577-1)*2*MAX(6*F4577,75))/1000</f>
        <v>0.15</v>
      </c>
      <c r="M4577" t="str">
        <v>=</v>
      </c>
      <c r="N4577">
        <f>J4577+L4577</f>
        <v>1.03</v>
      </c>
      <c r="T4577" t="str">
        <v>x</v>
      </c>
      <c r="U4577">
        <f>0.006165*F4577^2</f>
        <v>0.6165</v>
      </c>
      <c r="V4577" t="str">
        <v>x</v>
      </c>
      <c r="W4577">
        <f>IF(D4558&gt;4*G4556,ROUND(MAX(D4558/4,2*G4556)/H4577,0)+1,0)</f>
        <v>10</v>
      </c>
      <c r="X4577" t="str">
        <v>x</v>
      </c>
      <c r="Y4577">
        <f>D4561</f>
        <v>1</v>
      </c>
      <c r="Z4577" t="str">
        <v>=</v>
      </c>
      <c r="AA4577">
        <f>N4577*U4577*W4577*Y4577</f>
        <v>6.349950000000001</v>
      </c>
    </row>
    <row r="4579">
      <c r="A4579" t="str">
        <f>A4555</f>
        <v>Lantai 3</v>
      </c>
      <c r="B4579">
        <f>B4555</f>
        <v>10</v>
      </c>
      <c r="C4579" t="str">
        <v>Kait Horizontal Tump.</v>
      </c>
      <c r="D4579">
        <f>VLOOKUP(D4555,'Detail Balok'!$C$10:$BJ$140,46,FALSE)</f>
        <v>0</v>
      </c>
      <c r="E4579" t="str">
        <v>D</v>
      </c>
      <c r="F4579">
        <f>VLOOKUP(D4555,'Detail Balok'!$C$10:$BJ$140,48,FALSE)</f>
        <v>0</v>
      </c>
      <c r="G4579" t="str">
        <v>-</v>
      </c>
      <c r="H4579">
        <f>VLOOKUP(D4555,'Detail Balok'!$C$10:$BJ$140,50,FALSE)</f>
        <v>100</v>
      </c>
      <c r="J4579">
        <f>(D4556-2*F$5)/1000</f>
        <v>0.12</v>
      </c>
      <c r="K4579" t="str">
        <v>+</v>
      </c>
      <c r="L4579">
        <f>IF(D4579=0,2*MAX(6*F4579,75),(D4579-1)*2*MAX(6*F4579,75))/1000</f>
        <v>0.15</v>
      </c>
      <c r="M4579" t="str">
        <v>=</v>
      </c>
      <c r="N4579">
        <f>J4579+L4579</f>
        <v>0.27</v>
      </c>
      <c r="T4579" t="str">
        <v>x</v>
      </c>
      <c r="U4579">
        <f>0.006165*F4579^2</f>
        <v>0</v>
      </c>
      <c r="V4579" t="str">
        <v>x</v>
      </c>
      <c r="W4579">
        <f>W4575</f>
        <v>10</v>
      </c>
      <c r="X4579" t="str">
        <v>x</v>
      </c>
      <c r="Y4579">
        <f>D4565</f>
        <v>3</v>
      </c>
      <c r="Z4579" t="str">
        <v>=</v>
      </c>
      <c r="AA4579">
        <f>N4579*U4579*W4579*Y4579</f>
        <v>0</v>
      </c>
    </row>
    <row r="4580">
      <c r="A4580" t="str">
        <f>A4555</f>
        <v>Lantai 3</v>
      </c>
      <c r="B4580">
        <f>B4555</f>
        <v>10</v>
      </c>
      <c r="C4580" t="str">
        <v>Kait Horizontal Lap.</v>
      </c>
      <c r="D4580">
        <f>VLOOKUP(D4555,'Detail Balok'!$C$10:$BJ$140,51,FALSE)</f>
        <v>0</v>
      </c>
      <c r="E4580" t="str">
        <v>D</v>
      </c>
      <c r="F4580">
        <f>VLOOKUP(D4555,'Detail Balok'!$C$10:$BJ$140,53,FALSE)</f>
        <v>0</v>
      </c>
      <c r="G4580" t="str">
        <v>-</v>
      </c>
      <c r="H4580">
        <f>VLOOKUP(D4555,'Detail Balok'!$C$10:$BJ$140,55,FALSE)</f>
        <v>100</v>
      </c>
      <c r="J4580">
        <f>(D4556-2*F$5)/1000</f>
        <v>0.12</v>
      </c>
      <c r="K4580" t="str">
        <v>+</v>
      </c>
      <c r="L4580">
        <f>IF(D4580=0,2*MAX(6*F4580,75),(D4580-1)*2*MAX(6*F4580,75))/1000</f>
        <v>0.15</v>
      </c>
      <c r="M4580" t="str">
        <v>=</v>
      </c>
      <c r="N4580">
        <f>J4580+L4580</f>
        <v>0.27</v>
      </c>
      <c r="T4580" t="str">
        <v>x</v>
      </c>
      <c r="U4580">
        <f>0.006165*F4580^2</f>
        <v>0</v>
      </c>
      <c r="V4580" t="str">
        <v>x</v>
      </c>
      <c r="W4580">
        <f>W4576</f>
        <v>9</v>
      </c>
      <c r="X4580" t="str">
        <v>x</v>
      </c>
      <c r="Y4580">
        <f>D4565</f>
        <v>3</v>
      </c>
      <c r="Z4580" t="str">
        <v>=</v>
      </c>
      <c r="AA4580">
        <f>N4580*U4580*W4580*Y4580</f>
        <v>0</v>
      </c>
    </row>
    <row r="4581">
      <c r="A4581" t="str">
        <f>A4555</f>
        <v>Lantai 3</v>
      </c>
      <c r="B4581">
        <f>B4555</f>
        <v>10</v>
      </c>
      <c r="C4581" t="str">
        <v>Kait Horizontal Tump.</v>
      </c>
      <c r="D4581">
        <f>VLOOKUP(D4555,'Detail Balok'!$C$10:$BJ$140,56,FALSE)</f>
        <v>0</v>
      </c>
      <c r="E4581" t="str">
        <v>D</v>
      </c>
      <c r="F4581">
        <f>VLOOKUP(D4555,'Detail Balok'!$C$10:$BJ$140,58,FALSE)</f>
        <v>0</v>
      </c>
      <c r="G4581" t="str">
        <v>-</v>
      </c>
      <c r="H4581">
        <f>VLOOKUP(D4555,'Detail Balok'!$C$10:$BJ$140,60,FALSE)</f>
        <v>100</v>
      </c>
      <c r="J4581">
        <f>(D4556-2*F$5)/1000</f>
        <v>0.12</v>
      </c>
      <c r="K4581" t="str">
        <v>+</v>
      </c>
      <c r="L4581">
        <f>IF(D4581=0,2*MAX(6*F4581,75),(D4581-1)*2*MAX(6*F4581,75))/1000</f>
        <v>0.15</v>
      </c>
      <c r="M4581" t="str">
        <v>=</v>
      </c>
      <c r="N4581">
        <f>J4581+L4581</f>
        <v>0.27</v>
      </c>
      <c r="T4581" t="str">
        <v>x</v>
      </c>
      <c r="U4581">
        <f>0.006165*F4581^2</f>
        <v>0</v>
      </c>
      <c r="V4581" t="str">
        <v>x</v>
      </c>
      <c r="W4581">
        <f>W4577</f>
        <v>10</v>
      </c>
      <c r="X4581" t="str">
        <v>x</v>
      </c>
      <c r="Y4581">
        <f>D4565</f>
        <v>3</v>
      </c>
      <c r="Z4581" t="str">
        <v>=</v>
      </c>
      <c r="AA4581">
        <f>N4581*U4581*W4581*Y4581</f>
        <v>0</v>
      </c>
    </row>
    <row r="4585">
      <c r="A4585" t="str">
        <f>A4555</f>
        <v>Lantai 3</v>
      </c>
      <c r="B4585">
        <f>B4555+1</f>
        <v>11</v>
      </c>
      <c r="C4585" t="str">
        <f>CONCATENATE(A4585," no. ",B4585)</f>
        <v>Lantai 3 no. 11</v>
      </c>
      <c r="D4585" t="str">
        <f>VLOOKUP(C4585,'Data Panjang Balok'!$C$9:$N$254,2,FALSE)</f>
        <v>B25-1</v>
      </c>
    </row>
    <row r="4586">
      <c r="C4586" t="str">
        <v>Dimensi</v>
      </c>
      <c r="D4586">
        <f>VLOOKUP(D4585,'Detail Balok'!$C$10:$AU$140,2,FALSE)</f>
        <v>200</v>
      </c>
      <c r="F4586" t="str">
        <v>x</v>
      </c>
      <c r="G4586">
        <f>VLOOKUP(D4585,'Detail Balok'!$C$10:$AU$140,3,FALSE)</f>
        <v>500</v>
      </c>
    </row>
    <row r="4587">
      <c r="C4587" t="str">
        <v>Panjang as ke as</v>
      </c>
      <c r="D4587">
        <f>VLOOKUP(C4585,'Data Panjang Balok'!$C$9:$N$254,4,FALSE)</f>
        <v>9075</v>
      </c>
    </row>
    <row r="4588">
      <c r="C4588" t="str">
        <v>Panjang netto</v>
      </c>
      <c r="D4588">
        <f>VLOOKUP(C4585,'Data Panjang Balok'!$C$9:$N$254,7,FALSE)</f>
        <v>9075</v>
      </c>
    </row>
    <row r="4589">
      <c r="C4589" t="str">
        <v>Kolom / balok kiri</v>
      </c>
      <c r="D4589">
        <f>VLOOKUP(C4585,'Data Panjang Balok'!$C$9:$N$254,9,FALSE)</f>
        <v>0</v>
      </c>
    </row>
    <row r="4590">
      <c r="C4590" t="str">
        <v>Kolom / balok kanan</v>
      </c>
      <c r="D4590">
        <f>VLOOKUP(C4585,'Data Panjang Balok'!$C$9:$N$254,10,FALSE)</f>
        <v>0</v>
      </c>
    </row>
    <row r="4591">
      <c r="C4591" t="str">
        <v>Jumlah</v>
      </c>
      <c r="D4591">
        <f>VLOOKUP(C4585,'Data Panjang Balok'!$C$9:$N$254,3,FALSE)</f>
        <v>1</v>
      </c>
    </row>
    <row r="4592">
      <c r="A4592" t="str">
        <f>A4585</f>
        <v>Lantai 3</v>
      </c>
      <c r="B4592">
        <f>B4585</f>
        <v>11</v>
      </c>
      <c r="C4592" t="str">
        <v>Tul Atas Tumpuan</v>
      </c>
      <c r="D4592">
        <f>VLOOKUP(D4585,'Detail Balok'!$C$10:$AU$140,4,FALSE)</f>
        <v>4</v>
      </c>
      <c r="E4592" t="str">
        <v>D</v>
      </c>
      <c r="F4592">
        <f>VLOOKUP(D4585,'Detail Balok'!$C$10:$AU$140,6,FALSE)</f>
        <v>16</v>
      </c>
      <c r="I4592" t="str">
        <v>(</v>
      </c>
      <c r="J4592">
        <f>+D4587/4/1000</f>
        <v>2.26875</v>
      </c>
      <c r="K4592" t="str">
        <v>+</v>
      </c>
      <c r="L4592">
        <f>MAX(VLOOKUP(F4592,N$6:P$15,3,FALSE)/1000,2/3*D4589/1000)+F$16*F4592/1000</f>
        <v>0.192</v>
      </c>
      <c r="M4592" t="str">
        <v>=</v>
      </c>
      <c r="N4592">
        <f>J4592+L4592</f>
        <v>2.46075</v>
      </c>
      <c r="O4592" t="str">
        <v>+</v>
      </c>
      <c r="P4592">
        <f>D4592-D4593</f>
        <v>0</v>
      </c>
      <c r="Q4592" t="str">
        <v>x</v>
      </c>
      <c r="R4592">
        <f>IF(P4592&gt;0,$F$18*F4592/1000,0)</f>
        <v>0</v>
      </c>
      <c r="S4592" t="str">
        <v>)</v>
      </c>
      <c r="T4592" t="str">
        <v>x</v>
      </c>
      <c r="U4592">
        <f>0.006165*F4592^2</f>
        <v>1.57824</v>
      </c>
      <c r="X4592" t="str">
        <v>x</v>
      </c>
      <c r="Y4592">
        <f>D4591</f>
        <v>1</v>
      </c>
      <c r="Z4592" t="str">
        <v>=</v>
      </c>
      <c r="AA4592">
        <f>IF(AA4595=0,(D4592*N4592+P4592*R4592)*U4592*Y4592,0)</f>
        <v>0</v>
      </c>
    </row>
    <row r="4593">
      <c r="A4593" t="str">
        <f>A4585</f>
        <v>Lantai 3</v>
      </c>
      <c r="B4593">
        <f>B4585</f>
        <v>11</v>
      </c>
      <c r="C4593" t="str">
        <v>Tul Atas Lapangan</v>
      </c>
      <c r="D4593">
        <f>VLOOKUP(D4585,'Detail Balok'!$C$10:$AU$140,7,FALSE)</f>
        <v>4</v>
      </c>
      <c r="E4593" t="str">
        <v>D</v>
      </c>
      <c r="F4593">
        <f>VLOOKUP(D4585,'Detail Balok'!$C$10:$AU$140,9,FALSE)</f>
        <v>16</v>
      </c>
      <c r="I4593" t="str">
        <v>(</v>
      </c>
      <c r="J4593">
        <f>+D4587/2/1000</f>
        <v>4.5375</v>
      </c>
      <c r="K4593" t="str">
        <v>+</v>
      </c>
      <c r="M4593" t="str">
        <v>=</v>
      </c>
      <c r="N4593">
        <f>J4593+L4593</f>
        <v>4.5375</v>
      </c>
      <c r="O4593" t="str">
        <v>+</v>
      </c>
      <c r="P4593">
        <f>MAX(D4593-D4592,D4593-D4594)</f>
        <v>0</v>
      </c>
      <c r="Q4593" t="str">
        <v>x</v>
      </c>
      <c r="R4593">
        <f>IF(P4593&gt;0,2*(1-2*$F$19-1/2)*D4588/1000,0)</f>
        <v>0</v>
      </c>
      <c r="S4593" t="str">
        <v>)</v>
      </c>
      <c r="T4593" t="str">
        <v>x</v>
      </c>
      <c r="U4593">
        <f>0.006165*F4593^2</f>
        <v>1.57824</v>
      </c>
      <c r="X4593" t="str">
        <v>x</v>
      </c>
      <c r="Y4593">
        <f>D4591</f>
        <v>1</v>
      </c>
      <c r="Z4593" t="str">
        <v>=</v>
      </c>
      <c r="AA4593">
        <f>IF(AA4595=0,(D4593*N4593+P4593*R4593)*U4593*Y4593,0)</f>
        <v>0</v>
      </c>
    </row>
    <row r="4594">
      <c r="A4594" t="str">
        <f>A4585</f>
        <v>Lantai 3</v>
      </c>
      <c r="B4594">
        <f>B4585</f>
        <v>11</v>
      </c>
      <c r="C4594" t="str">
        <v>Tul Atas Tumpuan</v>
      </c>
      <c r="D4594">
        <f>VLOOKUP(D4585,'Detail Balok'!$C$10:$AU$140,10,FALSE)</f>
        <v>4</v>
      </c>
      <c r="E4594" t="str">
        <v>D</v>
      </c>
      <c r="F4594">
        <f>VLOOKUP(D4585,'Detail Balok'!$C$10:$AU$140,12,FALSE)</f>
        <v>16</v>
      </c>
      <c r="I4594" t="str">
        <v>(</v>
      </c>
      <c r="J4594">
        <f>+D4587/4/1000</f>
        <v>2.26875</v>
      </c>
      <c r="K4594" t="str">
        <v>+</v>
      </c>
      <c r="L4594">
        <f>MAX(VLOOKUP(F4594,N$6:P$15,3,FALSE)/1000,2/3*D4589/1000)+F$16*F4594/1000</f>
        <v>0.192</v>
      </c>
      <c r="M4594" t="str">
        <v>=</v>
      </c>
      <c r="N4594">
        <f>J4594+L4594</f>
        <v>2.46075</v>
      </c>
      <c r="O4594" t="str">
        <v>+</v>
      </c>
      <c r="P4594">
        <f>D4594-D4593</f>
        <v>0</v>
      </c>
      <c r="Q4594" t="str">
        <v>x</v>
      </c>
      <c r="R4594">
        <f>IF(P4594&gt;0,$F$18*F4594/1000,0)</f>
        <v>0</v>
      </c>
      <c r="S4594" t="str">
        <v>)</v>
      </c>
      <c r="T4594" t="str">
        <v>x</v>
      </c>
      <c r="U4594">
        <f>0.006165*F4594^2</f>
        <v>1.57824</v>
      </c>
      <c r="X4594" t="str">
        <v>x</v>
      </c>
      <c r="Y4594">
        <f>D4591</f>
        <v>1</v>
      </c>
      <c r="Z4594" t="str">
        <v>=</v>
      </c>
      <c r="AA4594">
        <f>IF(AA4595=0,(D4594*N4594+P4594*R4594)*U4594*Y4594,0)</f>
        <v>0</v>
      </c>
    </row>
    <row r="4595">
      <c r="A4595" t="str">
        <f>A4585</f>
        <v>Lantai 3</v>
      </c>
      <c r="B4595">
        <f>B4585</f>
        <v>11</v>
      </c>
      <c r="D4595">
        <f>IF(AND(D4592=D4593,D4593=D4594,D4592=D4594),D4592,0)</f>
        <v>4</v>
      </c>
      <c r="E4595" t="str">
        <v>D</v>
      </c>
      <c r="F4595">
        <f>IF(AND(F4592=F4593,F4592=F4594,F4593=F4594),F4592,0)</f>
        <v>16</v>
      </c>
      <c r="L4595" t="str">
        <v>Total panjang per balok</v>
      </c>
      <c r="M4595" t="str">
        <v>=</v>
      </c>
      <c r="N4595">
        <f>IF(AND(D4592=D4593,D4592=D4594,D4593=D4594,F4592=F4593,F4592=F4594,F4593=F4594),SUM(N4592:N4594),0)</f>
        <v>9.459</v>
      </c>
      <c r="O4595" t="str">
        <v>+</v>
      </c>
      <c r="P4595">
        <f>IF(N4595&gt;12,ROUNDDOWN(N4595/12,0),0)</f>
        <v>0</v>
      </c>
      <c r="Q4595" t="str">
        <v>x</v>
      </c>
      <c r="R4595">
        <f>IF(P4595&gt;0,MAX(VLOOKUP(F4595,$D$6:$G$15,3,FALSE),600),0)/1000</f>
        <v>0</v>
      </c>
      <c r="T4595" t="str">
        <v>x</v>
      </c>
      <c r="U4595">
        <f>U4594</f>
        <v>1.57824</v>
      </c>
      <c r="V4595" t="str">
        <v>x</v>
      </c>
      <c r="W4595">
        <f>D4595</f>
        <v>4</v>
      </c>
      <c r="X4595" t="str">
        <v>x</v>
      </c>
      <c r="Y4595">
        <f>Y4594</f>
        <v>1</v>
      </c>
      <c r="Z4595" t="str">
        <v>=</v>
      </c>
      <c r="AA4595">
        <f>(N4595+P4595*R4595/1000)*U4595*W4595*Y4595</f>
        <v>59.71428864</v>
      </c>
    </row>
    <row r="4597">
      <c r="A4597" t="str">
        <f>A4585</f>
        <v>Lantai 3</v>
      </c>
      <c r="B4597">
        <f>B4585</f>
        <v>11</v>
      </c>
      <c r="C4597" t="str">
        <v>Tul Peminggang</v>
      </c>
      <c r="D4597">
        <f>VLOOKUP(D4585,'Detail Balok'!$C$10:$AU$140,13,FALSE)</f>
        <v>2</v>
      </c>
      <c r="E4597" t="str">
        <v>D</v>
      </c>
      <c r="F4597">
        <f>VLOOKUP(D4585,'Detail Balok'!$C$10:$AU$140,15,FALSE)</f>
        <v>10</v>
      </c>
      <c r="J4597">
        <f>+D4587/1000</f>
        <v>9.075</v>
      </c>
      <c r="K4597" t="str">
        <v>+</v>
      </c>
      <c r="L4597">
        <f>2*$F$16*F4597/1000</f>
        <v>0.24</v>
      </c>
      <c r="M4597" t="str">
        <v>=</v>
      </c>
      <c r="N4597">
        <f>J4597+L4597</f>
        <v>9.315</v>
      </c>
      <c r="O4597" t="str">
        <v>+</v>
      </c>
      <c r="P4597">
        <f>IF(N4597&gt;12,ROUNDDOWN(N4597/12,0),0)</f>
        <v>0</v>
      </c>
      <c r="Q4597" t="str">
        <v>x</v>
      </c>
      <c r="R4597">
        <f>IF(P4597&gt;0,MAX(VLOOKUP(F4597,$D$6:$G$15,3,FALSE),600),0)/1000</f>
        <v>0</v>
      </c>
      <c r="T4597" t="str">
        <v>x</v>
      </c>
      <c r="U4597">
        <f>0.006165*F4597^2</f>
        <v>0.6165</v>
      </c>
      <c r="V4597" t="str">
        <v>x</v>
      </c>
      <c r="W4597">
        <f>+D4597</f>
        <v>2</v>
      </c>
      <c r="X4597" t="str">
        <v>x</v>
      </c>
      <c r="Y4597">
        <f>D4591</f>
        <v>1</v>
      </c>
      <c r="Z4597" t="str">
        <v>=</v>
      </c>
      <c r="AA4597">
        <f>(N4597+P4597*R4597/1000)*U4597*W4597*Y4597</f>
        <v>11.485395</v>
      </c>
    </row>
    <row r="4600">
      <c r="A4600" t="str">
        <f>A4585</f>
        <v>Lantai 3</v>
      </c>
      <c r="B4600">
        <f>B4585</f>
        <v>11</v>
      </c>
      <c r="C4600" t="str">
        <v>Tul Bawah Tumpuan</v>
      </c>
      <c r="D4600">
        <f>VLOOKUP(D4585,'Detail Balok'!$C$10:$AU$140,22,FALSE)</f>
        <v>4</v>
      </c>
      <c r="E4600" t="str">
        <v>D</v>
      </c>
      <c r="F4600">
        <f>VLOOKUP(D4585,'Detail Balok'!$C$10:$AU$140,24,FALSE)</f>
        <v>16</v>
      </c>
      <c r="I4600" t="str">
        <v>(</v>
      </c>
      <c r="J4600">
        <f>+J4592</f>
        <v>2.26875</v>
      </c>
      <c r="K4600" t="str">
        <v>+</v>
      </c>
      <c r="L4600">
        <f>MAX(VLOOKUP(F4600,N$6:P$15,3,FALSE)/1000,2/3*D4590/1000)+F$16*F4600/1000</f>
        <v>0.192</v>
      </c>
      <c r="M4600" t="str">
        <v>=</v>
      </c>
      <c r="N4600">
        <f>J4600+L4600</f>
        <v>2.46075</v>
      </c>
      <c r="O4600" t="str">
        <v>+</v>
      </c>
      <c r="P4600">
        <f>D4600-D4601</f>
        <v>0</v>
      </c>
      <c r="Q4600" t="str">
        <v>x</v>
      </c>
      <c r="R4600">
        <f>IF(P4600&gt;0,$F$18*F4600/1000,0)</f>
        <v>0</v>
      </c>
      <c r="S4600" t="str">
        <v>)</v>
      </c>
      <c r="T4600" t="str">
        <v>x</v>
      </c>
      <c r="U4600">
        <f>0.006165*F4600^2</f>
        <v>1.57824</v>
      </c>
      <c r="X4600" t="str">
        <v>x</v>
      </c>
      <c r="Y4600">
        <f>D4591</f>
        <v>1</v>
      </c>
      <c r="Z4600" t="str">
        <v>=</v>
      </c>
      <c r="AA4600">
        <f>IF(AA4603=0,(D4600*N4600+P4600*R4600)*U4600*Y4600,0)</f>
        <v>0</v>
      </c>
    </row>
    <row r="4601">
      <c r="A4601" t="str">
        <f>A4585</f>
        <v>Lantai 3</v>
      </c>
      <c r="B4601">
        <f>B4585</f>
        <v>11</v>
      </c>
      <c r="C4601" t="str">
        <v>Tul Bawah Lapangan</v>
      </c>
      <c r="D4601">
        <f>VLOOKUP(D4585,'Detail Balok'!$C$10:$AU$140,25,FALSE)</f>
        <v>4</v>
      </c>
      <c r="E4601" t="str">
        <v>D</v>
      </c>
      <c r="F4601">
        <f>VLOOKUP(D4585,'Detail Balok'!$C$10:$AU$140,27,FALSE)</f>
        <v>16</v>
      </c>
      <c r="I4601" t="str">
        <v>(</v>
      </c>
      <c r="J4601">
        <f>+J4593</f>
        <v>4.5375</v>
      </c>
      <c r="K4601" t="str">
        <v>+</v>
      </c>
      <c r="M4601" t="str">
        <v>=</v>
      </c>
      <c r="N4601">
        <f>J4601+L4601</f>
        <v>4.5375</v>
      </c>
      <c r="O4601" t="str">
        <v>+</v>
      </c>
      <c r="P4601">
        <f>MAX(D4601-D4600,D4601-D4602)</f>
        <v>0</v>
      </c>
      <c r="Q4601" t="str">
        <v>x</v>
      </c>
      <c r="R4601">
        <f>IF(P4601&gt;0,2*(1-2*$F$19-1/2)*D4588/1000,0)</f>
        <v>0</v>
      </c>
      <c r="S4601" t="str">
        <v>)</v>
      </c>
      <c r="T4601" t="str">
        <v>x</v>
      </c>
      <c r="U4601">
        <f>0.006165*F4601^2</f>
        <v>1.57824</v>
      </c>
      <c r="X4601" t="str">
        <v>x</v>
      </c>
      <c r="Y4601">
        <f>D4591</f>
        <v>1</v>
      </c>
      <c r="Z4601" t="str">
        <v>=</v>
      </c>
      <c r="AA4601">
        <f>IF(AA4603=0,(D4601*N4601+P4601*R4601)*U4601*Y4601,0)</f>
        <v>0</v>
      </c>
    </row>
    <row r="4602">
      <c r="A4602" t="str">
        <f>A4585</f>
        <v>Lantai 3</v>
      </c>
      <c r="B4602">
        <f>B4585</f>
        <v>11</v>
      </c>
      <c r="C4602" t="str">
        <v>Tul Bawah Tumpuan</v>
      </c>
      <c r="D4602">
        <f>VLOOKUP(D4585,'Detail Balok'!$C$10:$AU$140,28,FALSE)</f>
        <v>4</v>
      </c>
      <c r="E4602" t="str">
        <v>D</v>
      </c>
      <c r="F4602">
        <f>VLOOKUP(D4585,'Detail Balok'!$C$10:$AU$140,30,FALSE)</f>
        <v>16</v>
      </c>
      <c r="I4602" t="str">
        <v>(</v>
      </c>
      <c r="J4602">
        <f>+J4594</f>
        <v>2.26875</v>
      </c>
      <c r="K4602" t="str">
        <v>+</v>
      </c>
      <c r="L4602">
        <f>MAX(VLOOKUP(F4602,N$6:P$15,3,FALSE)/1000,2/3*D4590/1000)+F$16*F4602/1000</f>
        <v>0.192</v>
      </c>
      <c r="M4602" t="str">
        <v>=</v>
      </c>
      <c r="N4602">
        <f>J4602+L4602</f>
        <v>2.46075</v>
      </c>
      <c r="O4602" t="str">
        <v>+</v>
      </c>
      <c r="P4602">
        <f>D4602-D4601</f>
        <v>0</v>
      </c>
      <c r="Q4602" t="str">
        <v>x</v>
      </c>
      <c r="R4602">
        <f>IF(P4602&gt;0,$F$18*F4602/1000,0)</f>
        <v>0</v>
      </c>
      <c r="S4602" t="str">
        <v>)</v>
      </c>
      <c r="T4602" t="str">
        <v>x</v>
      </c>
      <c r="U4602">
        <f>0.006165*F4602^2</f>
        <v>1.57824</v>
      </c>
      <c r="X4602" t="str">
        <v>x</v>
      </c>
      <c r="Y4602">
        <f>D4591</f>
        <v>1</v>
      </c>
      <c r="Z4602" t="str">
        <v>=</v>
      </c>
      <c r="AA4602">
        <f>IF(AA4603=0,(D4602*N4602+P4602*R4602)*U4602*Y4602,0)</f>
        <v>0</v>
      </c>
    </row>
    <row r="4603">
      <c r="A4603" t="str">
        <f>A4585</f>
        <v>Lantai 3</v>
      </c>
      <c r="B4603">
        <f>B4585</f>
        <v>11</v>
      </c>
      <c r="D4603">
        <f>IF(AND(D4600=D4601,D4601=D4602,D4600=D4602),D4600,0)</f>
        <v>4</v>
      </c>
      <c r="E4603" t="str">
        <v>D</v>
      </c>
      <c r="F4603">
        <f>IF(AND(F4600=F4601,F4600=F4602,F4601=F4602),F4600,0)</f>
        <v>16</v>
      </c>
      <c r="L4603" t="str">
        <v>Total panjang per balok</v>
      </c>
      <c r="M4603" t="str">
        <v>=</v>
      </c>
      <c r="N4603">
        <f>IF(AND(D4600=D4601,D4600=D4602,D4601=D4602,F4600=F4601,F4600=F4602,F4601=F4602),SUM(N4600:N4602),0)</f>
        <v>9.459</v>
      </c>
      <c r="O4603" t="str">
        <v>+</v>
      </c>
      <c r="P4603">
        <f>IF(N4603&gt;12,ROUNDDOWN(N4603/12,0),0)</f>
        <v>0</v>
      </c>
      <c r="Q4603" t="str">
        <v>x</v>
      </c>
      <c r="R4603">
        <f>IF(P4603&gt;0,MAX(VLOOKUP(F4603,$D$6:$G$15,3,FALSE),600),0)/1000</f>
        <v>0</v>
      </c>
      <c r="T4603" t="str">
        <v>x</v>
      </c>
      <c r="U4603">
        <f>U4602</f>
        <v>1.57824</v>
      </c>
      <c r="V4603" t="str">
        <v>x</v>
      </c>
      <c r="W4603">
        <f>D4603</f>
        <v>4</v>
      </c>
      <c r="X4603" t="str">
        <v>x</v>
      </c>
      <c r="Y4603">
        <f>Y4602</f>
        <v>1</v>
      </c>
      <c r="Z4603" t="str">
        <v>=</v>
      </c>
      <c r="AA4603">
        <f>(N4603+P4603*R4603/1000)*U4603*W4603*Y4603</f>
        <v>59.71428864</v>
      </c>
    </row>
    <row r="4605">
      <c r="A4605" t="str">
        <f>A4585</f>
        <v>Lantai 3</v>
      </c>
      <c r="B4605">
        <f>B4585</f>
        <v>11</v>
      </c>
      <c r="C4605" t="str">
        <v>Sengkang Tumpuan</v>
      </c>
      <c r="D4605">
        <f>VLOOKUP(D4585,'Detail Balok'!$C$10:$AU$140,31,FALSE)</f>
        <v>0</v>
      </c>
      <c r="E4605" t="str">
        <v>D</v>
      </c>
      <c r="F4605">
        <f>VLOOKUP(D4585,'Detail Balok'!$C$10:$AU$140,33,FALSE)</f>
        <v>10</v>
      </c>
      <c r="G4605" t="str">
        <v>-</v>
      </c>
      <c r="H4605">
        <f>VLOOKUP(D4585,'Detail Balok'!$C$10:$AU$140,35,FALSE)</f>
        <v>150</v>
      </c>
      <c r="J4605">
        <f>(IF(D4605=0,(2*(D4586+G4586))-(F$5*8),IF(D4605=3,(2*(D4586+G4586))-(F$5*8)+(G4586-2*F$5),IF(D4605=4,(2*(D4586+G4586))-(F$5*8)+2*(G4586-2*F$5)))))/1000</f>
        <v>1.08</v>
      </c>
      <c r="K4605" t="str">
        <v>+</v>
      </c>
      <c r="L4605">
        <f>IF(D4605=0,2*MAX(6*F4605,75),(D4605-1)*2*MAX(6*F4605,75))/1000</f>
        <v>0.15</v>
      </c>
      <c r="M4605" t="str">
        <v>=</v>
      </c>
      <c r="N4605">
        <f>J4605+L4605</f>
        <v>1.23</v>
      </c>
      <c r="T4605" t="str">
        <v>x</v>
      </c>
      <c r="U4605">
        <f>0.006165*F4605^2</f>
        <v>0.6165</v>
      </c>
      <c r="V4605" t="str">
        <v>x</v>
      </c>
      <c r="W4605">
        <f>IF(D4588&gt;4*G4586,ROUND(MAX(D4588/4,2*G4586)/H4605,0)+1,ROUND(D4588/H4605,0)+1)</f>
        <v>16</v>
      </c>
      <c r="X4605" t="str">
        <v>x</v>
      </c>
      <c r="Y4605">
        <f>D4591</f>
        <v>1</v>
      </c>
      <c r="Z4605" t="str">
        <v>=</v>
      </c>
      <c r="AA4605">
        <f>N4605*U4605*W4605*Y4605</f>
        <v>12.13272</v>
      </c>
    </row>
    <row r="4606">
      <c r="A4606" t="str">
        <f>A4585</f>
        <v>Lantai 3</v>
      </c>
      <c r="B4606">
        <f>B4585</f>
        <v>11</v>
      </c>
      <c r="C4606" t="str">
        <v>Sengkang Lapangan</v>
      </c>
      <c r="D4606">
        <f>VLOOKUP(D4585,'Detail Balok'!$C$10:$AU$140,36,FALSE)</f>
        <v>0</v>
      </c>
      <c r="E4606" t="str">
        <v>D</v>
      </c>
      <c r="F4606">
        <f>VLOOKUP(D4585,'Detail Balok'!$C$10:$AU$140,38,FALSE)</f>
        <v>10</v>
      </c>
      <c r="G4606" t="str">
        <v>-</v>
      </c>
      <c r="H4606">
        <f>VLOOKUP(D4585,'Detail Balok'!$C$10:$AU$140,40,FALSE)</f>
        <v>200</v>
      </c>
      <c r="J4606">
        <f>(IF(D4606=0,(2*(D4586+G4586))-(F$5*8),IF(D4606=3,(2*(D4586+G4586))-(F$5*8)+(G4586-2*F$5),IF(D4606=4,(2*(D4586+G4586))-(F$5*8)+2*(G4586-2*F$5)))))/1000</f>
        <v>1.08</v>
      </c>
      <c r="K4606" t="str">
        <v>+</v>
      </c>
      <c r="L4606">
        <f>IF(D4606=0,2*MAX(6*F4606,75),(D4606-1)*2*MAX(6*F4606,75))/1000</f>
        <v>0.15</v>
      </c>
      <c r="M4606" t="str">
        <v>=</v>
      </c>
      <c r="N4606">
        <f>J4606+L4606</f>
        <v>1.23</v>
      </c>
      <c r="T4606" t="str">
        <v>x</v>
      </c>
      <c r="U4606">
        <f>0.006165*F4606^2</f>
        <v>0.6165</v>
      </c>
      <c r="V4606" t="str">
        <v>x</v>
      </c>
      <c r="W4606">
        <f>IF(D4588-MAX(D4588/4,2*G4586)*2&gt;0,ROUND((D4588-MAX(D4588/4,2*G4586)*2)/H4606,0),0)</f>
        <v>23</v>
      </c>
      <c r="X4606" t="str">
        <v>x</v>
      </c>
      <c r="Y4606">
        <f>D4591</f>
        <v>1</v>
      </c>
      <c r="Z4606" t="str">
        <v>=</v>
      </c>
      <c r="AA4606">
        <f>N4606*U4606*W4606*Y4606</f>
        <v>17.440785</v>
      </c>
    </row>
    <row r="4607">
      <c r="A4607" t="str">
        <f>A4585</f>
        <v>Lantai 3</v>
      </c>
      <c r="B4607">
        <f>B4585</f>
        <v>11</v>
      </c>
      <c r="C4607" t="str">
        <v>Sengkang Tumpuan</v>
      </c>
      <c r="D4607">
        <f>VLOOKUP(D4585,'Detail Balok'!$C$10:$AU$140,41,FALSE)</f>
        <v>0</v>
      </c>
      <c r="E4607" t="str">
        <v>D</v>
      </c>
      <c r="F4607">
        <f>VLOOKUP(D4585,'Detail Balok'!$C$10:$AU$140,43,FALSE)</f>
        <v>10</v>
      </c>
      <c r="G4607" t="str">
        <v>-</v>
      </c>
      <c r="H4607">
        <f>VLOOKUP(D4585,'Detail Balok'!$C$10:$AU$140,45,FALSE)</f>
        <v>150</v>
      </c>
      <c r="J4607">
        <f>(IF(D4607=0,(2*(D4586+G4586))-(F$5*8),IF(D4607=3,(2*(D4586+G4586))-(F$5*8)+(G4586-2*F$5),IF(D4607=4,(2*(D4586+G4586))-(F$5*8)+2*(G4586-2*F$5)))))/1000</f>
        <v>1.08</v>
      </c>
      <c r="K4607" t="str">
        <v>+</v>
      </c>
      <c r="L4607">
        <f>IF(D4607=0,2*MAX(6*F4607,75),(D4607-1)*2*MAX(6*F4607,75))/1000</f>
        <v>0.15</v>
      </c>
      <c r="M4607" t="str">
        <v>=</v>
      </c>
      <c r="N4607">
        <f>J4607+L4607</f>
        <v>1.23</v>
      </c>
      <c r="T4607" t="str">
        <v>x</v>
      </c>
      <c r="U4607">
        <f>0.006165*F4607^2</f>
        <v>0.6165</v>
      </c>
      <c r="V4607" t="str">
        <v>x</v>
      </c>
      <c r="W4607">
        <f>IF(D4588&gt;4*G4586,ROUND(MAX(D4588/4,2*G4586)/H4607,0)+1,0)</f>
        <v>16</v>
      </c>
      <c r="X4607" t="str">
        <v>x</v>
      </c>
      <c r="Y4607">
        <f>D4591</f>
        <v>1</v>
      </c>
      <c r="Z4607" t="str">
        <v>=</v>
      </c>
      <c r="AA4607">
        <f>N4607*U4607*W4607*Y4607</f>
        <v>12.13272</v>
      </c>
    </row>
    <row r="4609">
      <c r="A4609" t="str">
        <f>A4585</f>
        <v>Lantai 3</v>
      </c>
      <c r="B4609">
        <f>B4585</f>
        <v>11</v>
      </c>
      <c r="C4609" t="str">
        <v>Kait Horizontal Tump.</v>
      </c>
      <c r="D4609">
        <f>VLOOKUP(D4585,'Detail Balok'!$C$10:$BJ$140,46,FALSE)</f>
        <v>0</v>
      </c>
      <c r="E4609" t="str">
        <v>D</v>
      </c>
      <c r="F4609">
        <f>VLOOKUP(D4585,'Detail Balok'!$C$10:$BJ$140,48,FALSE)</f>
        <v>0</v>
      </c>
      <c r="G4609" t="str">
        <v>-</v>
      </c>
      <c r="H4609">
        <f>VLOOKUP(D4585,'Detail Balok'!$C$10:$BJ$140,50,FALSE)</f>
        <v>100</v>
      </c>
      <c r="J4609">
        <f>(D4586-2*F$5)/1000</f>
        <v>0.12</v>
      </c>
      <c r="K4609" t="str">
        <v>+</v>
      </c>
      <c r="L4609">
        <f>IF(D4609=0,2*MAX(6*F4609,75),(D4609-1)*2*MAX(6*F4609,75))/1000</f>
        <v>0.15</v>
      </c>
      <c r="M4609" t="str">
        <v>=</v>
      </c>
      <c r="N4609">
        <f>J4609+L4609</f>
        <v>0.27</v>
      </c>
      <c r="T4609" t="str">
        <v>x</v>
      </c>
      <c r="U4609">
        <f>0.006165*F4609^2</f>
        <v>0</v>
      </c>
      <c r="V4609" t="str">
        <v>x</v>
      </c>
      <c r="W4609">
        <f>W4605</f>
        <v>16</v>
      </c>
      <c r="X4609" t="str">
        <v>x</v>
      </c>
      <c r="Y4609">
        <f>D4595</f>
        <v>4</v>
      </c>
      <c r="Z4609" t="str">
        <v>=</v>
      </c>
      <c r="AA4609">
        <f>N4609*U4609*W4609*Y4609</f>
        <v>0</v>
      </c>
    </row>
    <row r="4610">
      <c r="A4610" t="str">
        <f>A4585</f>
        <v>Lantai 3</v>
      </c>
      <c r="B4610">
        <f>B4585</f>
        <v>11</v>
      </c>
      <c r="C4610" t="str">
        <v>Kait Horizontal Lap.</v>
      </c>
      <c r="D4610">
        <f>VLOOKUP(D4585,'Detail Balok'!$C$10:$BJ$140,51,FALSE)</f>
        <v>0</v>
      </c>
      <c r="E4610" t="str">
        <v>D</v>
      </c>
      <c r="F4610">
        <f>VLOOKUP(D4585,'Detail Balok'!$C$10:$BJ$140,53,FALSE)</f>
        <v>0</v>
      </c>
      <c r="G4610" t="str">
        <v>-</v>
      </c>
      <c r="H4610">
        <f>VLOOKUP(D4585,'Detail Balok'!$C$10:$BJ$140,55,FALSE)</f>
        <v>100</v>
      </c>
      <c r="J4610">
        <f>(D4586-2*F$5)/1000</f>
        <v>0.12</v>
      </c>
      <c r="K4610" t="str">
        <v>+</v>
      </c>
      <c r="L4610">
        <f>IF(D4610=0,2*MAX(6*F4610,75),(D4610-1)*2*MAX(6*F4610,75))/1000</f>
        <v>0.15</v>
      </c>
      <c r="M4610" t="str">
        <v>=</v>
      </c>
      <c r="N4610">
        <f>J4610+L4610</f>
        <v>0.27</v>
      </c>
      <c r="T4610" t="str">
        <v>x</v>
      </c>
      <c r="U4610">
        <f>0.006165*F4610^2</f>
        <v>0</v>
      </c>
      <c r="V4610" t="str">
        <v>x</v>
      </c>
      <c r="W4610">
        <f>W4606</f>
        <v>23</v>
      </c>
      <c r="X4610" t="str">
        <v>x</v>
      </c>
      <c r="Y4610">
        <f>D4595</f>
        <v>4</v>
      </c>
      <c r="Z4610" t="str">
        <v>=</v>
      </c>
      <c r="AA4610">
        <f>N4610*U4610*W4610*Y4610</f>
        <v>0</v>
      </c>
    </row>
    <row r="4611">
      <c r="A4611" t="str">
        <f>A4585</f>
        <v>Lantai 3</v>
      </c>
      <c r="B4611">
        <f>B4585</f>
        <v>11</v>
      </c>
      <c r="C4611" t="str">
        <v>Kait Horizontal Tump.</v>
      </c>
      <c r="D4611">
        <f>VLOOKUP(D4585,'Detail Balok'!$C$10:$BJ$140,56,FALSE)</f>
        <v>0</v>
      </c>
      <c r="E4611" t="str">
        <v>D</v>
      </c>
      <c r="F4611">
        <f>VLOOKUP(D4585,'Detail Balok'!$C$10:$BJ$140,58,FALSE)</f>
        <v>0</v>
      </c>
      <c r="G4611" t="str">
        <v>-</v>
      </c>
      <c r="H4611">
        <f>VLOOKUP(D4585,'Detail Balok'!$C$10:$BJ$140,60,FALSE)</f>
        <v>100</v>
      </c>
      <c r="J4611">
        <f>(D4586-2*F$5)/1000</f>
        <v>0.12</v>
      </c>
      <c r="K4611" t="str">
        <v>+</v>
      </c>
      <c r="L4611">
        <f>IF(D4611=0,2*MAX(6*F4611,75),(D4611-1)*2*MAX(6*F4611,75))/1000</f>
        <v>0.15</v>
      </c>
      <c r="M4611" t="str">
        <v>=</v>
      </c>
      <c r="N4611">
        <f>J4611+L4611</f>
        <v>0.27</v>
      </c>
      <c r="T4611" t="str">
        <v>x</v>
      </c>
      <c r="U4611">
        <f>0.006165*F4611^2</f>
        <v>0</v>
      </c>
      <c r="V4611" t="str">
        <v>x</v>
      </c>
      <c r="W4611">
        <f>W4607</f>
        <v>16</v>
      </c>
      <c r="X4611" t="str">
        <v>x</v>
      </c>
      <c r="Y4611">
        <f>D4595</f>
        <v>4</v>
      </c>
      <c r="Z4611" t="str">
        <v>=</v>
      </c>
      <c r="AA4611">
        <f>N4611*U4611*W4611*Y4611</f>
        <v>0</v>
      </c>
    </row>
    <row r="4615">
      <c r="A4615" t="str">
        <f>A4585</f>
        <v>Lantai 3</v>
      </c>
      <c r="B4615">
        <f>B4585+1</f>
        <v>12</v>
      </c>
      <c r="C4615" t="str">
        <f>CONCATENATE(A4615," no. ",B4615)</f>
        <v>Lantai 3 no. 12</v>
      </c>
      <c r="D4615" t="str">
        <f>VLOOKUP(C4615,'Data Panjang Balok'!$C$9:$N$254,2,FALSE)</f>
        <v>B25-1</v>
      </c>
    </row>
    <row r="4616">
      <c r="C4616" t="str">
        <v>Dimensi</v>
      </c>
      <c r="D4616">
        <f>VLOOKUP(D4615,'Detail Balok'!$C$10:$AU$140,2,FALSE)</f>
        <v>200</v>
      </c>
      <c r="F4616" t="str">
        <v>x</v>
      </c>
      <c r="G4616">
        <f>VLOOKUP(D4615,'Detail Balok'!$C$10:$AU$140,3,FALSE)</f>
        <v>500</v>
      </c>
    </row>
    <row r="4617">
      <c r="C4617" t="str">
        <v>Panjang as ke as</v>
      </c>
      <c r="D4617">
        <f>VLOOKUP(C4615,'Data Panjang Balok'!$C$9:$N$254,4,FALSE)</f>
        <v>5925</v>
      </c>
    </row>
    <row r="4618">
      <c r="C4618" t="str">
        <v>Panjang netto</v>
      </c>
      <c r="D4618">
        <f>VLOOKUP(C4615,'Data Panjang Balok'!$C$9:$N$254,7,FALSE)</f>
        <v>5925</v>
      </c>
    </row>
    <row r="4619">
      <c r="C4619" t="str">
        <v>Kolom / balok kiri</v>
      </c>
      <c r="D4619">
        <f>VLOOKUP(C4615,'Data Panjang Balok'!$C$9:$N$254,9,FALSE)</f>
        <v>0</v>
      </c>
    </row>
    <row r="4620">
      <c r="C4620" t="str">
        <v>Kolom / balok kanan</v>
      </c>
      <c r="D4620">
        <f>VLOOKUP(C4615,'Data Panjang Balok'!$C$9:$N$254,10,FALSE)</f>
        <v>0</v>
      </c>
    </row>
    <row r="4621">
      <c r="C4621" t="str">
        <v>Jumlah</v>
      </c>
      <c r="D4621">
        <f>VLOOKUP(C4615,'Data Panjang Balok'!$C$9:$N$254,3,FALSE)</f>
        <v>1</v>
      </c>
    </row>
    <row r="4622">
      <c r="A4622" t="str">
        <f>A4615</f>
        <v>Lantai 3</v>
      </c>
      <c r="B4622">
        <f>B4615</f>
        <v>12</v>
      </c>
      <c r="C4622" t="str">
        <v>Tul Atas Tumpuan</v>
      </c>
      <c r="D4622">
        <f>VLOOKUP(D4615,'Detail Balok'!$C$10:$AU$140,4,FALSE)</f>
        <v>4</v>
      </c>
      <c r="E4622" t="str">
        <v>D</v>
      </c>
      <c r="F4622">
        <f>VLOOKUP(D4615,'Detail Balok'!$C$10:$AU$140,6,FALSE)</f>
        <v>16</v>
      </c>
      <c r="I4622" t="str">
        <v>(</v>
      </c>
      <c r="J4622">
        <f>+D4617/4/1000</f>
        <v>1.48125</v>
      </c>
      <c r="K4622" t="str">
        <v>+</v>
      </c>
      <c r="L4622">
        <f>MAX(VLOOKUP(F4622,N$6:P$15,3,FALSE)/1000,2/3*D4619/1000)+F$16*F4622/1000</f>
        <v>0.192</v>
      </c>
      <c r="M4622" t="str">
        <v>=</v>
      </c>
      <c r="N4622">
        <f>J4622+L4622</f>
        <v>1.67325</v>
      </c>
      <c r="O4622" t="str">
        <v>+</v>
      </c>
      <c r="P4622">
        <f>D4622-D4623</f>
        <v>0</v>
      </c>
      <c r="Q4622" t="str">
        <v>x</v>
      </c>
      <c r="R4622">
        <f>IF(P4622&gt;0,$F$18*F4622/1000,0)</f>
        <v>0</v>
      </c>
      <c r="S4622" t="str">
        <v>)</v>
      </c>
      <c r="T4622" t="str">
        <v>x</v>
      </c>
      <c r="U4622">
        <f>0.006165*F4622^2</f>
        <v>1.57824</v>
      </c>
      <c r="X4622" t="str">
        <v>x</v>
      </c>
      <c r="Y4622">
        <f>D4621</f>
        <v>1</v>
      </c>
      <c r="Z4622" t="str">
        <v>=</v>
      </c>
      <c r="AA4622">
        <f>IF(AA4625=0,(D4622*N4622+P4622*R4622)*U4622*Y4622,0)</f>
        <v>0</v>
      </c>
    </row>
    <row r="4623">
      <c r="A4623" t="str">
        <f>A4615</f>
        <v>Lantai 3</v>
      </c>
      <c r="B4623">
        <f>B4615</f>
        <v>12</v>
      </c>
      <c r="C4623" t="str">
        <v>Tul Atas Lapangan</v>
      </c>
      <c r="D4623">
        <f>VLOOKUP(D4615,'Detail Balok'!$C$10:$AU$140,7,FALSE)</f>
        <v>4</v>
      </c>
      <c r="E4623" t="str">
        <v>D</v>
      </c>
      <c r="F4623">
        <f>VLOOKUP(D4615,'Detail Balok'!$C$10:$AU$140,9,FALSE)</f>
        <v>16</v>
      </c>
      <c r="I4623" t="str">
        <v>(</v>
      </c>
      <c r="J4623">
        <f>+D4617/2/1000</f>
        <v>2.9625</v>
      </c>
      <c r="K4623" t="str">
        <v>+</v>
      </c>
      <c r="M4623" t="str">
        <v>=</v>
      </c>
      <c r="N4623">
        <f>J4623+L4623</f>
        <v>2.9625</v>
      </c>
      <c r="O4623" t="str">
        <v>+</v>
      </c>
      <c r="P4623">
        <f>MAX(D4623-D4622,D4623-D4624)</f>
        <v>0</v>
      </c>
      <c r="Q4623" t="str">
        <v>x</v>
      </c>
      <c r="R4623">
        <f>IF(P4623&gt;0,2*(1-2*$F$19-1/2)*D4618/1000,0)</f>
        <v>0</v>
      </c>
      <c r="S4623" t="str">
        <v>)</v>
      </c>
      <c r="T4623" t="str">
        <v>x</v>
      </c>
      <c r="U4623">
        <f>0.006165*F4623^2</f>
        <v>1.57824</v>
      </c>
      <c r="X4623" t="str">
        <v>x</v>
      </c>
      <c r="Y4623">
        <f>D4621</f>
        <v>1</v>
      </c>
      <c r="Z4623" t="str">
        <v>=</v>
      </c>
      <c r="AA4623">
        <f>IF(AA4625=0,(D4623*N4623+P4623*R4623)*U4623*Y4623,0)</f>
        <v>0</v>
      </c>
    </row>
    <row r="4624">
      <c r="A4624" t="str">
        <f>A4615</f>
        <v>Lantai 3</v>
      </c>
      <c r="B4624">
        <f>B4615</f>
        <v>12</v>
      </c>
      <c r="C4624" t="str">
        <v>Tul Atas Tumpuan</v>
      </c>
      <c r="D4624">
        <f>VLOOKUP(D4615,'Detail Balok'!$C$10:$AU$140,10,FALSE)</f>
        <v>4</v>
      </c>
      <c r="E4624" t="str">
        <v>D</v>
      </c>
      <c r="F4624">
        <f>VLOOKUP(D4615,'Detail Balok'!$C$10:$AU$140,12,FALSE)</f>
        <v>16</v>
      </c>
      <c r="I4624" t="str">
        <v>(</v>
      </c>
      <c r="J4624">
        <f>+D4617/4/1000</f>
        <v>1.48125</v>
      </c>
      <c r="K4624" t="str">
        <v>+</v>
      </c>
      <c r="L4624">
        <f>MAX(VLOOKUP(F4624,N$6:P$15,3,FALSE)/1000,2/3*D4619/1000)+F$16*F4624/1000</f>
        <v>0.192</v>
      </c>
      <c r="M4624" t="str">
        <v>=</v>
      </c>
      <c r="N4624">
        <f>J4624+L4624</f>
        <v>1.67325</v>
      </c>
      <c r="O4624" t="str">
        <v>+</v>
      </c>
      <c r="P4624">
        <f>D4624-D4623</f>
        <v>0</v>
      </c>
      <c r="Q4624" t="str">
        <v>x</v>
      </c>
      <c r="R4624">
        <f>IF(P4624&gt;0,$F$18*F4624/1000,0)</f>
        <v>0</v>
      </c>
      <c r="S4624" t="str">
        <v>)</v>
      </c>
      <c r="T4624" t="str">
        <v>x</v>
      </c>
      <c r="U4624">
        <f>0.006165*F4624^2</f>
        <v>1.57824</v>
      </c>
      <c r="X4624" t="str">
        <v>x</v>
      </c>
      <c r="Y4624">
        <f>D4621</f>
        <v>1</v>
      </c>
      <c r="Z4624" t="str">
        <v>=</v>
      </c>
      <c r="AA4624">
        <f>IF(AA4625=0,(D4624*N4624+P4624*R4624)*U4624*Y4624,0)</f>
        <v>0</v>
      </c>
    </row>
    <row r="4625">
      <c r="A4625" t="str">
        <f>A4615</f>
        <v>Lantai 3</v>
      </c>
      <c r="B4625">
        <f>B4615</f>
        <v>12</v>
      </c>
      <c r="D4625">
        <f>IF(AND(D4622=D4623,D4623=D4624,D4622=D4624),D4622,0)</f>
        <v>4</v>
      </c>
      <c r="E4625" t="str">
        <v>D</v>
      </c>
      <c r="F4625">
        <f>IF(AND(F4622=F4623,F4622=F4624,F4623=F4624),F4622,0)</f>
        <v>16</v>
      </c>
      <c r="L4625" t="str">
        <v>Total panjang per balok</v>
      </c>
      <c r="M4625" t="str">
        <v>=</v>
      </c>
      <c r="N4625">
        <f>IF(AND(D4622=D4623,D4622=D4624,D4623=D4624,F4622=F4623,F4622=F4624,F4623=F4624),SUM(N4622:N4624),0)</f>
        <v>6.308999999999999</v>
      </c>
      <c r="O4625" t="str">
        <v>+</v>
      </c>
      <c r="P4625">
        <f>IF(N4625&gt;12,ROUNDDOWN(N4625/12,0),0)</f>
        <v>0</v>
      </c>
      <c r="Q4625" t="str">
        <v>x</v>
      </c>
      <c r="R4625">
        <f>IF(P4625&gt;0,MAX(VLOOKUP(F4625,$D$6:$G$15,3,FALSE),600),0)/1000</f>
        <v>0</v>
      </c>
      <c r="T4625" t="str">
        <v>x</v>
      </c>
      <c r="U4625">
        <f>U4624</f>
        <v>1.57824</v>
      </c>
      <c r="V4625" t="str">
        <v>x</v>
      </c>
      <c r="W4625">
        <f>D4625</f>
        <v>4</v>
      </c>
      <c r="X4625" t="str">
        <v>x</v>
      </c>
      <c r="Y4625">
        <f>Y4624</f>
        <v>1</v>
      </c>
      <c r="Z4625" t="str">
        <v>=</v>
      </c>
      <c r="AA4625">
        <f>(N4625+P4625*R4625/1000)*U4625*W4625*Y4625</f>
        <v>39.82846464</v>
      </c>
    </row>
    <row r="4627">
      <c r="A4627" t="str">
        <f>A4615</f>
        <v>Lantai 3</v>
      </c>
      <c r="B4627">
        <f>B4615</f>
        <v>12</v>
      </c>
      <c r="C4627" t="str">
        <v>Tul Peminggang</v>
      </c>
      <c r="D4627">
        <f>VLOOKUP(D4615,'Detail Balok'!$C$10:$AU$140,13,FALSE)</f>
        <v>2</v>
      </c>
      <c r="E4627" t="str">
        <v>D</v>
      </c>
      <c r="F4627">
        <f>VLOOKUP(D4615,'Detail Balok'!$C$10:$AU$140,15,FALSE)</f>
        <v>10</v>
      </c>
      <c r="J4627">
        <f>+D4617/1000</f>
        <v>5.925</v>
      </c>
      <c r="K4627" t="str">
        <v>+</v>
      </c>
      <c r="L4627">
        <f>2*$F$16*F4627/1000</f>
        <v>0.24</v>
      </c>
      <c r="M4627" t="str">
        <v>=</v>
      </c>
      <c r="N4627">
        <f>J4627+L4627</f>
        <v>6.165</v>
      </c>
      <c r="O4627" t="str">
        <v>+</v>
      </c>
      <c r="P4627">
        <f>IF(N4627&gt;12,ROUNDDOWN(N4627/12,0),0)</f>
        <v>0</v>
      </c>
      <c r="Q4627" t="str">
        <v>x</v>
      </c>
      <c r="R4627">
        <f>IF(P4627&gt;0,MAX(VLOOKUP(F4627,$D$6:$G$15,3,FALSE),600),0)/1000</f>
        <v>0</v>
      </c>
      <c r="T4627" t="str">
        <v>x</v>
      </c>
      <c r="U4627">
        <f>0.006165*F4627^2</f>
        <v>0.6165</v>
      </c>
      <c r="V4627" t="str">
        <v>x</v>
      </c>
      <c r="W4627">
        <f>+D4627</f>
        <v>2</v>
      </c>
      <c r="X4627" t="str">
        <v>x</v>
      </c>
      <c r="Y4627">
        <f>D4621</f>
        <v>1</v>
      </c>
      <c r="Z4627" t="str">
        <v>=</v>
      </c>
      <c r="AA4627">
        <f>(N4627+P4627*R4627/1000)*U4627*W4627*Y4627</f>
        <v>7.601445000000001</v>
      </c>
    </row>
    <row r="4630">
      <c r="A4630" t="str">
        <f>A4615</f>
        <v>Lantai 3</v>
      </c>
      <c r="B4630">
        <f>B4615</f>
        <v>12</v>
      </c>
      <c r="C4630" t="str">
        <v>Tul Bawah Tumpuan</v>
      </c>
      <c r="D4630">
        <f>VLOOKUP(D4615,'Detail Balok'!$C$10:$AU$140,22,FALSE)</f>
        <v>4</v>
      </c>
      <c r="E4630" t="str">
        <v>D</v>
      </c>
      <c r="F4630">
        <f>VLOOKUP(D4615,'Detail Balok'!$C$10:$AU$140,24,FALSE)</f>
        <v>16</v>
      </c>
      <c r="I4630" t="str">
        <v>(</v>
      </c>
      <c r="J4630">
        <f>+J4622</f>
        <v>1.48125</v>
      </c>
      <c r="K4630" t="str">
        <v>+</v>
      </c>
      <c r="L4630">
        <f>MAX(VLOOKUP(F4630,N$6:P$15,3,FALSE)/1000,2/3*D4620/1000)+F$16*F4630/1000</f>
        <v>0.192</v>
      </c>
      <c r="M4630" t="str">
        <v>=</v>
      </c>
      <c r="N4630">
        <f>J4630+L4630</f>
        <v>1.67325</v>
      </c>
      <c r="O4630" t="str">
        <v>+</v>
      </c>
      <c r="P4630">
        <f>D4630-D4631</f>
        <v>0</v>
      </c>
      <c r="Q4630" t="str">
        <v>x</v>
      </c>
      <c r="R4630">
        <f>IF(P4630&gt;0,$F$18*F4630/1000,0)</f>
        <v>0</v>
      </c>
      <c r="S4630" t="str">
        <v>)</v>
      </c>
      <c r="T4630" t="str">
        <v>x</v>
      </c>
      <c r="U4630">
        <f>0.006165*F4630^2</f>
        <v>1.57824</v>
      </c>
      <c r="X4630" t="str">
        <v>x</v>
      </c>
      <c r="Y4630">
        <f>D4621</f>
        <v>1</v>
      </c>
      <c r="Z4630" t="str">
        <v>=</v>
      </c>
      <c r="AA4630">
        <f>IF(AA4633=0,(D4630*N4630+P4630*R4630)*U4630*Y4630,0)</f>
        <v>0</v>
      </c>
    </row>
    <row r="4631">
      <c r="A4631" t="str">
        <f>A4615</f>
        <v>Lantai 3</v>
      </c>
      <c r="B4631">
        <f>B4615</f>
        <v>12</v>
      </c>
      <c r="C4631" t="str">
        <v>Tul Bawah Lapangan</v>
      </c>
      <c r="D4631">
        <f>VLOOKUP(D4615,'Detail Balok'!$C$10:$AU$140,25,FALSE)</f>
        <v>4</v>
      </c>
      <c r="E4631" t="str">
        <v>D</v>
      </c>
      <c r="F4631">
        <f>VLOOKUP(D4615,'Detail Balok'!$C$10:$AU$140,27,FALSE)</f>
        <v>16</v>
      </c>
      <c r="I4631" t="str">
        <v>(</v>
      </c>
      <c r="J4631">
        <f>+J4623</f>
        <v>2.9625</v>
      </c>
      <c r="K4631" t="str">
        <v>+</v>
      </c>
      <c r="M4631" t="str">
        <v>=</v>
      </c>
      <c r="N4631">
        <f>J4631+L4631</f>
        <v>2.9625</v>
      </c>
      <c r="O4631" t="str">
        <v>+</v>
      </c>
      <c r="P4631">
        <f>MAX(D4631-D4630,D4631-D4632)</f>
        <v>0</v>
      </c>
      <c r="Q4631" t="str">
        <v>x</v>
      </c>
      <c r="R4631">
        <f>IF(P4631&gt;0,2*(1-2*$F$19-1/2)*D4618/1000,0)</f>
        <v>0</v>
      </c>
      <c r="S4631" t="str">
        <v>)</v>
      </c>
      <c r="T4631" t="str">
        <v>x</v>
      </c>
      <c r="U4631">
        <f>0.006165*F4631^2</f>
        <v>1.57824</v>
      </c>
      <c r="X4631" t="str">
        <v>x</v>
      </c>
      <c r="Y4631">
        <f>D4621</f>
        <v>1</v>
      </c>
      <c r="Z4631" t="str">
        <v>=</v>
      </c>
      <c r="AA4631">
        <f>IF(AA4633=0,(D4631*N4631+P4631*R4631)*U4631*Y4631,0)</f>
        <v>0</v>
      </c>
    </row>
    <row r="4632">
      <c r="A4632" t="str">
        <f>A4615</f>
        <v>Lantai 3</v>
      </c>
      <c r="B4632">
        <f>B4615</f>
        <v>12</v>
      </c>
      <c r="C4632" t="str">
        <v>Tul Bawah Tumpuan</v>
      </c>
      <c r="D4632">
        <f>VLOOKUP(D4615,'Detail Balok'!$C$10:$AU$140,28,FALSE)</f>
        <v>4</v>
      </c>
      <c r="E4632" t="str">
        <v>D</v>
      </c>
      <c r="F4632">
        <f>VLOOKUP(D4615,'Detail Balok'!$C$10:$AU$140,30,FALSE)</f>
        <v>16</v>
      </c>
      <c r="I4632" t="str">
        <v>(</v>
      </c>
      <c r="J4632">
        <f>+J4624</f>
        <v>1.48125</v>
      </c>
      <c r="K4632" t="str">
        <v>+</v>
      </c>
      <c r="L4632">
        <f>MAX(VLOOKUP(F4632,N$6:P$15,3,FALSE)/1000,2/3*D4620/1000)+F$16*F4632/1000</f>
        <v>0.192</v>
      </c>
      <c r="M4632" t="str">
        <v>=</v>
      </c>
      <c r="N4632">
        <f>J4632+L4632</f>
        <v>1.67325</v>
      </c>
      <c r="O4632" t="str">
        <v>+</v>
      </c>
      <c r="P4632">
        <f>D4632-D4631</f>
        <v>0</v>
      </c>
      <c r="Q4632" t="str">
        <v>x</v>
      </c>
      <c r="R4632">
        <f>IF(P4632&gt;0,$F$18*F4632/1000,0)</f>
        <v>0</v>
      </c>
      <c r="S4632" t="str">
        <v>)</v>
      </c>
      <c r="T4632" t="str">
        <v>x</v>
      </c>
      <c r="U4632">
        <f>0.006165*F4632^2</f>
        <v>1.57824</v>
      </c>
      <c r="X4632" t="str">
        <v>x</v>
      </c>
      <c r="Y4632">
        <f>D4621</f>
        <v>1</v>
      </c>
      <c r="Z4632" t="str">
        <v>=</v>
      </c>
      <c r="AA4632">
        <f>IF(AA4633=0,(D4632*N4632+P4632*R4632)*U4632*Y4632,0)</f>
        <v>0</v>
      </c>
    </row>
    <row r="4633">
      <c r="A4633" t="str">
        <f>A4615</f>
        <v>Lantai 3</v>
      </c>
      <c r="B4633">
        <f>B4615</f>
        <v>12</v>
      </c>
      <c r="D4633">
        <f>IF(AND(D4630=D4631,D4631=D4632,D4630=D4632),D4630,0)</f>
        <v>4</v>
      </c>
      <c r="E4633" t="str">
        <v>D</v>
      </c>
      <c r="F4633">
        <f>IF(AND(F4630=F4631,F4630=F4632,F4631=F4632),F4630,0)</f>
        <v>16</v>
      </c>
      <c r="L4633" t="str">
        <v>Total panjang per balok</v>
      </c>
      <c r="M4633" t="str">
        <v>=</v>
      </c>
      <c r="N4633">
        <f>IF(AND(D4630=D4631,D4630=D4632,D4631=D4632,F4630=F4631,F4630=F4632,F4631=F4632),SUM(N4630:N4632),0)</f>
        <v>6.308999999999999</v>
      </c>
      <c r="O4633" t="str">
        <v>+</v>
      </c>
      <c r="P4633">
        <f>IF(N4633&gt;12,ROUNDDOWN(N4633/12,0),0)</f>
        <v>0</v>
      </c>
      <c r="Q4633" t="str">
        <v>x</v>
      </c>
      <c r="R4633">
        <f>IF(P4633&gt;0,MAX(VLOOKUP(F4633,$D$6:$G$15,3,FALSE),600),0)/1000</f>
        <v>0</v>
      </c>
      <c r="T4633" t="str">
        <v>x</v>
      </c>
      <c r="U4633">
        <f>U4632</f>
        <v>1.57824</v>
      </c>
      <c r="V4633" t="str">
        <v>x</v>
      </c>
      <c r="W4633">
        <f>D4633</f>
        <v>4</v>
      </c>
      <c r="X4633" t="str">
        <v>x</v>
      </c>
      <c r="Y4633">
        <f>Y4632</f>
        <v>1</v>
      </c>
      <c r="Z4633" t="str">
        <v>=</v>
      </c>
      <c r="AA4633">
        <f>(N4633+P4633*R4633/1000)*U4633*W4633*Y4633</f>
        <v>39.82846464</v>
      </c>
    </row>
    <row r="4635">
      <c r="A4635" t="str">
        <f>A4615</f>
        <v>Lantai 3</v>
      </c>
      <c r="B4635">
        <f>B4615</f>
        <v>12</v>
      </c>
      <c r="C4635" t="str">
        <v>Sengkang Tumpuan</v>
      </c>
      <c r="D4635">
        <f>VLOOKUP(D4615,'Detail Balok'!$C$10:$AU$140,31,FALSE)</f>
        <v>0</v>
      </c>
      <c r="E4635" t="str">
        <v>D</v>
      </c>
      <c r="F4635">
        <f>VLOOKUP(D4615,'Detail Balok'!$C$10:$AU$140,33,FALSE)</f>
        <v>10</v>
      </c>
      <c r="G4635" t="str">
        <v>-</v>
      </c>
      <c r="H4635">
        <f>VLOOKUP(D4615,'Detail Balok'!$C$10:$AU$140,35,FALSE)</f>
        <v>150</v>
      </c>
      <c r="J4635">
        <f>(IF(D4635=0,(2*(D4616+G4616))-(F$5*8),IF(D4635=3,(2*(D4616+G4616))-(F$5*8)+(G4616-2*F$5),IF(D4635=4,(2*(D4616+G4616))-(F$5*8)+2*(G4616-2*F$5)))))/1000</f>
        <v>1.08</v>
      </c>
      <c r="K4635" t="str">
        <v>+</v>
      </c>
      <c r="L4635">
        <f>IF(D4635=0,2*MAX(6*F4635,75),(D4635-1)*2*MAX(6*F4635,75))/1000</f>
        <v>0.15</v>
      </c>
      <c r="M4635" t="str">
        <v>=</v>
      </c>
      <c r="N4635">
        <f>J4635+L4635</f>
        <v>1.23</v>
      </c>
      <c r="T4635" t="str">
        <v>x</v>
      </c>
      <c r="U4635">
        <f>0.006165*F4635^2</f>
        <v>0.6165</v>
      </c>
      <c r="V4635" t="str">
        <v>x</v>
      </c>
      <c r="W4635">
        <f>IF(D4618&gt;4*G4616,ROUND(MAX(D4618/4,2*G4616)/H4635,0)+1,ROUND(D4618/H4635,0)+1)</f>
        <v>11</v>
      </c>
      <c r="X4635" t="str">
        <v>x</v>
      </c>
      <c r="Y4635">
        <f>D4621</f>
        <v>1</v>
      </c>
      <c r="Z4635" t="str">
        <v>=</v>
      </c>
      <c r="AA4635">
        <f>N4635*U4635*W4635*Y4635</f>
        <v>8.341245</v>
      </c>
    </row>
    <row r="4636">
      <c r="A4636" t="str">
        <f>A4615</f>
        <v>Lantai 3</v>
      </c>
      <c r="B4636">
        <f>B4615</f>
        <v>12</v>
      </c>
      <c r="C4636" t="str">
        <v>Sengkang Lapangan</v>
      </c>
      <c r="D4636">
        <f>VLOOKUP(D4615,'Detail Balok'!$C$10:$AU$140,36,FALSE)</f>
        <v>0</v>
      </c>
      <c r="E4636" t="str">
        <v>D</v>
      </c>
      <c r="F4636">
        <f>VLOOKUP(D4615,'Detail Balok'!$C$10:$AU$140,38,FALSE)</f>
        <v>10</v>
      </c>
      <c r="G4636" t="str">
        <v>-</v>
      </c>
      <c r="H4636">
        <f>VLOOKUP(D4615,'Detail Balok'!$C$10:$AU$140,40,FALSE)</f>
        <v>200</v>
      </c>
      <c r="J4636">
        <f>(IF(D4636=0,(2*(D4616+G4616))-(F$5*8),IF(D4636=3,(2*(D4616+G4616))-(F$5*8)+(G4616-2*F$5),IF(D4636=4,(2*(D4616+G4616))-(F$5*8)+2*(G4616-2*F$5)))))/1000</f>
        <v>1.08</v>
      </c>
      <c r="K4636" t="str">
        <v>+</v>
      </c>
      <c r="L4636">
        <f>IF(D4636=0,2*MAX(6*F4636,75),(D4636-1)*2*MAX(6*F4636,75))/1000</f>
        <v>0.15</v>
      </c>
      <c r="M4636" t="str">
        <v>=</v>
      </c>
      <c r="N4636">
        <f>J4636+L4636</f>
        <v>1.23</v>
      </c>
      <c r="T4636" t="str">
        <v>x</v>
      </c>
      <c r="U4636">
        <f>0.006165*F4636^2</f>
        <v>0.6165</v>
      </c>
      <c r="V4636" t="str">
        <v>x</v>
      </c>
      <c r="W4636">
        <f>IF(D4618-MAX(D4618/4,2*G4616)*2&gt;0,ROUND((D4618-MAX(D4618/4,2*G4616)*2)/H4636,0),0)</f>
        <v>15</v>
      </c>
      <c r="X4636" t="str">
        <v>x</v>
      </c>
      <c r="Y4636">
        <f>D4621</f>
        <v>1</v>
      </c>
      <c r="Z4636" t="str">
        <v>=</v>
      </c>
      <c r="AA4636">
        <f>N4636*U4636*W4636*Y4636</f>
        <v>11.374425</v>
      </c>
    </row>
    <row r="4637">
      <c r="A4637" t="str">
        <f>A4615</f>
        <v>Lantai 3</v>
      </c>
      <c r="B4637">
        <f>B4615</f>
        <v>12</v>
      </c>
      <c r="C4637" t="str">
        <v>Sengkang Tumpuan</v>
      </c>
      <c r="D4637">
        <f>VLOOKUP(D4615,'Detail Balok'!$C$10:$AU$140,41,FALSE)</f>
        <v>0</v>
      </c>
      <c r="E4637" t="str">
        <v>D</v>
      </c>
      <c r="F4637">
        <f>VLOOKUP(D4615,'Detail Balok'!$C$10:$AU$140,43,FALSE)</f>
        <v>10</v>
      </c>
      <c r="G4637" t="str">
        <v>-</v>
      </c>
      <c r="H4637">
        <f>VLOOKUP(D4615,'Detail Balok'!$C$10:$AU$140,45,FALSE)</f>
        <v>150</v>
      </c>
      <c r="J4637">
        <f>(IF(D4637=0,(2*(D4616+G4616))-(F$5*8),IF(D4637=3,(2*(D4616+G4616))-(F$5*8)+(G4616-2*F$5),IF(D4637=4,(2*(D4616+G4616))-(F$5*8)+2*(G4616-2*F$5)))))/1000</f>
        <v>1.08</v>
      </c>
      <c r="K4637" t="str">
        <v>+</v>
      </c>
      <c r="L4637">
        <f>IF(D4637=0,2*MAX(6*F4637,75),(D4637-1)*2*MAX(6*F4637,75))/1000</f>
        <v>0.15</v>
      </c>
      <c r="M4637" t="str">
        <v>=</v>
      </c>
      <c r="N4637">
        <f>J4637+L4637</f>
        <v>1.23</v>
      </c>
      <c r="T4637" t="str">
        <v>x</v>
      </c>
      <c r="U4637">
        <f>0.006165*F4637^2</f>
        <v>0.6165</v>
      </c>
      <c r="V4637" t="str">
        <v>x</v>
      </c>
      <c r="W4637">
        <f>IF(D4618&gt;4*G4616,ROUND(MAX(D4618/4,2*G4616)/H4637,0)+1,0)</f>
        <v>11</v>
      </c>
      <c r="X4637" t="str">
        <v>x</v>
      </c>
      <c r="Y4637">
        <f>D4621</f>
        <v>1</v>
      </c>
      <c r="Z4637" t="str">
        <v>=</v>
      </c>
      <c r="AA4637">
        <f>N4637*U4637*W4637*Y4637</f>
        <v>8.341245</v>
      </c>
    </row>
    <row r="4639">
      <c r="A4639" t="str">
        <f>A4615</f>
        <v>Lantai 3</v>
      </c>
      <c r="B4639">
        <f>B4615</f>
        <v>12</v>
      </c>
      <c r="C4639" t="str">
        <v>Kait Horizontal Tump.</v>
      </c>
      <c r="D4639">
        <f>VLOOKUP(D4615,'Detail Balok'!$C$10:$BJ$140,46,FALSE)</f>
        <v>0</v>
      </c>
      <c r="E4639" t="str">
        <v>D</v>
      </c>
      <c r="F4639">
        <f>VLOOKUP(D4615,'Detail Balok'!$C$10:$BJ$140,48,FALSE)</f>
        <v>0</v>
      </c>
      <c r="G4639" t="str">
        <v>-</v>
      </c>
      <c r="H4639">
        <f>VLOOKUP(D4615,'Detail Balok'!$C$10:$BJ$140,50,FALSE)</f>
        <v>100</v>
      </c>
      <c r="J4639">
        <f>(D4616-2*F$5)/1000</f>
        <v>0.12</v>
      </c>
      <c r="K4639" t="str">
        <v>+</v>
      </c>
      <c r="L4639">
        <f>IF(D4639=0,2*MAX(6*F4639,75),(D4639-1)*2*MAX(6*F4639,75))/1000</f>
        <v>0.15</v>
      </c>
      <c r="M4639" t="str">
        <v>=</v>
      </c>
      <c r="N4639">
        <f>J4639+L4639</f>
        <v>0.27</v>
      </c>
      <c r="T4639" t="str">
        <v>x</v>
      </c>
      <c r="U4639">
        <f>0.006165*F4639^2</f>
        <v>0</v>
      </c>
      <c r="V4639" t="str">
        <v>x</v>
      </c>
      <c r="W4639">
        <f>W4635</f>
        <v>11</v>
      </c>
      <c r="X4639" t="str">
        <v>x</v>
      </c>
      <c r="Y4639">
        <f>D4625</f>
        <v>4</v>
      </c>
      <c r="Z4639" t="str">
        <v>=</v>
      </c>
      <c r="AA4639">
        <f>N4639*U4639*W4639*Y4639</f>
        <v>0</v>
      </c>
    </row>
    <row r="4640">
      <c r="A4640" t="str">
        <f>A4615</f>
        <v>Lantai 3</v>
      </c>
      <c r="B4640">
        <f>B4615</f>
        <v>12</v>
      </c>
      <c r="C4640" t="str">
        <v>Kait Horizontal Lap.</v>
      </c>
      <c r="D4640">
        <f>VLOOKUP(D4615,'Detail Balok'!$C$10:$BJ$140,51,FALSE)</f>
        <v>0</v>
      </c>
      <c r="E4640" t="str">
        <v>D</v>
      </c>
      <c r="F4640">
        <f>VLOOKUP(D4615,'Detail Balok'!$C$10:$BJ$140,53,FALSE)</f>
        <v>0</v>
      </c>
      <c r="G4640" t="str">
        <v>-</v>
      </c>
      <c r="H4640">
        <f>VLOOKUP(D4615,'Detail Balok'!$C$10:$BJ$140,55,FALSE)</f>
        <v>100</v>
      </c>
      <c r="J4640">
        <f>(D4616-2*F$5)/1000</f>
        <v>0.12</v>
      </c>
      <c r="K4640" t="str">
        <v>+</v>
      </c>
      <c r="L4640">
        <f>IF(D4640=0,2*MAX(6*F4640,75),(D4640-1)*2*MAX(6*F4640,75))/1000</f>
        <v>0.15</v>
      </c>
      <c r="M4640" t="str">
        <v>=</v>
      </c>
      <c r="N4640">
        <f>J4640+L4640</f>
        <v>0.27</v>
      </c>
      <c r="T4640" t="str">
        <v>x</v>
      </c>
      <c r="U4640">
        <f>0.006165*F4640^2</f>
        <v>0</v>
      </c>
      <c r="V4640" t="str">
        <v>x</v>
      </c>
      <c r="W4640">
        <f>W4636</f>
        <v>15</v>
      </c>
      <c r="X4640" t="str">
        <v>x</v>
      </c>
      <c r="Y4640">
        <f>D4625</f>
        <v>4</v>
      </c>
      <c r="Z4640" t="str">
        <v>=</v>
      </c>
      <c r="AA4640">
        <f>N4640*U4640*W4640*Y4640</f>
        <v>0</v>
      </c>
    </row>
    <row r="4641">
      <c r="A4641" t="str">
        <f>A4615</f>
        <v>Lantai 3</v>
      </c>
      <c r="B4641">
        <f>B4615</f>
        <v>12</v>
      </c>
      <c r="C4641" t="str">
        <v>Kait Horizontal Tump.</v>
      </c>
      <c r="D4641">
        <f>VLOOKUP(D4615,'Detail Balok'!$C$10:$BJ$140,56,FALSE)</f>
        <v>0</v>
      </c>
      <c r="E4641" t="str">
        <v>D</v>
      </c>
      <c r="F4641">
        <f>VLOOKUP(D4615,'Detail Balok'!$C$10:$BJ$140,58,FALSE)</f>
        <v>0</v>
      </c>
      <c r="G4641" t="str">
        <v>-</v>
      </c>
      <c r="H4641">
        <f>VLOOKUP(D4615,'Detail Balok'!$C$10:$BJ$140,60,FALSE)</f>
        <v>100</v>
      </c>
      <c r="J4641">
        <f>(D4616-2*F$5)/1000</f>
        <v>0.12</v>
      </c>
      <c r="K4641" t="str">
        <v>+</v>
      </c>
      <c r="L4641">
        <f>IF(D4641=0,2*MAX(6*F4641,75),(D4641-1)*2*MAX(6*F4641,75))/1000</f>
        <v>0.15</v>
      </c>
      <c r="M4641" t="str">
        <v>=</v>
      </c>
      <c r="N4641">
        <f>J4641+L4641</f>
        <v>0.27</v>
      </c>
      <c r="T4641" t="str">
        <v>x</v>
      </c>
      <c r="U4641">
        <f>0.006165*F4641^2</f>
        <v>0</v>
      </c>
      <c r="V4641" t="str">
        <v>x</v>
      </c>
      <c r="W4641">
        <f>W4637</f>
        <v>11</v>
      </c>
      <c r="X4641" t="str">
        <v>x</v>
      </c>
      <c r="Y4641">
        <f>D4625</f>
        <v>4</v>
      </c>
      <c r="Z4641" t="str">
        <v>=</v>
      </c>
      <c r="AA4641">
        <f>N4641*U4641*W4641*Y4641</f>
        <v>0</v>
      </c>
    </row>
    <row r="4645">
      <c r="A4645" t="str">
        <f>A4615</f>
        <v>Lantai 3</v>
      </c>
      <c r="B4645">
        <f>B4615+1</f>
        <v>13</v>
      </c>
      <c r="C4645" t="str">
        <f>CONCATENATE(A4645," no. ",B4645)</f>
        <v>Lantai 3 no. 13</v>
      </c>
      <c r="D4645" t="str">
        <f>VLOOKUP(C4645,'Data Panjang Balok'!$C$9:$N$254,2,FALSE)</f>
        <v>CL24-1</v>
      </c>
    </row>
    <row r="4646">
      <c r="C4646" t="str">
        <v>Dimensi</v>
      </c>
      <c r="D4646">
        <f>VLOOKUP(D4645,'Detail Balok'!$C$10:$AU$140,2,FALSE)</f>
        <v>200</v>
      </c>
      <c r="F4646" t="str">
        <v>x</v>
      </c>
      <c r="G4646">
        <f>VLOOKUP(D4645,'Detail Balok'!$C$10:$AU$140,3,FALSE)</f>
        <v>400</v>
      </c>
    </row>
    <row r="4647">
      <c r="C4647" t="str">
        <v>Panjang as ke as</v>
      </c>
      <c r="D4647">
        <f>VLOOKUP(C4645,'Data Panjang Balok'!$C$9:$N$254,4,FALSE)</f>
        <v>1175</v>
      </c>
    </row>
    <row r="4648">
      <c r="C4648" t="str">
        <v>Panjang netto</v>
      </c>
      <c r="D4648">
        <f>VLOOKUP(C4645,'Data Panjang Balok'!$C$9:$N$254,7,FALSE)</f>
        <v>1175</v>
      </c>
    </row>
    <row r="4649">
      <c r="C4649" t="str">
        <v>Kolom / balok kiri</v>
      </c>
      <c r="D4649">
        <f>VLOOKUP(C4645,'Data Panjang Balok'!$C$9:$N$254,9,FALSE)</f>
        <v>0</v>
      </c>
    </row>
    <row r="4650">
      <c r="C4650" t="str">
        <v>Kolom / balok kanan</v>
      </c>
      <c r="D4650">
        <f>VLOOKUP(C4645,'Data Panjang Balok'!$C$9:$N$254,10,FALSE)</f>
        <v>0</v>
      </c>
    </row>
    <row r="4651">
      <c r="C4651" t="str">
        <v>Jumlah</v>
      </c>
      <c r="D4651">
        <f>VLOOKUP(C4645,'Data Panjang Balok'!$C$9:$N$254,3,FALSE)</f>
        <v>1</v>
      </c>
    </row>
    <row r="4652">
      <c r="A4652" t="str">
        <f>A4645</f>
        <v>Lantai 3</v>
      </c>
      <c r="B4652">
        <f>B4645</f>
        <v>13</v>
      </c>
      <c r="C4652" t="str">
        <v>Tul Atas Tumpuan</v>
      </c>
      <c r="D4652">
        <f>VLOOKUP(D4645,'Detail Balok'!$C$10:$AU$140,4,FALSE)</f>
        <v>3</v>
      </c>
      <c r="E4652" t="str">
        <v>D</v>
      </c>
      <c r="F4652">
        <f>VLOOKUP(D4645,'Detail Balok'!$C$10:$AU$140,6,FALSE)</f>
        <v>16</v>
      </c>
      <c r="I4652" t="str">
        <v>(</v>
      </c>
      <c r="J4652">
        <f>+D4647/4/1000</f>
        <v>0.29375</v>
      </c>
      <c r="K4652" t="str">
        <v>+</v>
      </c>
      <c r="L4652">
        <f>MAX(VLOOKUP(F4652,N$6:P$15,3,FALSE)/1000,2/3*D4649/1000)+F$16*F4652/1000</f>
        <v>0.192</v>
      </c>
      <c r="M4652" t="str">
        <v>=</v>
      </c>
      <c r="N4652">
        <f>J4652+L4652</f>
        <v>0.48575</v>
      </c>
      <c r="O4652" t="str">
        <v>+</v>
      </c>
      <c r="P4652">
        <f>D4652-D4653</f>
        <v>0</v>
      </c>
      <c r="Q4652" t="str">
        <v>x</v>
      </c>
      <c r="R4652">
        <f>IF(P4652&gt;0,$F$18*F4652/1000,0)</f>
        <v>0</v>
      </c>
      <c r="S4652" t="str">
        <v>)</v>
      </c>
      <c r="T4652" t="str">
        <v>x</v>
      </c>
      <c r="U4652">
        <f>0.006165*F4652^2</f>
        <v>1.57824</v>
      </c>
      <c r="X4652" t="str">
        <v>x</v>
      </c>
      <c r="Y4652">
        <f>D4651</f>
        <v>1</v>
      </c>
      <c r="Z4652" t="str">
        <v>=</v>
      </c>
      <c r="AA4652">
        <f>IF(AA4655=0,(D4652*N4652+P4652*R4652)*U4652*Y4652,0)</f>
        <v>0</v>
      </c>
    </row>
    <row r="4653">
      <c r="A4653" t="str">
        <f>A4645</f>
        <v>Lantai 3</v>
      </c>
      <c r="B4653">
        <f>B4645</f>
        <v>13</v>
      </c>
      <c r="C4653" t="str">
        <v>Tul Atas Lapangan</v>
      </c>
      <c r="D4653">
        <f>VLOOKUP(D4645,'Detail Balok'!$C$10:$AU$140,7,FALSE)</f>
        <v>3</v>
      </c>
      <c r="E4653" t="str">
        <v>D</v>
      </c>
      <c r="F4653">
        <f>VLOOKUP(D4645,'Detail Balok'!$C$10:$AU$140,9,FALSE)</f>
        <v>16</v>
      </c>
      <c r="I4653" t="str">
        <v>(</v>
      </c>
      <c r="J4653">
        <f>+D4647/2/1000</f>
        <v>0.5875</v>
      </c>
      <c r="K4653" t="str">
        <v>+</v>
      </c>
      <c r="M4653" t="str">
        <v>=</v>
      </c>
      <c r="N4653">
        <f>J4653+L4653</f>
        <v>0.5875</v>
      </c>
      <c r="O4653" t="str">
        <v>+</v>
      </c>
      <c r="P4653">
        <f>MAX(D4653-D4652,D4653-D4654)</f>
        <v>0</v>
      </c>
      <c r="Q4653" t="str">
        <v>x</v>
      </c>
      <c r="R4653">
        <f>IF(P4653&gt;0,2*(1-2*$F$19-1/2)*D4648/1000,0)</f>
        <v>0</v>
      </c>
      <c r="S4653" t="str">
        <v>)</v>
      </c>
      <c r="T4653" t="str">
        <v>x</v>
      </c>
      <c r="U4653">
        <f>0.006165*F4653^2</f>
        <v>1.57824</v>
      </c>
      <c r="X4653" t="str">
        <v>x</v>
      </c>
      <c r="Y4653">
        <f>D4651</f>
        <v>1</v>
      </c>
      <c r="Z4653" t="str">
        <v>=</v>
      </c>
      <c r="AA4653">
        <f>IF(AA4655=0,(D4653*N4653+P4653*R4653)*U4653*Y4653,0)</f>
        <v>0</v>
      </c>
    </row>
    <row r="4654">
      <c r="A4654" t="str">
        <f>A4645</f>
        <v>Lantai 3</v>
      </c>
      <c r="B4654">
        <f>B4645</f>
        <v>13</v>
      </c>
      <c r="C4654" t="str">
        <v>Tul Atas Tumpuan</v>
      </c>
      <c r="D4654">
        <f>VLOOKUP(D4645,'Detail Balok'!$C$10:$AU$140,10,FALSE)</f>
        <v>3</v>
      </c>
      <c r="E4654" t="str">
        <v>D</v>
      </c>
      <c r="F4654">
        <f>VLOOKUP(D4645,'Detail Balok'!$C$10:$AU$140,12,FALSE)</f>
        <v>16</v>
      </c>
      <c r="I4654" t="str">
        <v>(</v>
      </c>
      <c r="J4654">
        <f>+D4647/4/1000</f>
        <v>0.29375</v>
      </c>
      <c r="K4654" t="str">
        <v>+</v>
      </c>
      <c r="L4654">
        <f>MAX(VLOOKUP(F4654,N$6:P$15,3,FALSE)/1000,2/3*D4649/1000)+F$16*F4654/1000</f>
        <v>0.192</v>
      </c>
      <c r="M4654" t="str">
        <v>=</v>
      </c>
      <c r="N4654">
        <f>J4654+L4654</f>
        <v>0.48575</v>
      </c>
      <c r="O4654" t="str">
        <v>+</v>
      </c>
      <c r="P4654">
        <f>D4654-D4653</f>
        <v>0</v>
      </c>
      <c r="Q4654" t="str">
        <v>x</v>
      </c>
      <c r="R4654">
        <f>IF(P4654&gt;0,$F$18*F4654/1000,0)</f>
        <v>0</v>
      </c>
      <c r="S4654" t="str">
        <v>)</v>
      </c>
      <c r="T4654" t="str">
        <v>x</v>
      </c>
      <c r="U4654">
        <f>0.006165*F4654^2</f>
        <v>1.57824</v>
      </c>
      <c r="X4654" t="str">
        <v>x</v>
      </c>
      <c r="Y4654">
        <f>D4651</f>
        <v>1</v>
      </c>
      <c r="Z4654" t="str">
        <v>=</v>
      </c>
      <c r="AA4654">
        <f>IF(AA4655=0,(D4654*N4654+P4654*R4654)*U4654*Y4654,0)</f>
        <v>0</v>
      </c>
    </row>
    <row r="4655">
      <c r="A4655" t="str">
        <f>A4645</f>
        <v>Lantai 3</v>
      </c>
      <c r="B4655">
        <f>B4645</f>
        <v>13</v>
      </c>
      <c r="D4655">
        <f>IF(AND(D4652=D4653,D4653=D4654,D4652=D4654),D4652,0)</f>
        <v>3</v>
      </c>
      <c r="E4655" t="str">
        <v>D</v>
      </c>
      <c r="F4655">
        <f>IF(AND(F4652=F4653,F4652=F4654,F4653=F4654),F4652,0)</f>
        <v>16</v>
      </c>
      <c r="L4655" t="str">
        <v>Total panjang per balok</v>
      </c>
      <c r="M4655" t="str">
        <v>=</v>
      </c>
      <c r="N4655">
        <f>IF(AND(D4652=D4653,D4652=D4654,D4653=D4654,F4652=F4653,F4652=F4654,F4653=F4654),SUM(N4652:N4654),0)</f>
        <v>1.5590000000000002</v>
      </c>
      <c r="O4655" t="str">
        <v>+</v>
      </c>
      <c r="P4655">
        <f>IF(N4655&gt;12,ROUNDDOWN(N4655/12,0),0)</f>
        <v>0</v>
      </c>
      <c r="Q4655" t="str">
        <v>x</v>
      </c>
      <c r="R4655">
        <f>IF(P4655&gt;0,MAX(VLOOKUP(F4655,$D$6:$G$15,3,FALSE),600),0)/1000</f>
        <v>0</v>
      </c>
      <c r="T4655" t="str">
        <v>x</v>
      </c>
      <c r="U4655">
        <f>U4654</f>
        <v>1.57824</v>
      </c>
      <c r="V4655" t="str">
        <v>x</v>
      </c>
      <c r="W4655">
        <f>D4655</f>
        <v>3</v>
      </c>
      <c r="X4655" t="str">
        <v>x</v>
      </c>
      <c r="Y4655">
        <f>Y4654</f>
        <v>1</v>
      </c>
      <c r="Z4655" t="str">
        <v>=</v>
      </c>
      <c r="AA4655">
        <f>(N4655+P4655*R4655/1000)*U4655*W4655*Y4655</f>
        <v>7.38142848</v>
      </c>
    </row>
    <row r="4657">
      <c r="A4657" t="str">
        <f>A4645</f>
        <v>Lantai 3</v>
      </c>
      <c r="B4657">
        <f>B4645</f>
        <v>13</v>
      </c>
      <c r="C4657" t="str">
        <v>Tul Peminggang</v>
      </c>
      <c r="D4657">
        <f>VLOOKUP(D4645,'Detail Balok'!$C$10:$AU$140,13,FALSE)</f>
        <v>0</v>
      </c>
      <c r="E4657" t="str">
        <v>D</v>
      </c>
      <c r="F4657">
        <f>VLOOKUP(D4645,'Detail Balok'!$C$10:$AU$140,15,FALSE)</f>
        <v>8</v>
      </c>
      <c r="J4657">
        <f>+D4647/1000</f>
        <v>1.175</v>
      </c>
      <c r="K4657" t="str">
        <v>+</v>
      </c>
      <c r="L4657">
        <f>2*$F$16*F4657/1000</f>
        <v>0.192</v>
      </c>
      <c r="M4657" t="str">
        <v>=</v>
      </c>
      <c r="N4657">
        <f>J4657+L4657</f>
        <v>1.367</v>
      </c>
      <c r="O4657" t="str">
        <v>+</v>
      </c>
      <c r="P4657">
        <f>IF(N4657&gt;12,ROUNDDOWN(N4657/12,0),0)</f>
        <v>0</v>
      </c>
      <c r="Q4657" t="str">
        <v>x</v>
      </c>
      <c r="R4657">
        <f>IF(P4657&gt;0,MAX(VLOOKUP(F4657,$D$6:$G$15,3,FALSE),600),0)/1000</f>
        <v>0</v>
      </c>
      <c r="T4657" t="str">
        <v>x</v>
      </c>
      <c r="U4657">
        <f>0.006165*F4657^2</f>
        <v>0.39456</v>
      </c>
      <c r="V4657" t="str">
        <v>x</v>
      </c>
      <c r="W4657">
        <f>+D4657</f>
        <v>0</v>
      </c>
      <c r="X4657" t="str">
        <v>x</v>
      </c>
      <c r="Y4657">
        <f>D4651</f>
        <v>1</v>
      </c>
      <c r="Z4657" t="str">
        <v>=</v>
      </c>
      <c r="AA4657">
        <f>(N4657+P4657*R4657/1000)*U4657*W4657*Y4657</f>
        <v>0</v>
      </c>
    </row>
    <row r="4660">
      <c r="A4660" t="str">
        <f>A4645</f>
        <v>Lantai 3</v>
      </c>
      <c r="B4660">
        <f>B4645</f>
        <v>13</v>
      </c>
      <c r="C4660" t="str">
        <v>Tul Bawah Tumpuan</v>
      </c>
      <c r="D4660">
        <f>VLOOKUP(D4645,'Detail Balok'!$C$10:$AU$140,22,FALSE)</f>
        <v>3</v>
      </c>
      <c r="E4660" t="str">
        <v>D</v>
      </c>
      <c r="F4660">
        <f>VLOOKUP(D4645,'Detail Balok'!$C$10:$AU$140,24,FALSE)</f>
        <v>16</v>
      </c>
      <c r="I4660" t="str">
        <v>(</v>
      </c>
      <c r="J4660">
        <f>+J4652</f>
        <v>0.29375</v>
      </c>
      <c r="K4660" t="str">
        <v>+</v>
      </c>
      <c r="L4660">
        <f>MAX(VLOOKUP(F4660,N$6:P$15,3,FALSE)/1000,2/3*D4650/1000)+F$16*F4660/1000</f>
        <v>0.192</v>
      </c>
      <c r="M4660" t="str">
        <v>=</v>
      </c>
      <c r="N4660">
        <f>J4660+L4660</f>
        <v>0.48575</v>
      </c>
      <c r="O4660" t="str">
        <v>+</v>
      </c>
      <c r="P4660">
        <f>D4660-D4661</f>
        <v>0</v>
      </c>
      <c r="Q4660" t="str">
        <v>x</v>
      </c>
      <c r="R4660">
        <f>IF(P4660&gt;0,$F$18*F4660/1000,0)</f>
        <v>0</v>
      </c>
      <c r="S4660" t="str">
        <v>)</v>
      </c>
      <c r="T4660" t="str">
        <v>x</v>
      </c>
      <c r="U4660">
        <f>0.006165*F4660^2</f>
        <v>1.57824</v>
      </c>
      <c r="X4660" t="str">
        <v>x</v>
      </c>
      <c r="Y4660">
        <f>D4651</f>
        <v>1</v>
      </c>
      <c r="Z4660" t="str">
        <v>=</v>
      </c>
      <c r="AA4660">
        <f>IF(AA4663=0,(D4660*N4660+P4660*R4660)*U4660*Y4660,0)</f>
        <v>0</v>
      </c>
    </row>
    <row r="4661">
      <c r="A4661" t="str">
        <f>A4645</f>
        <v>Lantai 3</v>
      </c>
      <c r="B4661">
        <f>B4645</f>
        <v>13</v>
      </c>
      <c r="C4661" t="str">
        <v>Tul Bawah Lapangan</v>
      </c>
      <c r="D4661">
        <f>VLOOKUP(D4645,'Detail Balok'!$C$10:$AU$140,25,FALSE)</f>
        <v>3</v>
      </c>
      <c r="E4661" t="str">
        <v>D</v>
      </c>
      <c r="F4661">
        <f>VLOOKUP(D4645,'Detail Balok'!$C$10:$AU$140,27,FALSE)</f>
        <v>16</v>
      </c>
      <c r="I4661" t="str">
        <v>(</v>
      </c>
      <c r="J4661">
        <f>+J4653</f>
        <v>0.5875</v>
      </c>
      <c r="K4661" t="str">
        <v>+</v>
      </c>
      <c r="M4661" t="str">
        <v>=</v>
      </c>
      <c r="N4661">
        <f>J4661+L4661</f>
        <v>0.5875</v>
      </c>
      <c r="O4661" t="str">
        <v>+</v>
      </c>
      <c r="P4661">
        <f>MAX(D4661-D4660,D4661-D4662)</f>
        <v>0</v>
      </c>
      <c r="Q4661" t="str">
        <v>x</v>
      </c>
      <c r="R4661">
        <f>IF(P4661&gt;0,2*(1-2*$F$19-1/2)*D4648/1000,0)</f>
        <v>0</v>
      </c>
      <c r="S4661" t="str">
        <v>)</v>
      </c>
      <c r="T4661" t="str">
        <v>x</v>
      </c>
      <c r="U4661">
        <f>0.006165*F4661^2</f>
        <v>1.57824</v>
      </c>
      <c r="X4661" t="str">
        <v>x</v>
      </c>
      <c r="Y4661">
        <f>D4651</f>
        <v>1</v>
      </c>
      <c r="Z4661" t="str">
        <v>=</v>
      </c>
      <c r="AA4661">
        <f>IF(AA4663=0,(D4661*N4661+P4661*R4661)*U4661*Y4661,0)</f>
        <v>0</v>
      </c>
    </row>
    <row r="4662">
      <c r="A4662" t="str">
        <f>A4645</f>
        <v>Lantai 3</v>
      </c>
      <c r="B4662">
        <f>B4645</f>
        <v>13</v>
      </c>
      <c r="C4662" t="str">
        <v>Tul Bawah Tumpuan</v>
      </c>
      <c r="D4662">
        <f>VLOOKUP(D4645,'Detail Balok'!$C$10:$AU$140,28,FALSE)</f>
        <v>3</v>
      </c>
      <c r="E4662" t="str">
        <v>D</v>
      </c>
      <c r="F4662">
        <f>VLOOKUP(D4645,'Detail Balok'!$C$10:$AU$140,30,FALSE)</f>
        <v>16</v>
      </c>
      <c r="I4662" t="str">
        <v>(</v>
      </c>
      <c r="J4662">
        <f>+J4654</f>
        <v>0.29375</v>
      </c>
      <c r="K4662" t="str">
        <v>+</v>
      </c>
      <c r="L4662">
        <f>MAX(VLOOKUP(F4662,N$6:P$15,3,FALSE)/1000,2/3*D4650/1000)+F$16*F4662/1000</f>
        <v>0.192</v>
      </c>
      <c r="M4662" t="str">
        <v>=</v>
      </c>
      <c r="N4662">
        <f>J4662+L4662</f>
        <v>0.48575</v>
      </c>
      <c r="O4662" t="str">
        <v>+</v>
      </c>
      <c r="P4662">
        <f>D4662-D4661</f>
        <v>0</v>
      </c>
      <c r="Q4662" t="str">
        <v>x</v>
      </c>
      <c r="R4662">
        <f>IF(P4662&gt;0,$F$18*F4662/1000,0)</f>
        <v>0</v>
      </c>
      <c r="S4662" t="str">
        <v>)</v>
      </c>
      <c r="T4662" t="str">
        <v>x</v>
      </c>
      <c r="U4662">
        <f>0.006165*F4662^2</f>
        <v>1.57824</v>
      </c>
      <c r="X4662" t="str">
        <v>x</v>
      </c>
      <c r="Y4662">
        <f>D4651</f>
        <v>1</v>
      </c>
      <c r="Z4662" t="str">
        <v>=</v>
      </c>
      <c r="AA4662">
        <f>IF(AA4663=0,(D4662*N4662+P4662*R4662)*U4662*Y4662,0)</f>
        <v>0</v>
      </c>
    </row>
    <row r="4663">
      <c r="A4663" t="str">
        <f>A4645</f>
        <v>Lantai 3</v>
      </c>
      <c r="B4663">
        <f>B4645</f>
        <v>13</v>
      </c>
      <c r="D4663">
        <f>IF(AND(D4660=D4661,D4661=D4662,D4660=D4662),D4660,0)</f>
        <v>3</v>
      </c>
      <c r="E4663" t="str">
        <v>D</v>
      </c>
      <c r="F4663">
        <f>IF(AND(F4660=F4661,F4660=F4662,F4661=F4662),F4660,0)</f>
        <v>16</v>
      </c>
      <c r="L4663" t="str">
        <v>Total panjang per balok</v>
      </c>
      <c r="M4663" t="str">
        <v>=</v>
      </c>
      <c r="N4663">
        <f>IF(AND(D4660=D4661,D4660=D4662,D4661=D4662,F4660=F4661,F4660=F4662,F4661=F4662),SUM(N4660:N4662),0)</f>
        <v>1.5590000000000002</v>
      </c>
      <c r="O4663" t="str">
        <v>+</v>
      </c>
      <c r="P4663">
        <f>IF(N4663&gt;12,ROUNDDOWN(N4663/12,0),0)</f>
        <v>0</v>
      </c>
      <c r="Q4663" t="str">
        <v>x</v>
      </c>
      <c r="R4663">
        <f>IF(P4663&gt;0,MAX(VLOOKUP(F4663,$D$6:$G$15,3,FALSE),600),0)/1000</f>
        <v>0</v>
      </c>
      <c r="T4663" t="str">
        <v>x</v>
      </c>
      <c r="U4663">
        <f>U4662</f>
        <v>1.57824</v>
      </c>
      <c r="V4663" t="str">
        <v>x</v>
      </c>
      <c r="W4663">
        <f>D4663</f>
        <v>3</v>
      </c>
      <c r="X4663" t="str">
        <v>x</v>
      </c>
      <c r="Y4663">
        <f>Y4662</f>
        <v>1</v>
      </c>
      <c r="Z4663" t="str">
        <v>=</v>
      </c>
      <c r="AA4663">
        <f>(N4663+P4663*R4663/1000)*U4663*W4663*Y4663</f>
        <v>7.38142848</v>
      </c>
    </row>
    <row r="4665">
      <c r="A4665" t="str">
        <f>A4645</f>
        <v>Lantai 3</v>
      </c>
      <c r="B4665">
        <f>B4645</f>
        <v>13</v>
      </c>
      <c r="C4665" t="str">
        <v>Sengkang Tumpuan</v>
      </c>
      <c r="D4665">
        <f>VLOOKUP(D4645,'Detail Balok'!$C$10:$AU$140,31,FALSE)</f>
        <v>0</v>
      </c>
      <c r="E4665" t="str">
        <v>D</v>
      </c>
      <c r="F4665">
        <f>VLOOKUP(D4645,'Detail Balok'!$C$10:$AU$140,33,FALSE)</f>
        <v>10</v>
      </c>
      <c r="G4665" t="str">
        <v>-</v>
      </c>
      <c r="H4665">
        <f>VLOOKUP(D4645,'Detail Balok'!$C$10:$AU$140,35,FALSE)</f>
        <v>100</v>
      </c>
      <c r="J4665">
        <f>(IF(D4665=0,(2*(D4646+G4646))-(F$5*8),IF(D4665=3,(2*(D4646+G4646))-(F$5*8)+(G4646-2*F$5),IF(D4665=4,(2*(D4646+G4646))-(F$5*8)+2*(G4646-2*F$5)))))/1000</f>
        <v>0.88</v>
      </c>
      <c r="K4665" t="str">
        <v>+</v>
      </c>
      <c r="L4665">
        <f>IF(D4665=0,2*MAX(6*F4665,75),(D4665-1)*2*MAX(6*F4665,75))/1000</f>
        <v>0.15</v>
      </c>
      <c r="M4665" t="str">
        <v>=</v>
      </c>
      <c r="N4665">
        <f>J4665+L4665</f>
        <v>1.03</v>
      </c>
      <c r="T4665" t="str">
        <v>x</v>
      </c>
      <c r="U4665">
        <f>0.006165*F4665^2</f>
        <v>0.6165</v>
      </c>
      <c r="V4665" t="str">
        <v>x</v>
      </c>
      <c r="W4665">
        <f>IF(D4648&gt;4*G4646,ROUND(MAX(D4648/4,2*G4646)/H4665,0)+1,ROUND(D4648/H4665,0)+1)</f>
        <v>13</v>
      </c>
      <c r="X4665" t="str">
        <v>x</v>
      </c>
      <c r="Y4665">
        <f>D4651</f>
        <v>1</v>
      </c>
      <c r="Z4665" t="str">
        <v>=</v>
      </c>
      <c r="AA4665">
        <f>N4665*U4665*W4665*Y4665</f>
        <v>8.254935000000001</v>
      </c>
    </row>
    <row r="4666">
      <c r="A4666" t="str">
        <f>A4645</f>
        <v>Lantai 3</v>
      </c>
      <c r="B4666">
        <f>B4645</f>
        <v>13</v>
      </c>
      <c r="C4666" t="str">
        <v>Sengkang Lapangan</v>
      </c>
      <c r="D4666">
        <f>VLOOKUP(D4645,'Detail Balok'!$C$10:$AU$140,36,FALSE)</f>
        <v>0</v>
      </c>
      <c r="E4666" t="str">
        <v>D</v>
      </c>
      <c r="F4666">
        <f>VLOOKUP(D4645,'Detail Balok'!$C$10:$AU$140,38,FALSE)</f>
        <v>10</v>
      </c>
      <c r="G4666" t="str">
        <v>-</v>
      </c>
      <c r="H4666">
        <f>VLOOKUP(D4645,'Detail Balok'!$C$10:$AU$140,40,FALSE)</f>
        <v>100</v>
      </c>
      <c r="J4666">
        <f>(IF(D4666=0,(2*(D4646+G4646))-(F$5*8),IF(D4666=3,(2*(D4646+G4646))-(F$5*8)+(G4646-2*F$5),IF(D4666=4,(2*(D4646+G4646))-(F$5*8)+2*(G4646-2*F$5)))))/1000</f>
        <v>0.88</v>
      </c>
      <c r="K4666" t="str">
        <v>+</v>
      </c>
      <c r="L4666">
        <f>IF(D4666=0,2*MAX(6*F4666,75),(D4666-1)*2*MAX(6*F4666,75))/1000</f>
        <v>0.15</v>
      </c>
      <c r="M4666" t="str">
        <v>=</v>
      </c>
      <c r="N4666">
        <f>J4666+L4666</f>
        <v>1.03</v>
      </c>
      <c r="T4666" t="str">
        <v>x</v>
      </c>
      <c r="U4666">
        <f>0.006165*F4666^2</f>
        <v>0.6165</v>
      </c>
      <c r="V4666" t="str">
        <v>x</v>
      </c>
      <c r="W4666">
        <f>IF(D4648-MAX(D4648/4,2*G4646)*2&gt;0,ROUND((D4648-MAX(D4648/4,2*G4646)*2)/H4666,0),0)</f>
        <v>0</v>
      </c>
      <c r="X4666" t="str">
        <v>x</v>
      </c>
      <c r="Y4666">
        <f>D4651</f>
        <v>1</v>
      </c>
      <c r="Z4666" t="str">
        <v>=</v>
      </c>
      <c r="AA4666">
        <f>N4666*U4666*W4666*Y4666</f>
        <v>0</v>
      </c>
    </row>
    <row r="4667">
      <c r="A4667" t="str">
        <f>A4645</f>
        <v>Lantai 3</v>
      </c>
      <c r="B4667">
        <f>B4645</f>
        <v>13</v>
      </c>
      <c r="C4667" t="str">
        <v>Sengkang Tumpuan</v>
      </c>
      <c r="D4667">
        <f>VLOOKUP(D4645,'Detail Balok'!$C$10:$AU$140,41,FALSE)</f>
        <v>0</v>
      </c>
      <c r="E4667" t="str">
        <v>D</v>
      </c>
      <c r="F4667">
        <f>VLOOKUP(D4645,'Detail Balok'!$C$10:$AU$140,43,FALSE)</f>
        <v>10</v>
      </c>
      <c r="G4667" t="str">
        <v>-</v>
      </c>
      <c r="H4667">
        <f>VLOOKUP(D4645,'Detail Balok'!$C$10:$AU$140,45,FALSE)</f>
        <v>100</v>
      </c>
      <c r="J4667">
        <f>(IF(D4667=0,(2*(D4646+G4646))-(F$5*8),IF(D4667=3,(2*(D4646+G4646))-(F$5*8)+(G4646-2*F$5),IF(D4667=4,(2*(D4646+G4646))-(F$5*8)+2*(G4646-2*F$5)))))/1000</f>
        <v>0.88</v>
      </c>
      <c r="K4667" t="str">
        <v>+</v>
      </c>
      <c r="L4667">
        <f>IF(D4667=0,2*MAX(6*F4667,75),(D4667-1)*2*MAX(6*F4667,75))/1000</f>
        <v>0.15</v>
      </c>
      <c r="M4667" t="str">
        <v>=</v>
      </c>
      <c r="N4667">
        <f>J4667+L4667</f>
        <v>1.03</v>
      </c>
      <c r="T4667" t="str">
        <v>x</v>
      </c>
      <c r="U4667">
        <f>0.006165*F4667^2</f>
        <v>0.6165</v>
      </c>
      <c r="V4667" t="str">
        <v>x</v>
      </c>
      <c r="W4667">
        <f>IF(D4648&gt;4*G4646,ROUND(MAX(D4648/4,2*G4646)/H4667,0)+1,0)</f>
        <v>0</v>
      </c>
      <c r="X4667" t="str">
        <v>x</v>
      </c>
      <c r="Y4667">
        <f>D4651</f>
        <v>1</v>
      </c>
      <c r="Z4667" t="str">
        <v>=</v>
      </c>
      <c r="AA4667">
        <f>N4667*U4667*W4667*Y4667</f>
        <v>0</v>
      </c>
    </row>
    <row r="4669">
      <c r="A4669" t="str">
        <f>A4645</f>
        <v>Lantai 3</v>
      </c>
      <c r="B4669">
        <f>B4645</f>
        <v>13</v>
      </c>
      <c r="C4669" t="str">
        <v>Kait Horizontal Tump.</v>
      </c>
      <c r="D4669">
        <f>VLOOKUP(D4645,'Detail Balok'!$C$10:$BJ$140,46,FALSE)</f>
        <v>0</v>
      </c>
      <c r="E4669" t="str">
        <v>D</v>
      </c>
      <c r="F4669">
        <f>VLOOKUP(D4645,'Detail Balok'!$C$10:$BJ$140,48,FALSE)</f>
        <v>0</v>
      </c>
      <c r="G4669" t="str">
        <v>-</v>
      </c>
      <c r="H4669">
        <f>VLOOKUP(D4645,'Detail Balok'!$C$10:$BJ$140,50,FALSE)</f>
        <v>100</v>
      </c>
      <c r="J4669">
        <f>(D4646-2*F$5)/1000</f>
        <v>0.12</v>
      </c>
      <c r="K4669" t="str">
        <v>+</v>
      </c>
      <c r="L4669">
        <f>IF(D4669=0,2*MAX(6*F4669,75),(D4669-1)*2*MAX(6*F4669,75))/1000</f>
        <v>0.15</v>
      </c>
      <c r="M4669" t="str">
        <v>=</v>
      </c>
      <c r="N4669">
        <f>J4669+L4669</f>
        <v>0.27</v>
      </c>
      <c r="T4669" t="str">
        <v>x</v>
      </c>
      <c r="U4669">
        <f>0.006165*F4669^2</f>
        <v>0</v>
      </c>
      <c r="V4669" t="str">
        <v>x</v>
      </c>
      <c r="W4669">
        <f>W4665</f>
        <v>13</v>
      </c>
      <c r="X4669" t="str">
        <v>x</v>
      </c>
      <c r="Y4669">
        <f>D4655</f>
        <v>3</v>
      </c>
      <c r="Z4669" t="str">
        <v>=</v>
      </c>
      <c r="AA4669">
        <f>N4669*U4669*W4669*Y4669</f>
        <v>0</v>
      </c>
    </row>
    <row r="4670">
      <c r="A4670" t="str">
        <f>A4645</f>
        <v>Lantai 3</v>
      </c>
      <c r="B4670">
        <f>B4645</f>
        <v>13</v>
      </c>
      <c r="C4670" t="str">
        <v>Kait Horizontal Lap.</v>
      </c>
      <c r="D4670">
        <f>VLOOKUP(D4645,'Detail Balok'!$C$10:$BJ$140,51,FALSE)</f>
        <v>0</v>
      </c>
      <c r="E4670" t="str">
        <v>D</v>
      </c>
      <c r="F4670">
        <f>VLOOKUP(D4645,'Detail Balok'!$C$10:$BJ$140,53,FALSE)</f>
        <v>0</v>
      </c>
      <c r="G4670" t="str">
        <v>-</v>
      </c>
      <c r="H4670">
        <f>VLOOKUP(D4645,'Detail Balok'!$C$10:$BJ$140,55,FALSE)</f>
        <v>100</v>
      </c>
      <c r="J4670">
        <f>(D4646-2*F$5)/1000</f>
        <v>0.12</v>
      </c>
      <c r="K4670" t="str">
        <v>+</v>
      </c>
      <c r="L4670">
        <f>IF(D4670=0,2*MAX(6*F4670,75),(D4670-1)*2*MAX(6*F4670,75))/1000</f>
        <v>0.15</v>
      </c>
      <c r="M4670" t="str">
        <v>=</v>
      </c>
      <c r="N4670">
        <f>J4670+L4670</f>
        <v>0.27</v>
      </c>
      <c r="T4670" t="str">
        <v>x</v>
      </c>
      <c r="U4670">
        <f>0.006165*F4670^2</f>
        <v>0</v>
      </c>
      <c r="V4670" t="str">
        <v>x</v>
      </c>
      <c r="W4670">
        <f>W4666</f>
        <v>0</v>
      </c>
      <c r="X4670" t="str">
        <v>x</v>
      </c>
      <c r="Y4670">
        <f>D4655</f>
        <v>3</v>
      </c>
      <c r="Z4670" t="str">
        <v>=</v>
      </c>
      <c r="AA4670">
        <f>N4670*U4670*W4670*Y4670</f>
        <v>0</v>
      </c>
    </row>
    <row r="4671">
      <c r="A4671" t="str">
        <f>A4645</f>
        <v>Lantai 3</v>
      </c>
      <c r="B4671">
        <f>B4645</f>
        <v>13</v>
      </c>
      <c r="C4671" t="str">
        <v>Kait Horizontal Tump.</v>
      </c>
      <c r="D4671">
        <f>VLOOKUP(D4645,'Detail Balok'!$C$10:$BJ$140,56,FALSE)</f>
        <v>0</v>
      </c>
      <c r="E4671" t="str">
        <v>D</v>
      </c>
      <c r="F4671">
        <f>VLOOKUP(D4645,'Detail Balok'!$C$10:$BJ$140,58,FALSE)</f>
        <v>0</v>
      </c>
      <c r="G4671" t="str">
        <v>-</v>
      </c>
      <c r="H4671">
        <f>VLOOKUP(D4645,'Detail Balok'!$C$10:$BJ$140,60,FALSE)</f>
        <v>100</v>
      </c>
      <c r="J4671">
        <f>(D4646-2*F$5)/1000</f>
        <v>0.12</v>
      </c>
      <c r="K4671" t="str">
        <v>+</v>
      </c>
      <c r="L4671">
        <f>IF(D4671=0,2*MAX(6*F4671,75),(D4671-1)*2*MAX(6*F4671,75))/1000</f>
        <v>0.15</v>
      </c>
      <c r="M4671" t="str">
        <v>=</v>
      </c>
      <c r="N4671">
        <f>J4671+L4671</f>
        <v>0.27</v>
      </c>
      <c r="T4671" t="str">
        <v>x</v>
      </c>
      <c r="U4671">
        <f>0.006165*F4671^2</f>
        <v>0</v>
      </c>
      <c r="V4671" t="str">
        <v>x</v>
      </c>
      <c r="W4671">
        <f>W4667</f>
        <v>0</v>
      </c>
      <c r="X4671" t="str">
        <v>x</v>
      </c>
      <c r="Y4671">
        <f>D4655</f>
        <v>3</v>
      </c>
      <c r="Z4671" t="str">
        <v>=</v>
      </c>
      <c r="AA4671">
        <f>N4671*U4671*W4671*Y4671</f>
        <v>0</v>
      </c>
    </row>
    <row r="4675">
      <c r="A4675" t="str">
        <f>A4645</f>
        <v>Lantai 3</v>
      </c>
      <c r="B4675">
        <f>B4645+1</f>
        <v>14</v>
      </c>
      <c r="C4675" t="str">
        <f>CONCATENATE(A4675," no. ",B4675)</f>
        <v>Lantai 3 no. 14</v>
      </c>
      <c r="D4675" t="str">
        <f>VLOOKUP(C4675,'Data Panjang Balok'!$C$9:$N$254,2,FALSE)</f>
        <v>B26-1</v>
      </c>
    </row>
    <row r="4676">
      <c r="C4676" t="str">
        <v>Dimensi</v>
      </c>
      <c r="D4676">
        <f>VLOOKUP(D4675,'Detail Balok'!$C$10:$AU$140,2,FALSE)</f>
        <v>200</v>
      </c>
      <c r="F4676" t="str">
        <v>x</v>
      </c>
      <c r="G4676">
        <f>VLOOKUP(D4675,'Detail Balok'!$C$10:$AU$140,3,FALSE)</f>
        <v>600</v>
      </c>
    </row>
    <row r="4677">
      <c r="C4677" t="str">
        <v>Panjang as ke as</v>
      </c>
      <c r="D4677">
        <f>VLOOKUP(C4675,'Data Panjang Balok'!$C$9:$N$254,4,FALSE)</f>
        <v>9175</v>
      </c>
    </row>
    <row r="4678">
      <c r="C4678" t="str">
        <v>Panjang netto</v>
      </c>
      <c r="D4678">
        <f>VLOOKUP(C4675,'Data Panjang Balok'!$C$9:$N$254,7,FALSE)</f>
        <v>9175</v>
      </c>
    </row>
    <row r="4679">
      <c r="C4679" t="str">
        <v>Kolom / balok kiri</v>
      </c>
      <c r="D4679">
        <f>VLOOKUP(C4675,'Data Panjang Balok'!$C$9:$N$254,9,FALSE)</f>
        <v>0</v>
      </c>
    </row>
    <row r="4680">
      <c r="C4680" t="str">
        <v>Kolom / balok kanan</v>
      </c>
      <c r="D4680">
        <f>VLOOKUP(C4675,'Data Panjang Balok'!$C$9:$N$254,10,FALSE)</f>
        <v>0</v>
      </c>
    </row>
    <row r="4681">
      <c r="C4681" t="str">
        <v>Jumlah</v>
      </c>
      <c r="D4681">
        <f>VLOOKUP(C4675,'Data Panjang Balok'!$C$9:$N$254,3,FALSE)</f>
        <v>1</v>
      </c>
    </row>
    <row r="4682">
      <c r="A4682" t="str">
        <f>A4675</f>
        <v>Lantai 3</v>
      </c>
      <c r="B4682">
        <f>B4675</f>
        <v>14</v>
      </c>
      <c r="C4682" t="str">
        <v>Tul Atas Tumpuan</v>
      </c>
      <c r="D4682">
        <f>VLOOKUP(D4675,'Detail Balok'!$C$10:$AU$140,4,FALSE)</f>
        <v>4</v>
      </c>
      <c r="E4682" t="str">
        <v>D</v>
      </c>
      <c r="F4682">
        <f>VLOOKUP(D4675,'Detail Balok'!$C$10:$AU$140,6,FALSE)</f>
        <v>16</v>
      </c>
      <c r="I4682" t="str">
        <v>(</v>
      </c>
      <c r="J4682">
        <f>+D4677/4/1000</f>
        <v>2.29375</v>
      </c>
      <c r="K4682" t="str">
        <v>+</v>
      </c>
      <c r="L4682">
        <f>MAX(VLOOKUP(F4682,N$6:P$15,3,FALSE)/1000,2/3*D4679/1000)+F$16*F4682/1000</f>
        <v>0.192</v>
      </c>
      <c r="M4682" t="str">
        <v>=</v>
      </c>
      <c r="N4682">
        <f>J4682+L4682</f>
        <v>2.4857500000000003</v>
      </c>
      <c r="O4682" t="str">
        <v>+</v>
      </c>
      <c r="P4682">
        <f>D4682-D4683</f>
        <v>1</v>
      </c>
      <c r="Q4682" t="str">
        <v>x</v>
      </c>
      <c r="R4682">
        <f>IF(P4682&gt;0,$F$18*F4682/1000,0)</f>
        <v>0.24</v>
      </c>
      <c r="S4682" t="str">
        <v>)</v>
      </c>
      <c r="T4682" t="str">
        <v>x</v>
      </c>
      <c r="U4682">
        <f>0.006165*F4682^2</f>
        <v>1.57824</v>
      </c>
      <c r="X4682" t="str">
        <v>x</v>
      </c>
      <c r="Y4682">
        <f>D4681</f>
        <v>1</v>
      </c>
      <c r="Z4682" t="str">
        <v>=</v>
      </c>
      <c r="AA4682">
        <f>IF(AA4685=0,(D4682*N4682+P4682*R4682)*U4682*Y4682,0)</f>
        <v>16.071217920000002</v>
      </c>
    </row>
    <row r="4683">
      <c r="A4683" t="str">
        <f>A4675</f>
        <v>Lantai 3</v>
      </c>
      <c r="B4683">
        <f>B4675</f>
        <v>14</v>
      </c>
      <c r="C4683" t="str">
        <v>Tul Atas Lapangan</v>
      </c>
      <c r="D4683">
        <f>VLOOKUP(D4675,'Detail Balok'!$C$10:$AU$140,7,FALSE)</f>
        <v>3</v>
      </c>
      <c r="E4683" t="str">
        <v>D</v>
      </c>
      <c r="F4683">
        <f>VLOOKUP(D4675,'Detail Balok'!$C$10:$AU$140,9,FALSE)</f>
        <v>16</v>
      </c>
      <c r="I4683" t="str">
        <v>(</v>
      </c>
      <c r="J4683">
        <f>+D4677/2/1000</f>
        <v>4.5875</v>
      </c>
      <c r="K4683" t="str">
        <v>+</v>
      </c>
      <c r="M4683" t="str">
        <v>=</v>
      </c>
      <c r="N4683">
        <f>J4683+L4683</f>
        <v>4.5875</v>
      </c>
      <c r="O4683" t="str">
        <v>+</v>
      </c>
      <c r="P4683">
        <f>MAX(D4683-D4682,D4683-D4684)</f>
        <v>-1</v>
      </c>
      <c r="Q4683" t="str">
        <v>x</v>
      </c>
      <c r="R4683">
        <f>IF(P4683&gt;0,2*(1-2*$F$19-1/2)*D4678/1000,0)</f>
        <v>0</v>
      </c>
      <c r="S4683" t="str">
        <v>)</v>
      </c>
      <c r="T4683" t="str">
        <v>x</v>
      </c>
      <c r="U4683">
        <f>0.006165*F4683^2</f>
        <v>1.57824</v>
      </c>
      <c r="X4683" t="str">
        <v>x</v>
      </c>
      <c r="Y4683">
        <f>D4681</f>
        <v>1</v>
      </c>
      <c r="Z4683" t="str">
        <v>=</v>
      </c>
      <c r="AA4683">
        <f>IF(AA4685=0,(D4683*N4683+P4683*R4683)*U4683*Y4683,0)</f>
        <v>21.720528</v>
      </c>
    </row>
    <row r="4684">
      <c r="A4684" t="str">
        <f>A4675</f>
        <v>Lantai 3</v>
      </c>
      <c r="B4684">
        <f>B4675</f>
        <v>14</v>
      </c>
      <c r="C4684" t="str">
        <v>Tul Atas Tumpuan</v>
      </c>
      <c r="D4684">
        <f>VLOOKUP(D4675,'Detail Balok'!$C$10:$AU$140,10,FALSE)</f>
        <v>4</v>
      </c>
      <c r="E4684" t="str">
        <v>D</v>
      </c>
      <c r="F4684">
        <f>VLOOKUP(D4675,'Detail Balok'!$C$10:$AU$140,12,FALSE)</f>
        <v>16</v>
      </c>
      <c r="I4684" t="str">
        <v>(</v>
      </c>
      <c r="J4684">
        <f>+D4677/4/1000</f>
        <v>2.29375</v>
      </c>
      <c r="K4684" t="str">
        <v>+</v>
      </c>
      <c r="L4684">
        <f>MAX(VLOOKUP(F4684,N$6:P$15,3,FALSE)/1000,2/3*D4679/1000)+F$16*F4684/1000</f>
        <v>0.192</v>
      </c>
      <c r="M4684" t="str">
        <v>=</v>
      </c>
      <c r="N4684">
        <f>J4684+L4684</f>
        <v>2.4857500000000003</v>
      </c>
      <c r="O4684" t="str">
        <v>+</v>
      </c>
      <c r="P4684">
        <f>D4684-D4683</f>
        <v>1</v>
      </c>
      <c r="Q4684" t="str">
        <v>x</v>
      </c>
      <c r="R4684">
        <f>IF(P4684&gt;0,$F$18*F4684/1000,0)</f>
        <v>0.24</v>
      </c>
      <c r="S4684" t="str">
        <v>)</v>
      </c>
      <c r="T4684" t="str">
        <v>x</v>
      </c>
      <c r="U4684">
        <f>0.006165*F4684^2</f>
        <v>1.57824</v>
      </c>
      <c r="X4684" t="str">
        <v>x</v>
      </c>
      <c r="Y4684">
        <f>D4681</f>
        <v>1</v>
      </c>
      <c r="Z4684" t="str">
        <v>=</v>
      </c>
      <c r="AA4684">
        <f>IF(AA4685=0,(D4684*N4684+P4684*R4684)*U4684*Y4684,0)</f>
        <v>16.071217920000002</v>
      </c>
    </row>
    <row r="4685">
      <c r="A4685" t="str">
        <f>A4675</f>
        <v>Lantai 3</v>
      </c>
      <c r="B4685">
        <f>B4675</f>
        <v>14</v>
      </c>
      <c r="D4685">
        <f>IF(AND(D4682=D4683,D4683=D4684,D4682=D4684),D4682,0)</f>
        <v>0</v>
      </c>
      <c r="E4685" t="str">
        <v>D</v>
      </c>
      <c r="F4685">
        <f>IF(AND(F4682=F4683,F4682=F4684,F4683=F4684),F4682,0)</f>
        <v>16</v>
      </c>
      <c r="L4685" t="str">
        <v>Total panjang per balok</v>
      </c>
      <c r="M4685" t="str">
        <v>=</v>
      </c>
      <c r="N4685">
        <f>IF(AND(D4682=D4683,D4682=D4684,D4683=D4684,F4682=F4683,F4682=F4684,F4683=F4684),SUM(N4682:N4684),0)</f>
        <v>0</v>
      </c>
      <c r="O4685" t="str">
        <v>+</v>
      </c>
      <c r="P4685">
        <f>IF(N4685&gt;12,ROUNDDOWN(N4685/12,0),0)</f>
        <v>0</v>
      </c>
      <c r="Q4685" t="str">
        <v>x</v>
      </c>
      <c r="R4685">
        <f>IF(P4685&gt;0,MAX(VLOOKUP(F4685,$D$6:$G$15,3,FALSE),600),0)/1000</f>
        <v>0</v>
      </c>
      <c r="T4685" t="str">
        <v>x</v>
      </c>
      <c r="U4685">
        <f>U4684</f>
        <v>1.57824</v>
      </c>
      <c r="V4685" t="str">
        <v>x</v>
      </c>
      <c r="W4685">
        <f>D4685</f>
        <v>0</v>
      </c>
      <c r="X4685" t="str">
        <v>x</v>
      </c>
      <c r="Y4685">
        <f>Y4684</f>
        <v>1</v>
      </c>
      <c r="Z4685" t="str">
        <v>=</v>
      </c>
      <c r="AA4685">
        <f>(N4685+P4685*R4685/1000)*U4685*W4685*Y4685</f>
        <v>0</v>
      </c>
    </row>
    <row r="4687">
      <c r="A4687" t="str">
        <f>A4675</f>
        <v>Lantai 3</v>
      </c>
      <c r="B4687">
        <f>B4675</f>
        <v>14</v>
      </c>
      <c r="C4687" t="str">
        <v>Tul Peminggang</v>
      </c>
      <c r="D4687">
        <f>VLOOKUP(D4675,'Detail Balok'!$C$10:$AU$140,13,FALSE)</f>
        <v>2</v>
      </c>
      <c r="E4687" t="str">
        <v>D</v>
      </c>
      <c r="F4687">
        <f>VLOOKUP(D4675,'Detail Balok'!$C$10:$AU$140,15,FALSE)</f>
        <v>10</v>
      </c>
      <c r="J4687">
        <f>+D4677/1000</f>
        <v>9.175</v>
      </c>
      <c r="K4687" t="str">
        <v>+</v>
      </c>
      <c r="L4687">
        <f>2*$F$16*F4687/1000</f>
        <v>0.24</v>
      </c>
      <c r="M4687" t="str">
        <v>=</v>
      </c>
      <c r="N4687">
        <f>J4687+L4687</f>
        <v>9.415000000000001</v>
      </c>
      <c r="O4687" t="str">
        <v>+</v>
      </c>
      <c r="P4687">
        <f>IF(N4687&gt;12,ROUNDDOWN(N4687/12,0),0)</f>
        <v>0</v>
      </c>
      <c r="Q4687" t="str">
        <v>x</v>
      </c>
      <c r="R4687">
        <f>IF(P4687&gt;0,MAX(VLOOKUP(F4687,$D$6:$G$15,3,FALSE),600),0)/1000</f>
        <v>0</v>
      </c>
      <c r="T4687" t="str">
        <v>x</v>
      </c>
      <c r="U4687">
        <f>0.006165*F4687^2</f>
        <v>0.6165</v>
      </c>
      <c r="V4687" t="str">
        <v>x</v>
      </c>
      <c r="W4687">
        <f>+D4687</f>
        <v>2</v>
      </c>
      <c r="X4687" t="str">
        <v>x</v>
      </c>
      <c r="Y4687">
        <f>D4681</f>
        <v>1</v>
      </c>
      <c r="Z4687" t="str">
        <v>=</v>
      </c>
      <c r="AA4687">
        <f>(N4687+P4687*R4687/1000)*U4687*W4687*Y4687</f>
        <v>11.608695000000003</v>
      </c>
    </row>
    <row r="4690">
      <c r="A4690" t="str">
        <f>A4675</f>
        <v>Lantai 3</v>
      </c>
      <c r="B4690">
        <f>B4675</f>
        <v>14</v>
      </c>
      <c r="C4690" t="str">
        <v>Tul Bawah Tumpuan</v>
      </c>
      <c r="D4690">
        <f>VLOOKUP(D4675,'Detail Balok'!$C$10:$AU$140,22,FALSE)</f>
        <v>3</v>
      </c>
      <c r="E4690" t="str">
        <v>D</v>
      </c>
      <c r="F4690">
        <f>VLOOKUP(D4675,'Detail Balok'!$C$10:$AU$140,24,FALSE)</f>
        <v>16</v>
      </c>
      <c r="I4690" t="str">
        <v>(</v>
      </c>
      <c r="J4690">
        <f>+J4682</f>
        <v>2.29375</v>
      </c>
      <c r="K4690" t="str">
        <v>+</v>
      </c>
      <c r="L4690">
        <f>MAX(VLOOKUP(F4690,N$6:P$15,3,FALSE)/1000,2/3*D4680/1000)+F$16*F4690/1000</f>
        <v>0.192</v>
      </c>
      <c r="M4690" t="str">
        <v>=</v>
      </c>
      <c r="N4690">
        <f>J4690+L4690</f>
        <v>2.4857500000000003</v>
      </c>
      <c r="O4690" t="str">
        <v>+</v>
      </c>
      <c r="P4690">
        <f>D4690-D4691</f>
        <v>-1</v>
      </c>
      <c r="Q4690" t="str">
        <v>x</v>
      </c>
      <c r="R4690">
        <f>IF(P4690&gt;0,$F$18*F4690/1000,0)</f>
        <v>0</v>
      </c>
      <c r="S4690" t="str">
        <v>)</v>
      </c>
      <c r="T4690" t="str">
        <v>x</v>
      </c>
      <c r="U4690">
        <f>0.006165*F4690^2</f>
        <v>1.57824</v>
      </c>
      <c r="X4690" t="str">
        <v>x</v>
      </c>
      <c r="Y4690">
        <f>D4681</f>
        <v>1</v>
      </c>
      <c r="Z4690" t="str">
        <v>=</v>
      </c>
      <c r="AA4690">
        <f>IF(AA4693=0,(D4690*N4690+P4690*R4690)*U4690*Y4690,0)</f>
        <v>11.769330240000002</v>
      </c>
    </row>
    <row r="4691">
      <c r="A4691" t="str">
        <f>A4675</f>
        <v>Lantai 3</v>
      </c>
      <c r="B4691">
        <f>B4675</f>
        <v>14</v>
      </c>
      <c r="C4691" t="str">
        <v>Tul Bawah Lapangan</v>
      </c>
      <c r="D4691">
        <f>VLOOKUP(D4675,'Detail Balok'!$C$10:$AU$140,25,FALSE)</f>
        <v>4</v>
      </c>
      <c r="E4691" t="str">
        <v>D</v>
      </c>
      <c r="F4691">
        <f>VLOOKUP(D4675,'Detail Balok'!$C$10:$AU$140,27,FALSE)</f>
        <v>16</v>
      </c>
      <c r="I4691" t="str">
        <v>(</v>
      </c>
      <c r="J4691">
        <f>+J4683</f>
        <v>4.5875</v>
      </c>
      <c r="K4691" t="str">
        <v>+</v>
      </c>
      <c r="M4691" t="str">
        <v>=</v>
      </c>
      <c r="N4691">
        <f>J4691+L4691</f>
        <v>4.5875</v>
      </c>
      <c r="O4691" t="str">
        <v>+</v>
      </c>
      <c r="P4691">
        <f>MAX(D4691-D4690,D4691-D4692)</f>
        <v>1</v>
      </c>
      <c r="Q4691" t="str">
        <v>x</v>
      </c>
      <c r="R4691">
        <f>IF(P4691&gt;0,2*(1-2*$F$19-1/2)*D4678/1000,0)</f>
        <v>1.8349999999999995</v>
      </c>
      <c r="S4691" t="str">
        <v>)</v>
      </c>
      <c r="T4691" t="str">
        <v>x</v>
      </c>
      <c r="U4691">
        <f>0.006165*F4691^2</f>
        <v>1.57824</v>
      </c>
      <c r="X4691" t="str">
        <v>x</v>
      </c>
      <c r="Y4691">
        <f>D4681</f>
        <v>1</v>
      </c>
      <c r="Z4691" t="str">
        <v>=</v>
      </c>
      <c r="AA4691">
        <f>IF(AA4693=0,(D4691*N4691+P4691*R4691)*U4691*Y4691,0)</f>
        <v>31.856774400000006</v>
      </c>
    </row>
    <row r="4692">
      <c r="A4692" t="str">
        <f>A4675</f>
        <v>Lantai 3</v>
      </c>
      <c r="B4692">
        <f>B4675</f>
        <v>14</v>
      </c>
      <c r="C4692" t="str">
        <v>Tul Bawah Tumpuan</v>
      </c>
      <c r="D4692">
        <f>VLOOKUP(D4675,'Detail Balok'!$C$10:$AU$140,28,FALSE)</f>
        <v>3</v>
      </c>
      <c r="E4692" t="str">
        <v>D</v>
      </c>
      <c r="F4692">
        <f>VLOOKUP(D4675,'Detail Balok'!$C$10:$AU$140,30,FALSE)</f>
        <v>16</v>
      </c>
      <c r="I4692" t="str">
        <v>(</v>
      </c>
      <c r="J4692">
        <f>+J4684</f>
        <v>2.29375</v>
      </c>
      <c r="K4692" t="str">
        <v>+</v>
      </c>
      <c r="L4692">
        <f>MAX(VLOOKUP(F4692,N$6:P$15,3,FALSE)/1000,2/3*D4680/1000)+F$16*F4692/1000</f>
        <v>0.192</v>
      </c>
      <c r="M4692" t="str">
        <v>=</v>
      </c>
      <c r="N4692">
        <f>J4692+L4692</f>
        <v>2.4857500000000003</v>
      </c>
      <c r="O4692" t="str">
        <v>+</v>
      </c>
      <c r="P4692">
        <f>D4692-D4691</f>
        <v>-1</v>
      </c>
      <c r="Q4692" t="str">
        <v>x</v>
      </c>
      <c r="R4692">
        <f>IF(P4692&gt;0,$F$18*F4692/1000,0)</f>
        <v>0</v>
      </c>
      <c r="S4692" t="str">
        <v>)</v>
      </c>
      <c r="T4692" t="str">
        <v>x</v>
      </c>
      <c r="U4692">
        <f>0.006165*F4692^2</f>
        <v>1.57824</v>
      </c>
      <c r="X4692" t="str">
        <v>x</v>
      </c>
      <c r="Y4692">
        <f>D4681</f>
        <v>1</v>
      </c>
      <c r="Z4692" t="str">
        <v>=</v>
      </c>
      <c r="AA4692">
        <f>IF(AA4693=0,(D4692*N4692+P4692*R4692)*U4692*Y4692,0)</f>
        <v>11.769330240000002</v>
      </c>
    </row>
    <row r="4693">
      <c r="A4693" t="str">
        <f>A4675</f>
        <v>Lantai 3</v>
      </c>
      <c r="B4693">
        <f>B4675</f>
        <v>14</v>
      </c>
      <c r="D4693">
        <f>IF(AND(D4690=D4691,D4691=D4692,D4690=D4692),D4690,0)</f>
        <v>0</v>
      </c>
      <c r="E4693" t="str">
        <v>D</v>
      </c>
      <c r="F4693">
        <f>IF(AND(F4690=F4691,F4690=F4692,F4691=F4692),F4690,0)</f>
        <v>16</v>
      </c>
      <c r="L4693" t="str">
        <v>Total panjang per balok</v>
      </c>
      <c r="M4693" t="str">
        <v>=</v>
      </c>
      <c r="N4693">
        <f>IF(AND(D4690=D4691,D4690=D4692,D4691=D4692,F4690=F4691,F4690=F4692,F4691=F4692),SUM(N4690:N4692),0)</f>
        <v>0</v>
      </c>
      <c r="O4693" t="str">
        <v>+</v>
      </c>
      <c r="P4693">
        <f>IF(N4693&gt;12,ROUNDDOWN(N4693/12,0),0)</f>
        <v>0</v>
      </c>
      <c r="Q4693" t="str">
        <v>x</v>
      </c>
      <c r="R4693">
        <f>IF(P4693&gt;0,MAX(VLOOKUP(F4693,$D$6:$G$15,3,FALSE),600),0)/1000</f>
        <v>0</v>
      </c>
      <c r="T4693" t="str">
        <v>x</v>
      </c>
      <c r="U4693">
        <f>U4692</f>
        <v>1.57824</v>
      </c>
      <c r="V4693" t="str">
        <v>x</v>
      </c>
      <c r="W4693">
        <f>D4693</f>
        <v>0</v>
      </c>
      <c r="X4693" t="str">
        <v>x</v>
      </c>
      <c r="Y4693">
        <f>Y4692</f>
        <v>1</v>
      </c>
      <c r="Z4693" t="str">
        <v>=</v>
      </c>
      <c r="AA4693">
        <f>(N4693+P4693*R4693/1000)*U4693*W4693*Y4693</f>
        <v>0</v>
      </c>
    </row>
    <row r="4695">
      <c r="A4695" t="str">
        <f>A4675</f>
        <v>Lantai 3</v>
      </c>
      <c r="B4695">
        <f>B4675</f>
        <v>14</v>
      </c>
      <c r="C4695" t="str">
        <v>Sengkang Tumpuan</v>
      </c>
      <c r="D4695">
        <f>VLOOKUP(D4675,'Detail Balok'!$C$10:$AU$140,31,FALSE)</f>
        <v>0</v>
      </c>
      <c r="E4695" t="str">
        <v>D</v>
      </c>
      <c r="F4695">
        <f>VLOOKUP(D4675,'Detail Balok'!$C$10:$AU$140,33,FALSE)</f>
        <v>10</v>
      </c>
      <c r="G4695" t="str">
        <v>-</v>
      </c>
      <c r="H4695">
        <f>VLOOKUP(D4675,'Detail Balok'!$C$10:$AU$140,35,FALSE)</f>
        <v>100</v>
      </c>
      <c r="J4695">
        <f>(IF(D4695=0,(2*(D4676+G4676))-(F$5*8),IF(D4695=3,(2*(D4676+G4676))-(F$5*8)+(G4676-2*F$5),IF(D4695=4,(2*(D4676+G4676))-(F$5*8)+2*(G4676-2*F$5)))))/1000</f>
        <v>1.28</v>
      </c>
      <c r="K4695" t="str">
        <v>+</v>
      </c>
      <c r="L4695">
        <f>IF(D4695=0,2*MAX(6*F4695,75),(D4695-1)*2*MAX(6*F4695,75))/1000</f>
        <v>0.15</v>
      </c>
      <c r="M4695" t="str">
        <v>=</v>
      </c>
      <c r="N4695">
        <f>J4695+L4695</f>
        <v>1.43</v>
      </c>
      <c r="T4695" t="str">
        <v>x</v>
      </c>
      <c r="U4695">
        <f>0.006165*F4695^2</f>
        <v>0.6165</v>
      </c>
      <c r="V4695" t="str">
        <v>x</v>
      </c>
      <c r="W4695">
        <f>IF(D4678&gt;4*G4676,ROUND(MAX(D4678/4,2*G4676)/H4695,0)+1,ROUND(D4678/H4695,0)+1)</f>
        <v>24</v>
      </c>
      <c r="X4695" t="str">
        <v>x</v>
      </c>
      <c r="Y4695">
        <f>D4681</f>
        <v>1</v>
      </c>
      <c r="Z4695" t="str">
        <v>=</v>
      </c>
      <c r="AA4695">
        <f>N4695*U4695*W4695*Y4695</f>
        <v>21.15828</v>
      </c>
    </row>
    <row r="4696">
      <c r="A4696" t="str">
        <f>A4675</f>
        <v>Lantai 3</v>
      </c>
      <c r="B4696">
        <f>B4675</f>
        <v>14</v>
      </c>
      <c r="C4696" t="str">
        <v>Sengkang Lapangan</v>
      </c>
      <c r="D4696">
        <f>VLOOKUP(D4675,'Detail Balok'!$C$10:$AU$140,36,FALSE)</f>
        <v>0</v>
      </c>
      <c r="E4696" t="str">
        <v>D</v>
      </c>
      <c r="F4696">
        <f>VLOOKUP(D4675,'Detail Balok'!$C$10:$AU$140,38,FALSE)</f>
        <v>10</v>
      </c>
      <c r="G4696" t="str">
        <v>-</v>
      </c>
      <c r="H4696">
        <f>VLOOKUP(D4675,'Detail Balok'!$C$10:$AU$140,40,FALSE)</f>
        <v>150</v>
      </c>
      <c r="J4696">
        <f>(IF(D4696=0,(2*(D4676+G4676))-(F$5*8),IF(D4696=3,(2*(D4676+G4676))-(F$5*8)+(G4676-2*F$5),IF(D4696=4,(2*(D4676+G4676))-(F$5*8)+2*(G4676-2*F$5)))))/1000</f>
        <v>1.28</v>
      </c>
      <c r="K4696" t="str">
        <v>+</v>
      </c>
      <c r="L4696">
        <f>IF(D4696=0,2*MAX(6*F4696,75),(D4696-1)*2*MAX(6*F4696,75))/1000</f>
        <v>0.15</v>
      </c>
      <c r="M4696" t="str">
        <v>=</v>
      </c>
      <c r="N4696">
        <f>J4696+L4696</f>
        <v>1.43</v>
      </c>
      <c r="T4696" t="str">
        <v>x</v>
      </c>
      <c r="U4696">
        <f>0.006165*F4696^2</f>
        <v>0.6165</v>
      </c>
      <c r="V4696" t="str">
        <v>x</v>
      </c>
      <c r="W4696">
        <f>IF(D4678-MAX(D4678/4,2*G4676)*2&gt;0,ROUND((D4678-MAX(D4678/4,2*G4676)*2)/H4696,0),0)</f>
        <v>31</v>
      </c>
      <c r="X4696" t="str">
        <v>x</v>
      </c>
      <c r="Y4696">
        <f>D4681</f>
        <v>1</v>
      </c>
      <c r="Z4696" t="str">
        <v>=</v>
      </c>
      <c r="AA4696">
        <f>N4696*U4696*W4696*Y4696</f>
        <v>27.329445</v>
      </c>
    </row>
    <row r="4697">
      <c r="A4697" t="str">
        <f>A4675</f>
        <v>Lantai 3</v>
      </c>
      <c r="B4697">
        <f>B4675</f>
        <v>14</v>
      </c>
      <c r="C4697" t="str">
        <v>Sengkang Tumpuan</v>
      </c>
      <c r="D4697">
        <f>VLOOKUP(D4675,'Detail Balok'!$C$10:$AU$140,41,FALSE)</f>
        <v>0</v>
      </c>
      <c r="E4697" t="str">
        <v>D</v>
      </c>
      <c r="F4697">
        <f>VLOOKUP(D4675,'Detail Balok'!$C$10:$AU$140,43,FALSE)</f>
        <v>10</v>
      </c>
      <c r="G4697" t="str">
        <v>-</v>
      </c>
      <c r="H4697">
        <f>VLOOKUP(D4675,'Detail Balok'!$C$10:$AU$140,45,FALSE)</f>
        <v>100</v>
      </c>
      <c r="J4697">
        <f>(IF(D4697=0,(2*(D4676+G4676))-(F$5*8),IF(D4697=3,(2*(D4676+G4676))-(F$5*8)+(G4676-2*F$5),IF(D4697=4,(2*(D4676+G4676))-(F$5*8)+2*(G4676-2*F$5)))))/1000</f>
        <v>1.28</v>
      </c>
      <c r="K4697" t="str">
        <v>+</v>
      </c>
      <c r="L4697">
        <f>IF(D4697=0,2*MAX(6*F4697,75),(D4697-1)*2*MAX(6*F4697,75))/1000</f>
        <v>0.15</v>
      </c>
      <c r="M4697" t="str">
        <v>=</v>
      </c>
      <c r="N4697">
        <f>J4697+L4697</f>
        <v>1.43</v>
      </c>
      <c r="T4697" t="str">
        <v>x</v>
      </c>
      <c r="U4697">
        <f>0.006165*F4697^2</f>
        <v>0.6165</v>
      </c>
      <c r="V4697" t="str">
        <v>x</v>
      </c>
      <c r="W4697">
        <f>IF(D4678&gt;4*G4676,ROUND(MAX(D4678/4,2*G4676)/H4697,0)+1,0)</f>
        <v>24</v>
      </c>
      <c r="X4697" t="str">
        <v>x</v>
      </c>
      <c r="Y4697">
        <f>D4681</f>
        <v>1</v>
      </c>
      <c r="Z4697" t="str">
        <v>=</v>
      </c>
      <c r="AA4697">
        <f>N4697*U4697*W4697*Y4697</f>
        <v>21.15828</v>
      </c>
    </row>
    <row r="4699">
      <c r="A4699" t="str">
        <f>A4675</f>
        <v>Lantai 3</v>
      </c>
      <c r="B4699">
        <f>B4675</f>
        <v>14</v>
      </c>
      <c r="C4699" t="str">
        <v>Kait Horizontal Tump.</v>
      </c>
      <c r="D4699">
        <f>VLOOKUP(D4675,'Detail Balok'!$C$10:$BJ$140,46,FALSE)</f>
        <v>0</v>
      </c>
      <c r="E4699" t="str">
        <v>D</v>
      </c>
      <c r="F4699">
        <f>VLOOKUP(D4675,'Detail Balok'!$C$10:$BJ$140,48,FALSE)</f>
        <v>0</v>
      </c>
      <c r="G4699" t="str">
        <v>-</v>
      </c>
      <c r="H4699">
        <f>VLOOKUP(D4675,'Detail Balok'!$C$10:$BJ$140,50,FALSE)</f>
        <v>100</v>
      </c>
      <c r="J4699">
        <f>(D4676-2*F$5)/1000</f>
        <v>0.12</v>
      </c>
      <c r="K4699" t="str">
        <v>+</v>
      </c>
      <c r="L4699">
        <f>IF(D4699=0,2*MAX(6*F4699,75),(D4699-1)*2*MAX(6*F4699,75))/1000</f>
        <v>0.15</v>
      </c>
      <c r="M4699" t="str">
        <v>=</v>
      </c>
      <c r="N4699">
        <f>J4699+L4699</f>
        <v>0.27</v>
      </c>
      <c r="T4699" t="str">
        <v>x</v>
      </c>
      <c r="U4699">
        <f>0.006165*F4699^2</f>
        <v>0</v>
      </c>
      <c r="V4699" t="str">
        <v>x</v>
      </c>
      <c r="W4699">
        <f>W4695</f>
        <v>24</v>
      </c>
      <c r="X4699" t="str">
        <v>x</v>
      </c>
      <c r="Y4699">
        <f>D4685</f>
        <v>0</v>
      </c>
      <c r="Z4699" t="str">
        <v>=</v>
      </c>
      <c r="AA4699">
        <f>N4699*U4699*W4699*Y4699</f>
        <v>0</v>
      </c>
    </row>
    <row r="4700">
      <c r="A4700" t="str">
        <f>A4675</f>
        <v>Lantai 3</v>
      </c>
      <c r="B4700">
        <f>B4675</f>
        <v>14</v>
      </c>
      <c r="C4700" t="str">
        <v>Kait Horizontal Lap.</v>
      </c>
      <c r="D4700">
        <f>VLOOKUP(D4675,'Detail Balok'!$C$10:$BJ$140,51,FALSE)</f>
        <v>0</v>
      </c>
      <c r="E4700" t="str">
        <v>D</v>
      </c>
      <c r="F4700">
        <f>VLOOKUP(D4675,'Detail Balok'!$C$10:$BJ$140,53,FALSE)</f>
        <v>0</v>
      </c>
      <c r="G4700" t="str">
        <v>-</v>
      </c>
      <c r="H4700">
        <f>VLOOKUP(D4675,'Detail Balok'!$C$10:$BJ$140,55,FALSE)</f>
        <v>100</v>
      </c>
      <c r="J4700">
        <f>(D4676-2*F$5)/1000</f>
        <v>0.12</v>
      </c>
      <c r="K4700" t="str">
        <v>+</v>
      </c>
      <c r="L4700">
        <f>IF(D4700=0,2*MAX(6*F4700,75),(D4700-1)*2*MAX(6*F4700,75))/1000</f>
        <v>0.15</v>
      </c>
      <c r="M4700" t="str">
        <v>=</v>
      </c>
      <c r="N4700">
        <f>J4700+L4700</f>
        <v>0.27</v>
      </c>
      <c r="T4700" t="str">
        <v>x</v>
      </c>
      <c r="U4700">
        <f>0.006165*F4700^2</f>
        <v>0</v>
      </c>
      <c r="V4700" t="str">
        <v>x</v>
      </c>
      <c r="W4700">
        <f>W4696</f>
        <v>31</v>
      </c>
      <c r="X4700" t="str">
        <v>x</v>
      </c>
      <c r="Y4700">
        <f>D4685</f>
        <v>0</v>
      </c>
      <c r="Z4700" t="str">
        <v>=</v>
      </c>
      <c r="AA4700">
        <f>N4700*U4700*W4700*Y4700</f>
        <v>0</v>
      </c>
    </row>
    <row r="4701">
      <c r="A4701" t="str">
        <f>A4675</f>
        <v>Lantai 3</v>
      </c>
      <c r="B4701">
        <f>B4675</f>
        <v>14</v>
      </c>
      <c r="C4701" t="str">
        <v>Kait Horizontal Tump.</v>
      </c>
      <c r="D4701">
        <f>VLOOKUP(D4675,'Detail Balok'!$C$10:$BJ$140,56,FALSE)</f>
        <v>0</v>
      </c>
      <c r="E4701" t="str">
        <v>D</v>
      </c>
      <c r="F4701">
        <f>VLOOKUP(D4675,'Detail Balok'!$C$10:$BJ$140,58,FALSE)</f>
        <v>0</v>
      </c>
      <c r="G4701" t="str">
        <v>-</v>
      </c>
      <c r="H4701">
        <f>VLOOKUP(D4675,'Detail Balok'!$C$10:$BJ$140,60,FALSE)</f>
        <v>100</v>
      </c>
      <c r="J4701">
        <f>(D4676-2*F$5)/1000</f>
        <v>0.12</v>
      </c>
      <c r="K4701" t="str">
        <v>+</v>
      </c>
      <c r="L4701">
        <f>IF(D4701=0,2*MAX(6*F4701,75),(D4701-1)*2*MAX(6*F4701,75))/1000</f>
        <v>0.15</v>
      </c>
      <c r="M4701" t="str">
        <v>=</v>
      </c>
      <c r="N4701">
        <f>J4701+L4701</f>
        <v>0.27</v>
      </c>
      <c r="T4701" t="str">
        <v>x</v>
      </c>
      <c r="U4701">
        <f>0.006165*F4701^2</f>
        <v>0</v>
      </c>
      <c r="V4701" t="str">
        <v>x</v>
      </c>
      <c r="W4701">
        <f>W4697</f>
        <v>24</v>
      </c>
      <c r="X4701" t="str">
        <v>x</v>
      </c>
      <c r="Y4701">
        <f>D4685</f>
        <v>0</v>
      </c>
      <c r="Z4701" t="str">
        <v>=</v>
      </c>
      <c r="AA4701">
        <f>N4701*U4701*W4701*Y4701</f>
        <v>0</v>
      </c>
    </row>
    <row r="4705">
      <c r="A4705" t="str">
        <f>A4675</f>
        <v>Lantai 3</v>
      </c>
      <c r="B4705">
        <f>B4675+1</f>
        <v>15</v>
      </c>
      <c r="C4705" t="str">
        <f>CONCATENATE(A4705," no. ",B4705)</f>
        <v>Lantai 3 no. 15</v>
      </c>
      <c r="D4705" t="str">
        <f>VLOOKUP(C4705,'Data Panjang Balok'!$C$9:$N$254,2,FALSE)</f>
        <v>B26-1</v>
      </c>
    </row>
    <row r="4706">
      <c r="C4706" t="str">
        <v>Dimensi</v>
      </c>
      <c r="D4706">
        <f>VLOOKUP(D4705,'Detail Balok'!$C$10:$AU$140,2,FALSE)</f>
        <v>200</v>
      </c>
      <c r="F4706" t="str">
        <v>x</v>
      </c>
      <c r="G4706">
        <f>VLOOKUP(D4705,'Detail Balok'!$C$10:$AU$140,3,FALSE)</f>
        <v>600</v>
      </c>
    </row>
    <row r="4707">
      <c r="C4707" t="str">
        <v>Panjang as ke as</v>
      </c>
      <c r="D4707">
        <f>VLOOKUP(C4705,'Data Panjang Balok'!$C$9:$N$254,4,FALSE)</f>
        <v>5825</v>
      </c>
    </row>
    <row r="4708">
      <c r="C4708" t="str">
        <v>Panjang netto</v>
      </c>
      <c r="D4708">
        <f>VLOOKUP(C4705,'Data Panjang Balok'!$C$9:$N$254,7,FALSE)</f>
        <v>5825</v>
      </c>
    </row>
    <row r="4709">
      <c r="C4709" t="str">
        <v>Kolom / balok kiri</v>
      </c>
      <c r="D4709">
        <f>VLOOKUP(C4705,'Data Panjang Balok'!$C$9:$N$254,9,FALSE)</f>
        <v>0</v>
      </c>
    </row>
    <row r="4710">
      <c r="C4710" t="str">
        <v>Kolom / balok kanan</v>
      </c>
      <c r="D4710">
        <f>VLOOKUP(C4705,'Data Panjang Balok'!$C$9:$N$254,10,FALSE)</f>
        <v>0</v>
      </c>
    </row>
    <row r="4711">
      <c r="C4711" t="str">
        <v>Jumlah</v>
      </c>
      <c r="D4711">
        <f>VLOOKUP(C4705,'Data Panjang Balok'!$C$9:$N$254,3,FALSE)</f>
        <v>1</v>
      </c>
    </row>
    <row r="4712">
      <c r="A4712" t="str">
        <f>A4705</f>
        <v>Lantai 3</v>
      </c>
      <c r="B4712">
        <f>B4705</f>
        <v>15</v>
      </c>
      <c r="C4712" t="str">
        <v>Tul Atas Tumpuan</v>
      </c>
      <c r="D4712">
        <f>VLOOKUP(D4705,'Detail Balok'!$C$10:$AU$140,4,FALSE)</f>
        <v>4</v>
      </c>
      <c r="E4712" t="str">
        <v>D</v>
      </c>
      <c r="F4712">
        <f>VLOOKUP(D4705,'Detail Balok'!$C$10:$AU$140,6,FALSE)</f>
        <v>16</v>
      </c>
      <c r="I4712" t="str">
        <v>(</v>
      </c>
      <c r="J4712">
        <f>+D4707/4/1000</f>
        <v>1.45625</v>
      </c>
      <c r="K4712" t="str">
        <v>+</v>
      </c>
      <c r="L4712">
        <f>MAX(VLOOKUP(F4712,N$6:P$15,3,FALSE)/1000,2/3*D4709/1000)+F$16*F4712/1000</f>
        <v>0.192</v>
      </c>
      <c r="M4712" t="str">
        <v>=</v>
      </c>
      <c r="N4712">
        <f>J4712+L4712</f>
        <v>1.64825</v>
      </c>
      <c r="O4712" t="str">
        <v>+</v>
      </c>
      <c r="P4712">
        <f>D4712-D4713</f>
        <v>1</v>
      </c>
      <c r="Q4712" t="str">
        <v>x</v>
      </c>
      <c r="R4712">
        <f>IF(P4712&gt;0,$F$18*F4712/1000,0)</f>
        <v>0.24</v>
      </c>
      <c r="S4712" t="str">
        <v>)</v>
      </c>
      <c r="T4712" t="str">
        <v>x</v>
      </c>
      <c r="U4712">
        <f>0.006165*F4712^2</f>
        <v>1.57824</v>
      </c>
      <c r="X4712" t="str">
        <v>x</v>
      </c>
      <c r="Y4712">
        <f>D4711</f>
        <v>1</v>
      </c>
      <c r="Z4712" t="str">
        <v>=</v>
      </c>
      <c r="AA4712">
        <f>IF(AA4715=0,(D4712*N4712+P4712*R4712)*U4712*Y4712,0)</f>
        <v>10.784113920000001</v>
      </c>
    </row>
    <row r="4713">
      <c r="A4713" t="str">
        <f>A4705</f>
        <v>Lantai 3</v>
      </c>
      <c r="B4713">
        <f>B4705</f>
        <v>15</v>
      </c>
      <c r="C4713" t="str">
        <v>Tul Atas Lapangan</v>
      </c>
      <c r="D4713">
        <f>VLOOKUP(D4705,'Detail Balok'!$C$10:$AU$140,7,FALSE)</f>
        <v>3</v>
      </c>
      <c r="E4713" t="str">
        <v>D</v>
      </c>
      <c r="F4713">
        <f>VLOOKUP(D4705,'Detail Balok'!$C$10:$AU$140,9,FALSE)</f>
        <v>16</v>
      </c>
      <c r="I4713" t="str">
        <v>(</v>
      </c>
      <c r="J4713">
        <f>+D4707/2/1000</f>
        <v>2.9125</v>
      </c>
      <c r="K4713" t="str">
        <v>+</v>
      </c>
      <c r="M4713" t="str">
        <v>=</v>
      </c>
      <c r="N4713">
        <f>J4713+L4713</f>
        <v>2.9125</v>
      </c>
      <c r="O4713" t="str">
        <v>+</v>
      </c>
      <c r="P4713">
        <f>MAX(D4713-D4712,D4713-D4714)</f>
        <v>-1</v>
      </c>
      <c r="Q4713" t="str">
        <v>x</v>
      </c>
      <c r="R4713">
        <f>IF(P4713&gt;0,2*(1-2*$F$19-1/2)*D4708/1000,0)</f>
        <v>0</v>
      </c>
      <c r="S4713" t="str">
        <v>)</v>
      </c>
      <c r="T4713" t="str">
        <v>x</v>
      </c>
      <c r="U4713">
        <f>0.006165*F4713^2</f>
        <v>1.57824</v>
      </c>
      <c r="X4713" t="str">
        <v>x</v>
      </c>
      <c r="Y4713">
        <f>D4711</f>
        <v>1</v>
      </c>
      <c r="Z4713" t="str">
        <v>=</v>
      </c>
      <c r="AA4713">
        <f>IF(AA4715=0,(D4713*N4713+P4713*R4713)*U4713*Y4713,0)</f>
        <v>13.789872000000003</v>
      </c>
    </row>
    <row r="4714">
      <c r="A4714" t="str">
        <f>A4705</f>
        <v>Lantai 3</v>
      </c>
      <c r="B4714">
        <f>B4705</f>
        <v>15</v>
      </c>
      <c r="C4714" t="str">
        <v>Tul Atas Tumpuan</v>
      </c>
      <c r="D4714">
        <f>VLOOKUP(D4705,'Detail Balok'!$C$10:$AU$140,10,FALSE)</f>
        <v>4</v>
      </c>
      <c r="E4714" t="str">
        <v>D</v>
      </c>
      <c r="F4714">
        <f>VLOOKUP(D4705,'Detail Balok'!$C$10:$AU$140,12,FALSE)</f>
        <v>16</v>
      </c>
      <c r="I4714" t="str">
        <v>(</v>
      </c>
      <c r="J4714">
        <f>+D4707/4/1000</f>
        <v>1.45625</v>
      </c>
      <c r="K4714" t="str">
        <v>+</v>
      </c>
      <c r="L4714">
        <f>MAX(VLOOKUP(F4714,N$6:P$15,3,FALSE)/1000,2/3*D4709/1000)+F$16*F4714/1000</f>
        <v>0.192</v>
      </c>
      <c r="M4714" t="str">
        <v>=</v>
      </c>
      <c r="N4714">
        <f>J4714+L4714</f>
        <v>1.64825</v>
      </c>
      <c r="O4714" t="str">
        <v>+</v>
      </c>
      <c r="P4714">
        <f>D4714-D4713</f>
        <v>1</v>
      </c>
      <c r="Q4714" t="str">
        <v>x</v>
      </c>
      <c r="R4714">
        <f>IF(P4714&gt;0,$F$18*F4714/1000,0)</f>
        <v>0.24</v>
      </c>
      <c r="S4714" t="str">
        <v>)</v>
      </c>
      <c r="T4714" t="str">
        <v>x</v>
      </c>
      <c r="U4714">
        <f>0.006165*F4714^2</f>
        <v>1.57824</v>
      </c>
      <c r="X4714" t="str">
        <v>x</v>
      </c>
      <c r="Y4714">
        <f>D4711</f>
        <v>1</v>
      </c>
      <c r="Z4714" t="str">
        <v>=</v>
      </c>
      <c r="AA4714">
        <f>IF(AA4715=0,(D4714*N4714+P4714*R4714)*U4714*Y4714,0)</f>
        <v>10.784113920000001</v>
      </c>
    </row>
    <row r="4715">
      <c r="A4715" t="str">
        <f>A4705</f>
        <v>Lantai 3</v>
      </c>
      <c r="B4715">
        <f>B4705</f>
        <v>15</v>
      </c>
      <c r="D4715">
        <f>IF(AND(D4712=D4713,D4713=D4714,D4712=D4714),D4712,0)</f>
        <v>0</v>
      </c>
      <c r="E4715" t="str">
        <v>D</v>
      </c>
      <c r="F4715">
        <f>IF(AND(F4712=F4713,F4712=F4714,F4713=F4714),F4712,0)</f>
        <v>16</v>
      </c>
      <c r="L4715" t="str">
        <v>Total panjang per balok</v>
      </c>
      <c r="M4715" t="str">
        <v>=</v>
      </c>
      <c r="N4715">
        <f>IF(AND(D4712=D4713,D4712=D4714,D4713=D4714,F4712=F4713,F4712=F4714,F4713=F4714),SUM(N4712:N4714),0)</f>
        <v>0</v>
      </c>
      <c r="O4715" t="str">
        <v>+</v>
      </c>
      <c r="P4715">
        <f>IF(N4715&gt;12,ROUNDDOWN(N4715/12,0),0)</f>
        <v>0</v>
      </c>
      <c r="Q4715" t="str">
        <v>x</v>
      </c>
      <c r="R4715">
        <f>IF(P4715&gt;0,MAX(VLOOKUP(F4715,$D$6:$G$15,3,FALSE),600),0)/1000</f>
        <v>0</v>
      </c>
      <c r="T4715" t="str">
        <v>x</v>
      </c>
      <c r="U4715">
        <f>U4714</f>
        <v>1.57824</v>
      </c>
      <c r="V4715" t="str">
        <v>x</v>
      </c>
      <c r="W4715">
        <f>D4715</f>
        <v>0</v>
      </c>
      <c r="X4715" t="str">
        <v>x</v>
      </c>
      <c r="Y4715">
        <f>Y4714</f>
        <v>1</v>
      </c>
      <c r="Z4715" t="str">
        <v>=</v>
      </c>
      <c r="AA4715">
        <f>(N4715+P4715*R4715/1000)*U4715*W4715*Y4715</f>
        <v>0</v>
      </c>
    </row>
    <row r="4717">
      <c r="A4717" t="str">
        <f>A4705</f>
        <v>Lantai 3</v>
      </c>
      <c r="B4717">
        <f>B4705</f>
        <v>15</v>
      </c>
      <c r="C4717" t="str">
        <v>Tul Peminggang</v>
      </c>
      <c r="D4717">
        <f>VLOOKUP(D4705,'Detail Balok'!$C$10:$AU$140,13,FALSE)</f>
        <v>2</v>
      </c>
      <c r="E4717" t="str">
        <v>D</v>
      </c>
      <c r="F4717">
        <f>VLOOKUP(D4705,'Detail Balok'!$C$10:$AU$140,15,FALSE)</f>
        <v>10</v>
      </c>
      <c r="J4717">
        <f>+D4707/1000</f>
        <v>5.825</v>
      </c>
      <c r="K4717" t="str">
        <v>+</v>
      </c>
      <c r="L4717">
        <f>2*$F$16*F4717/1000</f>
        <v>0.24</v>
      </c>
      <c r="M4717" t="str">
        <v>=</v>
      </c>
      <c r="N4717">
        <f>J4717+L4717</f>
        <v>6.065</v>
      </c>
      <c r="O4717" t="str">
        <v>+</v>
      </c>
      <c r="P4717">
        <f>IF(N4717&gt;12,ROUNDDOWN(N4717/12,0),0)</f>
        <v>0</v>
      </c>
      <c r="Q4717" t="str">
        <v>x</v>
      </c>
      <c r="R4717">
        <f>IF(P4717&gt;0,MAX(VLOOKUP(F4717,$D$6:$G$15,3,FALSE),600),0)/1000</f>
        <v>0</v>
      </c>
      <c r="T4717" t="str">
        <v>x</v>
      </c>
      <c r="U4717">
        <f>0.006165*F4717^2</f>
        <v>0.6165</v>
      </c>
      <c r="V4717" t="str">
        <v>x</v>
      </c>
      <c r="W4717">
        <f>+D4717</f>
        <v>2</v>
      </c>
      <c r="X4717" t="str">
        <v>x</v>
      </c>
      <c r="Y4717">
        <f>D4711</f>
        <v>1</v>
      </c>
      <c r="Z4717" t="str">
        <v>=</v>
      </c>
      <c r="AA4717">
        <f>(N4717+P4717*R4717/1000)*U4717*W4717*Y4717</f>
        <v>7.478145000000001</v>
      </c>
    </row>
    <row r="4720">
      <c r="A4720" t="str">
        <f>A4705</f>
        <v>Lantai 3</v>
      </c>
      <c r="B4720">
        <f>B4705</f>
        <v>15</v>
      </c>
      <c r="C4720" t="str">
        <v>Tul Bawah Tumpuan</v>
      </c>
      <c r="D4720">
        <f>VLOOKUP(D4705,'Detail Balok'!$C$10:$AU$140,22,FALSE)</f>
        <v>3</v>
      </c>
      <c r="E4720" t="str">
        <v>D</v>
      </c>
      <c r="F4720">
        <f>VLOOKUP(D4705,'Detail Balok'!$C$10:$AU$140,24,FALSE)</f>
        <v>16</v>
      </c>
      <c r="I4720" t="str">
        <v>(</v>
      </c>
      <c r="J4720">
        <f>+J4712</f>
        <v>1.45625</v>
      </c>
      <c r="K4720" t="str">
        <v>+</v>
      </c>
      <c r="L4720">
        <f>MAX(VLOOKUP(F4720,N$6:P$15,3,FALSE)/1000,2/3*D4710/1000)+F$16*F4720/1000</f>
        <v>0.192</v>
      </c>
      <c r="M4720" t="str">
        <v>=</v>
      </c>
      <c r="N4720">
        <f>J4720+L4720</f>
        <v>1.64825</v>
      </c>
      <c r="O4720" t="str">
        <v>+</v>
      </c>
      <c r="P4720">
        <f>D4720-D4721</f>
        <v>-1</v>
      </c>
      <c r="Q4720" t="str">
        <v>x</v>
      </c>
      <c r="R4720">
        <f>IF(P4720&gt;0,$F$18*F4720/1000,0)</f>
        <v>0</v>
      </c>
      <c r="S4720" t="str">
        <v>)</v>
      </c>
      <c r="T4720" t="str">
        <v>x</v>
      </c>
      <c r="U4720">
        <f>0.006165*F4720^2</f>
        <v>1.57824</v>
      </c>
      <c r="X4720" t="str">
        <v>x</v>
      </c>
      <c r="Y4720">
        <f>D4711</f>
        <v>1</v>
      </c>
      <c r="Z4720" t="str">
        <v>=</v>
      </c>
      <c r="AA4720">
        <f>IF(AA4723=0,(D4720*N4720+P4720*R4720)*U4720*Y4720,0)</f>
        <v>7.80400224</v>
      </c>
    </row>
    <row r="4721">
      <c r="A4721" t="str">
        <f>A4705</f>
        <v>Lantai 3</v>
      </c>
      <c r="B4721">
        <f>B4705</f>
        <v>15</v>
      </c>
      <c r="C4721" t="str">
        <v>Tul Bawah Lapangan</v>
      </c>
      <c r="D4721">
        <f>VLOOKUP(D4705,'Detail Balok'!$C$10:$AU$140,25,FALSE)</f>
        <v>4</v>
      </c>
      <c r="E4721" t="str">
        <v>D</v>
      </c>
      <c r="F4721">
        <f>VLOOKUP(D4705,'Detail Balok'!$C$10:$AU$140,27,FALSE)</f>
        <v>16</v>
      </c>
      <c r="I4721" t="str">
        <v>(</v>
      </c>
      <c r="J4721">
        <f>+J4713</f>
        <v>2.9125</v>
      </c>
      <c r="K4721" t="str">
        <v>+</v>
      </c>
      <c r="M4721" t="str">
        <v>=</v>
      </c>
      <c r="N4721">
        <f>J4721+L4721</f>
        <v>2.9125</v>
      </c>
      <c r="O4721" t="str">
        <v>+</v>
      </c>
      <c r="P4721">
        <f>MAX(D4721-D4720,D4721-D4722)</f>
        <v>1</v>
      </c>
      <c r="Q4721" t="str">
        <v>x</v>
      </c>
      <c r="R4721">
        <f>IF(P4721&gt;0,2*(1-2*$F$19-1/2)*D4708/1000,0)</f>
        <v>1.1649999999999998</v>
      </c>
      <c r="S4721" t="str">
        <v>)</v>
      </c>
      <c r="T4721" t="str">
        <v>x</v>
      </c>
      <c r="U4721">
        <f>0.006165*F4721^2</f>
        <v>1.57824</v>
      </c>
      <c r="X4721" t="str">
        <v>x</v>
      </c>
      <c r="Y4721">
        <f>D4711</f>
        <v>1</v>
      </c>
      <c r="Z4721" t="str">
        <v>=</v>
      </c>
      <c r="AA4721">
        <f>IF(AA4723=0,(D4721*N4721+P4721*R4721)*U4721*Y4721,0)</f>
        <v>20.2251456</v>
      </c>
    </row>
    <row r="4722">
      <c r="A4722" t="str">
        <f>A4705</f>
        <v>Lantai 3</v>
      </c>
      <c r="B4722">
        <f>B4705</f>
        <v>15</v>
      </c>
      <c r="C4722" t="str">
        <v>Tul Bawah Tumpuan</v>
      </c>
      <c r="D4722">
        <f>VLOOKUP(D4705,'Detail Balok'!$C$10:$AU$140,28,FALSE)</f>
        <v>3</v>
      </c>
      <c r="E4722" t="str">
        <v>D</v>
      </c>
      <c r="F4722">
        <f>VLOOKUP(D4705,'Detail Balok'!$C$10:$AU$140,30,FALSE)</f>
        <v>16</v>
      </c>
      <c r="I4722" t="str">
        <v>(</v>
      </c>
      <c r="J4722">
        <f>+J4714</f>
        <v>1.45625</v>
      </c>
      <c r="K4722" t="str">
        <v>+</v>
      </c>
      <c r="L4722">
        <f>MAX(VLOOKUP(F4722,N$6:P$15,3,FALSE)/1000,2/3*D4710/1000)+F$16*F4722/1000</f>
        <v>0.192</v>
      </c>
      <c r="M4722" t="str">
        <v>=</v>
      </c>
      <c r="N4722">
        <f>J4722+L4722</f>
        <v>1.64825</v>
      </c>
      <c r="O4722" t="str">
        <v>+</v>
      </c>
      <c r="P4722">
        <f>D4722-D4721</f>
        <v>-1</v>
      </c>
      <c r="Q4722" t="str">
        <v>x</v>
      </c>
      <c r="R4722">
        <f>IF(P4722&gt;0,$F$18*F4722/1000,0)</f>
        <v>0</v>
      </c>
      <c r="S4722" t="str">
        <v>)</v>
      </c>
      <c r="T4722" t="str">
        <v>x</v>
      </c>
      <c r="U4722">
        <f>0.006165*F4722^2</f>
        <v>1.57824</v>
      </c>
      <c r="X4722" t="str">
        <v>x</v>
      </c>
      <c r="Y4722">
        <f>D4711</f>
        <v>1</v>
      </c>
      <c r="Z4722" t="str">
        <v>=</v>
      </c>
      <c r="AA4722">
        <f>IF(AA4723=0,(D4722*N4722+P4722*R4722)*U4722*Y4722,0)</f>
        <v>7.80400224</v>
      </c>
    </row>
    <row r="4723">
      <c r="A4723" t="str">
        <f>A4705</f>
        <v>Lantai 3</v>
      </c>
      <c r="B4723">
        <f>B4705</f>
        <v>15</v>
      </c>
      <c r="D4723">
        <f>IF(AND(D4720=D4721,D4721=D4722,D4720=D4722),D4720,0)</f>
        <v>0</v>
      </c>
      <c r="E4723" t="str">
        <v>D</v>
      </c>
      <c r="F4723">
        <f>IF(AND(F4720=F4721,F4720=F4722,F4721=F4722),F4720,0)</f>
        <v>16</v>
      </c>
      <c r="L4723" t="str">
        <v>Total panjang per balok</v>
      </c>
      <c r="M4723" t="str">
        <v>=</v>
      </c>
      <c r="N4723">
        <f>IF(AND(D4720=D4721,D4720=D4722,D4721=D4722,F4720=F4721,F4720=F4722,F4721=F4722),SUM(N4720:N4722),0)</f>
        <v>0</v>
      </c>
      <c r="O4723" t="str">
        <v>+</v>
      </c>
      <c r="P4723">
        <f>IF(N4723&gt;12,ROUNDDOWN(N4723/12,0),0)</f>
        <v>0</v>
      </c>
      <c r="Q4723" t="str">
        <v>x</v>
      </c>
      <c r="R4723">
        <f>IF(P4723&gt;0,MAX(VLOOKUP(F4723,$D$6:$G$15,3,FALSE),600),0)/1000</f>
        <v>0</v>
      </c>
      <c r="T4723" t="str">
        <v>x</v>
      </c>
      <c r="U4723">
        <f>U4722</f>
        <v>1.57824</v>
      </c>
      <c r="V4723" t="str">
        <v>x</v>
      </c>
      <c r="W4723">
        <f>D4723</f>
        <v>0</v>
      </c>
      <c r="X4723" t="str">
        <v>x</v>
      </c>
      <c r="Y4723">
        <f>Y4722</f>
        <v>1</v>
      </c>
      <c r="Z4723" t="str">
        <v>=</v>
      </c>
      <c r="AA4723">
        <f>(N4723+P4723*R4723/1000)*U4723*W4723*Y4723</f>
        <v>0</v>
      </c>
    </row>
    <row r="4725">
      <c r="A4725" t="str">
        <f>A4705</f>
        <v>Lantai 3</v>
      </c>
      <c r="B4725">
        <f>B4705</f>
        <v>15</v>
      </c>
      <c r="C4725" t="str">
        <v>Sengkang Tumpuan</v>
      </c>
      <c r="D4725">
        <f>VLOOKUP(D4705,'Detail Balok'!$C$10:$AU$140,31,FALSE)</f>
        <v>0</v>
      </c>
      <c r="E4725" t="str">
        <v>D</v>
      </c>
      <c r="F4725">
        <f>VLOOKUP(D4705,'Detail Balok'!$C$10:$AU$140,33,FALSE)</f>
        <v>10</v>
      </c>
      <c r="G4725" t="str">
        <v>-</v>
      </c>
      <c r="H4725">
        <f>VLOOKUP(D4705,'Detail Balok'!$C$10:$AU$140,35,FALSE)</f>
        <v>100</v>
      </c>
      <c r="J4725">
        <f>(IF(D4725=0,(2*(D4706+G4706))-(F$5*8),IF(D4725=3,(2*(D4706+G4706))-(F$5*8)+(G4706-2*F$5),IF(D4725=4,(2*(D4706+G4706))-(F$5*8)+2*(G4706-2*F$5)))))/1000</f>
        <v>1.28</v>
      </c>
      <c r="K4725" t="str">
        <v>+</v>
      </c>
      <c r="L4725">
        <f>IF(D4725=0,2*MAX(6*F4725,75),(D4725-1)*2*MAX(6*F4725,75))/1000</f>
        <v>0.15</v>
      </c>
      <c r="M4725" t="str">
        <v>=</v>
      </c>
      <c r="N4725">
        <f>J4725+L4725</f>
        <v>1.43</v>
      </c>
      <c r="T4725" t="str">
        <v>x</v>
      </c>
      <c r="U4725">
        <f>0.006165*F4725^2</f>
        <v>0.6165</v>
      </c>
      <c r="V4725" t="str">
        <v>x</v>
      </c>
      <c r="W4725">
        <f>IF(D4708&gt;4*G4706,ROUND(MAX(D4708/4,2*G4706)/H4725,0)+1,ROUND(D4708/H4725,0)+1)</f>
        <v>16</v>
      </c>
      <c r="X4725" t="str">
        <v>x</v>
      </c>
      <c r="Y4725">
        <f>D4711</f>
        <v>1</v>
      </c>
      <c r="Z4725" t="str">
        <v>=</v>
      </c>
      <c r="AA4725">
        <f>N4725*U4725*W4725*Y4725</f>
        <v>14.10552</v>
      </c>
    </row>
    <row r="4726">
      <c r="A4726" t="str">
        <f>A4705</f>
        <v>Lantai 3</v>
      </c>
      <c r="B4726">
        <f>B4705</f>
        <v>15</v>
      </c>
      <c r="C4726" t="str">
        <v>Sengkang Lapangan</v>
      </c>
      <c r="D4726">
        <f>VLOOKUP(D4705,'Detail Balok'!$C$10:$AU$140,36,FALSE)</f>
        <v>0</v>
      </c>
      <c r="E4726" t="str">
        <v>D</v>
      </c>
      <c r="F4726">
        <f>VLOOKUP(D4705,'Detail Balok'!$C$10:$AU$140,38,FALSE)</f>
        <v>10</v>
      </c>
      <c r="G4726" t="str">
        <v>-</v>
      </c>
      <c r="H4726">
        <f>VLOOKUP(D4705,'Detail Balok'!$C$10:$AU$140,40,FALSE)</f>
        <v>150</v>
      </c>
      <c r="J4726">
        <f>(IF(D4726=0,(2*(D4706+G4706))-(F$5*8),IF(D4726=3,(2*(D4706+G4706))-(F$5*8)+(G4706-2*F$5),IF(D4726=4,(2*(D4706+G4706))-(F$5*8)+2*(G4706-2*F$5)))))/1000</f>
        <v>1.28</v>
      </c>
      <c r="K4726" t="str">
        <v>+</v>
      </c>
      <c r="L4726">
        <f>IF(D4726=0,2*MAX(6*F4726,75),(D4726-1)*2*MAX(6*F4726,75))/1000</f>
        <v>0.15</v>
      </c>
      <c r="M4726" t="str">
        <v>=</v>
      </c>
      <c r="N4726">
        <f>J4726+L4726</f>
        <v>1.43</v>
      </c>
      <c r="T4726" t="str">
        <v>x</v>
      </c>
      <c r="U4726">
        <f>0.006165*F4726^2</f>
        <v>0.6165</v>
      </c>
      <c r="V4726" t="str">
        <v>x</v>
      </c>
      <c r="W4726">
        <f>IF(D4708-MAX(D4708/4,2*G4706)*2&gt;0,ROUND((D4708-MAX(D4708/4,2*G4706)*2)/H4726,0),0)</f>
        <v>19</v>
      </c>
      <c r="X4726" t="str">
        <v>x</v>
      </c>
      <c r="Y4726">
        <f>D4711</f>
        <v>1</v>
      </c>
      <c r="Z4726" t="str">
        <v>=</v>
      </c>
      <c r="AA4726">
        <f>N4726*U4726*W4726*Y4726</f>
        <v>16.750305</v>
      </c>
    </row>
    <row r="4727">
      <c r="A4727" t="str">
        <f>A4705</f>
        <v>Lantai 3</v>
      </c>
      <c r="B4727">
        <f>B4705</f>
        <v>15</v>
      </c>
      <c r="C4727" t="str">
        <v>Sengkang Tumpuan</v>
      </c>
      <c r="D4727">
        <f>VLOOKUP(D4705,'Detail Balok'!$C$10:$AU$140,41,FALSE)</f>
        <v>0</v>
      </c>
      <c r="E4727" t="str">
        <v>D</v>
      </c>
      <c r="F4727">
        <f>VLOOKUP(D4705,'Detail Balok'!$C$10:$AU$140,43,FALSE)</f>
        <v>10</v>
      </c>
      <c r="G4727" t="str">
        <v>-</v>
      </c>
      <c r="H4727">
        <f>VLOOKUP(D4705,'Detail Balok'!$C$10:$AU$140,45,FALSE)</f>
        <v>100</v>
      </c>
      <c r="J4727">
        <f>(IF(D4727=0,(2*(D4706+G4706))-(F$5*8),IF(D4727=3,(2*(D4706+G4706))-(F$5*8)+(G4706-2*F$5),IF(D4727=4,(2*(D4706+G4706))-(F$5*8)+2*(G4706-2*F$5)))))/1000</f>
        <v>1.28</v>
      </c>
      <c r="K4727" t="str">
        <v>+</v>
      </c>
      <c r="L4727">
        <f>IF(D4727=0,2*MAX(6*F4727,75),(D4727-1)*2*MAX(6*F4727,75))/1000</f>
        <v>0.15</v>
      </c>
      <c r="M4727" t="str">
        <v>=</v>
      </c>
      <c r="N4727">
        <f>J4727+L4727</f>
        <v>1.43</v>
      </c>
      <c r="T4727" t="str">
        <v>x</v>
      </c>
      <c r="U4727">
        <f>0.006165*F4727^2</f>
        <v>0.6165</v>
      </c>
      <c r="V4727" t="str">
        <v>x</v>
      </c>
      <c r="W4727">
        <f>IF(D4708&gt;4*G4706,ROUND(MAX(D4708/4,2*G4706)/H4727,0)+1,0)</f>
        <v>16</v>
      </c>
      <c r="X4727" t="str">
        <v>x</v>
      </c>
      <c r="Y4727">
        <f>D4711</f>
        <v>1</v>
      </c>
      <c r="Z4727" t="str">
        <v>=</v>
      </c>
      <c r="AA4727">
        <f>N4727*U4727*W4727*Y4727</f>
        <v>14.10552</v>
      </c>
    </row>
    <row r="4729">
      <c r="A4729" t="str">
        <f>A4705</f>
        <v>Lantai 3</v>
      </c>
      <c r="B4729">
        <f>B4705</f>
        <v>15</v>
      </c>
      <c r="C4729" t="str">
        <v>Kait Horizontal Tump.</v>
      </c>
      <c r="D4729">
        <f>VLOOKUP(D4705,'Detail Balok'!$C$10:$BJ$140,46,FALSE)</f>
        <v>0</v>
      </c>
      <c r="E4729" t="str">
        <v>D</v>
      </c>
      <c r="F4729">
        <f>VLOOKUP(D4705,'Detail Balok'!$C$10:$BJ$140,48,FALSE)</f>
        <v>0</v>
      </c>
      <c r="G4729" t="str">
        <v>-</v>
      </c>
      <c r="H4729">
        <f>VLOOKUP(D4705,'Detail Balok'!$C$10:$BJ$140,50,FALSE)</f>
        <v>100</v>
      </c>
      <c r="J4729">
        <f>(D4706-2*F$5)/1000</f>
        <v>0.12</v>
      </c>
      <c r="K4729" t="str">
        <v>+</v>
      </c>
      <c r="L4729">
        <f>IF(D4729=0,2*MAX(6*F4729,75),(D4729-1)*2*MAX(6*F4729,75))/1000</f>
        <v>0.15</v>
      </c>
      <c r="M4729" t="str">
        <v>=</v>
      </c>
      <c r="N4729">
        <f>J4729+L4729</f>
        <v>0.27</v>
      </c>
      <c r="T4729" t="str">
        <v>x</v>
      </c>
      <c r="U4729">
        <f>0.006165*F4729^2</f>
        <v>0</v>
      </c>
      <c r="V4729" t="str">
        <v>x</v>
      </c>
      <c r="W4729">
        <f>W4725</f>
        <v>16</v>
      </c>
      <c r="X4729" t="str">
        <v>x</v>
      </c>
      <c r="Y4729">
        <f>D4715</f>
        <v>0</v>
      </c>
      <c r="Z4729" t="str">
        <v>=</v>
      </c>
      <c r="AA4729">
        <f>N4729*U4729*W4729*Y4729</f>
        <v>0</v>
      </c>
    </row>
    <row r="4730">
      <c r="A4730" t="str">
        <f>A4705</f>
        <v>Lantai 3</v>
      </c>
      <c r="B4730">
        <f>B4705</f>
        <v>15</v>
      </c>
      <c r="C4730" t="str">
        <v>Kait Horizontal Lap.</v>
      </c>
      <c r="D4730">
        <f>VLOOKUP(D4705,'Detail Balok'!$C$10:$BJ$140,51,FALSE)</f>
        <v>0</v>
      </c>
      <c r="E4730" t="str">
        <v>D</v>
      </c>
      <c r="F4730">
        <f>VLOOKUP(D4705,'Detail Balok'!$C$10:$BJ$140,53,FALSE)</f>
        <v>0</v>
      </c>
      <c r="G4730" t="str">
        <v>-</v>
      </c>
      <c r="H4730">
        <f>VLOOKUP(D4705,'Detail Balok'!$C$10:$BJ$140,55,FALSE)</f>
        <v>100</v>
      </c>
      <c r="J4730">
        <f>(D4706-2*F$5)/1000</f>
        <v>0.12</v>
      </c>
      <c r="K4730" t="str">
        <v>+</v>
      </c>
      <c r="L4730">
        <f>IF(D4730=0,2*MAX(6*F4730,75),(D4730-1)*2*MAX(6*F4730,75))/1000</f>
        <v>0.15</v>
      </c>
      <c r="M4730" t="str">
        <v>=</v>
      </c>
      <c r="N4730">
        <f>J4730+L4730</f>
        <v>0.27</v>
      </c>
      <c r="T4730" t="str">
        <v>x</v>
      </c>
      <c r="U4730">
        <f>0.006165*F4730^2</f>
        <v>0</v>
      </c>
      <c r="V4730" t="str">
        <v>x</v>
      </c>
      <c r="W4730">
        <f>W4726</f>
        <v>19</v>
      </c>
      <c r="X4730" t="str">
        <v>x</v>
      </c>
      <c r="Y4730">
        <f>D4715</f>
        <v>0</v>
      </c>
      <c r="Z4730" t="str">
        <v>=</v>
      </c>
      <c r="AA4730">
        <f>N4730*U4730*W4730*Y4730</f>
        <v>0</v>
      </c>
    </row>
    <row r="4731">
      <c r="A4731" t="str">
        <f>A4705</f>
        <v>Lantai 3</v>
      </c>
      <c r="B4731">
        <f>B4705</f>
        <v>15</v>
      </c>
      <c r="C4731" t="str">
        <v>Kait Horizontal Tump.</v>
      </c>
      <c r="D4731">
        <f>VLOOKUP(D4705,'Detail Balok'!$C$10:$BJ$140,56,FALSE)</f>
        <v>0</v>
      </c>
      <c r="E4731" t="str">
        <v>D</v>
      </c>
      <c r="F4731">
        <f>VLOOKUP(D4705,'Detail Balok'!$C$10:$BJ$140,58,FALSE)</f>
        <v>0</v>
      </c>
      <c r="G4731" t="str">
        <v>-</v>
      </c>
      <c r="H4731">
        <f>VLOOKUP(D4705,'Detail Balok'!$C$10:$BJ$140,60,FALSE)</f>
        <v>100</v>
      </c>
      <c r="J4731">
        <f>(D4706-2*F$5)/1000</f>
        <v>0.12</v>
      </c>
      <c r="K4731" t="str">
        <v>+</v>
      </c>
      <c r="L4731">
        <f>IF(D4731=0,2*MAX(6*F4731,75),(D4731-1)*2*MAX(6*F4731,75))/1000</f>
        <v>0.15</v>
      </c>
      <c r="M4731" t="str">
        <v>=</v>
      </c>
      <c r="N4731">
        <f>J4731+L4731</f>
        <v>0.27</v>
      </c>
      <c r="T4731" t="str">
        <v>x</v>
      </c>
      <c r="U4731">
        <f>0.006165*F4731^2</f>
        <v>0</v>
      </c>
      <c r="V4731" t="str">
        <v>x</v>
      </c>
      <c r="W4731">
        <f>W4727</f>
        <v>16</v>
      </c>
      <c r="X4731" t="str">
        <v>x</v>
      </c>
      <c r="Y4731">
        <f>D4715</f>
        <v>0</v>
      </c>
      <c r="Z4731" t="str">
        <v>=</v>
      </c>
      <c r="AA4731">
        <f>N4731*U4731*W4731*Y4731</f>
        <v>0</v>
      </c>
    </row>
    <row r="4735">
      <c r="A4735" t="str">
        <f>A4705</f>
        <v>Lantai 3</v>
      </c>
      <c r="B4735">
        <f>B4705+1</f>
        <v>16</v>
      </c>
      <c r="C4735" t="str">
        <f>CONCATENATE(A4735," no. ",B4735)</f>
        <v>Lantai 3 no. 16</v>
      </c>
      <c r="D4735" t="str">
        <f>VLOOKUP(C4735,'Data Panjang Balok'!$C$9:$N$254,2,FALSE)</f>
        <v>CL24-1</v>
      </c>
    </row>
    <row r="4736">
      <c r="C4736" t="str">
        <v>Dimensi</v>
      </c>
      <c r="D4736">
        <f>VLOOKUP(D4735,'Detail Balok'!$C$10:$AU$140,2,FALSE)</f>
        <v>200</v>
      </c>
      <c r="F4736" t="str">
        <v>x</v>
      </c>
      <c r="G4736">
        <f>VLOOKUP(D4735,'Detail Balok'!$C$10:$AU$140,3,FALSE)</f>
        <v>400</v>
      </c>
    </row>
    <row r="4737">
      <c r="C4737" t="str">
        <v>Panjang as ke as</v>
      </c>
      <c r="D4737">
        <f>VLOOKUP(C4735,'Data Panjang Balok'!$C$9:$N$254,4,FALSE)</f>
        <v>1075</v>
      </c>
    </row>
    <row r="4738">
      <c r="C4738" t="str">
        <v>Panjang netto</v>
      </c>
      <c r="D4738">
        <f>VLOOKUP(C4735,'Data Panjang Balok'!$C$9:$N$254,7,FALSE)</f>
        <v>1075</v>
      </c>
    </row>
    <row r="4739">
      <c r="C4739" t="str">
        <v>Kolom / balok kiri</v>
      </c>
      <c r="D4739">
        <f>VLOOKUP(C4735,'Data Panjang Balok'!$C$9:$N$254,9,FALSE)</f>
        <v>0</v>
      </c>
    </row>
    <row r="4740">
      <c r="C4740" t="str">
        <v>Kolom / balok kanan</v>
      </c>
      <c r="D4740">
        <f>VLOOKUP(C4735,'Data Panjang Balok'!$C$9:$N$254,10,FALSE)</f>
        <v>0</v>
      </c>
    </row>
    <row r="4741">
      <c r="C4741" t="str">
        <v>Jumlah</v>
      </c>
      <c r="D4741">
        <f>VLOOKUP(C4735,'Data Panjang Balok'!$C$9:$N$254,3,FALSE)</f>
        <v>1</v>
      </c>
    </row>
    <row r="4742">
      <c r="A4742" t="str">
        <f>A4735</f>
        <v>Lantai 3</v>
      </c>
      <c r="B4742">
        <f>B4735</f>
        <v>16</v>
      </c>
      <c r="C4742" t="str">
        <v>Tul Atas Tumpuan</v>
      </c>
      <c r="D4742">
        <f>VLOOKUP(D4735,'Detail Balok'!$C$10:$AU$140,4,FALSE)</f>
        <v>3</v>
      </c>
      <c r="E4742" t="str">
        <v>D</v>
      </c>
      <c r="F4742">
        <f>VLOOKUP(D4735,'Detail Balok'!$C$10:$AU$140,6,FALSE)</f>
        <v>16</v>
      </c>
      <c r="I4742" t="str">
        <v>(</v>
      </c>
      <c r="J4742">
        <f>+D4737/4/1000</f>
        <v>0.26875</v>
      </c>
      <c r="K4742" t="str">
        <v>+</v>
      </c>
      <c r="L4742">
        <f>MAX(VLOOKUP(F4742,N$6:P$15,3,FALSE)/1000,2/3*D4739/1000)+F$16*F4742/1000</f>
        <v>0.192</v>
      </c>
      <c r="M4742" t="str">
        <v>=</v>
      </c>
      <c r="N4742">
        <f>J4742+L4742</f>
        <v>0.46075</v>
      </c>
      <c r="O4742" t="str">
        <v>+</v>
      </c>
      <c r="P4742">
        <f>D4742-D4743</f>
        <v>0</v>
      </c>
      <c r="Q4742" t="str">
        <v>x</v>
      </c>
      <c r="R4742">
        <f>IF(P4742&gt;0,$F$18*F4742/1000,0)</f>
        <v>0</v>
      </c>
      <c r="S4742" t="str">
        <v>)</v>
      </c>
      <c r="T4742" t="str">
        <v>x</v>
      </c>
      <c r="U4742">
        <f>0.006165*F4742^2</f>
        <v>1.57824</v>
      </c>
      <c r="X4742" t="str">
        <v>x</v>
      </c>
      <c r="Y4742">
        <f>D4741</f>
        <v>1</v>
      </c>
      <c r="Z4742" t="str">
        <v>=</v>
      </c>
      <c r="AA4742">
        <f>IF(AA4745=0,(D4742*N4742+P4742*R4742)*U4742*Y4742,0)</f>
        <v>0</v>
      </c>
    </row>
    <row r="4743">
      <c r="A4743" t="str">
        <f>A4735</f>
        <v>Lantai 3</v>
      </c>
      <c r="B4743">
        <f>B4735</f>
        <v>16</v>
      </c>
      <c r="C4743" t="str">
        <v>Tul Atas Lapangan</v>
      </c>
      <c r="D4743">
        <f>VLOOKUP(D4735,'Detail Balok'!$C$10:$AU$140,7,FALSE)</f>
        <v>3</v>
      </c>
      <c r="E4743" t="str">
        <v>D</v>
      </c>
      <c r="F4743">
        <f>VLOOKUP(D4735,'Detail Balok'!$C$10:$AU$140,9,FALSE)</f>
        <v>16</v>
      </c>
      <c r="I4743" t="str">
        <v>(</v>
      </c>
      <c r="J4743">
        <f>+D4737/2/1000</f>
        <v>0.5375</v>
      </c>
      <c r="K4743" t="str">
        <v>+</v>
      </c>
      <c r="M4743" t="str">
        <v>=</v>
      </c>
      <c r="N4743">
        <f>J4743+L4743</f>
        <v>0.5375</v>
      </c>
      <c r="O4743" t="str">
        <v>+</v>
      </c>
      <c r="P4743">
        <f>MAX(D4743-D4742,D4743-D4744)</f>
        <v>0</v>
      </c>
      <c r="Q4743" t="str">
        <v>x</v>
      </c>
      <c r="R4743">
        <f>IF(P4743&gt;0,2*(1-2*$F$19-1/2)*D4738/1000,0)</f>
        <v>0</v>
      </c>
      <c r="S4743" t="str">
        <v>)</v>
      </c>
      <c r="T4743" t="str">
        <v>x</v>
      </c>
      <c r="U4743">
        <f>0.006165*F4743^2</f>
        <v>1.57824</v>
      </c>
      <c r="X4743" t="str">
        <v>x</v>
      </c>
      <c r="Y4743">
        <f>D4741</f>
        <v>1</v>
      </c>
      <c r="Z4743" t="str">
        <v>=</v>
      </c>
      <c r="AA4743">
        <f>IF(AA4745=0,(D4743*N4743+P4743*R4743)*U4743*Y4743,0)</f>
        <v>0</v>
      </c>
    </row>
    <row r="4744">
      <c r="A4744" t="str">
        <f>A4735</f>
        <v>Lantai 3</v>
      </c>
      <c r="B4744">
        <f>B4735</f>
        <v>16</v>
      </c>
      <c r="C4744" t="str">
        <v>Tul Atas Tumpuan</v>
      </c>
      <c r="D4744">
        <f>VLOOKUP(D4735,'Detail Balok'!$C$10:$AU$140,10,FALSE)</f>
        <v>3</v>
      </c>
      <c r="E4744" t="str">
        <v>D</v>
      </c>
      <c r="F4744">
        <f>VLOOKUP(D4735,'Detail Balok'!$C$10:$AU$140,12,FALSE)</f>
        <v>16</v>
      </c>
      <c r="I4744" t="str">
        <v>(</v>
      </c>
      <c r="J4744">
        <f>+D4737/4/1000</f>
        <v>0.26875</v>
      </c>
      <c r="K4744" t="str">
        <v>+</v>
      </c>
      <c r="L4744">
        <f>MAX(VLOOKUP(F4744,N$6:P$15,3,FALSE)/1000,2/3*D4739/1000)+F$16*F4744/1000</f>
        <v>0.192</v>
      </c>
      <c r="M4744" t="str">
        <v>=</v>
      </c>
      <c r="N4744">
        <f>J4744+L4744</f>
        <v>0.46075</v>
      </c>
      <c r="O4744" t="str">
        <v>+</v>
      </c>
      <c r="P4744">
        <f>D4744-D4743</f>
        <v>0</v>
      </c>
      <c r="Q4744" t="str">
        <v>x</v>
      </c>
      <c r="R4744">
        <f>IF(P4744&gt;0,$F$18*F4744/1000,0)</f>
        <v>0</v>
      </c>
      <c r="S4744" t="str">
        <v>)</v>
      </c>
      <c r="T4744" t="str">
        <v>x</v>
      </c>
      <c r="U4744">
        <f>0.006165*F4744^2</f>
        <v>1.57824</v>
      </c>
      <c r="X4744" t="str">
        <v>x</v>
      </c>
      <c r="Y4744">
        <f>D4741</f>
        <v>1</v>
      </c>
      <c r="Z4744" t="str">
        <v>=</v>
      </c>
      <c r="AA4744">
        <f>IF(AA4745=0,(D4744*N4744+P4744*R4744)*U4744*Y4744,0)</f>
        <v>0</v>
      </c>
    </row>
    <row r="4745">
      <c r="A4745" t="str">
        <f>A4735</f>
        <v>Lantai 3</v>
      </c>
      <c r="B4745">
        <f>B4735</f>
        <v>16</v>
      </c>
      <c r="D4745">
        <f>IF(AND(D4742=D4743,D4743=D4744,D4742=D4744),D4742,0)</f>
        <v>3</v>
      </c>
      <c r="E4745" t="str">
        <v>D</v>
      </c>
      <c r="F4745">
        <f>IF(AND(F4742=F4743,F4742=F4744,F4743=F4744),F4742,0)</f>
        <v>16</v>
      </c>
      <c r="L4745" t="str">
        <v>Total panjang per balok</v>
      </c>
      <c r="M4745" t="str">
        <v>=</v>
      </c>
      <c r="N4745">
        <f>IF(AND(D4742=D4743,D4742=D4744,D4743=D4744,F4742=F4743,F4742=F4744,F4743=F4744),SUM(N4742:N4744),0)</f>
        <v>1.459</v>
      </c>
      <c r="O4745" t="str">
        <v>+</v>
      </c>
      <c r="P4745">
        <f>IF(N4745&gt;12,ROUNDDOWN(N4745/12,0),0)</f>
        <v>0</v>
      </c>
      <c r="Q4745" t="str">
        <v>x</v>
      </c>
      <c r="R4745">
        <f>IF(P4745&gt;0,MAX(VLOOKUP(F4745,$D$6:$G$15,3,FALSE),600),0)/1000</f>
        <v>0</v>
      </c>
      <c r="T4745" t="str">
        <v>x</v>
      </c>
      <c r="U4745">
        <f>U4744</f>
        <v>1.57824</v>
      </c>
      <c r="V4745" t="str">
        <v>x</v>
      </c>
      <c r="W4745">
        <f>D4745</f>
        <v>3</v>
      </c>
      <c r="X4745" t="str">
        <v>x</v>
      </c>
      <c r="Y4745">
        <f>Y4744</f>
        <v>1</v>
      </c>
      <c r="Z4745" t="str">
        <v>=</v>
      </c>
      <c r="AA4745">
        <f>(N4745+P4745*R4745/1000)*U4745*W4745*Y4745</f>
        <v>6.90795648</v>
      </c>
    </row>
    <row r="4747">
      <c r="A4747" t="str">
        <f>A4735</f>
        <v>Lantai 3</v>
      </c>
      <c r="B4747">
        <f>B4735</f>
        <v>16</v>
      </c>
      <c r="C4747" t="str">
        <v>Tul Peminggang</v>
      </c>
      <c r="D4747">
        <f>VLOOKUP(D4735,'Detail Balok'!$C$10:$AU$140,13,FALSE)</f>
        <v>0</v>
      </c>
      <c r="E4747" t="str">
        <v>D</v>
      </c>
      <c r="F4747">
        <f>VLOOKUP(D4735,'Detail Balok'!$C$10:$AU$140,15,FALSE)</f>
        <v>8</v>
      </c>
      <c r="J4747">
        <f>+D4737/1000</f>
        <v>1.075</v>
      </c>
      <c r="K4747" t="str">
        <v>+</v>
      </c>
      <c r="L4747">
        <f>2*$F$16*F4747/1000</f>
        <v>0.192</v>
      </c>
      <c r="M4747" t="str">
        <v>=</v>
      </c>
      <c r="N4747">
        <f>J4747+L4747</f>
        <v>1.267</v>
      </c>
      <c r="O4747" t="str">
        <v>+</v>
      </c>
      <c r="P4747">
        <f>IF(N4747&gt;12,ROUNDDOWN(N4747/12,0),0)</f>
        <v>0</v>
      </c>
      <c r="Q4747" t="str">
        <v>x</v>
      </c>
      <c r="R4747">
        <f>IF(P4747&gt;0,MAX(VLOOKUP(F4747,$D$6:$G$15,3,FALSE),600),0)/1000</f>
        <v>0</v>
      </c>
      <c r="T4747" t="str">
        <v>x</v>
      </c>
      <c r="U4747">
        <f>0.006165*F4747^2</f>
        <v>0.39456</v>
      </c>
      <c r="V4747" t="str">
        <v>x</v>
      </c>
      <c r="W4747">
        <f>+D4747</f>
        <v>0</v>
      </c>
      <c r="X4747" t="str">
        <v>x</v>
      </c>
      <c r="Y4747">
        <f>D4741</f>
        <v>1</v>
      </c>
      <c r="Z4747" t="str">
        <v>=</v>
      </c>
      <c r="AA4747">
        <f>(N4747+P4747*R4747/1000)*U4747*W4747*Y4747</f>
        <v>0</v>
      </c>
    </row>
    <row r="4750">
      <c r="A4750" t="str">
        <f>A4735</f>
        <v>Lantai 3</v>
      </c>
      <c r="B4750">
        <f>B4735</f>
        <v>16</v>
      </c>
      <c r="C4750" t="str">
        <v>Tul Bawah Tumpuan</v>
      </c>
      <c r="D4750">
        <f>VLOOKUP(D4735,'Detail Balok'!$C$10:$AU$140,22,FALSE)</f>
        <v>3</v>
      </c>
      <c r="E4750" t="str">
        <v>D</v>
      </c>
      <c r="F4750">
        <f>VLOOKUP(D4735,'Detail Balok'!$C$10:$AU$140,24,FALSE)</f>
        <v>16</v>
      </c>
      <c r="I4750" t="str">
        <v>(</v>
      </c>
      <c r="J4750">
        <f>+J4742</f>
        <v>0.26875</v>
      </c>
      <c r="K4750" t="str">
        <v>+</v>
      </c>
      <c r="L4750">
        <f>MAX(VLOOKUP(F4750,N$6:P$15,3,FALSE)/1000,2/3*D4740/1000)+F$16*F4750/1000</f>
        <v>0.192</v>
      </c>
      <c r="M4750" t="str">
        <v>=</v>
      </c>
      <c r="N4750">
        <f>J4750+L4750</f>
        <v>0.46075</v>
      </c>
      <c r="O4750" t="str">
        <v>+</v>
      </c>
      <c r="P4750">
        <f>D4750-D4751</f>
        <v>0</v>
      </c>
      <c r="Q4750" t="str">
        <v>x</v>
      </c>
      <c r="R4750">
        <f>IF(P4750&gt;0,$F$18*F4750/1000,0)</f>
        <v>0</v>
      </c>
      <c r="S4750" t="str">
        <v>)</v>
      </c>
      <c r="T4750" t="str">
        <v>x</v>
      </c>
      <c r="U4750">
        <f>0.006165*F4750^2</f>
        <v>1.57824</v>
      </c>
      <c r="X4750" t="str">
        <v>x</v>
      </c>
      <c r="Y4750">
        <f>D4741</f>
        <v>1</v>
      </c>
      <c r="Z4750" t="str">
        <v>=</v>
      </c>
      <c r="AA4750">
        <f>IF(AA4753=0,(D4750*N4750+P4750*R4750)*U4750*Y4750,0)</f>
        <v>0</v>
      </c>
    </row>
    <row r="4751">
      <c r="A4751" t="str">
        <f>A4735</f>
        <v>Lantai 3</v>
      </c>
      <c r="B4751">
        <f>B4735</f>
        <v>16</v>
      </c>
      <c r="C4751" t="str">
        <v>Tul Bawah Lapangan</v>
      </c>
      <c r="D4751">
        <f>VLOOKUP(D4735,'Detail Balok'!$C$10:$AU$140,25,FALSE)</f>
        <v>3</v>
      </c>
      <c r="E4751" t="str">
        <v>D</v>
      </c>
      <c r="F4751">
        <f>VLOOKUP(D4735,'Detail Balok'!$C$10:$AU$140,27,FALSE)</f>
        <v>16</v>
      </c>
      <c r="I4751" t="str">
        <v>(</v>
      </c>
      <c r="J4751">
        <f>+J4743</f>
        <v>0.5375</v>
      </c>
      <c r="K4751" t="str">
        <v>+</v>
      </c>
      <c r="M4751" t="str">
        <v>=</v>
      </c>
      <c r="N4751">
        <f>J4751+L4751</f>
        <v>0.5375</v>
      </c>
      <c r="O4751" t="str">
        <v>+</v>
      </c>
      <c r="P4751">
        <f>MAX(D4751-D4750,D4751-D4752)</f>
        <v>0</v>
      </c>
      <c r="Q4751" t="str">
        <v>x</v>
      </c>
      <c r="R4751">
        <f>IF(P4751&gt;0,2*(1-2*$F$19-1/2)*D4738/1000,0)</f>
        <v>0</v>
      </c>
      <c r="S4751" t="str">
        <v>)</v>
      </c>
      <c r="T4751" t="str">
        <v>x</v>
      </c>
      <c r="U4751">
        <f>0.006165*F4751^2</f>
        <v>1.57824</v>
      </c>
      <c r="X4751" t="str">
        <v>x</v>
      </c>
      <c r="Y4751">
        <f>D4741</f>
        <v>1</v>
      </c>
      <c r="Z4751" t="str">
        <v>=</v>
      </c>
      <c r="AA4751">
        <f>IF(AA4753=0,(D4751*N4751+P4751*R4751)*U4751*Y4751,0)</f>
        <v>0</v>
      </c>
    </row>
    <row r="4752">
      <c r="A4752" t="str">
        <f>A4735</f>
        <v>Lantai 3</v>
      </c>
      <c r="B4752">
        <f>B4735</f>
        <v>16</v>
      </c>
      <c r="C4752" t="str">
        <v>Tul Bawah Tumpuan</v>
      </c>
      <c r="D4752">
        <f>VLOOKUP(D4735,'Detail Balok'!$C$10:$AU$140,28,FALSE)</f>
        <v>3</v>
      </c>
      <c r="E4752" t="str">
        <v>D</v>
      </c>
      <c r="F4752">
        <f>VLOOKUP(D4735,'Detail Balok'!$C$10:$AU$140,30,FALSE)</f>
        <v>16</v>
      </c>
      <c r="I4752" t="str">
        <v>(</v>
      </c>
      <c r="J4752">
        <f>+J4744</f>
        <v>0.26875</v>
      </c>
      <c r="K4752" t="str">
        <v>+</v>
      </c>
      <c r="L4752">
        <f>MAX(VLOOKUP(F4752,N$6:P$15,3,FALSE)/1000,2/3*D4740/1000)+F$16*F4752/1000</f>
        <v>0.192</v>
      </c>
      <c r="M4752" t="str">
        <v>=</v>
      </c>
      <c r="N4752">
        <f>J4752+L4752</f>
        <v>0.46075</v>
      </c>
      <c r="O4752" t="str">
        <v>+</v>
      </c>
      <c r="P4752">
        <f>D4752-D4751</f>
        <v>0</v>
      </c>
      <c r="Q4752" t="str">
        <v>x</v>
      </c>
      <c r="R4752">
        <f>IF(P4752&gt;0,$F$18*F4752/1000,0)</f>
        <v>0</v>
      </c>
      <c r="S4752" t="str">
        <v>)</v>
      </c>
      <c r="T4752" t="str">
        <v>x</v>
      </c>
      <c r="U4752">
        <f>0.006165*F4752^2</f>
        <v>1.57824</v>
      </c>
      <c r="X4752" t="str">
        <v>x</v>
      </c>
      <c r="Y4752">
        <f>D4741</f>
        <v>1</v>
      </c>
      <c r="Z4752" t="str">
        <v>=</v>
      </c>
      <c r="AA4752">
        <f>IF(AA4753=0,(D4752*N4752+P4752*R4752)*U4752*Y4752,0)</f>
        <v>0</v>
      </c>
    </row>
    <row r="4753">
      <c r="A4753" t="str">
        <f>A4735</f>
        <v>Lantai 3</v>
      </c>
      <c r="B4753">
        <f>B4735</f>
        <v>16</v>
      </c>
      <c r="D4753">
        <f>IF(AND(D4750=D4751,D4751=D4752,D4750=D4752),D4750,0)</f>
        <v>3</v>
      </c>
      <c r="E4753" t="str">
        <v>D</v>
      </c>
      <c r="F4753">
        <f>IF(AND(F4750=F4751,F4750=F4752,F4751=F4752),F4750,0)</f>
        <v>16</v>
      </c>
      <c r="L4753" t="str">
        <v>Total panjang per balok</v>
      </c>
      <c r="M4753" t="str">
        <v>=</v>
      </c>
      <c r="N4753">
        <f>IF(AND(D4750=D4751,D4750=D4752,D4751=D4752,F4750=F4751,F4750=F4752,F4751=F4752),SUM(N4750:N4752),0)</f>
        <v>1.459</v>
      </c>
      <c r="O4753" t="str">
        <v>+</v>
      </c>
      <c r="P4753">
        <f>IF(N4753&gt;12,ROUNDDOWN(N4753/12,0),0)</f>
        <v>0</v>
      </c>
      <c r="Q4753" t="str">
        <v>x</v>
      </c>
      <c r="R4753">
        <f>IF(P4753&gt;0,MAX(VLOOKUP(F4753,$D$6:$G$15,3,FALSE),600),0)/1000</f>
        <v>0</v>
      </c>
      <c r="T4753" t="str">
        <v>x</v>
      </c>
      <c r="U4753">
        <f>U4752</f>
        <v>1.57824</v>
      </c>
      <c r="V4753" t="str">
        <v>x</v>
      </c>
      <c r="W4753">
        <f>D4753</f>
        <v>3</v>
      </c>
      <c r="X4753" t="str">
        <v>x</v>
      </c>
      <c r="Y4753">
        <f>Y4752</f>
        <v>1</v>
      </c>
      <c r="Z4753" t="str">
        <v>=</v>
      </c>
      <c r="AA4753">
        <f>(N4753+P4753*R4753/1000)*U4753*W4753*Y4753</f>
        <v>6.90795648</v>
      </c>
    </row>
    <row r="4755">
      <c r="A4755" t="str">
        <f>A4735</f>
        <v>Lantai 3</v>
      </c>
      <c r="B4755">
        <f>B4735</f>
        <v>16</v>
      </c>
      <c r="C4755" t="str">
        <v>Sengkang Tumpuan</v>
      </c>
      <c r="D4755">
        <f>VLOOKUP(D4735,'Detail Balok'!$C$10:$AU$140,31,FALSE)</f>
        <v>0</v>
      </c>
      <c r="E4755" t="str">
        <v>D</v>
      </c>
      <c r="F4755">
        <f>VLOOKUP(D4735,'Detail Balok'!$C$10:$AU$140,33,FALSE)</f>
        <v>10</v>
      </c>
      <c r="G4755" t="str">
        <v>-</v>
      </c>
      <c r="H4755">
        <f>VLOOKUP(D4735,'Detail Balok'!$C$10:$AU$140,35,FALSE)</f>
        <v>100</v>
      </c>
      <c r="J4755">
        <f>(IF(D4755=0,(2*(D4736+G4736))-(F$5*8),IF(D4755=3,(2*(D4736+G4736))-(F$5*8)+(G4736-2*F$5),IF(D4755=4,(2*(D4736+G4736))-(F$5*8)+2*(G4736-2*F$5)))))/1000</f>
        <v>0.88</v>
      </c>
      <c r="K4755" t="str">
        <v>+</v>
      </c>
      <c r="L4755">
        <f>IF(D4755=0,2*MAX(6*F4755,75),(D4755-1)*2*MAX(6*F4755,75))/1000</f>
        <v>0.15</v>
      </c>
      <c r="M4755" t="str">
        <v>=</v>
      </c>
      <c r="N4755">
        <f>J4755+L4755</f>
        <v>1.03</v>
      </c>
      <c r="T4755" t="str">
        <v>x</v>
      </c>
      <c r="U4755">
        <f>0.006165*F4755^2</f>
        <v>0.6165</v>
      </c>
      <c r="V4755" t="str">
        <v>x</v>
      </c>
      <c r="W4755">
        <f>IF(D4738&gt;4*G4736,ROUND(MAX(D4738/4,2*G4736)/H4755,0)+1,ROUND(D4738/H4755,0)+1)</f>
        <v>12</v>
      </c>
      <c r="X4755" t="str">
        <v>x</v>
      </c>
      <c r="Y4755">
        <f>D4741</f>
        <v>1</v>
      </c>
      <c r="Z4755" t="str">
        <v>=</v>
      </c>
      <c r="AA4755">
        <f>N4755*U4755*W4755*Y4755</f>
        <v>7.6199400000000015</v>
      </c>
    </row>
    <row r="4756">
      <c r="A4756" t="str">
        <f>A4735</f>
        <v>Lantai 3</v>
      </c>
      <c r="B4756">
        <f>B4735</f>
        <v>16</v>
      </c>
      <c r="C4756" t="str">
        <v>Sengkang Lapangan</v>
      </c>
      <c r="D4756">
        <f>VLOOKUP(D4735,'Detail Balok'!$C$10:$AU$140,36,FALSE)</f>
        <v>0</v>
      </c>
      <c r="E4756" t="str">
        <v>D</v>
      </c>
      <c r="F4756">
        <f>VLOOKUP(D4735,'Detail Balok'!$C$10:$AU$140,38,FALSE)</f>
        <v>10</v>
      </c>
      <c r="G4756" t="str">
        <v>-</v>
      </c>
      <c r="H4756">
        <f>VLOOKUP(D4735,'Detail Balok'!$C$10:$AU$140,40,FALSE)</f>
        <v>100</v>
      </c>
      <c r="J4756">
        <f>(IF(D4756=0,(2*(D4736+G4736))-(F$5*8),IF(D4756=3,(2*(D4736+G4736))-(F$5*8)+(G4736-2*F$5),IF(D4756=4,(2*(D4736+G4736))-(F$5*8)+2*(G4736-2*F$5)))))/1000</f>
        <v>0.88</v>
      </c>
      <c r="K4756" t="str">
        <v>+</v>
      </c>
      <c r="L4756">
        <f>IF(D4756=0,2*MAX(6*F4756,75),(D4756-1)*2*MAX(6*F4756,75))/1000</f>
        <v>0.15</v>
      </c>
      <c r="M4756" t="str">
        <v>=</v>
      </c>
      <c r="N4756">
        <f>J4756+L4756</f>
        <v>1.03</v>
      </c>
      <c r="T4756" t="str">
        <v>x</v>
      </c>
      <c r="U4756">
        <f>0.006165*F4756^2</f>
        <v>0.6165</v>
      </c>
      <c r="V4756" t="str">
        <v>x</v>
      </c>
      <c r="W4756">
        <f>IF(D4738-MAX(D4738/4,2*G4736)*2&gt;0,ROUND((D4738-MAX(D4738/4,2*G4736)*2)/H4756,0),0)</f>
        <v>0</v>
      </c>
      <c r="X4756" t="str">
        <v>x</v>
      </c>
      <c r="Y4756">
        <f>D4741</f>
        <v>1</v>
      </c>
      <c r="Z4756" t="str">
        <v>=</v>
      </c>
      <c r="AA4756">
        <f>N4756*U4756*W4756*Y4756</f>
        <v>0</v>
      </c>
    </row>
    <row r="4757">
      <c r="A4757" t="str">
        <f>A4735</f>
        <v>Lantai 3</v>
      </c>
      <c r="B4757">
        <f>B4735</f>
        <v>16</v>
      </c>
      <c r="C4757" t="str">
        <v>Sengkang Tumpuan</v>
      </c>
      <c r="D4757">
        <f>VLOOKUP(D4735,'Detail Balok'!$C$10:$AU$140,41,FALSE)</f>
        <v>0</v>
      </c>
      <c r="E4757" t="str">
        <v>D</v>
      </c>
      <c r="F4757">
        <f>VLOOKUP(D4735,'Detail Balok'!$C$10:$AU$140,43,FALSE)</f>
        <v>10</v>
      </c>
      <c r="G4757" t="str">
        <v>-</v>
      </c>
      <c r="H4757">
        <f>VLOOKUP(D4735,'Detail Balok'!$C$10:$AU$140,45,FALSE)</f>
        <v>100</v>
      </c>
      <c r="J4757">
        <f>(IF(D4757=0,(2*(D4736+G4736))-(F$5*8),IF(D4757=3,(2*(D4736+G4736))-(F$5*8)+(G4736-2*F$5),IF(D4757=4,(2*(D4736+G4736))-(F$5*8)+2*(G4736-2*F$5)))))/1000</f>
        <v>0.88</v>
      </c>
      <c r="K4757" t="str">
        <v>+</v>
      </c>
      <c r="L4757">
        <f>IF(D4757=0,2*MAX(6*F4757,75),(D4757-1)*2*MAX(6*F4757,75))/1000</f>
        <v>0.15</v>
      </c>
      <c r="M4757" t="str">
        <v>=</v>
      </c>
      <c r="N4757">
        <f>J4757+L4757</f>
        <v>1.03</v>
      </c>
      <c r="T4757" t="str">
        <v>x</v>
      </c>
      <c r="U4757">
        <f>0.006165*F4757^2</f>
        <v>0.6165</v>
      </c>
      <c r="V4757" t="str">
        <v>x</v>
      </c>
      <c r="W4757">
        <f>IF(D4738&gt;4*G4736,ROUND(MAX(D4738/4,2*G4736)/H4757,0)+1,0)</f>
        <v>0</v>
      </c>
      <c r="X4757" t="str">
        <v>x</v>
      </c>
      <c r="Y4757">
        <f>D4741</f>
        <v>1</v>
      </c>
      <c r="Z4757" t="str">
        <v>=</v>
      </c>
      <c r="AA4757">
        <f>N4757*U4757*W4757*Y4757</f>
        <v>0</v>
      </c>
    </row>
    <row r="4759">
      <c r="A4759" t="str">
        <f>A4735</f>
        <v>Lantai 3</v>
      </c>
      <c r="B4759">
        <f>B4735</f>
        <v>16</v>
      </c>
      <c r="C4759" t="str">
        <v>Kait Horizontal Tump.</v>
      </c>
      <c r="D4759">
        <f>VLOOKUP(D4735,'Detail Balok'!$C$10:$BJ$140,46,FALSE)</f>
        <v>0</v>
      </c>
      <c r="E4759" t="str">
        <v>D</v>
      </c>
      <c r="F4759">
        <f>VLOOKUP(D4735,'Detail Balok'!$C$10:$BJ$140,48,FALSE)</f>
        <v>0</v>
      </c>
      <c r="G4759" t="str">
        <v>-</v>
      </c>
      <c r="H4759">
        <f>VLOOKUP(D4735,'Detail Balok'!$C$10:$BJ$140,50,FALSE)</f>
        <v>100</v>
      </c>
      <c r="J4759">
        <f>(D4736-2*F$5)/1000</f>
        <v>0.12</v>
      </c>
      <c r="K4759" t="str">
        <v>+</v>
      </c>
      <c r="L4759">
        <f>IF(D4759=0,2*MAX(6*F4759,75),(D4759-1)*2*MAX(6*F4759,75))/1000</f>
        <v>0.15</v>
      </c>
      <c r="M4759" t="str">
        <v>=</v>
      </c>
      <c r="N4759">
        <f>J4759+L4759</f>
        <v>0.27</v>
      </c>
      <c r="T4759" t="str">
        <v>x</v>
      </c>
      <c r="U4759">
        <f>0.006165*F4759^2</f>
        <v>0</v>
      </c>
      <c r="V4759" t="str">
        <v>x</v>
      </c>
      <c r="W4759">
        <f>W4755</f>
        <v>12</v>
      </c>
      <c r="X4759" t="str">
        <v>x</v>
      </c>
      <c r="Y4759">
        <f>D4745</f>
        <v>3</v>
      </c>
      <c r="Z4759" t="str">
        <v>=</v>
      </c>
      <c r="AA4759">
        <f>N4759*U4759*W4759*Y4759</f>
        <v>0</v>
      </c>
    </row>
    <row r="4760">
      <c r="A4760" t="str">
        <f>A4735</f>
        <v>Lantai 3</v>
      </c>
      <c r="B4760">
        <f>B4735</f>
        <v>16</v>
      </c>
      <c r="C4760" t="str">
        <v>Kait Horizontal Lap.</v>
      </c>
      <c r="D4760">
        <f>VLOOKUP(D4735,'Detail Balok'!$C$10:$BJ$140,51,FALSE)</f>
        <v>0</v>
      </c>
      <c r="E4760" t="str">
        <v>D</v>
      </c>
      <c r="F4760">
        <f>VLOOKUP(D4735,'Detail Balok'!$C$10:$BJ$140,53,FALSE)</f>
        <v>0</v>
      </c>
      <c r="G4760" t="str">
        <v>-</v>
      </c>
      <c r="H4760">
        <f>VLOOKUP(D4735,'Detail Balok'!$C$10:$BJ$140,55,FALSE)</f>
        <v>100</v>
      </c>
      <c r="J4760">
        <f>(D4736-2*F$5)/1000</f>
        <v>0.12</v>
      </c>
      <c r="K4760" t="str">
        <v>+</v>
      </c>
      <c r="L4760">
        <f>IF(D4760=0,2*MAX(6*F4760,75),(D4760-1)*2*MAX(6*F4760,75))/1000</f>
        <v>0.15</v>
      </c>
      <c r="M4760" t="str">
        <v>=</v>
      </c>
      <c r="N4760">
        <f>J4760+L4760</f>
        <v>0.27</v>
      </c>
      <c r="T4760" t="str">
        <v>x</v>
      </c>
      <c r="U4760">
        <f>0.006165*F4760^2</f>
        <v>0</v>
      </c>
      <c r="V4760" t="str">
        <v>x</v>
      </c>
      <c r="W4760">
        <f>W4756</f>
        <v>0</v>
      </c>
      <c r="X4760" t="str">
        <v>x</v>
      </c>
      <c r="Y4760">
        <f>D4745</f>
        <v>3</v>
      </c>
      <c r="Z4760" t="str">
        <v>=</v>
      </c>
      <c r="AA4760">
        <f>N4760*U4760*W4760*Y4760</f>
        <v>0</v>
      </c>
    </row>
    <row r="4761">
      <c r="A4761" t="str">
        <f>A4735</f>
        <v>Lantai 3</v>
      </c>
      <c r="B4761">
        <f>B4735</f>
        <v>16</v>
      </c>
      <c r="C4761" t="str">
        <v>Kait Horizontal Tump.</v>
      </c>
      <c r="D4761">
        <f>VLOOKUP(D4735,'Detail Balok'!$C$10:$BJ$140,56,FALSE)</f>
        <v>0</v>
      </c>
      <c r="E4761" t="str">
        <v>D</v>
      </c>
      <c r="F4761">
        <f>VLOOKUP(D4735,'Detail Balok'!$C$10:$BJ$140,58,FALSE)</f>
        <v>0</v>
      </c>
      <c r="G4761" t="str">
        <v>-</v>
      </c>
      <c r="H4761">
        <f>VLOOKUP(D4735,'Detail Balok'!$C$10:$BJ$140,60,FALSE)</f>
        <v>100</v>
      </c>
      <c r="J4761">
        <f>(D4736-2*F$5)/1000</f>
        <v>0.12</v>
      </c>
      <c r="K4761" t="str">
        <v>+</v>
      </c>
      <c r="L4761">
        <f>IF(D4761=0,2*MAX(6*F4761,75),(D4761-1)*2*MAX(6*F4761,75))/1000</f>
        <v>0.15</v>
      </c>
      <c r="M4761" t="str">
        <v>=</v>
      </c>
      <c r="N4761">
        <f>J4761+L4761</f>
        <v>0.27</v>
      </c>
      <c r="T4761" t="str">
        <v>x</v>
      </c>
      <c r="U4761">
        <f>0.006165*F4761^2</f>
        <v>0</v>
      </c>
      <c r="V4761" t="str">
        <v>x</v>
      </c>
      <c r="W4761">
        <f>W4757</f>
        <v>0</v>
      </c>
      <c r="X4761" t="str">
        <v>x</v>
      </c>
      <c r="Y4761">
        <f>D4745</f>
        <v>3</v>
      </c>
      <c r="Z4761" t="str">
        <v>=</v>
      </c>
      <c r="AA4761">
        <f>N4761*U4761*W4761*Y4761</f>
        <v>0</v>
      </c>
    </row>
    <row r="4765">
      <c r="A4765" t="str">
        <f>A4735</f>
        <v>Lantai 3</v>
      </c>
      <c r="B4765">
        <f>B4735+1</f>
        <v>17</v>
      </c>
      <c r="C4765" t="str">
        <f>CONCATENATE(A4765," no. ",B4765)</f>
        <v>Lantai 3 no. 17</v>
      </c>
      <c r="D4765" t="str">
        <f>VLOOKUP(C4765,'Data Panjang Balok'!$C$9:$N$254,2,FALSE)</f>
        <v>B25-1</v>
      </c>
    </row>
    <row r="4766">
      <c r="C4766" t="str">
        <v>Dimensi</v>
      </c>
      <c r="D4766">
        <f>VLOOKUP(D4765,'Detail Balok'!$C$10:$AU$140,2,FALSE)</f>
        <v>200</v>
      </c>
      <c r="F4766" t="str">
        <v>x</v>
      </c>
      <c r="G4766">
        <f>VLOOKUP(D4765,'Detail Balok'!$C$10:$AU$140,3,FALSE)</f>
        <v>500</v>
      </c>
    </row>
    <row r="4767">
      <c r="C4767" t="str">
        <v>Panjang as ke as</v>
      </c>
      <c r="D4767">
        <f>VLOOKUP(C4765,'Data Panjang Balok'!$C$9:$N$254,4,FALSE)</f>
        <v>9075</v>
      </c>
    </row>
    <row r="4768">
      <c r="C4768" t="str">
        <v>Panjang netto</v>
      </c>
      <c r="D4768">
        <f>VLOOKUP(C4765,'Data Panjang Balok'!$C$9:$N$254,7,FALSE)</f>
        <v>9075</v>
      </c>
    </row>
    <row r="4769">
      <c r="C4769" t="str">
        <v>Kolom / balok kiri</v>
      </c>
      <c r="D4769">
        <f>VLOOKUP(C4765,'Data Panjang Balok'!$C$9:$N$254,9,FALSE)</f>
        <v>0</v>
      </c>
    </row>
    <row r="4770">
      <c r="C4770" t="str">
        <v>Kolom / balok kanan</v>
      </c>
      <c r="D4770">
        <f>VLOOKUP(C4765,'Data Panjang Balok'!$C$9:$N$254,10,FALSE)</f>
        <v>0</v>
      </c>
    </row>
    <row r="4771">
      <c r="C4771" t="str">
        <v>Jumlah</v>
      </c>
      <c r="D4771">
        <f>VLOOKUP(C4765,'Data Panjang Balok'!$C$9:$N$254,3,FALSE)</f>
        <v>1</v>
      </c>
    </row>
    <row r="4772">
      <c r="A4772" t="str">
        <f>A4765</f>
        <v>Lantai 3</v>
      </c>
      <c r="B4772">
        <f>B4765</f>
        <v>17</v>
      </c>
      <c r="C4772" t="str">
        <v>Tul Atas Tumpuan</v>
      </c>
      <c r="D4772">
        <f>VLOOKUP(D4765,'Detail Balok'!$C$10:$AU$140,4,FALSE)</f>
        <v>4</v>
      </c>
      <c r="E4772" t="str">
        <v>D</v>
      </c>
      <c r="F4772">
        <f>VLOOKUP(D4765,'Detail Balok'!$C$10:$AU$140,6,FALSE)</f>
        <v>16</v>
      </c>
      <c r="I4772" t="str">
        <v>(</v>
      </c>
      <c r="J4772">
        <f>+D4767/4/1000</f>
        <v>2.26875</v>
      </c>
      <c r="K4772" t="str">
        <v>+</v>
      </c>
      <c r="L4772">
        <f>MAX(VLOOKUP(F4772,N$6:P$15,3,FALSE)/1000,2/3*D4769/1000)+F$16*F4772/1000</f>
        <v>0.192</v>
      </c>
      <c r="M4772" t="str">
        <v>=</v>
      </c>
      <c r="N4772">
        <f>J4772+L4772</f>
        <v>2.46075</v>
      </c>
      <c r="O4772" t="str">
        <v>+</v>
      </c>
      <c r="P4772">
        <f>D4772-D4773</f>
        <v>0</v>
      </c>
      <c r="Q4772" t="str">
        <v>x</v>
      </c>
      <c r="R4772">
        <f>IF(P4772&gt;0,$F$18*F4772/1000,0)</f>
        <v>0</v>
      </c>
      <c r="S4772" t="str">
        <v>)</v>
      </c>
      <c r="T4772" t="str">
        <v>x</v>
      </c>
      <c r="U4772">
        <f>0.006165*F4772^2</f>
        <v>1.57824</v>
      </c>
      <c r="X4772" t="str">
        <v>x</v>
      </c>
      <c r="Y4772">
        <f>D4771</f>
        <v>1</v>
      </c>
      <c r="Z4772" t="str">
        <v>=</v>
      </c>
      <c r="AA4772">
        <f>IF(AA4775=0,(D4772*N4772+P4772*R4772)*U4772*Y4772,0)</f>
        <v>0</v>
      </c>
    </row>
    <row r="4773">
      <c r="A4773" t="str">
        <f>A4765</f>
        <v>Lantai 3</v>
      </c>
      <c r="B4773">
        <f>B4765</f>
        <v>17</v>
      </c>
      <c r="C4773" t="str">
        <v>Tul Atas Lapangan</v>
      </c>
      <c r="D4773">
        <f>VLOOKUP(D4765,'Detail Balok'!$C$10:$AU$140,7,FALSE)</f>
        <v>4</v>
      </c>
      <c r="E4773" t="str">
        <v>D</v>
      </c>
      <c r="F4773">
        <f>VLOOKUP(D4765,'Detail Balok'!$C$10:$AU$140,9,FALSE)</f>
        <v>16</v>
      </c>
      <c r="I4773" t="str">
        <v>(</v>
      </c>
      <c r="J4773">
        <f>+D4767/2/1000</f>
        <v>4.5375</v>
      </c>
      <c r="K4773" t="str">
        <v>+</v>
      </c>
      <c r="M4773" t="str">
        <v>=</v>
      </c>
      <c r="N4773">
        <f>J4773+L4773</f>
        <v>4.5375</v>
      </c>
      <c r="O4773" t="str">
        <v>+</v>
      </c>
      <c r="P4773">
        <f>MAX(D4773-D4772,D4773-D4774)</f>
        <v>0</v>
      </c>
      <c r="Q4773" t="str">
        <v>x</v>
      </c>
      <c r="R4773">
        <f>IF(P4773&gt;0,2*(1-2*$F$19-1/2)*D4768/1000,0)</f>
        <v>0</v>
      </c>
      <c r="S4773" t="str">
        <v>)</v>
      </c>
      <c r="T4773" t="str">
        <v>x</v>
      </c>
      <c r="U4773">
        <f>0.006165*F4773^2</f>
        <v>1.57824</v>
      </c>
      <c r="X4773" t="str">
        <v>x</v>
      </c>
      <c r="Y4773">
        <f>D4771</f>
        <v>1</v>
      </c>
      <c r="Z4773" t="str">
        <v>=</v>
      </c>
      <c r="AA4773">
        <f>IF(AA4775=0,(D4773*N4773+P4773*R4773)*U4773*Y4773,0)</f>
        <v>0</v>
      </c>
    </row>
    <row r="4774">
      <c r="A4774" t="str">
        <f>A4765</f>
        <v>Lantai 3</v>
      </c>
      <c r="B4774">
        <f>B4765</f>
        <v>17</v>
      </c>
      <c r="C4774" t="str">
        <v>Tul Atas Tumpuan</v>
      </c>
      <c r="D4774">
        <f>VLOOKUP(D4765,'Detail Balok'!$C$10:$AU$140,10,FALSE)</f>
        <v>4</v>
      </c>
      <c r="E4774" t="str">
        <v>D</v>
      </c>
      <c r="F4774">
        <f>VLOOKUP(D4765,'Detail Balok'!$C$10:$AU$140,12,FALSE)</f>
        <v>16</v>
      </c>
      <c r="I4774" t="str">
        <v>(</v>
      </c>
      <c r="J4774">
        <f>+D4767/4/1000</f>
        <v>2.26875</v>
      </c>
      <c r="K4774" t="str">
        <v>+</v>
      </c>
      <c r="L4774">
        <f>MAX(VLOOKUP(F4774,N$6:P$15,3,FALSE)/1000,2/3*D4769/1000)+F$16*F4774/1000</f>
        <v>0.192</v>
      </c>
      <c r="M4774" t="str">
        <v>=</v>
      </c>
      <c r="N4774">
        <f>J4774+L4774</f>
        <v>2.46075</v>
      </c>
      <c r="O4774" t="str">
        <v>+</v>
      </c>
      <c r="P4774">
        <f>D4774-D4773</f>
        <v>0</v>
      </c>
      <c r="Q4774" t="str">
        <v>x</v>
      </c>
      <c r="R4774">
        <f>IF(P4774&gt;0,$F$18*F4774/1000,0)</f>
        <v>0</v>
      </c>
      <c r="S4774" t="str">
        <v>)</v>
      </c>
      <c r="T4774" t="str">
        <v>x</v>
      </c>
      <c r="U4774">
        <f>0.006165*F4774^2</f>
        <v>1.57824</v>
      </c>
      <c r="X4774" t="str">
        <v>x</v>
      </c>
      <c r="Y4774">
        <f>D4771</f>
        <v>1</v>
      </c>
      <c r="Z4774" t="str">
        <v>=</v>
      </c>
      <c r="AA4774">
        <f>IF(AA4775=0,(D4774*N4774+P4774*R4774)*U4774*Y4774,0)</f>
        <v>0</v>
      </c>
    </row>
    <row r="4775">
      <c r="A4775" t="str">
        <f>A4765</f>
        <v>Lantai 3</v>
      </c>
      <c r="B4775">
        <f>B4765</f>
        <v>17</v>
      </c>
      <c r="D4775">
        <f>IF(AND(D4772=D4773,D4773=D4774,D4772=D4774),D4772,0)</f>
        <v>4</v>
      </c>
      <c r="E4775" t="str">
        <v>D</v>
      </c>
      <c r="F4775">
        <f>IF(AND(F4772=F4773,F4772=F4774,F4773=F4774),F4772,0)</f>
        <v>16</v>
      </c>
      <c r="L4775" t="str">
        <v>Total panjang per balok</v>
      </c>
      <c r="M4775" t="str">
        <v>=</v>
      </c>
      <c r="N4775">
        <f>IF(AND(D4772=D4773,D4772=D4774,D4773=D4774,F4772=F4773,F4772=F4774,F4773=F4774),SUM(N4772:N4774),0)</f>
        <v>9.459</v>
      </c>
      <c r="O4775" t="str">
        <v>+</v>
      </c>
      <c r="P4775">
        <f>IF(N4775&gt;12,ROUNDDOWN(N4775/12,0),0)</f>
        <v>0</v>
      </c>
      <c r="Q4775" t="str">
        <v>x</v>
      </c>
      <c r="R4775">
        <f>IF(P4775&gt;0,MAX(VLOOKUP(F4775,$D$6:$G$15,3,FALSE),600),0)/1000</f>
        <v>0</v>
      </c>
      <c r="T4775" t="str">
        <v>x</v>
      </c>
      <c r="U4775">
        <f>U4774</f>
        <v>1.57824</v>
      </c>
      <c r="V4775" t="str">
        <v>x</v>
      </c>
      <c r="W4775">
        <f>D4775</f>
        <v>4</v>
      </c>
      <c r="X4775" t="str">
        <v>x</v>
      </c>
      <c r="Y4775">
        <f>Y4774</f>
        <v>1</v>
      </c>
      <c r="Z4775" t="str">
        <v>=</v>
      </c>
      <c r="AA4775">
        <f>(N4775+P4775*R4775/1000)*U4775*W4775*Y4775</f>
        <v>59.71428864</v>
      </c>
    </row>
    <row r="4777">
      <c r="A4777" t="str">
        <f>A4765</f>
        <v>Lantai 3</v>
      </c>
      <c r="B4777">
        <f>B4765</f>
        <v>17</v>
      </c>
      <c r="C4777" t="str">
        <v>Tul Peminggang</v>
      </c>
      <c r="D4777">
        <f>VLOOKUP(D4765,'Detail Balok'!$C$10:$AU$140,13,FALSE)</f>
        <v>2</v>
      </c>
      <c r="E4777" t="str">
        <v>D</v>
      </c>
      <c r="F4777">
        <f>VLOOKUP(D4765,'Detail Balok'!$C$10:$AU$140,15,FALSE)</f>
        <v>10</v>
      </c>
      <c r="J4777">
        <f>+D4767/1000</f>
        <v>9.075</v>
      </c>
      <c r="K4777" t="str">
        <v>+</v>
      </c>
      <c r="L4777">
        <f>2*$F$16*F4777/1000</f>
        <v>0.24</v>
      </c>
      <c r="M4777" t="str">
        <v>=</v>
      </c>
      <c r="N4777">
        <f>J4777+L4777</f>
        <v>9.315</v>
      </c>
      <c r="O4777" t="str">
        <v>+</v>
      </c>
      <c r="P4777">
        <f>IF(N4777&gt;12,ROUNDDOWN(N4777/12,0),0)</f>
        <v>0</v>
      </c>
      <c r="Q4777" t="str">
        <v>x</v>
      </c>
      <c r="R4777">
        <f>IF(P4777&gt;0,MAX(VLOOKUP(F4777,$D$6:$G$15,3,FALSE),600),0)/1000</f>
        <v>0</v>
      </c>
      <c r="T4777" t="str">
        <v>x</v>
      </c>
      <c r="U4777">
        <f>0.006165*F4777^2</f>
        <v>0.6165</v>
      </c>
      <c r="V4777" t="str">
        <v>x</v>
      </c>
      <c r="W4777">
        <f>+D4777</f>
        <v>2</v>
      </c>
      <c r="X4777" t="str">
        <v>x</v>
      </c>
      <c r="Y4777">
        <f>D4771</f>
        <v>1</v>
      </c>
      <c r="Z4777" t="str">
        <v>=</v>
      </c>
      <c r="AA4777">
        <f>(N4777+P4777*R4777/1000)*U4777*W4777*Y4777</f>
        <v>11.485395</v>
      </c>
    </row>
    <row r="4780">
      <c r="A4780" t="str">
        <f>A4765</f>
        <v>Lantai 3</v>
      </c>
      <c r="B4780">
        <f>B4765</f>
        <v>17</v>
      </c>
      <c r="C4780" t="str">
        <v>Tul Bawah Tumpuan</v>
      </c>
      <c r="D4780">
        <f>VLOOKUP(D4765,'Detail Balok'!$C$10:$AU$140,22,FALSE)</f>
        <v>4</v>
      </c>
      <c r="E4780" t="str">
        <v>D</v>
      </c>
      <c r="F4780">
        <f>VLOOKUP(D4765,'Detail Balok'!$C$10:$AU$140,24,FALSE)</f>
        <v>16</v>
      </c>
      <c r="I4780" t="str">
        <v>(</v>
      </c>
      <c r="J4780">
        <f>+J4772</f>
        <v>2.26875</v>
      </c>
      <c r="K4780" t="str">
        <v>+</v>
      </c>
      <c r="L4780">
        <f>MAX(VLOOKUP(F4780,N$6:P$15,3,FALSE)/1000,2/3*D4770/1000)+F$16*F4780/1000</f>
        <v>0.192</v>
      </c>
      <c r="M4780" t="str">
        <v>=</v>
      </c>
      <c r="N4780">
        <f>J4780+L4780</f>
        <v>2.46075</v>
      </c>
      <c r="O4780" t="str">
        <v>+</v>
      </c>
      <c r="P4780">
        <f>D4780-D4781</f>
        <v>0</v>
      </c>
      <c r="Q4780" t="str">
        <v>x</v>
      </c>
      <c r="R4780">
        <f>IF(P4780&gt;0,$F$18*F4780/1000,0)</f>
        <v>0</v>
      </c>
      <c r="S4780" t="str">
        <v>)</v>
      </c>
      <c r="T4780" t="str">
        <v>x</v>
      </c>
      <c r="U4780">
        <f>0.006165*F4780^2</f>
        <v>1.57824</v>
      </c>
      <c r="X4780" t="str">
        <v>x</v>
      </c>
      <c r="Y4780">
        <f>D4771</f>
        <v>1</v>
      </c>
      <c r="Z4780" t="str">
        <v>=</v>
      </c>
      <c r="AA4780">
        <f>IF(AA4783=0,(D4780*N4780+P4780*R4780)*U4780*Y4780,0)</f>
        <v>0</v>
      </c>
    </row>
    <row r="4781">
      <c r="A4781" t="str">
        <f>A4765</f>
        <v>Lantai 3</v>
      </c>
      <c r="B4781">
        <f>B4765</f>
        <v>17</v>
      </c>
      <c r="C4781" t="str">
        <v>Tul Bawah Lapangan</v>
      </c>
      <c r="D4781">
        <f>VLOOKUP(D4765,'Detail Balok'!$C$10:$AU$140,25,FALSE)</f>
        <v>4</v>
      </c>
      <c r="E4781" t="str">
        <v>D</v>
      </c>
      <c r="F4781">
        <f>VLOOKUP(D4765,'Detail Balok'!$C$10:$AU$140,27,FALSE)</f>
        <v>16</v>
      </c>
      <c r="I4781" t="str">
        <v>(</v>
      </c>
      <c r="J4781">
        <f>+J4773</f>
        <v>4.5375</v>
      </c>
      <c r="K4781" t="str">
        <v>+</v>
      </c>
      <c r="M4781" t="str">
        <v>=</v>
      </c>
      <c r="N4781">
        <f>J4781+L4781</f>
        <v>4.5375</v>
      </c>
      <c r="O4781" t="str">
        <v>+</v>
      </c>
      <c r="P4781">
        <f>MAX(D4781-D4780,D4781-D4782)</f>
        <v>0</v>
      </c>
      <c r="Q4781" t="str">
        <v>x</v>
      </c>
      <c r="R4781">
        <f>IF(P4781&gt;0,2*(1-2*$F$19-1/2)*D4768/1000,0)</f>
        <v>0</v>
      </c>
      <c r="S4781" t="str">
        <v>)</v>
      </c>
      <c r="T4781" t="str">
        <v>x</v>
      </c>
      <c r="U4781">
        <f>0.006165*F4781^2</f>
        <v>1.57824</v>
      </c>
      <c r="X4781" t="str">
        <v>x</v>
      </c>
      <c r="Y4781">
        <f>D4771</f>
        <v>1</v>
      </c>
      <c r="Z4781" t="str">
        <v>=</v>
      </c>
      <c r="AA4781">
        <f>IF(AA4783=0,(D4781*N4781+P4781*R4781)*U4781*Y4781,0)</f>
        <v>0</v>
      </c>
    </row>
    <row r="4782">
      <c r="A4782" t="str">
        <f>A4765</f>
        <v>Lantai 3</v>
      </c>
      <c r="B4782">
        <f>B4765</f>
        <v>17</v>
      </c>
      <c r="C4782" t="str">
        <v>Tul Bawah Tumpuan</v>
      </c>
      <c r="D4782">
        <f>VLOOKUP(D4765,'Detail Balok'!$C$10:$AU$140,28,FALSE)</f>
        <v>4</v>
      </c>
      <c r="E4782" t="str">
        <v>D</v>
      </c>
      <c r="F4782">
        <f>VLOOKUP(D4765,'Detail Balok'!$C$10:$AU$140,30,FALSE)</f>
        <v>16</v>
      </c>
      <c r="I4782" t="str">
        <v>(</v>
      </c>
      <c r="J4782">
        <f>+J4774</f>
        <v>2.26875</v>
      </c>
      <c r="K4782" t="str">
        <v>+</v>
      </c>
      <c r="L4782">
        <f>MAX(VLOOKUP(F4782,N$6:P$15,3,FALSE)/1000,2/3*D4770/1000)+F$16*F4782/1000</f>
        <v>0.192</v>
      </c>
      <c r="M4782" t="str">
        <v>=</v>
      </c>
      <c r="N4782">
        <f>J4782+L4782</f>
        <v>2.46075</v>
      </c>
      <c r="O4782" t="str">
        <v>+</v>
      </c>
      <c r="P4782">
        <f>D4782-D4781</f>
        <v>0</v>
      </c>
      <c r="Q4782" t="str">
        <v>x</v>
      </c>
      <c r="R4782">
        <f>IF(P4782&gt;0,$F$18*F4782/1000,0)</f>
        <v>0</v>
      </c>
      <c r="S4782" t="str">
        <v>)</v>
      </c>
      <c r="T4782" t="str">
        <v>x</v>
      </c>
      <c r="U4782">
        <f>0.006165*F4782^2</f>
        <v>1.57824</v>
      </c>
      <c r="X4782" t="str">
        <v>x</v>
      </c>
      <c r="Y4782">
        <f>D4771</f>
        <v>1</v>
      </c>
      <c r="Z4782" t="str">
        <v>=</v>
      </c>
      <c r="AA4782">
        <f>IF(AA4783=0,(D4782*N4782+P4782*R4782)*U4782*Y4782,0)</f>
        <v>0</v>
      </c>
    </row>
    <row r="4783">
      <c r="A4783" t="str">
        <f>A4765</f>
        <v>Lantai 3</v>
      </c>
      <c r="B4783">
        <f>B4765</f>
        <v>17</v>
      </c>
      <c r="D4783">
        <f>IF(AND(D4780=D4781,D4781=D4782,D4780=D4782),D4780,0)</f>
        <v>4</v>
      </c>
      <c r="E4783" t="str">
        <v>D</v>
      </c>
      <c r="F4783">
        <f>IF(AND(F4780=F4781,F4780=F4782,F4781=F4782),F4780,0)</f>
        <v>16</v>
      </c>
      <c r="L4783" t="str">
        <v>Total panjang per balok</v>
      </c>
      <c r="M4783" t="str">
        <v>=</v>
      </c>
      <c r="N4783">
        <f>IF(AND(D4780=D4781,D4780=D4782,D4781=D4782,F4780=F4781,F4780=F4782,F4781=F4782),SUM(N4780:N4782),0)</f>
        <v>9.459</v>
      </c>
      <c r="O4783" t="str">
        <v>+</v>
      </c>
      <c r="P4783">
        <f>IF(N4783&gt;12,ROUNDDOWN(N4783/12,0),0)</f>
        <v>0</v>
      </c>
      <c r="Q4783" t="str">
        <v>x</v>
      </c>
      <c r="R4783">
        <f>IF(P4783&gt;0,MAX(VLOOKUP(F4783,$D$6:$G$15,3,FALSE),600),0)/1000</f>
        <v>0</v>
      </c>
      <c r="T4783" t="str">
        <v>x</v>
      </c>
      <c r="U4783">
        <f>U4782</f>
        <v>1.57824</v>
      </c>
      <c r="V4783" t="str">
        <v>x</v>
      </c>
      <c r="W4783">
        <f>D4783</f>
        <v>4</v>
      </c>
      <c r="X4783" t="str">
        <v>x</v>
      </c>
      <c r="Y4783">
        <f>Y4782</f>
        <v>1</v>
      </c>
      <c r="Z4783" t="str">
        <v>=</v>
      </c>
      <c r="AA4783">
        <f>(N4783+P4783*R4783/1000)*U4783*W4783*Y4783</f>
        <v>59.71428864</v>
      </c>
    </row>
    <row r="4785">
      <c r="A4785" t="str">
        <f>A4765</f>
        <v>Lantai 3</v>
      </c>
      <c r="B4785">
        <f>B4765</f>
        <v>17</v>
      </c>
      <c r="C4785" t="str">
        <v>Sengkang Tumpuan</v>
      </c>
      <c r="D4785">
        <f>VLOOKUP(D4765,'Detail Balok'!$C$10:$AU$140,31,FALSE)</f>
        <v>0</v>
      </c>
      <c r="E4785" t="str">
        <v>D</v>
      </c>
      <c r="F4785">
        <f>VLOOKUP(D4765,'Detail Balok'!$C$10:$AU$140,33,FALSE)</f>
        <v>10</v>
      </c>
      <c r="G4785" t="str">
        <v>-</v>
      </c>
      <c r="H4785">
        <f>VLOOKUP(D4765,'Detail Balok'!$C$10:$AU$140,35,FALSE)</f>
        <v>150</v>
      </c>
      <c r="J4785">
        <f>(IF(D4785=0,(2*(D4766+G4766))-(F$5*8),IF(D4785=3,(2*(D4766+G4766))-(F$5*8)+(G4766-2*F$5),IF(D4785=4,(2*(D4766+G4766))-(F$5*8)+2*(G4766-2*F$5)))))/1000</f>
        <v>1.08</v>
      </c>
      <c r="K4785" t="str">
        <v>+</v>
      </c>
      <c r="L4785">
        <f>IF(D4785=0,2*MAX(6*F4785,75),(D4785-1)*2*MAX(6*F4785,75))/1000</f>
        <v>0.15</v>
      </c>
      <c r="M4785" t="str">
        <v>=</v>
      </c>
      <c r="N4785">
        <f>J4785+L4785</f>
        <v>1.23</v>
      </c>
      <c r="T4785" t="str">
        <v>x</v>
      </c>
      <c r="U4785">
        <f>0.006165*F4785^2</f>
        <v>0.6165</v>
      </c>
      <c r="V4785" t="str">
        <v>x</v>
      </c>
      <c r="W4785">
        <f>IF(D4768&gt;4*G4766,ROUND(MAX(D4768/4,2*G4766)/H4785,0)+1,ROUND(D4768/H4785,0)+1)</f>
        <v>16</v>
      </c>
      <c r="X4785" t="str">
        <v>x</v>
      </c>
      <c r="Y4785">
        <f>D4771</f>
        <v>1</v>
      </c>
      <c r="Z4785" t="str">
        <v>=</v>
      </c>
      <c r="AA4785">
        <f>N4785*U4785*W4785*Y4785</f>
        <v>12.13272</v>
      </c>
    </row>
    <row r="4786">
      <c r="A4786" t="str">
        <f>A4765</f>
        <v>Lantai 3</v>
      </c>
      <c r="B4786">
        <f>B4765</f>
        <v>17</v>
      </c>
      <c r="C4786" t="str">
        <v>Sengkang Lapangan</v>
      </c>
      <c r="D4786">
        <f>VLOOKUP(D4765,'Detail Balok'!$C$10:$AU$140,36,FALSE)</f>
        <v>0</v>
      </c>
      <c r="E4786" t="str">
        <v>D</v>
      </c>
      <c r="F4786">
        <f>VLOOKUP(D4765,'Detail Balok'!$C$10:$AU$140,38,FALSE)</f>
        <v>10</v>
      </c>
      <c r="G4786" t="str">
        <v>-</v>
      </c>
      <c r="H4786">
        <f>VLOOKUP(D4765,'Detail Balok'!$C$10:$AU$140,40,FALSE)</f>
        <v>200</v>
      </c>
      <c r="J4786">
        <f>(IF(D4786=0,(2*(D4766+G4766))-(F$5*8),IF(D4786=3,(2*(D4766+G4766))-(F$5*8)+(G4766-2*F$5),IF(D4786=4,(2*(D4766+G4766))-(F$5*8)+2*(G4766-2*F$5)))))/1000</f>
        <v>1.08</v>
      </c>
      <c r="K4786" t="str">
        <v>+</v>
      </c>
      <c r="L4786">
        <f>IF(D4786=0,2*MAX(6*F4786,75),(D4786-1)*2*MAX(6*F4786,75))/1000</f>
        <v>0.15</v>
      </c>
      <c r="M4786" t="str">
        <v>=</v>
      </c>
      <c r="N4786">
        <f>J4786+L4786</f>
        <v>1.23</v>
      </c>
      <c r="T4786" t="str">
        <v>x</v>
      </c>
      <c r="U4786">
        <f>0.006165*F4786^2</f>
        <v>0.6165</v>
      </c>
      <c r="V4786" t="str">
        <v>x</v>
      </c>
      <c r="W4786">
        <f>IF(D4768-MAX(D4768/4,2*G4766)*2&gt;0,ROUND((D4768-MAX(D4768/4,2*G4766)*2)/H4786,0),0)</f>
        <v>23</v>
      </c>
      <c r="X4786" t="str">
        <v>x</v>
      </c>
      <c r="Y4786">
        <f>D4771</f>
        <v>1</v>
      </c>
      <c r="Z4786" t="str">
        <v>=</v>
      </c>
      <c r="AA4786">
        <f>N4786*U4786*W4786*Y4786</f>
        <v>17.440785</v>
      </c>
    </row>
    <row r="4787">
      <c r="A4787" t="str">
        <f>A4765</f>
        <v>Lantai 3</v>
      </c>
      <c r="B4787">
        <f>B4765</f>
        <v>17</v>
      </c>
      <c r="C4787" t="str">
        <v>Sengkang Tumpuan</v>
      </c>
      <c r="D4787">
        <f>VLOOKUP(D4765,'Detail Balok'!$C$10:$AU$140,41,FALSE)</f>
        <v>0</v>
      </c>
      <c r="E4787" t="str">
        <v>D</v>
      </c>
      <c r="F4787">
        <f>VLOOKUP(D4765,'Detail Balok'!$C$10:$AU$140,43,FALSE)</f>
        <v>10</v>
      </c>
      <c r="G4787" t="str">
        <v>-</v>
      </c>
      <c r="H4787">
        <f>VLOOKUP(D4765,'Detail Balok'!$C$10:$AU$140,45,FALSE)</f>
        <v>150</v>
      </c>
      <c r="J4787">
        <f>(IF(D4787=0,(2*(D4766+G4766))-(F$5*8),IF(D4787=3,(2*(D4766+G4766))-(F$5*8)+(G4766-2*F$5),IF(D4787=4,(2*(D4766+G4766))-(F$5*8)+2*(G4766-2*F$5)))))/1000</f>
        <v>1.08</v>
      </c>
      <c r="K4787" t="str">
        <v>+</v>
      </c>
      <c r="L4787">
        <f>IF(D4787=0,2*MAX(6*F4787,75),(D4787-1)*2*MAX(6*F4787,75))/1000</f>
        <v>0.15</v>
      </c>
      <c r="M4787" t="str">
        <v>=</v>
      </c>
      <c r="N4787">
        <f>J4787+L4787</f>
        <v>1.23</v>
      </c>
      <c r="T4787" t="str">
        <v>x</v>
      </c>
      <c r="U4787">
        <f>0.006165*F4787^2</f>
        <v>0.6165</v>
      </c>
      <c r="V4787" t="str">
        <v>x</v>
      </c>
      <c r="W4787">
        <f>IF(D4768&gt;4*G4766,ROUND(MAX(D4768/4,2*G4766)/H4787,0)+1,0)</f>
        <v>16</v>
      </c>
      <c r="X4787" t="str">
        <v>x</v>
      </c>
      <c r="Y4787">
        <f>D4771</f>
        <v>1</v>
      </c>
      <c r="Z4787" t="str">
        <v>=</v>
      </c>
      <c r="AA4787">
        <f>N4787*U4787*W4787*Y4787</f>
        <v>12.13272</v>
      </c>
    </row>
    <row r="4789">
      <c r="A4789" t="str">
        <f>A4765</f>
        <v>Lantai 3</v>
      </c>
      <c r="B4789">
        <f>B4765</f>
        <v>17</v>
      </c>
      <c r="C4789" t="str">
        <v>Kait Horizontal Tump.</v>
      </c>
      <c r="D4789">
        <f>VLOOKUP(D4765,'Detail Balok'!$C$10:$BJ$140,46,FALSE)</f>
        <v>0</v>
      </c>
      <c r="E4789" t="str">
        <v>D</v>
      </c>
      <c r="F4789">
        <f>VLOOKUP(D4765,'Detail Balok'!$C$10:$BJ$140,48,FALSE)</f>
        <v>0</v>
      </c>
      <c r="G4789" t="str">
        <v>-</v>
      </c>
      <c r="H4789">
        <f>VLOOKUP(D4765,'Detail Balok'!$C$10:$BJ$140,50,FALSE)</f>
        <v>100</v>
      </c>
      <c r="J4789">
        <f>(D4766-2*F$5)/1000</f>
        <v>0.12</v>
      </c>
      <c r="K4789" t="str">
        <v>+</v>
      </c>
      <c r="L4789">
        <f>IF(D4789=0,2*MAX(6*F4789,75),(D4789-1)*2*MAX(6*F4789,75))/1000</f>
        <v>0.15</v>
      </c>
      <c r="M4789" t="str">
        <v>=</v>
      </c>
      <c r="N4789">
        <f>J4789+L4789</f>
        <v>0.27</v>
      </c>
      <c r="T4789" t="str">
        <v>x</v>
      </c>
      <c r="U4789">
        <f>0.006165*F4789^2</f>
        <v>0</v>
      </c>
      <c r="V4789" t="str">
        <v>x</v>
      </c>
      <c r="W4789">
        <f>W4785</f>
        <v>16</v>
      </c>
      <c r="X4789" t="str">
        <v>x</v>
      </c>
      <c r="Y4789">
        <f>D4775</f>
        <v>4</v>
      </c>
      <c r="Z4789" t="str">
        <v>=</v>
      </c>
      <c r="AA4789">
        <f>N4789*U4789*W4789*Y4789</f>
        <v>0</v>
      </c>
    </row>
    <row r="4790">
      <c r="A4790" t="str">
        <f>A4765</f>
        <v>Lantai 3</v>
      </c>
      <c r="B4790">
        <f>B4765</f>
        <v>17</v>
      </c>
      <c r="C4790" t="str">
        <v>Kait Horizontal Lap.</v>
      </c>
      <c r="D4790">
        <f>VLOOKUP(D4765,'Detail Balok'!$C$10:$BJ$140,51,FALSE)</f>
        <v>0</v>
      </c>
      <c r="E4790" t="str">
        <v>D</v>
      </c>
      <c r="F4790">
        <f>VLOOKUP(D4765,'Detail Balok'!$C$10:$BJ$140,53,FALSE)</f>
        <v>0</v>
      </c>
      <c r="G4790" t="str">
        <v>-</v>
      </c>
      <c r="H4790">
        <f>VLOOKUP(D4765,'Detail Balok'!$C$10:$BJ$140,55,FALSE)</f>
        <v>100</v>
      </c>
      <c r="J4790">
        <f>(D4766-2*F$5)/1000</f>
        <v>0.12</v>
      </c>
      <c r="K4790" t="str">
        <v>+</v>
      </c>
      <c r="L4790">
        <f>IF(D4790=0,2*MAX(6*F4790,75),(D4790-1)*2*MAX(6*F4790,75))/1000</f>
        <v>0.15</v>
      </c>
      <c r="M4790" t="str">
        <v>=</v>
      </c>
      <c r="N4790">
        <f>J4790+L4790</f>
        <v>0.27</v>
      </c>
      <c r="T4790" t="str">
        <v>x</v>
      </c>
      <c r="U4790">
        <f>0.006165*F4790^2</f>
        <v>0</v>
      </c>
      <c r="V4790" t="str">
        <v>x</v>
      </c>
      <c r="W4790">
        <f>W4786</f>
        <v>23</v>
      </c>
      <c r="X4790" t="str">
        <v>x</v>
      </c>
      <c r="Y4790">
        <f>D4775</f>
        <v>4</v>
      </c>
      <c r="Z4790" t="str">
        <v>=</v>
      </c>
      <c r="AA4790">
        <f>N4790*U4790*W4790*Y4790</f>
        <v>0</v>
      </c>
    </row>
    <row r="4791">
      <c r="A4791" t="str">
        <f>A4765</f>
        <v>Lantai 3</v>
      </c>
      <c r="B4791">
        <f>B4765</f>
        <v>17</v>
      </c>
      <c r="C4791" t="str">
        <v>Kait Horizontal Tump.</v>
      </c>
      <c r="D4791">
        <f>VLOOKUP(D4765,'Detail Balok'!$C$10:$BJ$140,56,FALSE)</f>
        <v>0</v>
      </c>
      <c r="E4791" t="str">
        <v>D</v>
      </c>
      <c r="F4791">
        <f>VLOOKUP(D4765,'Detail Balok'!$C$10:$BJ$140,58,FALSE)</f>
        <v>0</v>
      </c>
      <c r="G4791" t="str">
        <v>-</v>
      </c>
      <c r="H4791">
        <f>VLOOKUP(D4765,'Detail Balok'!$C$10:$BJ$140,60,FALSE)</f>
        <v>100</v>
      </c>
      <c r="J4791">
        <f>(D4766-2*F$5)/1000</f>
        <v>0.12</v>
      </c>
      <c r="K4791" t="str">
        <v>+</v>
      </c>
      <c r="L4791">
        <f>IF(D4791=0,2*MAX(6*F4791,75),(D4791-1)*2*MAX(6*F4791,75))/1000</f>
        <v>0.15</v>
      </c>
      <c r="M4791" t="str">
        <v>=</v>
      </c>
      <c r="N4791">
        <f>J4791+L4791</f>
        <v>0.27</v>
      </c>
      <c r="T4791" t="str">
        <v>x</v>
      </c>
      <c r="U4791">
        <f>0.006165*F4791^2</f>
        <v>0</v>
      </c>
      <c r="V4791" t="str">
        <v>x</v>
      </c>
      <c r="W4791">
        <f>W4787</f>
        <v>16</v>
      </c>
      <c r="X4791" t="str">
        <v>x</v>
      </c>
      <c r="Y4791">
        <f>D4775</f>
        <v>4</v>
      </c>
      <c r="Z4791" t="str">
        <v>=</v>
      </c>
      <c r="AA4791">
        <f>N4791*U4791*W4791*Y4791</f>
        <v>0</v>
      </c>
    </row>
    <row r="4795">
      <c r="A4795" t="str">
        <f>A4765</f>
        <v>Lantai 3</v>
      </c>
      <c r="B4795">
        <f>B4765+1</f>
        <v>18</v>
      </c>
      <c r="C4795" t="str">
        <f>CONCATENATE(A4795," no. ",B4795)</f>
        <v>Lantai 3 no. 18</v>
      </c>
      <c r="D4795" t="str">
        <f>VLOOKUP(C4795,'Data Panjang Balok'!$C$9:$N$254,2,FALSE)</f>
        <v>B26-1</v>
      </c>
    </row>
    <row r="4796">
      <c r="C4796" t="str">
        <v>Dimensi</v>
      </c>
      <c r="D4796">
        <f>VLOOKUP(D4795,'Detail Balok'!$C$10:$AU$140,2,FALSE)</f>
        <v>200</v>
      </c>
      <c r="F4796" t="str">
        <v>x</v>
      </c>
      <c r="G4796">
        <f>VLOOKUP(D4795,'Detail Balok'!$C$10:$AU$140,3,FALSE)</f>
        <v>600</v>
      </c>
    </row>
    <row r="4797">
      <c r="C4797" t="str">
        <v>Panjang as ke as</v>
      </c>
      <c r="D4797">
        <f>VLOOKUP(C4795,'Data Panjang Balok'!$C$9:$N$254,4,FALSE)</f>
        <v>5925</v>
      </c>
    </row>
    <row r="4798">
      <c r="C4798" t="str">
        <v>Panjang netto</v>
      </c>
      <c r="D4798">
        <f>VLOOKUP(C4795,'Data Panjang Balok'!$C$9:$N$254,7,FALSE)</f>
        <v>5925</v>
      </c>
    </row>
    <row r="4799">
      <c r="C4799" t="str">
        <v>Kolom / balok kiri</v>
      </c>
      <c r="D4799">
        <f>VLOOKUP(C4795,'Data Panjang Balok'!$C$9:$N$254,9,FALSE)</f>
        <v>0</v>
      </c>
    </row>
    <row r="4800">
      <c r="C4800" t="str">
        <v>Kolom / balok kanan</v>
      </c>
      <c r="D4800">
        <f>VLOOKUP(C4795,'Data Panjang Balok'!$C$9:$N$254,10,FALSE)</f>
        <v>0</v>
      </c>
    </row>
    <row r="4801">
      <c r="C4801" t="str">
        <v>Jumlah</v>
      </c>
      <c r="D4801">
        <f>VLOOKUP(C4795,'Data Panjang Balok'!$C$9:$N$254,3,FALSE)</f>
        <v>1</v>
      </c>
    </row>
    <row r="4802">
      <c r="A4802" t="str">
        <f>A4795</f>
        <v>Lantai 3</v>
      </c>
      <c r="B4802">
        <f>B4795</f>
        <v>18</v>
      </c>
      <c r="C4802" t="str">
        <v>Tul Atas Tumpuan</v>
      </c>
      <c r="D4802">
        <f>VLOOKUP(D4795,'Detail Balok'!$C$10:$AU$140,4,FALSE)</f>
        <v>4</v>
      </c>
      <c r="E4802" t="str">
        <v>D</v>
      </c>
      <c r="F4802">
        <f>VLOOKUP(D4795,'Detail Balok'!$C$10:$AU$140,6,FALSE)</f>
        <v>16</v>
      </c>
      <c r="I4802" t="str">
        <v>(</v>
      </c>
      <c r="J4802">
        <f>+D4797/4/1000</f>
        <v>1.48125</v>
      </c>
      <c r="K4802" t="str">
        <v>+</v>
      </c>
      <c r="L4802">
        <f>MAX(VLOOKUP(F4802,N$6:P$15,3,FALSE)/1000,2/3*D4799/1000)+F$16*F4802/1000</f>
        <v>0.192</v>
      </c>
      <c r="M4802" t="str">
        <v>=</v>
      </c>
      <c r="N4802">
        <f>J4802+L4802</f>
        <v>1.67325</v>
      </c>
      <c r="O4802" t="str">
        <v>+</v>
      </c>
      <c r="P4802">
        <f>D4802-D4803</f>
        <v>1</v>
      </c>
      <c r="Q4802" t="str">
        <v>x</v>
      </c>
      <c r="R4802">
        <f>IF(P4802&gt;0,$F$18*F4802/1000,0)</f>
        <v>0.24</v>
      </c>
      <c r="S4802" t="str">
        <v>)</v>
      </c>
      <c r="T4802" t="str">
        <v>x</v>
      </c>
      <c r="U4802">
        <f>0.006165*F4802^2</f>
        <v>1.57824</v>
      </c>
      <c r="X4802" t="str">
        <v>x</v>
      </c>
      <c r="Y4802">
        <f>D4801</f>
        <v>1</v>
      </c>
      <c r="Z4802" t="str">
        <v>=</v>
      </c>
      <c r="AA4802">
        <f>IF(AA4805=0,(D4802*N4802+P4802*R4802)*U4802*Y4802,0)</f>
        <v>10.94193792</v>
      </c>
    </row>
    <row r="4803">
      <c r="A4803" t="str">
        <f>A4795</f>
        <v>Lantai 3</v>
      </c>
      <c r="B4803">
        <f>B4795</f>
        <v>18</v>
      </c>
      <c r="C4803" t="str">
        <v>Tul Atas Lapangan</v>
      </c>
      <c r="D4803">
        <f>VLOOKUP(D4795,'Detail Balok'!$C$10:$AU$140,7,FALSE)</f>
        <v>3</v>
      </c>
      <c r="E4803" t="str">
        <v>D</v>
      </c>
      <c r="F4803">
        <f>VLOOKUP(D4795,'Detail Balok'!$C$10:$AU$140,9,FALSE)</f>
        <v>16</v>
      </c>
      <c r="I4803" t="str">
        <v>(</v>
      </c>
      <c r="J4803">
        <f>+D4797/2/1000</f>
        <v>2.9625</v>
      </c>
      <c r="K4803" t="str">
        <v>+</v>
      </c>
      <c r="M4803" t="str">
        <v>=</v>
      </c>
      <c r="N4803">
        <f>J4803+L4803</f>
        <v>2.9625</v>
      </c>
      <c r="O4803" t="str">
        <v>+</v>
      </c>
      <c r="P4803">
        <f>MAX(D4803-D4802,D4803-D4804)</f>
        <v>-1</v>
      </c>
      <c r="Q4803" t="str">
        <v>x</v>
      </c>
      <c r="R4803">
        <f>IF(P4803&gt;0,2*(1-2*$F$19-1/2)*D4798/1000,0)</f>
        <v>0</v>
      </c>
      <c r="S4803" t="str">
        <v>)</v>
      </c>
      <c r="T4803" t="str">
        <v>x</v>
      </c>
      <c r="U4803">
        <f>0.006165*F4803^2</f>
        <v>1.57824</v>
      </c>
      <c r="X4803" t="str">
        <v>x</v>
      </c>
      <c r="Y4803">
        <f>D4801</f>
        <v>1</v>
      </c>
      <c r="Z4803" t="str">
        <v>=</v>
      </c>
      <c r="AA4803">
        <f>IF(AA4805=0,(D4803*N4803+P4803*R4803)*U4803*Y4803,0)</f>
        <v>14.026608</v>
      </c>
    </row>
    <row r="4804">
      <c r="A4804" t="str">
        <f>A4795</f>
        <v>Lantai 3</v>
      </c>
      <c r="B4804">
        <f>B4795</f>
        <v>18</v>
      </c>
      <c r="C4804" t="str">
        <v>Tul Atas Tumpuan</v>
      </c>
      <c r="D4804">
        <f>VLOOKUP(D4795,'Detail Balok'!$C$10:$AU$140,10,FALSE)</f>
        <v>4</v>
      </c>
      <c r="E4804" t="str">
        <v>D</v>
      </c>
      <c r="F4804">
        <f>VLOOKUP(D4795,'Detail Balok'!$C$10:$AU$140,12,FALSE)</f>
        <v>16</v>
      </c>
      <c r="I4804" t="str">
        <v>(</v>
      </c>
      <c r="J4804">
        <f>+D4797/4/1000</f>
        <v>1.48125</v>
      </c>
      <c r="K4804" t="str">
        <v>+</v>
      </c>
      <c r="L4804">
        <f>MAX(VLOOKUP(F4804,N$6:P$15,3,FALSE)/1000,2/3*D4799/1000)+F$16*F4804/1000</f>
        <v>0.192</v>
      </c>
      <c r="M4804" t="str">
        <v>=</v>
      </c>
      <c r="N4804">
        <f>J4804+L4804</f>
        <v>1.67325</v>
      </c>
      <c r="O4804" t="str">
        <v>+</v>
      </c>
      <c r="P4804">
        <f>D4804-D4803</f>
        <v>1</v>
      </c>
      <c r="Q4804" t="str">
        <v>x</v>
      </c>
      <c r="R4804">
        <f>IF(P4804&gt;0,$F$18*F4804/1000,0)</f>
        <v>0.24</v>
      </c>
      <c r="S4804" t="str">
        <v>)</v>
      </c>
      <c r="T4804" t="str">
        <v>x</v>
      </c>
      <c r="U4804">
        <f>0.006165*F4804^2</f>
        <v>1.57824</v>
      </c>
      <c r="X4804" t="str">
        <v>x</v>
      </c>
      <c r="Y4804">
        <f>D4801</f>
        <v>1</v>
      </c>
      <c r="Z4804" t="str">
        <v>=</v>
      </c>
      <c r="AA4804">
        <f>IF(AA4805=0,(D4804*N4804+P4804*R4804)*U4804*Y4804,0)</f>
        <v>10.94193792</v>
      </c>
    </row>
    <row r="4805">
      <c r="A4805" t="str">
        <f>A4795</f>
        <v>Lantai 3</v>
      </c>
      <c r="B4805">
        <f>B4795</f>
        <v>18</v>
      </c>
      <c r="D4805">
        <f>IF(AND(D4802=D4803,D4803=D4804,D4802=D4804),D4802,0)</f>
        <v>0</v>
      </c>
      <c r="E4805" t="str">
        <v>D</v>
      </c>
      <c r="F4805">
        <f>IF(AND(F4802=F4803,F4802=F4804,F4803=F4804),F4802,0)</f>
        <v>16</v>
      </c>
      <c r="L4805" t="str">
        <v>Total panjang per balok</v>
      </c>
      <c r="M4805" t="str">
        <v>=</v>
      </c>
      <c r="N4805">
        <f>IF(AND(D4802=D4803,D4802=D4804,D4803=D4804,F4802=F4803,F4802=F4804,F4803=F4804),SUM(N4802:N4804),0)</f>
        <v>0</v>
      </c>
      <c r="O4805" t="str">
        <v>+</v>
      </c>
      <c r="P4805">
        <f>IF(N4805&gt;12,ROUNDDOWN(N4805/12,0),0)</f>
        <v>0</v>
      </c>
      <c r="Q4805" t="str">
        <v>x</v>
      </c>
      <c r="R4805">
        <f>IF(P4805&gt;0,MAX(VLOOKUP(F4805,$D$6:$G$15,3,FALSE),600),0)/1000</f>
        <v>0</v>
      </c>
      <c r="T4805" t="str">
        <v>x</v>
      </c>
      <c r="U4805">
        <f>U4804</f>
        <v>1.57824</v>
      </c>
      <c r="V4805" t="str">
        <v>x</v>
      </c>
      <c r="W4805">
        <f>D4805</f>
        <v>0</v>
      </c>
      <c r="X4805" t="str">
        <v>x</v>
      </c>
      <c r="Y4805">
        <f>Y4804</f>
        <v>1</v>
      </c>
      <c r="Z4805" t="str">
        <v>=</v>
      </c>
      <c r="AA4805">
        <f>(N4805+P4805*R4805/1000)*U4805*W4805*Y4805</f>
        <v>0</v>
      </c>
    </row>
    <row r="4807">
      <c r="A4807" t="str">
        <f>A4795</f>
        <v>Lantai 3</v>
      </c>
      <c r="B4807">
        <f>B4795</f>
        <v>18</v>
      </c>
      <c r="C4807" t="str">
        <v>Tul Peminggang</v>
      </c>
      <c r="D4807">
        <f>VLOOKUP(D4795,'Detail Balok'!$C$10:$AU$140,13,FALSE)</f>
        <v>2</v>
      </c>
      <c r="E4807" t="str">
        <v>D</v>
      </c>
      <c r="F4807">
        <f>VLOOKUP(D4795,'Detail Balok'!$C$10:$AU$140,15,FALSE)</f>
        <v>10</v>
      </c>
      <c r="J4807">
        <f>+D4797/1000</f>
        <v>5.925</v>
      </c>
      <c r="K4807" t="str">
        <v>+</v>
      </c>
      <c r="L4807">
        <f>2*$F$16*F4807/1000</f>
        <v>0.24</v>
      </c>
      <c r="M4807" t="str">
        <v>=</v>
      </c>
      <c r="N4807">
        <f>J4807+L4807</f>
        <v>6.165</v>
      </c>
      <c r="O4807" t="str">
        <v>+</v>
      </c>
      <c r="P4807">
        <f>IF(N4807&gt;12,ROUNDDOWN(N4807/12,0),0)</f>
        <v>0</v>
      </c>
      <c r="Q4807" t="str">
        <v>x</v>
      </c>
      <c r="R4807">
        <f>IF(P4807&gt;0,MAX(VLOOKUP(F4807,$D$6:$G$15,3,FALSE),600),0)/1000</f>
        <v>0</v>
      </c>
      <c r="T4807" t="str">
        <v>x</v>
      </c>
      <c r="U4807">
        <f>0.006165*F4807^2</f>
        <v>0.6165</v>
      </c>
      <c r="V4807" t="str">
        <v>x</v>
      </c>
      <c r="W4807">
        <f>+D4807</f>
        <v>2</v>
      </c>
      <c r="X4807" t="str">
        <v>x</v>
      </c>
      <c r="Y4807">
        <f>D4801</f>
        <v>1</v>
      </c>
      <c r="Z4807" t="str">
        <v>=</v>
      </c>
      <c r="AA4807">
        <f>(N4807+P4807*R4807/1000)*U4807*W4807*Y4807</f>
        <v>7.601445000000001</v>
      </c>
    </row>
    <row r="4810">
      <c r="A4810" t="str">
        <f>A4795</f>
        <v>Lantai 3</v>
      </c>
      <c r="B4810">
        <f>B4795</f>
        <v>18</v>
      </c>
      <c r="C4810" t="str">
        <v>Tul Bawah Tumpuan</v>
      </c>
      <c r="D4810">
        <f>VLOOKUP(D4795,'Detail Balok'!$C$10:$AU$140,22,FALSE)</f>
        <v>3</v>
      </c>
      <c r="E4810" t="str">
        <v>D</v>
      </c>
      <c r="F4810">
        <f>VLOOKUP(D4795,'Detail Balok'!$C$10:$AU$140,24,FALSE)</f>
        <v>16</v>
      </c>
      <c r="I4810" t="str">
        <v>(</v>
      </c>
      <c r="J4810">
        <f>+J4802</f>
        <v>1.48125</v>
      </c>
      <c r="K4810" t="str">
        <v>+</v>
      </c>
      <c r="L4810">
        <f>MAX(VLOOKUP(F4810,N$6:P$15,3,FALSE)/1000,2/3*D4800/1000)+F$16*F4810/1000</f>
        <v>0.192</v>
      </c>
      <c r="M4810" t="str">
        <v>=</v>
      </c>
      <c r="N4810">
        <f>J4810+L4810</f>
        <v>1.67325</v>
      </c>
      <c r="O4810" t="str">
        <v>+</v>
      </c>
      <c r="P4810">
        <f>D4810-D4811</f>
        <v>-1</v>
      </c>
      <c r="Q4810" t="str">
        <v>x</v>
      </c>
      <c r="R4810">
        <f>IF(P4810&gt;0,$F$18*F4810/1000,0)</f>
        <v>0</v>
      </c>
      <c r="S4810" t="str">
        <v>)</v>
      </c>
      <c r="T4810" t="str">
        <v>x</v>
      </c>
      <c r="U4810">
        <f>0.006165*F4810^2</f>
        <v>1.57824</v>
      </c>
      <c r="X4810" t="str">
        <v>x</v>
      </c>
      <c r="Y4810">
        <f>D4801</f>
        <v>1</v>
      </c>
      <c r="Z4810" t="str">
        <v>=</v>
      </c>
      <c r="AA4810">
        <f>IF(AA4813=0,(D4810*N4810+P4810*R4810)*U4810*Y4810,0)</f>
        <v>7.922370240000001</v>
      </c>
    </row>
    <row r="4811">
      <c r="A4811" t="str">
        <f>A4795</f>
        <v>Lantai 3</v>
      </c>
      <c r="B4811">
        <f>B4795</f>
        <v>18</v>
      </c>
      <c r="C4811" t="str">
        <v>Tul Bawah Lapangan</v>
      </c>
      <c r="D4811">
        <f>VLOOKUP(D4795,'Detail Balok'!$C$10:$AU$140,25,FALSE)</f>
        <v>4</v>
      </c>
      <c r="E4811" t="str">
        <v>D</v>
      </c>
      <c r="F4811">
        <f>VLOOKUP(D4795,'Detail Balok'!$C$10:$AU$140,27,FALSE)</f>
        <v>16</v>
      </c>
      <c r="I4811" t="str">
        <v>(</v>
      </c>
      <c r="J4811">
        <f>+J4803</f>
        <v>2.9625</v>
      </c>
      <c r="K4811" t="str">
        <v>+</v>
      </c>
      <c r="M4811" t="str">
        <v>=</v>
      </c>
      <c r="N4811">
        <f>J4811+L4811</f>
        <v>2.9625</v>
      </c>
      <c r="O4811" t="str">
        <v>+</v>
      </c>
      <c r="P4811">
        <f>MAX(D4811-D4810,D4811-D4812)</f>
        <v>1</v>
      </c>
      <c r="Q4811" t="str">
        <v>x</v>
      </c>
      <c r="R4811">
        <f>IF(P4811&gt;0,2*(1-2*$F$19-1/2)*D4798/1000,0)</f>
        <v>1.1849999999999998</v>
      </c>
      <c r="S4811" t="str">
        <v>)</v>
      </c>
      <c r="T4811" t="str">
        <v>x</v>
      </c>
      <c r="U4811">
        <f>0.006165*F4811^2</f>
        <v>1.57824</v>
      </c>
      <c r="X4811" t="str">
        <v>x</v>
      </c>
      <c r="Y4811">
        <f>D4801</f>
        <v>1</v>
      </c>
      <c r="Z4811" t="str">
        <v>=</v>
      </c>
      <c r="AA4811">
        <f>IF(AA4813=0,(D4811*N4811+P4811*R4811)*U4811*Y4811,0)</f>
        <v>20.572358400000002</v>
      </c>
    </row>
    <row r="4812">
      <c r="A4812" t="str">
        <f>A4795</f>
        <v>Lantai 3</v>
      </c>
      <c r="B4812">
        <f>B4795</f>
        <v>18</v>
      </c>
      <c r="C4812" t="str">
        <v>Tul Bawah Tumpuan</v>
      </c>
      <c r="D4812">
        <f>VLOOKUP(D4795,'Detail Balok'!$C$10:$AU$140,28,FALSE)</f>
        <v>3</v>
      </c>
      <c r="E4812" t="str">
        <v>D</v>
      </c>
      <c r="F4812">
        <f>VLOOKUP(D4795,'Detail Balok'!$C$10:$AU$140,30,FALSE)</f>
        <v>16</v>
      </c>
      <c r="I4812" t="str">
        <v>(</v>
      </c>
      <c r="J4812">
        <f>+J4804</f>
        <v>1.48125</v>
      </c>
      <c r="K4812" t="str">
        <v>+</v>
      </c>
      <c r="L4812">
        <f>MAX(VLOOKUP(F4812,N$6:P$15,3,FALSE)/1000,2/3*D4800/1000)+F$16*F4812/1000</f>
        <v>0.192</v>
      </c>
      <c r="M4812" t="str">
        <v>=</v>
      </c>
      <c r="N4812">
        <f>J4812+L4812</f>
        <v>1.67325</v>
      </c>
      <c r="O4812" t="str">
        <v>+</v>
      </c>
      <c r="P4812">
        <f>D4812-D4811</f>
        <v>-1</v>
      </c>
      <c r="Q4812" t="str">
        <v>x</v>
      </c>
      <c r="R4812">
        <f>IF(P4812&gt;0,$F$18*F4812/1000,0)</f>
        <v>0</v>
      </c>
      <c r="S4812" t="str">
        <v>)</v>
      </c>
      <c r="T4812" t="str">
        <v>x</v>
      </c>
      <c r="U4812">
        <f>0.006165*F4812^2</f>
        <v>1.57824</v>
      </c>
      <c r="X4812" t="str">
        <v>x</v>
      </c>
      <c r="Y4812">
        <f>D4801</f>
        <v>1</v>
      </c>
      <c r="Z4812" t="str">
        <v>=</v>
      </c>
      <c r="AA4812">
        <f>IF(AA4813=0,(D4812*N4812+P4812*R4812)*U4812*Y4812,0)</f>
        <v>7.922370240000001</v>
      </c>
    </row>
    <row r="4813">
      <c r="A4813" t="str">
        <f>A4795</f>
        <v>Lantai 3</v>
      </c>
      <c r="B4813">
        <f>B4795</f>
        <v>18</v>
      </c>
      <c r="D4813">
        <f>IF(AND(D4810=D4811,D4811=D4812,D4810=D4812),D4810,0)</f>
        <v>0</v>
      </c>
      <c r="E4813" t="str">
        <v>D</v>
      </c>
      <c r="F4813">
        <f>IF(AND(F4810=F4811,F4810=F4812,F4811=F4812),F4810,0)</f>
        <v>16</v>
      </c>
      <c r="L4813" t="str">
        <v>Total panjang per balok</v>
      </c>
      <c r="M4813" t="str">
        <v>=</v>
      </c>
      <c r="N4813">
        <f>IF(AND(D4810=D4811,D4810=D4812,D4811=D4812,F4810=F4811,F4810=F4812,F4811=F4812),SUM(N4810:N4812),0)</f>
        <v>0</v>
      </c>
      <c r="O4813" t="str">
        <v>+</v>
      </c>
      <c r="P4813">
        <f>IF(N4813&gt;12,ROUNDDOWN(N4813/12,0),0)</f>
        <v>0</v>
      </c>
      <c r="Q4813" t="str">
        <v>x</v>
      </c>
      <c r="R4813">
        <f>IF(P4813&gt;0,MAX(VLOOKUP(F4813,$D$6:$G$15,3,FALSE),600),0)/1000</f>
        <v>0</v>
      </c>
      <c r="T4813" t="str">
        <v>x</v>
      </c>
      <c r="U4813">
        <f>U4812</f>
        <v>1.57824</v>
      </c>
      <c r="V4813" t="str">
        <v>x</v>
      </c>
      <c r="W4813">
        <f>D4813</f>
        <v>0</v>
      </c>
      <c r="X4813" t="str">
        <v>x</v>
      </c>
      <c r="Y4813">
        <f>Y4812</f>
        <v>1</v>
      </c>
      <c r="Z4813" t="str">
        <v>=</v>
      </c>
      <c r="AA4813">
        <f>(N4813+P4813*R4813/1000)*U4813*W4813*Y4813</f>
        <v>0</v>
      </c>
    </row>
    <row r="4815">
      <c r="A4815" t="str">
        <f>A4795</f>
        <v>Lantai 3</v>
      </c>
      <c r="B4815">
        <f>B4795</f>
        <v>18</v>
      </c>
      <c r="C4815" t="str">
        <v>Sengkang Tumpuan</v>
      </c>
      <c r="D4815">
        <f>VLOOKUP(D4795,'Detail Balok'!$C$10:$AU$140,31,FALSE)</f>
        <v>0</v>
      </c>
      <c r="E4815" t="str">
        <v>D</v>
      </c>
      <c r="F4815">
        <f>VLOOKUP(D4795,'Detail Balok'!$C$10:$AU$140,33,FALSE)</f>
        <v>10</v>
      </c>
      <c r="G4815" t="str">
        <v>-</v>
      </c>
      <c r="H4815">
        <f>VLOOKUP(D4795,'Detail Balok'!$C$10:$AU$140,35,FALSE)</f>
        <v>100</v>
      </c>
      <c r="J4815">
        <f>(IF(D4815=0,(2*(D4796+G4796))-(F$5*8),IF(D4815=3,(2*(D4796+G4796))-(F$5*8)+(G4796-2*F$5),IF(D4815=4,(2*(D4796+G4796))-(F$5*8)+2*(G4796-2*F$5)))))/1000</f>
        <v>1.28</v>
      </c>
      <c r="K4815" t="str">
        <v>+</v>
      </c>
      <c r="L4815">
        <f>IF(D4815=0,2*MAX(6*F4815,75),(D4815-1)*2*MAX(6*F4815,75))/1000</f>
        <v>0.15</v>
      </c>
      <c r="M4815" t="str">
        <v>=</v>
      </c>
      <c r="N4815">
        <f>J4815+L4815</f>
        <v>1.43</v>
      </c>
      <c r="T4815" t="str">
        <v>x</v>
      </c>
      <c r="U4815">
        <f>0.006165*F4815^2</f>
        <v>0.6165</v>
      </c>
      <c r="V4815" t="str">
        <v>x</v>
      </c>
      <c r="W4815">
        <f>IF(D4798&gt;4*G4796,ROUND(MAX(D4798/4,2*G4796)/H4815,0)+1,ROUND(D4798/H4815,0)+1)</f>
        <v>16</v>
      </c>
      <c r="X4815" t="str">
        <v>x</v>
      </c>
      <c r="Y4815">
        <f>D4801</f>
        <v>1</v>
      </c>
      <c r="Z4815" t="str">
        <v>=</v>
      </c>
      <c r="AA4815">
        <f>N4815*U4815*W4815*Y4815</f>
        <v>14.10552</v>
      </c>
    </row>
    <row r="4816">
      <c r="A4816" t="str">
        <f>A4795</f>
        <v>Lantai 3</v>
      </c>
      <c r="B4816">
        <f>B4795</f>
        <v>18</v>
      </c>
      <c r="C4816" t="str">
        <v>Sengkang Lapangan</v>
      </c>
      <c r="D4816">
        <f>VLOOKUP(D4795,'Detail Balok'!$C$10:$AU$140,36,FALSE)</f>
        <v>0</v>
      </c>
      <c r="E4816" t="str">
        <v>D</v>
      </c>
      <c r="F4816">
        <f>VLOOKUP(D4795,'Detail Balok'!$C$10:$AU$140,38,FALSE)</f>
        <v>10</v>
      </c>
      <c r="G4816" t="str">
        <v>-</v>
      </c>
      <c r="H4816">
        <f>VLOOKUP(D4795,'Detail Balok'!$C$10:$AU$140,40,FALSE)</f>
        <v>150</v>
      </c>
      <c r="J4816">
        <f>(IF(D4816=0,(2*(D4796+G4796))-(F$5*8),IF(D4816=3,(2*(D4796+G4796))-(F$5*8)+(G4796-2*F$5),IF(D4816=4,(2*(D4796+G4796))-(F$5*8)+2*(G4796-2*F$5)))))/1000</f>
        <v>1.28</v>
      </c>
      <c r="K4816" t="str">
        <v>+</v>
      </c>
      <c r="L4816">
        <f>IF(D4816=0,2*MAX(6*F4816,75),(D4816-1)*2*MAX(6*F4816,75))/1000</f>
        <v>0.15</v>
      </c>
      <c r="M4816" t="str">
        <v>=</v>
      </c>
      <c r="N4816">
        <f>J4816+L4816</f>
        <v>1.43</v>
      </c>
      <c r="T4816" t="str">
        <v>x</v>
      </c>
      <c r="U4816">
        <f>0.006165*F4816^2</f>
        <v>0.6165</v>
      </c>
      <c r="V4816" t="str">
        <v>x</v>
      </c>
      <c r="W4816">
        <f>IF(D4798-MAX(D4798/4,2*G4796)*2&gt;0,ROUND((D4798-MAX(D4798/4,2*G4796)*2)/H4816,0),0)</f>
        <v>20</v>
      </c>
      <c r="X4816" t="str">
        <v>x</v>
      </c>
      <c r="Y4816">
        <f>D4801</f>
        <v>1</v>
      </c>
      <c r="Z4816" t="str">
        <v>=</v>
      </c>
      <c r="AA4816">
        <f>N4816*U4816*W4816*Y4816</f>
        <v>17.6319</v>
      </c>
    </row>
    <row r="4817">
      <c r="A4817" t="str">
        <f>A4795</f>
        <v>Lantai 3</v>
      </c>
      <c r="B4817">
        <f>B4795</f>
        <v>18</v>
      </c>
      <c r="C4817" t="str">
        <v>Sengkang Tumpuan</v>
      </c>
      <c r="D4817">
        <f>VLOOKUP(D4795,'Detail Balok'!$C$10:$AU$140,41,FALSE)</f>
        <v>0</v>
      </c>
      <c r="E4817" t="str">
        <v>D</v>
      </c>
      <c r="F4817">
        <f>VLOOKUP(D4795,'Detail Balok'!$C$10:$AU$140,43,FALSE)</f>
        <v>10</v>
      </c>
      <c r="G4817" t="str">
        <v>-</v>
      </c>
      <c r="H4817">
        <f>VLOOKUP(D4795,'Detail Balok'!$C$10:$AU$140,45,FALSE)</f>
        <v>100</v>
      </c>
      <c r="J4817">
        <f>(IF(D4817=0,(2*(D4796+G4796))-(F$5*8),IF(D4817=3,(2*(D4796+G4796))-(F$5*8)+(G4796-2*F$5),IF(D4817=4,(2*(D4796+G4796))-(F$5*8)+2*(G4796-2*F$5)))))/1000</f>
        <v>1.28</v>
      </c>
      <c r="K4817" t="str">
        <v>+</v>
      </c>
      <c r="L4817">
        <f>IF(D4817=0,2*MAX(6*F4817,75),(D4817-1)*2*MAX(6*F4817,75))/1000</f>
        <v>0.15</v>
      </c>
      <c r="M4817" t="str">
        <v>=</v>
      </c>
      <c r="N4817">
        <f>J4817+L4817</f>
        <v>1.43</v>
      </c>
      <c r="T4817" t="str">
        <v>x</v>
      </c>
      <c r="U4817">
        <f>0.006165*F4817^2</f>
        <v>0.6165</v>
      </c>
      <c r="V4817" t="str">
        <v>x</v>
      </c>
      <c r="W4817">
        <f>IF(D4798&gt;4*G4796,ROUND(MAX(D4798/4,2*G4796)/H4817,0)+1,0)</f>
        <v>16</v>
      </c>
      <c r="X4817" t="str">
        <v>x</v>
      </c>
      <c r="Y4817">
        <f>D4801</f>
        <v>1</v>
      </c>
      <c r="Z4817" t="str">
        <v>=</v>
      </c>
      <c r="AA4817">
        <f>N4817*U4817*W4817*Y4817</f>
        <v>14.10552</v>
      </c>
    </row>
    <row r="4819">
      <c r="A4819" t="str">
        <f>A4795</f>
        <v>Lantai 3</v>
      </c>
      <c r="B4819">
        <f>B4795</f>
        <v>18</v>
      </c>
      <c r="C4819" t="str">
        <v>Kait Horizontal Tump.</v>
      </c>
      <c r="D4819">
        <f>VLOOKUP(D4795,'Detail Balok'!$C$10:$BJ$140,46,FALSE)</f>
        <v>0</v>
      </c>
      <c r="E4819" t="str">
        <v>D</v>
      </c>
      <c r="F4819">
        <f>VLOOKUP(D4795,'Detail Balok'!$C$10:$BJ$140,48,FALSE)</f>
        <v>0</v>
      </c>
      <c r="G4819" t="str">
        <v>-</v>
      </c>
      <c r="H4819">
        <f>VLOOKUP(D4795,'Detail Balok'!$C$10:$BJ$140,50,FALSE)</f>
        <v>100</v>
      </c>
      <c r="J4819">
        <f>(D4796-2*F$5)/1000</f>
        <v>0.12</v>
      </c>
      <c r="K4819" t="str">
        <v>+</v>
      </c>
      <c r="L4819">
        <f>IF(D4819=0,2*MAX(6*F4819,75),(D4819-1)*2*MAX(6*F4819,75))/1000</f>
        <v>0.15</v>
      </c>
      <c r="M4819" t="str">
        <v>=</v>
      </c>
      <c r="N4819">
        <f>J4819+L4819</f>
        <v>0.27</v>
      </c>
      <c r="T4819" t="str">
        <v>x</v>
      </c>
      <c r="U4819">
        <f>0.006165*F4819^2</f>
        <v>0</v>
      </c>
      <c r="V4819" t="str">
        <v>x</v>
      </c>
      <c r="W4819">
        <f>W4815</f>
        <v>16</v>
      </c>
      <c r="X4819" t="str">
        <v>x</v>
      </c>
      <c r="Y4819">
        <f>D4805</f>
        <v>0</v>
      </c>
      <c r="Z4819" t="str">
        <v>=</v>
      </c>
      <c r="AA4819">
        <f>N4819*U4819*W4819*Y4819</f>
        <v>0</v>
      </c>
    </row>
    <row r="4820">
      <c r="A4820" t="str">
        <f>A4795</f>
        <v>Lantai 3</v>
      </c>
      <c r="B4820">
        <f>B4795</f>
        <v>18</v>
      </c>
      <c r="C4820" t="str">
        <v>Kait Horizontal Lap.</v>
      </c>
      <c r="D4820">
        <f>VLOOKUP(D4795,'Detail Balok'!$C$10:$BJ$140,51,FALSE)</f>
        <v>0</v>
      </c>
      <c r="E4820" t="str">
        <v>D</v>
      </c>
      <c r="F4820">
        <f>VLOOKUP(D4795,'Detail Balok'!$C$10:$BJ$140,53,FALSE)</f>
        <v>0</v>
      </c>
      <c r="G4820" t="str">
        <v>-</v>
      </c>
      <c r="H4820">
        <f>VLOOKUP(D4795,'Detail Balok'!$C$10:$BJ$140,55,FALSE)</f>
        <v>100</v>
      </c>
      <c r="J4820">
        <f>(D4796-2*F$5)/1000</f>
        <v>0.12</v>
      </c>
      <c r="K4820" t="str">
        <v>+</v>
      </c>
      <c r="L4820">
        <f>IF(D4820=0,2*MAX(6*F4820,75),(D4820-1)*2*MAX(6*F4820,75))/1000</f>
        <v>0.15</v>
      </c>
      <c r="M4820" t="str">
        <v>=</v>
      </c>
      <c r="N4820">
        <f>J4820+L4820</f>
        <v>0.27</v>
      </c>
      <c r="T4820" t="str">
        <v>x</v>
      </c>
      <c r="U4820">
        <f>0.006165*F4820^2</f>
        <v>0</v>
      </c>
      <c r="V4820" t="str">
        <v>x</v>
      </c>
      <c r="W4820">
        <f>W4816</f>
        <v>20</v>
      </c>
      <c r="X4820" t="str">
        <v>x</v>
      </c>
      <c r="Y4820">
        <f>D4805</f>
        <v>0</v>
      </c>
      <c r="Z4820" t="str">
        <v>=</v>
      </c>
      <c r="AA4820">
        <f>N4820*U4820*W4820*Y4820</f>
        <v>0</v>
      </c>
    </row>
    <row r="4821">
      <c r="A4821" t="str">
        <f>A4795</f>
        <v>Lantai 3</v>
      </c>
      <c r="B4821">
        <f>B4795</f>
        <v>18</v>
      </c>
      <c r="C4821" t="str">
        <v>Kait Horizontal Tump.</v>
      </c>
      <c r="D4821">
        <f>VLOOKUP(D4795,'Detail Balok'!$C$10:$BJ$140,56,FALSE)</f>
        <v>0</v>
      </c>
      <c r="E4821" t="str">
        <v>D</v>
      </c>
      <c r="F4821">
        <f>VLOOKUP(D4795,'Detail Balok'!$C$10:$BJ$140,58,FALSE)</f>
        <v>0</v>
      </c>
      <c r="G4821" t="str">
        <v>-</v>
      </c>
      <c r="H4821">
        <f>VLOOKUP(D4795,'Detail Balok'!$C$10:$BJ$140,60,FALSE)</f>
        <v>100</v>
      </c>
      <c r="J4821">
        <f>(D4796-2*F$5)/1000</f>
        <v>0.12</v>
      </c>
      <c r="K4821" t="str">
        <v>+</v>
      </c>
      <c r="L4821">
        <f>IF(D4821=0,2*MAX(6*F4821,75),(D4821-1)*2*MAX(6*F4821,75))/1000</f>
        <v>0.15</v>
      </c>
      <c r="M4821" t="str">
        <v>=</v>
      </c>
      <c r="N4821">
        <f>J4821+L4821</f>
        <v>0.27</v>
      </c>
      <c r="T4821" t="str">
        <v>x</v>
      </c>
      <c r="U4821">
        <f>0.006165*F4821^2</f>
        <v>0</v>
      </c>
      <c r="V4821" t="str">
        <v>x</v>
      </c>
      <c r="W4821">
        <f>W4817</f>
        <v>16</v>
      </c>
      <c r="X4821" t="str">
        <v>x</v>
      </c>
      <c r="Y4821">
        <f>D4805</f>
        <v>0</v>
      </c>
      <c r="Z4821" t="str">
        <v>=</v>
      </c>
      <c r="AA4821">
        <f>N4821*U4821*W4821*Y4821</f>
        <v>0</v>
      </c>
    </row>
    <row r="4825">
      <c r="A4825" t="str">
        <f>A4795</f>
        <v>Lantai 3</v>
      </c>
      <c r="B4825">
        <f>B4795+1</f>
        <v>19</v>
      </c>
      <c r="C4825" t="str">
        <f>CONCATENATE(A4825," no. ",B4825)</f>
        <v>Lantai 3 no. 19</v>
      </c>
      <c r="D4825" t="str">
        <f>VLOOKUP(C4825,'Data Panjang Balok'!$C$9:$N$254,2,FALSE)</f>
        <v>CL24-1</v>
      </c>
    </row>
    <row r="4826">
      <c r="C4826" t="str">
        <v>Dimensi</v>
      </c>
      <c r="D4826">
        <f>VLOOKUP(D4825,'Detail Balok'!$C$10:$AU$140,2,FALSE)</f>
        <v>200</v>
      </c>
      <c r="F4826" t="str">
        <v>x</v>
      </c>
      <c r="G4826">
        <f>VLOOKUP(D4825,'Detail Balok'!$C$10:$AU$140,3,FALSE)</f>
        <v>400</v>
      </c>
    </row>
    <row r="4827">
      <c r="C4827" t="str">
        <v>Panjang as ke as</v>
      </c>
      <c r="D4827">
        <f>VLOOKUP(C4825,'Data Panjang Balok'!$C$9:$N$254,4,FALSE)</f>
        <v>1075</v>
      </c>
    </row>
    <row r="4828">
      <c r="C4828" t="str">
        <v>Panjang netto</v>
      </c>
      <c r="D4828">
        <f>VLOOKUP(C4825,'Data Panjang Balok'!$C$9:$N$254,7,FALSE)</f>
        <v>1075</v>
      </c>
    </row>
    <row r="4829">
      <c r="C4829" t="str">
        <v>Kolom / balok kiri</v>
      </c>
      <c r="D4829">
        <f>VLOOKUP(C4825,'Data Panjang Balok'!$C$9:$N$254,9,FALSE)</f>
        <v>0</v>
      </c>
    </row>
    <row r="4830">
      <c r="C4830" t="str">
        <v>Kolom / balok kanan</v>
      </c>
      <c r="D4830">
        <f>VLOOKUP(C4825,'Data Panjang Balok'!$C$9:$N$254,10,FALSE)</f>
        <v>0</v>
      </c>
    </row>
    <row r="4831">
      <c r="C4831" t="str">
        <v>Jumlah</v>
      </c>
      <c r="D4831">
        <f>VLOOKUP(C4825,'Data Panjang Balok'!$C$9:$N$254,3,FALSE)</f>
        <v>1</v>
      </c>
    </row>
    <row r="4832">
      <c r="A4832" t="str">
        <f>A4825</f>
        <v>Lantai 3</v>
      </c>
      <c r="B4832">
        <f>B4825</f>
        <v>19</v>
      </c>
      <c r="C4832" t="str">
        <v>Tul Atas Tumpuan</v>
      </c>
      <c r="D4832">
        <f>VLOOKUP(D4825,'Detail Balok'!$C$10:$AU$140,4,FALSE)</f>
        <v>3</v>
      </c>
      <c r="E4832" t="str">
        <v>D</v>
      </c>
      <c r="F4832">
        <f>VLOOKUP(D4825,'Detail Balok'!$C$10:$AU$140,6,FALSE)</f>
        <v>16</v>
      </c>
      <c r="I4832" t="str">
        <v>(</v>
      </c>
      <c r="J4832">
        <f>+D4827/4/1000</f>
        <v>0.26875</v>
      </c>
      <c r="K4832" t="str">
        <v>+</v>
      </c>
      <c r="L4832">
        <f>MAX(VLOOKUP(F4832,N$6:P$15,3,FALSE)/1000,2/3*D4829/1000)+F$16*F4832/1000</f>
        <v>0.192</v>
      </c>
      <c r="M4832" t="str">
        <v>=</v>
      </c>
      <c r="N4832">
        <f>J4832+L4832</f>
        <v>0.46075</v>
      </c>
      <c r="O4832" t="str">
        <v>+</v>
      </c>
      <c r="P4832">
        <f>D4832-D4833</f>
        <v>0</v>
      </c>
      <c r="Q4832" t="str">
        <v>x</v>
      </c>
      <c r="R4832">
        <f>IF(P4832&gt;0,$F$18*F4832/1000,0)</f>
        <v>0</v>
      </c>
      <c r="S4832" t="str">
        <v>)</v>
      </c>
      <c r="T4832" t="str">
        <v>x</v>
      </c>
      <c r="U4832">
        <f>0.006165*F4832^2</f>
        <v>1.57824</v>
      </c>
      <c r="X4832" t="str">
        <v>x</v>
      </c>
      <c r="Y4832">
        <f>D4831</f>
        <v>1</v>
      </c>
      <c r="Z4832" t="str">
        <v>=</v>
      </c>
      <c r="AA4832">
        <f>IF(AA4835=0,(D4832*N4832+P4832*R4832)*U4832*Y4832,0)</f>
        <v>0</v>
      </c>
    </row>
    <row r="4833">
      <c r="A4833" t="str">
        <f>A4825</f>
        <v>Lantai 3</v>
      </c>
      <c r="B4833">
        <f>B4825</f>
        <v>19</v>
      </c>
      <c r="C4833" t="str">
        <v>Tul Atas Lapangan</v>
      </c>
      <c r="D4833">
        <f>VLOOKUP(D4825,'Detail Balok'!$C$10:$AU$140,7,FALSE)</f>
        <v>3</v>
      </c>
      <c r="E4833" t="str">
        <v>D</v>
      </c>
      <c r="F4833">
        <f>VLOOKUP(D4825,'Detail Balok'!$C$10:$AU$140,9,FALSE)</f>
        <v>16</v>
      </c>
      <c r="I4833" t="str">
        <v>(</v>
      </c>
      <c r="J4833">
        <f>+D4827/2/1000</f>
        <v>0.5375</v>
      </c>
      <c r="K4833" t="str">
        <v>+</v>
      </c>
      <c r="M4833" t="str">
        <v>=</v>
      </c>
      <c r="N4833">
        <f>J4833+L4833</f>
        <v>0.5375</v>
      </c>
      <c r="O4833" t="str">
        <v>+</v>
      </c>
      <c r="P4833">
        <f>MAX(D4833-D4832,D4833-D4834)</f>
        <v>0</v>
      </c>
      <c r="Q4833" t="str">
        <v>x</v>
      </c>
      <c r="R4833">
        <f>IF(P4833&gt;0,2*(1-2*$F$19-1/2)*D4828/1000,0)</f>
        <v>0</v>
      </c>
      <c r="S4833" t="str">
        <v>)</v>
      </c>
      <c r="T4833" t="str">
        <v>x</v>
      </c>
      <c r="U4833">
        <f>0.006165*F4833^2</f>
        <v>1.57824</v>
      </c>
      <c r="X4833" t="str">
        <v>x</v>
      </c>
      <c r="Y4833">
        <f>D4831</f>
        <v>1</v>
      </c>
      <c r="Z4833" t="str">
        <v>=</v>
      </c>
      <c r="AA4833">
        <f>IF(AA4835=0,(D4833*N4833+P4833*R4833)*U4833*Y4833,0)</f>
        <v>0</v>
      </c>
    </row>
    <row r="4834">
      <c r="A4834" t="str">
        <f>A4825</f>
        <v>Lantai 3</v>
      </c>
      <c r="B4834">
        <f>B4825</f>
        <v>19</v>
      </c>
      <c r="C4834" t="str">
        <v>Tul Atas Tumpuan</v>
      </c>
      <c r="D4834">
        <f>VLOOKUP(D4825,'Detail Balok'!$C$10:$AU$140,10,FALSE)</f>
        <v>3</v>
      </c>
      <c r="E4834" t="str">
        <v>D</v>
      </c>
      <c r="F4834">
        <f>VLOOKUP(D4825,'Detail Balok'!$C$10:$AU$140,12,FALSE)</f>
        <v>16</v>
      </c>
      <c r="I4834" t="str">
        <v>(</v>
      </c>
      <c r="J4834">
        <f>+D4827/4/1000</f>
        <v>0.26875</v>
      </c>
      <c r="K4834" t="str">
        <v>+</v>
      </c>
      <c r="L4834">
        <f>MAX(VLOOKUP(F4834,N$6:P$15,3,FALSE)/1000,2/3*D4829/1000)+F$16*F4834/1000</f>
        <v>0.192</v>
      </c>
      <c r="M4834" t="str">
        <v>=</v>
      </c>
      <c r="N4834">
        <f>J4834+L4834</f>
        <v>0.46075</v>
      </c>
      <c r="O4834" t="str">
        <v>+</v>
      </c>
      <c r="P4834">
        <f>D4834-D4833</f>
        <v>0</v>
      </c>
      <c r="Q4834" t="str">
        <v>x</v>
      </c>
      <c r="R4834">
        <f>IF(P4834&gt;0,$F$18*F4834/1000,0)</f>
        <v>0</v>
      </c>
      <c r="S4834" t="str">
        <v>)</v>
      </c>
      <c r="T4834" t="str">
        <v>x</v>
      </c>
      <c r="U4834">
        <f>0.006165*F4834^2</f>
        <v>1.57824</v>
      </c>
      <c r="X4834" t="str">
        <v>x</v>
      </c>
      <c r="Y4834">
        <f>D4831</f>
        <v>1</v>
      </c>
      <c r="Z4834" t="str">
        <v>=</v>
      </c>
      <c r="AA4834">
        <f>IF(AA4835=0,(D4834*N4834+P4834*R4834)*U4834*Y4834,0)</f>
        <v>0</v>
      </c>
    </row>
    <row r="4835">
      <c r="A4835" t="str">
        <f>A4825</f>
        <v>Lantai 3</v>
      </c>
      <c r="B4835">
        <f>B4825</f>
        <v>19</v>
      </c>
      <c r="D4835">
        <f>IF(AND(D4832=D4833,D4833=D4834,D4832=D4834),D4832,0)</f>
        <v>3</v>
      </c>
      <c r="E4835" t="str">
        <v>D</v>
      </c>
      <c r="F4835">
        <f>IF(AND(F4832=F4833,F4832=F4834,F4833=F4834),F4832,0)</f>
        <v>16</v>
      </c>
      <c r="L4835" t="str">
        <v>Total panjang per balok</v>
      </c>
      <c r="M4835" t="str">
        <v>=</v>
      </c>
      <c r="N4835">
        <f>IF(AND(D4832=D4833,D4832=D4834,D4833=D4834,F4832=F4833,F4832=F4834,F4833=F4834),SUM(N4832:N4834),0)</f>
        <v>1.459</v>
      </c>
      <c r="O4835" t="str">
        <v>+</v>
      </c>
      <c r="P4835">
        <f>IF(N4835&gt;12,ROUNDDOWN(N4835/12,0),0)</f>
        <v>0</v>
      </c>
      <c r="Q4835" t="str">
        <v>x</v>
      </c>
      <c r="R4835">
        <f>IF(P4835&gt;0,MAX(VLOOKUP(F4835,$D$6:$G$15,3,FALSE),600),0)/1000</f>
        <v>0</v>
      </c>
      <c r="T4835" t="str">
        <v>x</v>
      </c>
      <c r="U4835">
        <f>U4834</f>
        <v>1.57824</v>
      </c>
      <c r="V4835" t="str">
        <v>x</v>
      </c>
      <c r="W4835">
        <f>D4835</f>
        <v>3</v>
      </c>
      <c r="X4835" t="str">
        <v>x</v>
      </c>
      <c r="Y4835">
        <f>Y4834</f>
        <v>1</v>
      </c>
      <c r="Z4835" t="str">
        <v>=</v>
      </c>
      <c r="AA4835">
        <f>(N4835+P4835*R4835/1000)*U4835*W4835*Y4835</f>
        <v>6.90795648</v>
      </c>
    </row>
    <row r="4837">
      <c r="A4837" t="str">
        <f>A4825</f>
        <v>Lantai 3</v>
      </c>
      <c r="B4837">
        <f>B4825</f>
        <v>19</v>
      </c>
      <c r="C4837" t="str">
        <v>Tul Peminggang</v>
      </c>
      <c r="D4837">
        <f>VLOOKUP(D4825,'Detail Balok'!$C$10:$AU$140,13,FALSE)</f>
        <v>0</v>
      </c>
      <c r="E4837" t="str">
        <v>D</v>
      </c>
      <c r="F4837">
        <f>VLOOKUP(D4825,'Detail Balok'!$C$10:$AU$140,15,FALSE)</f>
        <v>8</v>
      </c>
      <c r="J4837">
        <f>+D4827/1000</f>
        <v>1.075</v>
      </c>
      <c r="K4837" t="str">
        <v>+</v>
      </c>
      <c r="L4837">
        <f>2*$F$16*F4837/1000</f>
        <v>0.192</v>
      </c>
      <c r="M4837" t="str">
        <v>=</v>
      </c>
      <c r="N4837">
        <f>J4837+L4837</f>
        <v>1.267</v>
      </c>
      <c r="O4837" t="str">
        <v>+</v>
      </c>
      <c r="P4837">
        <f>IF(N4837&gt;12,ROUNDDOWN(N4837/12,0),0)</f>
        <v>0</v>
      </c>
      <c r="Q4837" t="str">
        <v>x</v>
      </c>
      <c r="R4837">
        <f>IF(P4837&gt;0,MAX(VLOOKUP(F4837,$D$6:$G$15,3,FALSE),600),0)/1000</f>
        <v>0</v>
      </c>
      <c r="T4837" t="str">
        <v>x</v>
      </c>
      <c r="U4837">
        <f>0.006165*F4837^2</f>
        <v>0.39456</v>
      </c>
      <c r="V4837" t="str">
        <v>x</v>
      </c>
      <c r="W4837">
        <f>+D4837</f>
        <v>0</v>
      </c>
      <c r="X4837" t="str">
        <v>x</v>
      </c>
      <c r="Y4837">
        <f>D4831</f>
        <v>1</v>
      </c>
      <c r="Z4837" t="str">
        <v>=</v>
      </c>
      <c r="AA4837">
        <f>(N4837+P4837*R4837/1000)*U4837*W4837*Y4837</f>
        <v>0</v>
      </c>
    </row>
    <row r="4840">
      <c r="A4840" t="str">
        <f>A4825</f>
        <v>Lantai 3</v>
      </c>
      <c r="B4840">
        <f>B4825</f>
        <v>19</v>
      </c>
      <c r="C4840" t="str">
        <v>Tul Bawah Tumpuan</v>
      </c>
      <c r="D4840">
        <f>VLOOKUP(D4825,'Detail Balok'!$C$10:$AU$140,22,FALSE)</f>
        <v>3</v>
      </c>
      <c r="E4840" t="str">
        <v>D</v>
      </c>
      <c r="F4840">
        <f>VLOOKUP(D4825,'Detail Balok'!$C$10:$AU$140,24,FALSE)</f>
        <v>16</v>
      </c>
      <c r="I4840" t="str">
        <v>(</v>
      </c>
      <c r="J4840">
        <f>+J4832</f>
        <v>0.26875</v>
      </c>
      <c r="K4840" t="str">
        <v>+</v>
      </c>
      <c r="L4840">
        <f>MAX(VLOOKUP(F4840,N$6:P$15,3,FALSE)/1000,2/3*D4830/1000)+F$16*F4840/1000</f>
        <v>0.192</v>
      </c>
      <c r="M4840" t="str">
        <v>=</v>
      </c>
      <c r="N4840">
        <f>J4840+L4840</f>
        <v>0.46075</v>
      </c>
      <c r="O4840" t="str">
        <v>+</v>
      </c>
      <c r="P4840">
        <f>D4840-D4841</f>
        <v>0</v>
      </c>
      <c r="Q4840" t="str">
        <v>x</v>
      </c>
      <c r="R4840">
        <f>IF(P4840&gt;0,$F$18*F4840/1000,0)</f>
        <v>0</v>
      </c>
      <c r="S4840" t="str">
        <v>)</v>
      </c>
      <c r="T4840" t="str">
        <v>x</v>
      </c>
      <c r="U4840">
        <f>0.006165*F4840^2</f>
        <v>1.57824</v>
      </c>
      <c r="X4840" t="str">
        <v>x</v>
      </c>
      <c r="Y4840">
        <f>D4831</f>
        <v>1</v>
      </c>
      <c r="Z4840" t="str">
        <v>=</v>
      </c>
      <c r="AA4840">
        <f>IF(AA4843=0,(D4840*N4840+P4840*R4840)*U4840*Y4840,0)</f>
        <v>0</v>
      </c>
    </row>
    <row r="4841">
      <c r="A4841" t="str">
        <f>A4825</f>
        <v>Lantai 3</v>
      </c>
      <c r="B4841">
        <f>B4825</f>
        <v>19</v>
      </c>
      <c r="C4841" t="str">
        <v>Tul Bawah Lapangan</v>
      </c>
      <c r="D4841">
        <f>VLOOKUP(D4825,'Detail Balok'!$C$10:$AU$140,25,FALSE)</f>
        <v>3</v>
      </c>
      <c r="E4841" t="str">
        <v>D</v>
      </c>
      <c r="F4841">
        <f>VLOOKUP(D4825,'Detail Balok'!$C$10:$AU$140,27,FALSE)</f>
        <v>16</v>
      </c>
      <c r="I4841" t="str">
        <v>(</v>
      </c>
      <c r="J4841">
        <f>+J4833</f>
        <v>0.5375</v>
      </c>
      <c r="K4841" t="str">
        <v>+</v>
      </c>
      <c r="M4841" t="str">
        <v>=</v>
      </c>
      <c r="N4841">
        <f>J4841+L4841</f>
        <v>0.5375</v>
      </c>
      <c r="O4841" t="str">
        <v>+</v>
      </c>
      <c r="P4841">
        <f>MAX(D4841-D4840,D4841-D4842)</f>
        <v>0</v>
      </c>
      <c r="Q4841" t="str">
        <v>x</v>
      </c>
      <c r="R4841">
        <f>IF(P4841&gt;0,2*(1-2*$F$19-1/2)*D4828/1000,0)</f>
        <v>0</v>
      </c>
      <c r="S4841" t="str">
        <v>)</v>
      </c>
      <c r="T4841" t="str">
        <v>x</v>
      </c>
      <c r="U4841">
        <f>0.006165*F4841^2</f>
        <v>1.57824</v>
      </c>
      <c r="X4841" t="str">
        <v>x</v>
      </c>
      <c r="Y4841">
        <f>D4831</f>
        <v>1</v>
      </c>
      <c r="Z4841" t="str">
        <v>=</v>
      </c>
      <c r="AA4841">
        <f>IF(AA4843=0,(D4841*N4841+P4841*R4841)*U4841*Y4841,0)</f>
        <v>0</v>
      </c>
    </row>
    <row r="4842">
      <c r="A4842" t="str">
        <f>A4825</f>
        <v>Lantai 3</v>
      </c>
      <c r="B4842">
        <f>B4825</f>
        <v>19</v>
      </c>
      <c r="C4842" t="str">
        <v>Tul Bawah Tumpuan</v>
      </c>
      <c r="D4842">
        <f>VLOOKUP(D4825,'Detail Balok'!$C$10:$AU$140,28,FALSE)</f>
        <v>3</v>
      </c>
      <c r="E4842" t="str">
        <v>D</v>
      </c>
      <c r="F4842">
        <f>VLOOKUP(D4825,'Detail Balok'!$C$10:$AU$140,30,FALSE)</f>
        <v>16</v>
      </c>
      <c r="I4842" t="str">
        <v>(</v>
      </c>
      <c r="J4842">
        <f>+J4834</f>
        <v>0.26875</v>
      </c>
      <c r="K4842" t="str">
        <v>+</v>
      </c>
      <c r="L4842">
        <f>MAX(VLOOKUP(F4842,N$6:P$15,3,FALSE)/1000,2/3*D4830/1000)+F$16*F4842/1000</f>
        <v>0.192</v>
      </c>
      <c r="M4842" t="str">
        <v>=</v>
      </c>
      <c r="N4842">
        <f>J4842+L4842</f>
        <v>0.46075</v>
      </c>
      <c r="O4842" t="str">
        <v>+</v>
      </c>
      <c r="P4842">
        <f>D4842-D4841</f>
        <v>0</v>
      </c>
      <c r="Q4842" t="str">
        <v>x</v>
      </c>
      <c r="R4842">
        <f>IF(P4842&gt;0,$F$18*F4842/1000,0)</f>
        <v>0</v>
      </c>
      <c r="S4842" t="str">
        <v>)</v>
      </c>
      <c r="T4842" t="str">
        <v>x</v>
      </c>
      <c r="U4842">
        <f>0.006165*F4842^2</f>
        <v>1.57824</v>
      </c>
      <c r="X4842" t="str">
        <v>x</v>
      </c>
      <c r="Y4842">
        <f>D4831</f>
        <v>1</v>
      </c>
      <c r="Z4842" t="str">
        <v>=</v>
      </c>
      <c r="AA4842">
        <f>IF(AA4843=0,(D4842*N4842+P4842*R4842)*U4842*Y4842,0)</f>
        <v>0</v>
      </c>
    </row>
    <row r="4843">
      <c r="A4843" t="str">
        <f>A4825</f>
        <v>Lantai 3</v>
      </c>
      <c r="B4843">
        <f>B4825</f>
        <v>19</v>
      </c>
      <c r="D4843">
        <f>IF(AND(D4840=D4841,D4841=D4842,D4840=D4842),D4840,0)</f>
        <v>3</v>
      </c>
      <c r="E4843" t="str">
        <v>D</v>
      </c>
      <c r="F4843">
        <f>IF(AND(F4840=F4841,F4840=F4842,F4841=F4842),F4840,0)</f>
        <v>16</v>
      </c>
      <c r="L4843" t="str">
        <v>Total panjang per balok</v>
      </c>
      <c r="M4843" t="str">
        <v>=</v>
      </c>
      <c r="N4843">
        <f>IF(AND(D4840=D4841,D4840=D4842,D4841=D4842,F4840=F4841,F4840=F4842,F4841=F4842),SUM(N4840:N4842),0)</f>
        <v>1.459</v>
      </c>
      <c r="O4843" t="str">
        <v>+</v>
      </c>
      <c r="P4843">
        <f>IF(N4843&gt;12,ROUNDDOWN(N4843/12,0),0)</f>
        <v>0</v>
      </c>
      <c r="Q4843" t="str">
        <v>x</v>
      </c>
      <c r="R4843">
        <f>IF(P4843&gt;0,MAX(VLOOKUP(F4843,$D$6:$G$15,3,FALSE),600),0)/1000</f>
        <v>0</v>
      </c>
      <c r="T4843" t="str">
        <v>x</v>
      </c>
      <c r="U4843">
        <f>U4842</f>
        <v>1.57824</v>
      </c>
      <c r="V4843" t="str">
        <v>x</v>
      </c>
      <c r="W4843">
        <f>D4843</f>
        <v>3</v>
      </c>
      <c r="X4843" t="str">
        <v>x</v>
      </c>
      <c r="Y4843">
        <f>Y4842</f>
        <v>1</v>
      </c>
      <c r="Z4843" t="str">
        <v>=</v>
      </c>
      <c r="AA4843">
        <f>(N4843+P4843*R4843/1000)*U4843*W4843*Y4843</f>
        <v>6.90795648</v>
      </c>
    </row>
    <row r="4845">
      <c r="A4845" t="str">
        <f>A4825</f>
        <v>Lantai 3</v>
      </c>
      <c r="B4845">
        <f>B4825</f>
        <v>19</v>
      </c>
      <c r="C4845" t="str">
        <v>Sengkang Tumpuan</v>
      </c>
      <c r="D4845">
        <f>VLOOKUP(D4825,'Detail Balok'!$C$10:$AU$140,31,FALSE)</f>
        <v>0</v>
      </c>
      <c r="E4845" t="str">
        <v>D</v>
      </c>
      <c r="F4845">
        <f>VLOOKUP(D4825,'Detail Balok'!$C$10:$AU$140,33,FALSE)</f>
        <v>10</v>
      </c>
      <c r="G4845" t="str">
        <v>-</v>
      </c>
      <c r="H4845">
        <f>VLOOKUP(D4825,'Detail Balok'!$C$10:$AU$140,35,FALSE)</f>
        <v>100</v>
      </c>
      <c r="J4845">
        <f>(IF(D4845=0,(2*(D4826+G4826))-(F$5*8),IF(D4845=3,(2*(D4826+G4826))-(F$5*8)+(G4826-2*F$5),IF(D4845=4,(2*(D4826+G4826))-(F$5*8)+2*(G4826-2*F$5)))))/1000</f>
        <v>0.88</v>
      </c>
      <c r="K4845" t="str">
        <v>+</v>
      </c>
      <c r="L4845">
        <f>IF(D4845=0,2*MAX(6*F4845,75),(D4845-1)*2*MAX(6*F4845,75))/1000</f>
        <v>0.15</v>
      </c>
      <c r="M4845" t="str">
        <v>=</v>
      </c>
      <c r="N4845">
        <f>J4845+L4845</f>
        <v>1.03</v>
      </c>
      <c r="T4845" t="str">
        <v>x</v>
      </c>
      <c r="U4845">
        <f>0.006165*F4845^2</f>
        <v>0.6165</v>
      </c>
      <c r="V4845" t="str">
        <v>x</v>
      </c>
      <c r="W4845">
        <f>IF(D4828&gt;4*G4826,ROUND(MAX(D4828/4,2*G4826)/H4845,0)+1,ROUND(D4828/H4845,0)+1)</f>
        <v>12</v>
      </c>
      <c r="X4845" t="str">
        <v>x</v>
      </c>
      <c r="Y4845">
        <f>D4831</f>
        <v>1</v>
      </c>
      <c r="Z4845" t="str">
        <v>=</v>
      </c>
      <c r="AA4845">
        <f>N4845*U4845*W4845*Y4845</f>
        <v>7.6199400000000015</v>
      </c>
    </row>
    <row r="4846">
      <c r="A4846" t="str">
        <f>A4825</f>
        <v>Lantai 3</v>
      </c>
      <c r="B4846">
        <f>B4825</f>
        <v>19</v>
      </c>
      <c r="C4846" t="str">
        <v>Sengkang Lapangan</v>
      </c>
      <c r="D4846">
        <f>VLOOKUP(D4825,'Detail Balok'!$C$10:$AU$140,36,FALSE)</f>
        <v>0</v>
      </c>
      <c r="E4846" t="str">
        <v>D</v>
      </c>
      <c r="F4846">
        <f>VLOOKUP(D4825,'Detail Balok'!$C$10:$AU$140,38,FALSE)</f>
        <v>10</v>
      </c>
      <c r="G4846" t="str">
        <v>-</v>
      </c>
      <c r="H4846">
        <f>VLOOKUP(D4825,'Detail Balok'!$C$10:$AU$140,40,FALSE)</f>
        <v>100</v>
      </c>
      <c r="J4846">
        <f>(IF(D4846=0,(2*(D4826+G4826))-(F$5*8),IF(D4846=3,(2*(D4826+G4826))-(F$5*8)+(G4826-2*F$5),IF(D4846=4,(2*(D4826+G4826))-(F$5*8)+2*(G4826-2*F$5)))))/1000</f>
        <v>0.88</v>
      </c>
      <c r="K4846" t="str">
        <v>+</v>
      </c>
      <c r="L4846">
        <f>IF(D4846=0,2*MAX(6*F4846,75),(D4846-1)*2*MAX(6*F4846,75))/1000</f>
        <v>0.15</v>
      </c>
      <c r="M4846" t="str">
        <v>=</v>
      </c>
      <c r="N4846">
        <f>J4846+L4846</f>
        <v>1.03</v>
      </c>
      <c r="T4846" t="str">
        <v>x</v>
      </c>
      <c r="U4846">
        <f>0.006165*F4846^2</f>
        <v>0.6165</v>
      </c>
      <c r="V4846" t="str">
        <v>x</v>
      </c>
      <c r="W4846">
        <f>IF(D4828-MAX(D4828/4,2*G4826)*2&gt;0,ROUND((D4828-MAX(D4828/4,2*G4826)*2)/H4846,0),0)</f>
        <v>0</v>
      </c>
      <c r="X4846" t="str">
        <v>x</v>
      </c>
      <c r="Y4846">
        <f>D4831</f>
        <v>1</v>
      </c>
      <c r="Z4846" t="str">
        <v>=</v>
      </c>
      <c r="AA4846">
        <f>N4846*U4846*W4846*Y4846</f>
        <v>0</v>
      </c>
    </row>
    <row r="4847">
      <c r="A4847" t="str">
        <f>A4825</f>
        <v>Lantai 3</v>
      </c>
      <c r="B4847">
        <f>B4825</f>
        <v>19</v>
      </c>
      <c r="C4847" t="str">
        <v>Sengkang Tumpuan</v>
      </c>
      <c r="D4847">
        <f>VLOOKUP(D4825,'Detail Balok'!$C$10:$AU$140,41,FALSE)</f>
        <v>0</v>
      </c>
      <c r="E4847" t="str">
        <v>D</v>
      </c>
      <c r="F4847">
        <f>VLOOKUP(D4825,'Detail Balok'!$C$10:$AU$140,43,FALSE)</f>
        <v>10</v>
      </c>
      <c r="G4847" t="str">
        <v>-</v>
      </c>
      <c r="H4847">
        <f>VLOOKUP(D4825,'Detail Balok'!$C$10:$AU$140,45,FALSE)</f>
        <v>100</v>
      </c>
      <c r="J4847">
        <f>(IF(D4847=0,(2*(D4826+G4826))-(F$5*8),IF(D4847=3,(2*(D4826+G4826))-(F$5*8)+(G4826-2*F$5),IF(D4847=4,(2*(D4826+G4826))-(F$5*8)+2*(G4826-2*F$5)))))/1000</f>
        <v>0.88</v>
      </c>
      <c r="K4847" t="str">
        <v>+</v>
      </c>
      <c r="L4847">
        <f>IF(D4847=0,2*MAX(6*F4847,75),(D4847-1)*2*MAX(6*F4847,75))/1000</f>
        <v>0.15</v>
      </c>
      <c r="M4847" t="str">
        <v>=</v>
      </c>
      <c r="N4847">
        <f>J4847+L4847</f>
        <v>1.03</v>
      </c>
      <c r="T4847" t="str">
        <v>x</v>
      </c>
      <c r="U4847">
        <f>0.006165*F4847^2</f>
        <v>0.6165</v>
      </c>
      <c r="V4847" t="str">
        <v>x</v>
      </c>
      <c r="W4847">
        <f>IF(D4828&gt;4*G4826,ROUND(MAX(D4828/4,2*G4826)/H4847,0)+1,0)</f>
        <v>0</v>
      </c>
      <c r="X4847" t="str">
        <v>x</v>
      </c>
      <c r="Y4847">
        <f>D4831</f>
        <v>1</v>
      </c>
      <c r="Z4847" t="str">
        <v>=</v>
      </c>
      <c r="AA4847">
        <f>N4847*U4847*W4847*Y4847</f>
        <v>0</v>
      </c>
    </row>
    <row r="4849">
      <c r="A4849" t="str">
        <f>A4825</f>
        <v>Lantai 3</v>
      </c>
      <c r="B4849">
        <f>B4825</f>
        <v>19</v>
      </c>
      <c r="C4849" t="str">
        <v>Kait Horizontal Tump.</v>
      </c>
      <c r="D4849">
        <f>VLOOKUP(D4825,'Detail Balok'!$C$10:$BJ$140,46,FALSE)</f>
        <v>0</v>
      </c>
      <c r="E4849" t="str">
        <v>D</v>
      </c>
      <c r="F4849">
        <f>VLOOKUP(D4825,'Detail Balok'!$C$10:$BJ$140,48,FALSE)</f>
        <v>0</v>
      </c>
      <c r="G4849" t="str">
        <v>-</v>
      </c>
      <c r="H4849">
        <f>VLOOKUP(D4825,'Detail Balok'!$C$10:$BJ$140,50,FALSE)</f>
        <v>100</v>
      </c>
      <c r="J4849">
        <f>(D4826-2*F$5)/1000</f>
        <v>0.12</v>
      </c>
      <c r="K4849" t="str">
        <v>+</v>
      </c>
      <c r="L4849">
        <f>IF(D4849=0,2*MAX(6*F4849,75),(D4849-1)*2*MAX(6*F4849,75))/1000</f>
        <v>0.15</v>
      </c>
      <c r="M4849" t="str">
        <v>=</v>
      </c>
      <c r="N4849">
        <f>J4849+L4849</f>
        <v>0.27</v>
      </c>
      <c r="T4849" t="str">
        <v>x</v>
      </c>
      <c r="U4849">
        <f>0.006165*F4849^2</f>
        <v>0</v>
      </c>
      <c r="V4849" t="str">
        <v>x</v>
      </c>
      <c r="W4849">
        <f>W4845</f>
        <v>12</v>
      </c>
      <c r="X4849" t="str">
        <v>x</v>
      </c>
      <c r="Y4849">
        <f>D4835</f>
        <v>3</v>
      </c>
      <c r="Z4849" t="str">
        <v>=</v>
      </c>
      <c r="AA4849">
        <f>N4849*U4849*W4849*Y4849</f>
        <v>0</v>
      </c>
    </row>
    <row r="4850">
      <c r="A4850" t="str">
        <f>A4825</f>
        <v>Lantai 3</v>
      </c>
      <c r="B4850">
        <f>B4825</f>
        <v>19</v>
      </c>
      <c r="C4850" t="str">
        <v>Kait Horizontal Lap.</v>
      </c>
      <c r="D4850">
        <f>VLOOKUP(D4825,'Detail Balok'!$C$10:$BJ$140,51,FALSE)</f>
        <v>0</v>
      </c>
      <c r="E4850" t="str">
        <v>D</v>
      </c>
      <c r="F4850">
        <f>VLOOKUP(D4825,'Detail Balok'!$C$10:$BJ$140,53,FALSE)</f>
        <v>0</v>
      </c>
      <c r="G4850" t="str">
        <v>-</v>
      </c>
      <c r="H4850">
        <f>VLOOKUP(D4825,'Detail Balok'!$C$10:$BJ$140,55,FALSE)</f>
        <v>100</v>
      </c>
      <c r="J4850">
        <f>(D4826-2*F$5)/1000</f>
        <v>0.12</v>
      </c>
      <c r="K4850" t="str">
        <v>+</v>
      </c>
      <c r="L4850">
        <f>IF(D4850=0,2*MAX(6*F4850,75),(D4850-1)*2*MAX(6*F4850,75))/1000</f>
        <v>0.15</v>
      </c>
      <c r="M4850" t="str">
        <v>=</v>
      </c>
      <c r="N4850">
        <f>J4850+L4850</f>
        <v>0.27</v>
      </c>
      <c r="T4850" t="str">
        <v>x</v>
      </c>
      <c r="U4850">
        <f>0.006165*F4850^2</f>
        <v>0</v>
      </c>
      <c r="V4850" t="str">
        <v>x</v>
      </c>
      <c r="W4850">
        <f>W4846</f>
        <v>0</v>
      </c>
      <c r="X4850" t="str">
        <v>x</v>
      </c>
      <c r="Y4850">
        <f>D4835</f>
        <v>3</v>
      </c>
      <c r="Z4850" t="str">
        <v>=</v>
      </c>
      <c r="AA4850">
        <f>N4850*U4850*W4850*Y4850</f>
        <v>0</v>
      </c>
    </row>
    <row r="4851">
      <c r="A4851" t="str">
        <f>A4825</f>
        <v>Lantai 3</v>
      </c>
      <c r="B4851">
        <f>B4825</f>
        <v>19</v>
      </c>
      <c r="C4851" t="str">
        <v>Kait Horizontal Tump.</v>
      </c>
      <c r="D4851">
        <f>VLOOKUP(D4825,'Detail Balok'!$C$10:$BJ$140,56,FALSE)</f>
        <v>0</v>
      </c>
      <c r="E4851" t="str">
        <v>D</v>
      </c>
      <c r="F4851">
        <f>VLOOKUP(D4825,'Detail Balok'!$C$10:$BJ$140,58,FALSE)</f>
        <v>0</v>
      </c>
      <c r="G4851" t="str">
        <v>-</v>
      </c>
      <c r="H4851">
        <f>VLOOKUP(D4825,'Detail Balok'!$C$10:$BJ$140,60,FALSE)</f>
        <v>100</v>
      </c>
      <c r="J4851">
        <f>(D4826-2*F$5)/1000</f>
        <v>0.12</v>
      </c>
      <c r="K4851" t="str">
        <v>+</v>
      </c>
      <c r="L4851">
        <f>IF(D4851=0,2*MAX(6*F4851,75),(D4851-1)*2*MAX(6*F4851,75))/1000</f>
        <v>0.15</v>
      </c>
      <c r="M4851" t="str">
        <v>=</v>
      </c>
      <c r="N4851">
        <f>J4851+L4851</f>
        <v>0.27</v>
      </c>
      <c r="T4851" t="str">
        <v>x</v>
      </c>
      <c r="U4851">
        <f>0.006165*F4851^2</f>
        <v>0</v>
      </c>
      <c r="V4851" t="str">
        <v>x</v>
      </c>
      <c r="W4851">
        <f>W4847</f>
        <v>0</v>
      </c>
      <c r="X4851" t="str">
        <v>x</v>
      </c>
      <c r="Y4851">
        <f>D4835</f>
        <v>3</v>
      </c>
      <c r="Z4851" t="str">
        <v>=</v>
      </c>
      <c r="AA4851">
        <f>N4851*U4851*W4851*Y4851</f>
        <v>0</v>
      </c>
    </row>
    <row r="4855">
      <c r="A4855" t="str">
        <f>A4825</f>
        <v>Lantai 3</v>
      </c>
      <c r="B4855">
        <f>B4825+1</f>
        <v>20</v>
      </c>
      <c r="C4855" t="str">
        <f>CONCATENATE(A4855," no. ",B4855)</f>
        <v>Lantai 3 no. 20</v>
      </c>
      <c r="D4855" t="str">
        <f>VLOOKUP(C4855,'Data Panjang Balok'!$C$9:$N$254,2,FALSE)</f>
        <v>B24-1</v>
      </c>
    </row>
    <row r="4856">
      <c r="C4856" t="str">
        <v>Dimensi</v>
      </c>
      <c r="D4856">
        <f>VLOOKUP(D4855,'Detail Balok'!$C$10:$AU$140,2,FALSE)</f>
        <v>200</v>
      </c>
      <c r="F4856" t="str">
        <v>x</v>
      </c>
      <c r="G4856">
        <f>VLOOKUP(D4855,'Detail Balok'!$C$10:$AU$140,3,FALSE)</f>
        <v>400</v>
      </c>
    </row>
    <row r="4857">
      <c r="C4857" t="str">
        <v>Panjang as ke as</v>
      </c>
      <c r="D4857">
        <f>VLOOKUP(C4855,'Data Panjang Balok'!$C$9:$N$254,4,FALSE)</f>
        <v>4075</v>
      </c>
    </row>
    <row r="4858">
      <c r="C4858" t="str">
        <v>Panjang netto</v>
      </c>
      <c r="D4858">
        <f>VLOOKUP(C4855,'Data Panjang Balok'!$C$9:$N$254,7,FALSE)</f>
        <v>4075</v>
      </c>
    </row>
    <row r="4859">
      <c r="C4859" t="str">
        <v>Kolom / balok kiri</v>
      </c>
      <c r="D4859">
        <f>VLOOKUP(C4855,'Data Panjang Balok'!$C$9:$N$254,9,FALSE)</f>
        <v>0</v>
      </c>
    </row>
    <row r="4860">
      <c r="C4860" t="str">
        <v>Kolom / balok kanan</v>
      </c>
      <c r="D4860">
        <f>VLOOKUP(C4855,'Data Panjang Balok'!$C$9:$N$254,10,FALSE)</f>
        <v>0</v>
      </c>
    </row>
    <row r="4861">
      <c r="C4861" t="str">
        <v>Jumlah</v>
      </c>
      <c r="D4861">
        <f>VLOOKUP(C4855,'Data Panjang Balok'!$C$9:$N$254,3,FALSE)</f>
        <v>1</v>
      </c>
    </row>
    <row r="4862">
      <c r="A4862" t="str">
        <f>A4855</f>
        <v>Lantai 3</v>
      </c>
      <c r="B4862">
        <f>B4855</f>
        <v>20</v>
      </c>
      <c r="C4862" t="str">
        <v>Tul Atas Tumpuan</v>
      </c>
      <c r="D4862">
        <f>VLOOKUP(D4855,'Detail Balok'!$C$10:$AU$140,4,FALSE)</f>
        <v>3</v>
      </c>
      <c r="E4862" t="str">
        <v>D</v>
      </c>
      <c r="F4862">
        <f>VLOOKUP(D4855,'Detail Balok'!$C$10:$AU$140,6,FALSE)</f>
        <v>13</v>
      </c>
      <c r="I4862" t="str">
        <v>(</v>
      </c>
      <c r="J4862">
        <f>+D4857/4/1000</f>
        <v>1.01875</v>
      </c>
      <c r="K4862" t="str">
        <v>+</v>
      </c>
      <c r="L4862">
        <f>MAX(VLOOKUP(F4862,N$6:P$15,3,FALSE)/1000,2/3*D4859/1000)+F$16*F4862/1000</f>
        <v>0.156</v>
      </c>
      <c r="M4862" t="str">
        <v>=</v>
      </c>
      <c r="N4862">
        <f>J4862+L4862</f>
        <v>1.17475</v>
      </c>
      <c r="O4862" t="str">
        <v>+</v>
      </c>
      <c r="P4862">
        <f>D4862-D4863</f>
        <v>0</v>
      </c>
      <c r="Q4862" t="str">
        <v>x</v>
      </c>
      <c r="R4862">
        <f>IF(P4862&gt;0,$F$18*F4862/1000,0)</f>
        <v>0</v>
      </c>
      <c r="S4862" t="str">
        <v>)</v>
      </c>
      <c r="T4862" t="str">
        <v>x</v>
      </c>
      <c r="U4862">
        <f>0.006165*F4862^2</f>
        <v>1.041885</v>
      </c>
      <c r="X4862" t="str">
        <v>x</v>
      </c>
      <c r="Y4862">
        <f>D4861</f>
        <v>1</v>
      </c>
      <c r="Z4862" t="str">
        <v>=</v>
      </c>
      <c r="AA4862">
        <f>IF(AA4865=0,(D4862*N4862+P4862*R4862)*U4862*Y4862,0)</f>
        <v>0</v>
      </c>
    </row>
    <row r="4863">
      <c r="A4863" t="str">
        <f>A4855</f>
        <v>Lantai 3</v>
      </c>
      <c r="B4863">
        <f>B4855</f>
        <v>20</v>
      </c>
      <c r="C4863" t="str">
        <v>Tul Atas Lapangan</v>
      </c>
      <c r="D4863">
        <f>VLOOKUP(D4855,'Detail Balok'!$C$10:$AU$140,7,FALSE)</f>
        <v>3</v>
      </c>
      <c r="E4863" t="str">
        <v>D</v>
      </c>
      <c r="F4863">
        <f>VLOOKUP(D4855,'Detail Balok'!$C$10:$AU$140,9,FALSE)</f>
        <v>13</v>
      </c>
      <c r="I4863" t="str">
        <v>(</v>
      </c>
      <c r="J4863">
        <f>+D4857/2/1000</f>
        <v>2.0375</v>
      </c>
      <c r="K4863" t="str">
        <v>+</v>
      </c>
      <c r="M4863" t="str">
        <v>=</v>
      </c>
      <c r="N4863">
        <f>J4863+L4863</f>
        <v>2.0375</v>
      </c>
      <c r="O4863" t="str">
        <v>+</v>
      </c>
      <c r="P4863">
        <f>MAX(D4863-D4862,D4863-D4864)</f>
        <v>0</v>
      </c>
      <c r="Q4863" t="str">
        <v>x</v>
      </c>
      <c r="R4863">
        <f>IF(P4863&gt;0,2*(1-2*$F$19-1/2)*D4858/1000,0)</f>
        <v>0</v>
      </c>
      <c r="S4863" t="str">
        <v>)</v>
      </c>
      <c r="T4863" t="str">
        <v>x</v>
      </c>
      <c r="U4863">
        <f>0.006165*F4863^2</f>
        <v>1.041885</v>
      </c>
      <c r="X4863" t="str">
        <v>x</v>
      </c>
      <c r="Y4863">
        <f>D4861</f>
        <v>1</v>
      </c>
      <c r="Z4863" t="str">
        <v>=</v>
      </c>
      <c r="AA4863">
        <f>IF(AA4865=0,(D4863*N4863+P4863*R4863)*U4863*Y4863,0)</f>
        <v>0</v>
      </c>
    </row>
    <row r="4864">
      <c r="A4864" t="str">
        <f>A4855</f>
        <v>Lantai 3</v>
      </c>
      <c r="B4864">
        <f>B4855</f>
        <v>20</v>
      </c>
      <c r="C4864" t="str">
        <v>Tul Atas Tumpuan</v>
      </c>
      <c r="D4864">
        <f>VLOOKUP(D4855,'Detail Balok'!$C$10:$AU$140,10,FALSE)</f>
        <v>3</v>
      </c>
      <c r="E4864" t="str">
        <v>D</v>
      </c>
      <c r="F4864">
        <f>VLOOKUP(D4855,'Detail Balok'!$C$10:$AU$140,12,FALSE)</f>
        <v>13</v>
      </c>
      <c r="I4864" t="str">
        <v>(</v>
      </c>
      <c r="J4864">
        <f>+D4857/4/1000</f>
        <v>1.01875</v>
      </c>
      <c r="K4864" t="str">
        <v>+</v>
      </c>
      <c r="L4864">
        <f>MAX(VLOOKUP(F4864,N$6:P$15,3,FALSE)/1000,2/3*D4859/1000)+F$16*F4864/1000</f>
        <v>0.156</v>
      </c>
      <c r="M4864" t="str">
        <v>=</v>
      </c>
      <c r="N4864">
        <f>J4864+L4864</f>
        <v>1.17475</v>
      </c>
      <c r="O4864" t="str">
        <v>+</v>
      </c>
      <c r="P4864">
        <f>D4864-D4863</f>
        <v>0</v>
      </c>
      <c r="Q4864" t="str">
        <v>x</v>
      </c>
      <c r="R4864">
        <f>IF(P4864&gt;0,$F$18*F4864/1000,0)</f>
        <v>0</v>
      </c>
      <c r="S4864" t="str">
        <v>)</v>
      </c>
      <c r="T4864" t="str">
        <v>x</v>
      </c>
      <c r="U4864">
        <f>0.006165*F4864^2</f>
        <v>1.041885</v>
      </c>
      <c r="X4864" t="str">
        <v>x</v>
      </c>
      <c r="Y4864">
        <f>D4861</f>
        <v>1</v>
      </c>
      <c r="Z4864" t="str">
        <v>=</v>
      </c>
      <c r="AA4864">
        <f>IF(AA4865=0,(D4864*N4864+P4864*R4864)*U4864*Y4864,0)</f>
        <v>0</v>
      </c>
    </row>
    <row r="4865">
      <c r="A4865" t="str">
        <f>A4855</f>
        <v>Lantai 3</v>
      </c>
      <c r="B4865">
        <f>B4855</f>
        <v>20</v>
      </c>
      <c r="D4865">
        <f>IF(AND(D4862=D4863,D4863=D4864,D4862=D4864),D4862,0)</f>
        <v>3</v>
      </c>
      <c r="E4865" t="str">
        <v>D</v>
      </c>
      <c r="F4865">
        <f>IF(AND(F4862=F4863,F4862=F4864,F4863=F4864),F4862,0)</f>
        <v>13</v>
      </c>
      <c r="L4865" t="str">
        <v>Total panjang per balok</v>
      </c>
      <c r="M4865" t="str">
        <v>=</v>
      </c>
      <c r="N4865">
        <f>IF(AND(D4862=D4863,D4862=D4864,D4863=D4864,F4862=F4863,F4862=F4864,F4863=F4864),SUM(N4862:N4864),0)</f>
        <v>4.3870000000000005</v>
      </c>
      <c r="O4865" t="str">
        <v>+</v>
      </c>
      <c r="P4865">
        <f>IF(N4865&gt;12,ROUNDDOWN(N4865/12,0),0)</f>
        <v>0</v>
      </c>
      <c r="Q4865" t="str">
        <v>x</v>
      </c>
      <c r="R4865">
        <f>IF(P4865&gt;0,MAX(VLOOKUP(F4865,$D$6:$G$15,3,FALSE),600),0)/1000</f>
        <v>0</v>
      </c>
      <c r="T4865" t="str">
        <v>x</v>
      </c>
      <c r="U4865">
        <f>U4864</f>
        <v>1.041885</v>
      </c>
      <c r="V4865" t="str">
        <v>x</v>
      </c>
      <c r="W4865">
        <f>D4865</f>
        <v>3</v>
      </c>
      <c r="X4865" t="str">
        <v>x</v>
      </c>
      <c r="Y4865">
        <f>Y4864</f>
        <v>1</v>
      </c>
      <c r="Z4865" t="str">
        <v>=</v>
      </c>
      <c r="AA4865">
        <f>(N4865+P4865*R4865/1000)*U4865*W4865*Y4865</f>
        <v>13.712248485</v>
      </c>
    </row>
    <row r="4867">
      <c r="A4867" t="str">
        <f>A4855</f>
        <v>Lantai 3</v>
      </c>
      <c r="B4867">
        <f>B4855</f>
        <v>20</v>
      </c>
      <c r="C4867" t="str">
        <v>Tul Peminggang</v>
      </c>
      <c r="D4867">
        <f>VLOOKUP(D4855,'Detail Balok'!$C$10:$AU$140,13,FALSE)</f>
        <v>0</v>
      </c>
      <c r="E4867" t="str">
        <v>D</v>
      </c>
      <c r="F4867">
        <f>VLOOKUP(D4855,'Detail Balok'!$C$10:$AU$140,15,FALSE)</f>
        <v>8</v>
      </c>
      <c r="J4867">
        <f>+D4857/1000</f>
        <v>4.075</v>
      </c>
      <c r="K4867" t="str">
        <v>+</v>
      </c>
      <c r="L4867">
        <f>2*$F$16*F4867/1000</f>
        <v>0.192</v>
      </c>
      <c r="M4867" t="str">
        <v>=</v>
      </c>
      <c r="N4867">
        <f>J4867+L4867</f>
        <v>4.267</v>
      </c>
      <c r="O4867" t="str">
        <v>+</v>
      </c>
      <c r="P4867">
        <f>IF(N4867&gt;12,ROUNDDOWN(N4867/12,0),0)</f>
        <v>0</v>
      </c>
      <c r="Q4867" t="str">
        <v>x</v>
      </c>
      <c r="R4867">
        <f>IF(P4867&gt;0,MAX(VLOOKUP(F4867,$D$6:$G$15,3,FALSE),600),0)/1000</f>
        <v>0</v>
      </c>
      <c r="T4867" t="str">
        <v>x</v>
      </c>
      <c r="U4867">
        <f>0.006165*F4867^2</f>
        <v>0.39456</v>
      </c>
      <c r="V4867" t="str">
        <v>x</v>
      </c>
      <c r="W4867">
        <f>+D4867</f>
        <v>0</v>
      </c>
      <c r="X4867" t="str">
        <v>x</v>
      </c>
      <c r="Y4867">
        <f>D4861</f>
        <v>1</v>
      </c>
      <c r="Z4867" t="str">
        <v>=</v>
      </c>
      <c r="AA4867">
        <f>(N4867+P4867*R4867/1000)*U4867*W4867*Y4867</f>
        <v>0</v>
      </c>
    </row>
    <row r="4870">
      <c r="A4870" t="str">
        <f>A4855</f>
        <v>Lantai 3</v>
      </c>
      <c r="B4870">
        <f>B4855</f>
        <v>20</v>
      </c>
      <c r="C4870" t="str">
        <v>Tul Bawah Tumpuan</v>
      </c>
      <c r="D4870">
        <f>VLOOKUP(D4855,'Detail Balok'!$C$10:$AU$140,22,FALSE)</f>
        <v>3</v>
      </c>
      <c r="E4870" t="str">
        <v>D</v>
      </c>
      <c r="F4870">
        <f>VLOOKUP(D4855,'Detail Balok'!$C$10:$AU$140,24,FALSE)</f>
        <v>13</v>
      </c>
      <c r="I4870" t="str">
        <v>(</v>
      </c>
      <c r="J4870">
        <f>+J4862</f>
        <v>1.01875</v>
      </c>
      <c r="K4870" t="str">
        <v>+</v>
      </c>
      <c r="L4870">
        <f>MAX(VLOOKUP(F4870,N$6:P$15,3,FALSE)/1000,2/3*D4860/1000)+F$16*F4870/1000</f>
        <v>0.156</v>
      </c>
      <c r="M4870" t="str">
        <v>=</v>
      </c>
      <c r="N4870">
        <f>J4870+L4870</f>
        <v>1.17475</v>
      </c>
      <c r="O4870" t="str">
        <v>+</v>
      </c>
      <c r="P4870">
        <f>D4870-D4871</f>
        <v>0</v>
      </c>
      <c r="Q4870" t="str">
        <v>x</v>
      </c>
      <c r="R4870">
        <f>IF(P4870&gt;0,$F$18*F4870/1000,0)</f>
        <v>0</v>
      </c>
      <c r="S4870" t="str">
        <v>)</v>
      </c>
      <c r="T4870" t="str">
        <v>x</v>
      </c>
      <c r="U4870">
        <f>0.006165*F4870^2</f>
        <v>1.041885</v>
      </c>
      <c r="X4870" t="str">
        <v>x</v>
      </c>
      <c r="Y4870">
        <f>D4861</f>
        <v>1</v>
      </c>
      <c r="Z4870" t="str">
        <v>=</v>
      </c>
      <c r="AA4870">
        <f>IF(AA4873=0,(D4870*N4870+P4870*R4870)*U4870*Y4870,0)</f>
        <v>0</v>
      </c>
    </row>
    <row r="4871">
      <c r="A4871" t="str">
        <f>A4855</f>
        <v>Lantai 3</v>
      </c>
      <c r="B4871">
        <f>B4855</f>
        <v>20</v>
      </c>
      <c r="C4871" t="str">
        <v>Tul Bawah Lapangan</v>
      </c>
      <c r="D4871">
        <f>VLOOKUP(D4855,'Detail Balok'!$C$10:$AU$140,25,FALSE)</f>
        <v>3</v>
      </c>
      <c r="E4871" t="str">
        <v>D</v>
      </c>
      <c r="F4871">
        <f>VLOOKUP(D4855,'Detail Balok'!$C$10:$AU$140,27,FALSE)</f>
        <v>13</v>
      </c>
      <c r="I4871" t="str">
        <v>(</v>
      </c>
      <c r="J4871">
        <f>+J4863</f>
        <v>2.0375</v>
      </c>
      <c r="K4871" t="str">
        <v>+</v>
      </c>
      <c r="M4871" t="str">
        <v>=</v>
      </c>
      <c r="N4871">
        <f>J4871+L4871</f>
        <v>2.0375</v>
      </c>
      <c r="O4871" t="str">
        <v>+</v>
      </c>
      <c r="P4871">
        <f>MAX(D4871-D4870,D4871-D4872)</f>
        <v>0</v>
      </c>
      <c r="Q4871" t="str">
        <v>x</v>
      </c>
      <c r="R4871">
        <f>IF(P4871&gt;0,2*(1-2*$F$19-1/2)*D4858/1000,0)</f>
        <v>0</v>
      </c>
      <c r="S4871" t="str">
        <v>)</v>
      </c>
      <c r="T4871" t="str">
        <v>x</v>
      </c>
      <c r="U4871">
        <f>0.006165*F4871^2</f>
        <v>1.041885</v>
      </c>
      <c r="X4871" t="str">
        <v>x</v>
      </c>
      <c r="Y4871">
        <f>D4861</f>
        <v>1</v>
      </c>
      <c r="Z4871" t="str">
        <v>=</v>
      </c>
      <c r="AA4871">
        <f>IF(AA4873=0,(D4871*N4871+P4871*R4871)*U4871*Y4871,0)</f>
        <v>0</v>
      </c>
    </row>
    <row r="4872">
      <c r="A4872" t="str">
        <f>A4855</f>
        <v>Lantai 3</v>
      </c>
      <c r="B4872">
        <f>B4855</f>
        <v>20</v>
      </c>
      <c r="C4872" t="str">
        <v>Tul Bawah Tumpuan</v>
      </c>
      <c r="D4872">
        <f>VLOOKUP(D4855,'Detail Balok'!$C$10:$AU$140,28,FALSE)</f>
        <v>3</v>
      </c>
      <c r="E4872" t="str">
        <v>D</v>
      </c>
      <c r="F4872">
        <f>VLOOKUP(D4855,'Detail Balok'!$C$10:$AU$140,30,FALSE)</f>
        <v>13</v>
      </c>
      <c r="I4872" t="str">
        <v>(</v>
      </c>
      <c r="J4872">
        <f>+J4864</f>
        <v>1.01875</v>
      </c>
      <c r="K4872" t="str">
        <v>+</v>
      </c>
      <c r="L4872">
        <f>MAX(VLOOKUP(F4872,N$6:P$15,3,FALSE)/1000,2/3*D4860/1000)+F$16*F4872/1000</f>
        <v>0.156</v>
      </c>
      <c r="M4872" t="str">
        <v>=</v>
      </c>
      <c r="N4872">
        <f>J4872+L4872</f>
        <v>1.17475</v>
      </c>
      <c r="O4872" t="str">
        <v>+</v>
      </c>
      <c r="P4872">
        <f>D4872-D4871</f>
        <v>0</v>
      </c>
      <c r="Q4872" t="str">
        <v>x</v>
      </c>
      <c r="R4872">
        <f>IF(P4872&gt;0,$F$18*F4872/1000,0)</f>
        <v>0</v>
      </c>
      <c r="S4872" t="str">
        <v>)</v>
      </c>
      <c r="T4872" t="str">
        <v>x</v>
      </c>
      <c r="U4872">
        <f>0.006165*F4872^2</f>
        <v>1.041885</v>
      </c>
      <c r="X4872" t="str">
        <v>x</v>
      </c>
      <c r="Y4872">
        <f>D4861</f>
        <v>1</v>
      </c>
      <c r="Z4872" t="str">
        <v>=</v>
      </c>
      <c r="AA4872">
        <f>IF(AA4873=0,(D4872*N4872+P4872*R4872)*U4872*Y4872,0)</f>
        <v>0</v>
      </c>
    </row>
    <row r="4873">
      <c r="A4873" t="str">
        <f>A4855</f>
        <v>Lantai 3</v>
      </c>
      <c r="B4873">
        <f>B4855</f>
        <v>20</v>
      </c>
      <c r="D4873">
        <f>IF(AND(D4870=D4871,D4871=D4872,D4870=D4872),D4870,0)</f>
        <v>3</v>
      </c>
      <c r="E4873" t="str">
        <v>D</v>
      </c>
      <c r="F4873">
        <f>IF(AND(F4870=F4871,F4870=F4872,F4871=F4872),F4870,0)</f>
        <v>13</v>
      </c>
      <c r="L4873" t="str">
        <v>Total panjang per balok</v>
      </c>
      <c r="M4873" t="str">
        <v>=</v>
      </c>
      <c r="N4873">
        <f>IF(AND(D4870=D4871,D4870=D4872,D4871=D4872,F4870=F4871,F4870=F4872,F4871=F4872),SUM(N4870:N4872),0)</f>
        <v>4.3870000000000005</v>
      </c>
      <c r="O4873" t="str">
        <v>+</v>
      </c>
      <c r="P4873">
        <f>IF(N4873&gt;12,ROUNDDOWN(N4873/12,0),0)</f>
        <v>0</v>
      </c>
      <c r="Q4873" t="str">
        <v>x</v>
      </c>
      <c r="R4873">
        <f>IF(P4873&gt;0,MAX(VLOOKUP(F4873,$D$6:$G$15,3,FALSE),600),0)/1000</f>
        <v>0</v>
      </c>
      <c r="T4873" t="str">
        <v>x</v>
      </c>
      <c r="U4873">
        <f>U4872</f>
        <v>1.041885</v>
      </c>
      <c r="V4873" t="str">
        <v>x</v>
      </c>
      <c r="W4873">
        <f>D4873</f>
        <v>3</v>
      </c>
      <c r="X4873" t="str">
        <v>x</v>
      </c>
      <c r="Y4873">
        <f>Y4872</f>
        <v>1</v>
      </c>
      <c r="Z4873" t="str">
        <v>=</v>
      </c>
      <c r="AA4873">
        <f>(N4873+P4873*R4873/1000)*U4873*W4873*Y4873</f>
        <v>13.712248485</v>
      </c>
    </row>
    <row r="4875">
      <c r="A4875" t="str">
        <f>A4855</f>
        <v>Lantai 3</v>
      </c>
      <c r="B4875">
        <f>B4855</f>
        <v>20</v>
      </c>
      <c r="C4875" t="str">
        <v>Sengkang Tumpuan</v>
      </c>
      <c r="D4875">
        <f>VLOOKUP(D4855,'Detail Balok'!$C$10:$AU$140,31,FALSE)</f>
        <v>0</v>
      </c>
      <c r="E4875" t="str">
        <v>D</v>
      </c>
      <c r="F4875">
        <f>VLOOKUP(D4855,'Detail Balok'!$C$10:$AU$140,33,FALSE)</f>
        <v>10</v>
      </c>
      <c r="G4875" t="str">
        <v>-</v>
      </c>
      <c r="H4875">
        <f>VLOOKUP(D4855,'Detail Balok'!$C$10:$AU$140,35,FALSE)</f>
        <v>100</v>
      </c>
      <c r="J4875">
        <f>(IF(D4875=0,(2*(D4856+G4856))-(F$5*8),IF(D4875=3,(2*(D4856+G4856))-(F$5*8)+(G4856-2*F$5),IF(D4875=4,(2*(D4856+G4856))-(F$5*8)+2*(G4856-2*F$5)))))/1000</f>
        <v>0.88</v>
      </c>
      <c r="K4875" t="str">
        <v>+</v>
      </c>
      <c r="L4875">
        <f>IF(D4875=0,2*MAX(6*F4875,75),(D4875-1)*2*MAX(6*F4875,75))/1000</f>
        <v>0.15</v>
      </c>
      <c r="M4875" t="str">
        <v>=</v>
      </c>
      <c r="N4875">
        <f>J4875+L4875</f>
        <v>1.03</v>
      </c>
      <c r="T4875" t="str">
        <v>x</v>
      </c>
      <c r="U4875">
        <f>0.006165*F4875^2</f>
        <v>0.6165</v>
      </c>
      <c r="V4875" t="str">
        <v>x</v>
      </c>
      <c r="W4875">
        <f>IF(D4858&gt;4*G4856,ROUND(MAX(D4858/4,2*G4856)/H4875,0)+1,ROUND(D4858/H4875,0)+1)</f>
        <v>11</v>
      </c>
      <c r="X4875" t="str">
        <v>x</v>
      </c>
      <c r="Y4875">
        <f>D4861</f>
        <v>1</v>
      </c>
      <c r="Z4875" t="str">
        <v>=</v>
      </c>
      <c r="AA4875">
        <f>N4875*U4875*W4875*Y4875</f>
        <v>6.984945000000001</v>
      </c>
    </row>
    <row r="4876">
      <c r="A4876" t="str">
        <f>A4855</f>
        <v>Lantai 3</v>
      </c>
      <c r="B4876">
        <f>B4855</f>
        <v>20</v>
      </c>
      <c r="C4876" t="str">
        <v>Sengkang Lapangan</v>
      </c>
      <c r="D4876">
        <f>VLOOKUP(D4855,'Detail Balok'!$C$10:$AU$140,36,FALSE)</f>
        <v>0</v>
      </c>
      <c r="E4876" t="str">
        <v>D</v>
      </c>
      <c r="F4876">
        <f>VLOOKUP(D4855,'Detail Balok'!$C$10:$AU$140,38,FALSE)</f>
        <v>10</v>
      </c>
      <c r="G4876" t="str">
        <v>-</v>
      </c>
      <c r="H4876">
        <f>VLOOKUP(D4855,'Detail Balok'!$C$10:$AU$140,40,FALSE)</f>
        <v>200</v>
      </c>
      <c r="J4876">
        <f>(IF(D4876=0,(2*(D4856+G4856))-(F$5*8),IF(D4876=3,(2*(D4856+G4856))-(F$5*8)+(G4856-2*F$5),IF(D4876=4,(2*(D4856+G4856))-(F$5*8)+2*(G4856-2*F$5)))))/1000</f>
        <v>0.88</v>
      </c>
      <c r="K4876" t="str">
        <v>+</v>
      </c>
      <c r="L4876">
        <f>IF(D4876=0,2*MAX(6*F4876,75),(D4876-1)*2*MAX(6*F4876,75))/1000</f>
        <v>0.15</v>
      </c>
      <c r="M4876" t="str">
        <v>=</v>
      </c>
      <c r="N4876">
        <f>J4876+L4876</f>
        <v>1.03</v>
      </c>
      <c r="T4876" t="str">
        <v>x</v>
      </c>
      <c r="U4876">
        <f>0.006165*F4876^2</f>
        <v>0.6165</v>
      </c>
      <c r="V4876" t="str">
        <v>x</v>
      </c>
      <c r="W4876">
        <f>IF(D4858-MAX(D4858/4,2*G4856)*2&gt;0,ROUND((D4858-MAX(D4858/4,2*G4856)*2)/H4876,0),0)</f>
        <v>10</v>
      </c>
      <c r="X4876" t="str">
        <v>x</v>
      </c>
      <c r="Y4876">
        <f>D4861</f>
        <v>1</v>
      </c>
      <c r="Z4876" t="str">
        <v>=</v>
      </c>
      <c r="AA4876">
        <f>N4876*U4876*W4876*Y4876</f>
        <v>6.349950000000001</v>
      </c>
    </row>
    <row r="4877">
      <c r="A4877" t="str">
        <f>A4855</f>
        <v>Lantai 3</v>
      </c>
      <c r="B4877">
        <f>B4855</f>
        <v>20</v>
      </c>
      <c r="C4877" t="str">
        <v>Sengkang Tumpuan</v>
      </c>
      <c r="D4877">
        <f>VLOOKUP(D4855,'Detail Balok'!$C$10:$AU$140,41,FALSE)</f>
        <v>0</v>
      </c>
      <c r="E4877" t="str">
        <v>D</v>
      </c>
      <c r="F4877">
        <f>VLOOKUP(D4855,'Detail Balok'!$C$10:$AU$140,43,FALSE)</f>
        <v>10</v>
      </c>
      <c r="G4877" t="str">
        <v>-</v>
      </c>
      <c r="H4877">
        <f>VLOOKUP(D4855,'Detail Balok'!$C$10:$AU$140,45,FALSE)</f>
        <v>100</v>
      </c>
      <c r="J4877">
        <f>(IF(D4877=0,(2*(D4856+G4856))-(F$5*8),IF(D4877=3,(2*(D4856+G4856))-(F$5*8)+(G4856-2*F$5),IF(D4877=4,(2*(D4856+G4856))-(F$5*8)+2*(G4856-2*F$5)))))/1000</f>
        <v>0.88</v>
      </c>
      <c r="K4877" t="str">
        <v>+</v>
      </c>
      <c r="L4877">
        <f>IF(D4877=0,2*MAX(6*F4877,75),(D4877-1)*2*MAX(6*F4877,75))/1000</f>
        <v>0.15</v>
      </c>
      <c r="M4877" t="str">
        <v>=</v>
      </c>
      <c r="N4877">
        <f>J4877+L4877</f>
        <v>1.03</v>
      </c>
      <c r="T4877" t="str">
        <v>x</v>
      </c>
      <c r="U4877">
        <f>0.006165*F4877^2</f>
        <v>0.6165</v>
      </c>
      <c r="V4877" t="str">
        <v>x</v>
      </c>
      <c r="W4877">
        <f>IF(D4858&gt;4*G4856,ROUND(MAX(D4858/4,2*G4856)/H4877,0)+1,0)</f>
        <v>11</v>
      </c>
      <c r="X4877" t="str">
        <v>x</v>
      </c>
      <c r="Y4877">
        <f>D4861</f>
        <v>1</v>
      </c>
      <c r="Z4877" t="str">
        <v>=</v>
      </c>
      <c r="AA4877">
        <f>N4877*U4877*W4877*Y4877</f>
        <v>6.984945000000001</v>
      </c>
    </row>
    <row r="4879">
      <c r="A4879" t="str">
        <f>A4855</f>
        <v>Lantai 3</v>
      </c>
      <c r="B4879">
        <f>B4855</f>
        <v>20</v>
      </c>
      <c r="C4879" t="str">
        <v>Kait Horizontal Tump.</v>
      </c>
      <c r="D4879">
        <f>VLOOKUP(D4855,'Detail Balok'!$C$10:$BJ$140,46,FALSE)</f>
        <v>0</v>
      </c>
      <c r="E4879" t="str">
        <v>D</v>
      </c>
      <c r="F4879">
        <f>VLOOKUP(D4855,'Detail Balok'!$C$10:$BJ$140,48,FALSE)</f>
        <v>0</v>
      </c>
      <c r="G4879" t="str">
        <v>-</v>
      </c>
      <c r="H4879">
        <f>VLOOKUP(D4855,'Detail Balok'!$C$10:$BJ$140,50,FALSE)</f>
        <v>100</v>
      </c>
      <c r="J4879">
        <f>(D4856-2*F$5)/1000</f>
        <v>0.12</v>
      </c>
      <c r="K4879" t="str">
        <v>+</v>
      </c>
      <c r="L4879">
        <f>IF(D4879=0,2*MAX(6*F4879,75),(D4879-1)*2*MAX(6*F4879,75))/1000</f>
        <v>0.15</v>
      </c>
      <c r="M4879" t="str">
        <v>=</v>
      </c>
      <c r="N4879">
        <f>J4879+L4879</f>
        <v>0.27</v>
      </c>
      <c r="T4879" t="str">
        <v>x</v>
      </c>
      <c r="U4879">
        <f>0.006165*F4879^2</f>
        <v>0</v>
      </c>
      <c r="V4879" t="str">
        <v>x</v>
      </c>
      <c r="W4879">
        <f>W4875</f>
        <v>11</v>
      </c>
      <c r="X4879" t="str">
        <v>x</v>
      </c>
      <c r="Y4879">
        <f>D4865</f>
        <v>3</v>
      </c>
      <c r="Z4879" t="str">
        <v>=</v>
      </c>
      <c r="AA4879">
        <f>N4879*U4879*W4879*Y4879</f>
        <v>0</v>
      </c>
    </row>
    <row r="4880">
      <c r="A4880" t="str">
        <f>A4855</f>
        <v>Lantai 3</v>
      </c>
      <c r="B4880">
        <f>B4855</f>
        <v>20</v>
      </c>
      <c r="C4880" t="str">
        <v>Kait Horizontal Lap.</v>
      </c>
      <c r="D4880">
        <f>VLOOKUP(D4855,'Detail Balok'!$C$10:$BJ$140,51,FALSE)</f>
        <v>0</v>
      </c>
      <c r="E4880" t="str">
        <v>D</v>
      </c>
      <c r="F4880">
        <f>VLOOKUP(D4855,'Detail Balok'!$C$10:$BJ$140,53,FALSE)</f>
        <v>0</v>
      </c>
      <c r="G4880" t="str">
        <v>-</v>
      </c>
      <c r="H4880">
        <f>VLOOKUP(D4855,'Detail Balok'!$C$10:$BJ$140,55,FALSE)</f>
        <v>100</v>
      </c>
      <c r="J4880">
        <f>(D4856-2*F$5)/1000</f>
        <v>0.12</v>
      </c>
      <c r="K4880" t="str">
        <v>+</v>
      </c>
      <c r="L4880">
        <f>IF(D4880=0,2*MAX(6*F4880,75),(D4880-1)*2*MAX(6*F4880,75))/1000</f>
        <v>0.15</v>
      </c>
      <c r="M4880" t="str">
        <v>=</v>
      </c>
      <c r="N4880">
        <f>J4880+L4880</f>
        <v>0.27</v>
      </c>
      <c r="T4880" t="str">
        <v>x</v>
      </c>
      <c r="U4880">
        <f>0.006165*F4880^2</f>
        <v>0</v>
      </c>
      <c r="V4880" t="str">
        <v>x</v>
      </c>
      <c r="W4880">
        <f>W4876</f>
        <v>10</v>
      </c>
      <c r="X4880" t="str">
        <v>x</v>
      </c>
      <c r="Y4880">
        <f>D4865</f>
        <v>3</v>
      </c>
      <c r="Z4880" t="str">
        <v>=</v>
      </c>
      <c r="AA4880">
        <f>N4880*U4880*W4880*Y4880</f>
        <v>0</v>
      </c>
    </row>
    <row r="4881">
      <c r="A4881" t="str">
        <f>A4855</f>
        <v>Lantai 3</v>
      </c>
      <c r="B4881">
        <f>B4855</f>
        <v>20</v>
      </c>
      <c r="C4881" t="str">
        <v>Kait Horizontal Tump.</v>
      </c>
      <c r="D4881">
        <f>VLOOKUP(D4855,'Detail Balok'!$C$10:$BJ$140,56,FALSE)</f>
        <v>0</v>
      </c>
      <c r="E4881" t="str">
        <v>D</v>
      </c>
      <c r="F4881">
        <f>VLOOKUP(D4855,'Detail Balok'!$C$10:$BJ$140,58,FALSE)</f>
        <v>0</v>
      </c>
      <c r="G4881" t="str">
        <v>-</v>
      </c>
      <c r="H4881">
        <f>VLOOKUP(D4855,'Detail Balok'!$C$10:$BJ$140,60,FALSE)</f>
        <v>100</v>
      </c>
      <c r="J4881">
        <f>(D4856-2*F$5)/1000</f>
        <v>0.12</v>
      </c>
      <c r="K4881" t="str">
        <v>+</v>
      </c>
      <c r="L4881">
        <f>IF(D4881=0,2*MAX(6*F4881,75),(D4881-1)*2*MAX(6*F4881,75))/1000</f>
        <v>0.15</v>
      </c>
      <c r="M4881" t="str">
        <v>=</v>
      </c>
      <c r="N4881">
        <f>J4881+L4881</f>
        <v>0.27</v>
      </c>
      <c r="T4881" t="str">
        <v>x</v>
      </c>
      <c r="U4881">
        <f>0.006165*F4881^2</f>
        <v>0</v>
      </c>
      <c r="V4881" t="str">
        <v>x</v>
      </c>
      <c r="W4881">
        <f>W4877</f>
        <v>11</v>
      </c>
      <c r="X4881" t="str">
        <v>x</v>
      </c>
      <c r="Y4881">
        <f>D4865</f>
        <v>3</v>
      </c>
      <c r="Z4881" t="str">
        <v>=</v>
      </c>
      <c r="AA4881">
        <f>N4881*U4881*W4881*Y4881</f>
        <v>0</v>
      </c>
    </row>
    <row r="4885">
      <c r="A4885" t="str">
        <f>A4855</f>
        <v>Lantai 3</v>
      </c>
      <c r="B4885">
        <f>B4855+1</f>
        <v>21</v>
      </c>
      <c r="C4885" t="str">
        <f>CONCATENATE(A4885," no. ",B4885)</f>
        <v>Lantai 3 no. 21</v>
      </c>
      <c r="D4885" t="str">
        <f>VLOOKUP(C4885,'Data Panjang Balok'!$C$9:$N$254,2,FALSE)</f>
        <v>B24-1</v>
      </c>
    </row>
    <row r="4886">
      <c r="C4886" t="str">
        <v>Dimensi</v>
      </c>
      <c r="D4886">
        <f>VLOOKUP(D4885,'Detail Balok'!$C$10:$AU$140,2,FALSE)</f>
        <v>200</v>
      </c>
      <c r="F4886" t="str">
        <v>x</v>
      </c>
      <c r="G4886">
        <f>VLOOKUP(D4885,'Detail Balok'!$C$10:$AU$140,3,FALSE)</f>
        <v>400</v>
      </c>
    </row>
    <row r="4887">
      <c r="C4887" t="str">
        <v>Panjang as ke as</v>
      </c>
      <c r="D4887">
        <f>VLOOKUP(C4885,'Data Panjang Balok'!$C$9:$N$254,4,FALSE)</f>
        <v>2195</v>
      </c>
    </row>
    <row r="4888">
      <c r="C4888" t="str">
        <v>Panjang netto</v>
      </c>
      <c r="D4888">
        <f>VLOOKUP(C4885,'Data Panjang Balok'!$C$9:$N$254,7,FALSE)</f>
        <v>2195</v>
      </c>
    </row>
    <row r="4889">
      <c r="C4889" t="str">
        <v>Kolom / balok kiri</v>
      </c>
      <c r="D4889">
        <f>VLOOKUP(C4885,'Data Panjang Balok'!$C$9:$N$254,9,FALSE)</f>
        <v>0</v>
      </c>
    </row>
    <row r="4890">
      <c r="C4890" t="str">
        <v>Kolom / balok kanan</v>
      </c>
      <c r="D4890">
        <f>VLOOKUP(C4885,'Data Panjang Balok'!$C$9:$N$254,10,FALSE)</f>
        <v>0</v>
      </c>
    </row>
    <row r="4891">
      <c r="C4891" t="str">
        <v>Jumlah</v>
      </c>
      <c r="D4891">
        <f>VLOOKUP(C4885,'Data Panjang Balok'!$C$9:$N$254,3,FALSE)</f>
        <v>1</v>
      </c>
    </row>
    <row r="4892">
      <c r="A4892" t="str">
        <f>A4885</f>
        <v>Lantai 3</v>
      </c>
      <c r="B4892">
        <f>B4885</f>
        <v>21</v>
      </c>
      <c r="C4892" t="str">
        <v>Tul Atas Tumpuan</v>
      </c>
      <c r="D4892">
        <f>VLOOKUP(D4885,'Detail Balok'!$C$10:$AU$140,4,FALSE)</f>
        <v>3</v>
      </c>
      <c r="E4892" t="str">
        <v>D</v>
      </c>
      <c r="F4892">
        <f>VLOOKUP(D4885,'Detail Balok'!$C$10:$AU$140,6,FALSE)</f>
        <v>13</v>
      </c>
      <c r="I4892" t="str">
        <v>(</v>
      </c>
      <c r="J4892">
        <f>+D4887/4/1000</f>
        <v>0.54875</v>
      </c>
      <c r="K4892" t="str">
        <v>+</v>
      </c>
      <c r="L4892">
        <f>MAX(VLOOKUP(F4892,N$6:P$15,3,FALSE)/1000,2/3*D4889/1000)+F$16*F4892/1000</f>
        <v>0.156</v>
      </c>
      <c r="M4892" t="str">
        <v>=</v>
      </c>
      <c r="N4892">
        <f>J4892+L4892</f>
        <v>0.70475</v>
      </c>
      <c r="O4892" t="str">
        <v>+</v>
      </c>
      <c r="P4892">
        <f>D4892-D4893</f>
        <v>0</v>
      </c>
      <c r="Q4892" t="str">
        <v>x</v>
      </c>
      <c r="R4892">
        <f>IF(P4892&gt;0,$F$18*F4892/1000,0)</f>
        <v>0</v>
      </c>
      <c r="S4892" t="str">
        <v>)</v>
      </c>
      <c r="T4892" t="str">
        <v>x</v>
      </c>
      <c r="U4892">
        <f>0.006165*F4892^2</f>
        <v>1.041885</v>
      </c>
      <c r="X4892" t="str">
        <v>x</v>
      </c>
      <c r="Y4892">
        <f>D4891</f>
        <v>1</v>
      </c>
      <c r="Z4892" t="str">
        <v>=</v>
      </c>
      <c r="AA4892">
        <f>IF(AA4895=0,(D4892*N4892+P4892*R4892)*U4892*Y4892,0)</f>
        <v>0</v>
      </c>
    </row>
    <row r="4893">
      <c r="A4893" t="str">
        <f>A4885</f>
        <v>Lantai 3</v>
      </c>
      <c r="B4893">
        <f>B4885</f>
        <v>21</v>
      </c>
      <c r="C4893" t="str">
        <v>Tul Atas Lapangan</v>
      </c>
      <c r="D4893">
        <f>VLOOKUP(D4885,'Detail Balok'!$C$10:$AU$140,7,FALSE)</f>
        <v>3</v>
      </c>
      <c r="E4893" t="str">
        <v>D</v>
      </c>
      <c r="F4893">
        <f>VLOOKUP(D4885,'Detail Balok'!$C$10:$AU$140,9,FALSE)</f>
        <v>13</v>
      </c>
      <c r="I4893" t="str">
        <v>(</v>
      </c>
      <c r="J4893">
        <f>+D4887/2/1000</f>
        <v>1.0975</v>
      </c>
      <c r="K4893" t="str">
        <v>+</v>
      </c>
      <c r="M4893" t="str">
        <v>=</v>
      </c>
      <c r="N4893">
        <f>J4893+L4893</f>
        <v>1.0975</v>
      </c>
      <c r="O4893" t="str">
        <v>+</v>
      </c>
      <c r="P4893">
        <f>MAX(D4893-D4892,D4893-D4894)</f>
        <v>0</v>
      </c>
      <c r="Q4893" t="str">
        <v>x</v>
      </c>
      <c r="R4893">
        <f>IF(P4893&gt;0,2*(1-2*$F$19-1/2)*D4888/1000,0)</f>
        <v>0</v>
      </c>
      <c r="S4893" t="str">
        <v>)</v>
      </c>
      <c r="T4893" t="str">
        <v>x</v>
      </c>
      <c r="U4893">
        <f>0.006165*F4893^2</f>
        <v>1.041885</v>
      </c>
      <c r="X4893" t="str">
        <v>x</v>
      </c>
      <c r="Y4893">
        <f>D4891</f>
        <v>1</v>
      </c>
      <c r="Z4893" t="str">
        <v>=</v>
      </c>
      <c r="AA4893">
        <f>IF(AA4895=0,(D4893*N4893+P4893*R4893)*U4893*Y4893,0)</f>
        <v>0</v>
      </c>
    </row>
    <row r="4894">
      <c r="A4894" t="str">
        <f>A4885</f>
        <v>Lantai 3</v>
      </c>
      <c r="B4894">
        <f>B4885</f>
        <v>21</v>
      </c>
      <c r="C4894" t="str">
        <v>Tul Atas Tumpuan</v>
      </c>
      <c r="D4894">
        <f>VLOOKUP(D4885,'Detail Balok'!$C$10:$AU$140,10,FALSE)</f>
        <v>3</v>
      </c>
      <c r="E4894" t="str">
        <v>D</v>
      </c>
      <c r="F4894">
        <f>VLOOKUP(D4885,'Detail Balok'!$C$10:$AU$140,12,FALSE)</f>
        <v>13</v>
      </c>
      <c r="I4894" t="str">
        <v>(</v>
      </c>
      <c r="J4894">
        <f>+D4887/4/1000</f>
        <v>0.54875</v>
      </c>
      <c r="K4894" t="str">
        <v>+</v>
      </c>
      <c r="L4894">
        <f>MAX(VLOOKUP(F4894,N$6:P$15,3,FALSE)/1000,2/3*D4889/1000)+F$16*F4894/1000</f>
        <v>0.156</v>
      </c>
      <c r="M4894" t="str">
        <v>=</v>
      </c>
      <c r="N4894">
        <f>J4894+L4894</f>
        <v>0.70475</v>
      </c>
      <c r="O4894" t="str">
        <v>+</v>
      </c>
      <c r="P4894">
        <f>D4894-D4893</f>
        <v>0</v>
      </c>
      <c r="Q4894" t="str">
        <v>x</v>
      </c>
      <c r="R4894">
        <f>IF(P4894&gt;0,$F$18*F4894/1000,0)</f>
        <v>0</v>
      </c>
      <c r="S4894" t="str">
        <v>)</v>
      </c>
      <c r="T4894" t="str">
        <v>x</v>
      </c>
      <c r="U4894">
        <f>0.006165*F4894^2</f>
        <v>1.041885</v>
      </c>
      <c r="X4894" t="str">
        <v>x</v>
      </c>
      <c r="Y4894">
        <f>D4891</f>
        <v>1</v>
      </c>
      <c r="Z4894" t="str">
        <v>=</v>
      </c>
      <c r="AA4894">
        <f>IF(AA4895=0,(D4894*N4894+P4894*R4894)*U4894*Y4894,0)</f>
        <v>0</v>
      </c>
    </row>
    <row r="4895">
      <c r="A4895" t="str">
        <f>A4885</f>
        <v>Lantai 3</v>
      </c>
      <c r="B4895">
        <f>B4885</f>
        <v>21</v>
      </c>
      <c r="D4895">
        <f>IF(AND(D4892=D4893,D4893=D4894,D4892=D4894),D4892,0)</f>
        <v>3</v>
      </c>
      <c r="E4895" t="str">
        <v>D</v>
      </c>
      <c r="F4895">
        <f>IF(AND(F4892=F4893,F4892=F4894,F4893=F4894),F4892,0)</f>
        <v>13</v>
      </c>
      <c r="L4895" t="str">
        <v>Total panjang per balok</v>
      </c>
      <c r="M4895" t="str">
        <v>=</v>
      </c>
      <c r="N4895">
        <f>IF(AND(D4892=D4893,D4892=D4894,D4893=D4894,F4892=F4893,F4892=F4894,F4893=F4894),SUM(N4892:N4894),0)</f>
        <v>2.5069999999999997</v>
      </c>
      <c r="O4895" t="str">
        <v>+</v>
      </c>
      <c r="P4895">
        <f>IF(N4895&gt;12,ROUNDDOWN(N4895/12,0),0)</f>
        <v>0</v>
      </c>
      <c r="Q4895" t="str">
        <v>x</v>
      </c>
      <c r="R4895">
        <f>IF(P4895&gt;0,MAX(VLOOKUP(F4895,$D$6:$G$15,3,FALSE),600),0)/1000</f>
        <v>0</v>
      </c>
      <c r="T4895" t="str">
        <v>x</v>
      </c>
      <c r="U4895">
        <f>U4894</f>
        <v>1.041885</v>
      </c>
      <c r="V4895" t="str">
        <v>x</v>
      </c>
      <c r="W4895">
        <f>D4895</f>
        <v>3</v>
      </c>
      <c r="X4895" t="str">
        <v>x</v>
      </c>
      <c r="Y4895">
        <f>Y4894</f>
        <v>1</v>
      </c>
      <c r="Z4895" t="str">
        <v>=</v>
      </c>
      <c r="AA4895">
        <f>(N4895+P4895*R4895/1000)*U4895*W4895*Y4895</f>
        <v>7.836017084999999</v>
      </c>
    </row>
    <row r="4897">
      <c r="A4897" t="str">
        <f>A4885</f>
        <v>Lantai 3</v>
      </c>
      <c r="B4897">
        <f>B4885</f>
        <v>21</v>
      </c>
      <c r="C4897" t="str">
        <v>Tul Peminggang</v>
      </c>
      <c r="D4897">
        <f>VLOOKUP(D4885,'Detail Balok'!$C$10:$AU$140,13,FALSE)</f>
        <v>0</v>
      </c>
      <c r="E4897" t="str">
        <v>D</v>
      </c>
      <c r="F4897">
        <f>VLOOKUP(D4885,'Detail Balok'!$C$10:$AU$140,15,FALSE)</f>
        <v>8</v>
      </c>
      <c r="J4897">
        <f>+D4887/1000</f>
        <v>2.195</v>
      </c>
      <c r="K4897" t="str">
        <v>+</v>
      </c>
      <c r="L4897">
        <f>2*$F$16*F4897/1000</f>
        <v>0.192</v>
      </c>
      <c r="M4897" t="str">
        <v>=</v>
      </c>
      <c r="N4897">
        <f>J4897+L4897</f>
        <v>2.387</v>
      </c>
      <c r="O4897" t="str">
        <v>+</v>
      </c>
      <c r="P4897">
        <f>IF(N4897&gt;12,ROUNDDOWN(N4897/12,0),0)</f>
        <v>0</v>
      </c>
      <c r="Q4897" t="str">
        <v>x</v>
      </c>
      <c r="R4897">
        <f>IF(P4897&gt;0,MAX(VLOOKUP(F4897,$D$6:$G$15,3,FALSE),600),0)/1000</f>
        <v>0</v>
      </c>
      <c r="T4897" t="str">
        <v>x</v>
      </c>
      <c r="U4897">
        <f>0.006165*F4897^2</f>
        <v>0.39456</v>
      </c>
      <c r="V4897" t="str">
        <v>x</v>
      </c>
      <c r="W4897">
        <f>+D4897</f>
        <v>0</v>
      </c>
      <c r="X4897" t="str">
        <v>x</v>
      </c>
      <c r="Y4897">
        <f>D4891</f>
        <v>1</v>
      </c>
      <c r="Z4897" t="str">
        <v>=</v>
      </c>
      <c r="AA4897">
        <f>(N4897+P4897*R4897/1000)*U4897*W4897*Y4897</f>
        <v>0</v>
      </c>
    </row>
    <row r="4900">
      <c r="A4900" t="str">
        <f>A4885</f>
        <v>Lantai 3</v>
      </c>
      <c r="B4900">
        <f>B4885</f>
        <v>21</v>
      </c>
      <c r="C4900" t="str">
        <v>Tul Bawah Tumpuan</v>
      </c>
      <c r="D4900">
        <f>VLOOKUP(D4885,'Detail Balok'!$C$10:$AU$140,22,FALSE)</f>
        <v>3</v>
      </c>
      <c r="E4900" t="str">
        <v>D</v>
      </c>
      <c r="F4900">
        <f>VLOOKUP(D4885,'Detail Balok'!$C$10:$AU$140,24,FALSE)</f>
        <v>13</v>
      </c>
      <c r="I4900" t="str">
        <v>(</v>
      </c>
      <c r="J4900">
        <f>+J4892</f>
        <v>0.54875</v>
      </c>
      <c r="K4900" t="str">
        <v>+</v>
      </c>
      <c r="L4900">
        <f>MAX(VLOOKUP(F4900,N$6:P$15,3,FALSE)/1000,2/3*D4890/1000)+F$16*F4900/1000</f>
        <v>0.156</v>
      </c>
      <c r="M4900" t="str">
        <v>=</v>
      </c>
      <c r="N4900">
        <f>J4900+L4900</f>
        <v>0.70475</v>
      </c>
      <c r="O4900" t="str">
        <v>+</v>
      </c>
      <c r="P4900">
        <f>D4900-D4901</f>
        <v>0</v>
      </c>
      <c r="Q4900" t="str">
        <v>x</v>
      </c>
      <c r="R4900">
        <f>IF(P4900&gt;0,$F$18*F4900/1000,0)</f>
        <v>0</v>
      </c>
      <c r="S4900" t="str">
        <v>)</v>
      </c>
      <c r="T4900" t="str">
        <v>x</v>
      </c>
      <c r="U4900">
        <f>0.006165*F4900^2</f>
        <v>1.041885</v>
      </c>
      <c r="X4900" t="str">
        <v>x</v>
      </c>
      <c r="Y4900">
        <f>D4891</f>
        <v>1</v>
      </c>
      <c r="Z4900" t="str">
        <v>=</v>
      </c>
      <c r="AA4900">
        <f>IF(AA4903=0,(D4900*N4900+P4900*R4900)*U4900*Y4900,0)</f>
        <v>0</v>
      </c>
    </row>
    <row r="4901">
      <c r="A4901" t="str">
        <f>A4885</f>
        <v>Lantai 3</v>
      </c>
      <c r="B4901">
        <f>B4885</f>
        <v>21</v>
      </c>
      <c r="C4901" t="str">
        <v>Tul Bawah Lapangan</v>
      </c>
      <c r="D4901">
        <f>VLOOKUP(D4885,'Detail Balok'!$C$10:$AU$140,25,FALSE)</f>
        <v>3</v>
      </c>
      <c r="E4901" t="str">
        <v>D</v>
      </c>
      <c r="F4901">
        <f>VLOOKUP(D4885,'Detail Balok'!$C$10:$AU$140,27,FALSE)</f>
        <v>13</v>
      </c>
      <c r="I4901" t="str">
        <v>(</v>
      </c>
      <c r="J4901">
        <f>+J4893</f>
        <v>1.0975</v>
      </c>
      <c r="K4901" t="str">
        <v>+</v>
      </c>
      <c r="M4901" t="str">
        <v>=</v>
      </c>
      <c r="N4901">
        <f>J4901+L4901</f>
        <v>1.0975</v>
      </c>
      <c r="O4901" t="str">
        <v>+</v>
      </c>
      <c r="P4901">
        <f>MAX(D4901-D4900,D4901-D4902)</f>
        <v>0</v>
      </c>
      <c r="Q4901" t="str">
        <v>x</v>
      </c>
      <c r="R4901">
        <f>IF(P4901&gt;0,2*(1-2*$F$19-1/2)*D4888/1000,0)</f>
        <v>0</v>
      </c>
      <c r="S4901" t="str">
        <v>)</v>
      </c>
      <c r="T4901" t="str">
        <v>x</v>
      </c>
      <c r="U4901">
        <f>0.006165*F4901^2</f>
        <v>1.041885</v>
      </c>
      <c r="X4901" t="str">
        <v>x</v>
      </c>
      <c r="Y4901">
        <f>D4891</f>
        <v>1</v>
      </c>
      <c r="Z4901" t="str">
        <v>=</v>
      </c>
      <c r="AA4901">
        <f>IF(AA4903=0,(D4901*N4901+P4901*R4901)*U4901*Y4901,0)</f>
        <v>0</v>
      </c>
    </row>
    <row r="4902">
      <c r="A4902" t="str">
        <f>A4885</f>
        <v>Lantai 3</v>
      </c>
      <c r="B4902">
        <f>B4885</f>
        <v>21</v>
      </c>
      <c r="C4902" t="str">
        <v>Tul Bawah Tumpuan</v>
      </c>
      <c r="D4902">
        <f>VLOOKUP(D4885,'Detail Balok'!$C$10:$AU$140,28,FALSE)</f>
        <v>3</v>
      </c>
      <c r="E4902" t="str">
        <v>D</v>
      </c>
      <c r="F4902">
        <f>VLOOKUP(D4885,'Detail Balok'!$C$10:$AU$140,30,FALSE)</f>
        <v>13</v>
      </c>
      <c r="I4902" t="str">
        <v>(</v>
      </c>
      <c r="J4902">
        <f>+J4894</f>
        <v>0.54875</v>
      </c>
      <c r="K4902" t="str">
        <v>+</v>
      </c>
      <c r="L4902">
        <f>MAX(VLOOKUP(F4902,N$6:P$15,3,FALSE)/1000,2/3*D4890/1000)+F$16*F4902/1000</f>
        <v>0.156</v>
      </c>
      <c r="M4902" t="str">
        <v>=</v>
      </c>
      <c r="N4902">
        <f>J4902+L4902</f>
        <v>0.70475</v>
      </c>
      <c r="O4902" t="str">
        <v>+</v>
      </c>
      <c r="P4902">
        <f>D4902-D4901</f>
        <v>0</v>
      </c>
      <c r="Q4902" t="str">
        <v>x</v>
      </c>
      <c r="R4902">
        <f>IF(P4902&gt;0,$F$18*F4902/1000,0)</f>
        <v>0</v>
      </c>
      <c r="S4902" t="str">
        <v>)</v>
      </c>
      <c r="T4902" t="str">
        <v>x</v>
      </c>
      <c r="U4902">
        <f>0.006165*F4902^2</f>
        <v>1.041885</v>
      </c>
      <c r="X4902" t="str">
        <v>x</v>
      </c>
      <c r="Y4902">
        <f>D4891</f>
        <v>1</v>
      </c>
      <c r="Z4902" t="str">
        <v>=</v>
      </c>
      <c r="AA4902">
        <f>IF(AA4903=0,(D4902*N4902+P4902*R4902)*U4902*Y4902,0)</f>
        <v>0</v>
      </c>
    </row>
    <row r="4903">
      <c r="A4903" t="str">
        <f>A4885</f>
        <v>Lantai 3</v>
      </c>
      <c r="B4903">
        <f>B4885</f>
        <v>21</v>
      </c>
      <c r="D4903">
        <f>IF(AND(D4900=D4901,D4901=D4902,D4900=D4902),D4900,0)</f>
        <v>3</v>
      </c>
      <c r="E4903" t="str">
        <v>D</v>
      </c>
      <c r="F4903">
        <f>IF(AND(F4900=F4901,F4900=F4902,F4901=F4902),F4900,0)</f>
        <v>13</v>
      </c>
      <c r="L4903" t="str">
        <v>Total panjang per balok</v>
      </c>
      <c r="M4903" t="str">
        <v>=</v>
      </c>
      <c r="N4903">
        <f>IF(AND(D4900=D4901,D4900=D4902,D4901=D4902,F4900=F4901,F4900=F4902,F4901=F4902),SUM(N4900:N4902),0)</f>
        <v>2.5069999999999997</v>
      </c>
      <c r="O4903" t="str">
        <v>+</v>
      </c>
      <c r="P4903">
        <f>IF(N4903&gt;12,ROUNDDOWN(N4903/12,0),0)</f>
        <v>0</v>
      </c>
      <c r="Q4903" t="str">
        <v>x</v>
      </c>
      <c r="R4903">
        <f>IF(P4903&gt;0,MAX(VLOOKUP(F4903,$D$6:$G$15,3,FALSE),600),0)/1000</f>
        <v>0</v>
      </c>
      <c r="T4903" t="str">
        <v>x</v>
      </c>
      <c r="U4903">
        <f>U4902</f>
        <v>1.041885</v>
      </c>
      <c r="V4903" t="str">
        <v>x</v>
      </c>
      <c r="W4903">
        <f>D4903</f>
        <v>3</v>
      </c>
      <c r="X4903" t="str">
        <v>x</v>
      </c>
      <c r="Y4903">
        <f>Y4902</f>
        <v>1</v>
      </c>
      <c r="Z4903" t="str">
        <v>=</v>
      </c>
      <c r="AA4903">
        <f>(N4903+P4903*R4903/1000)*U4903*W4903*Y4903</f>
        <v>7.836017084999999</v>
      </c>
    </row>
    <row r="4905">
      <c r="A4905" t="str">
        <f>A4885</f>
        <v>Lantai 3</v>
      </c>
      <c r="B4905">
        <f>B4885</f>
        <v>21</v>
      </c>
      <c r="C4905" t="str">
        <v>Sengkang Tumpuan</v>
      </c>
      <c r="D4905">
        <f>VLOOKUP(D4885,'Detail Balok'!$C$10:$AU$140,31,FALSE)</f>
        <v>0</v>
      </c>
      <c r="E4905" t="str">
        <v>D</v>
      </c>
      <c r="F4905">
        <f>VLOOKUP(D4885,'Detail Balok'!$C$10:$AU$140,33,FALSE)</f>
        <v>10</v>
      </c>
      <c r="G4905" t="str">
        <v>-</v>
      </c>
      <c r="H4905">
        <f>VLOOKUP(D4885,'Detail Balok'!$C$10:$AU$140,35,FALSE)</f>
        <v>100</v>
      </c>
      <c r="J4905">
        <f>(IF(D4905=0,(2*(D4886+G4886))-(F$5*8),IF(D4905=3,(2*(D4886+G4886))-(F$5*8)+(G4886-2*F$5),IF(D4905=4,(2*(D4886+G4886))-(F$5*8)+2*(G4886-2*F$5)))))/1000</f>
        <v>0.88</v>
      </c>
      <c r="K4905" t="str">
        <v>+</v>
      </c>
      <c r="L4905">
        <f>IF(D4905=0,2*MAX(6*F4905,75),(D4905-1)*2*MAX(6*F4905,75))/1000</f>
        <v>0.15</v>
      </c>
      <c r="M4905" t="str">
        <v>=</v>
      </c>
      <c r="N4905">
        <f>J4905+L4905</f>
        <v>1.03</v>
      </c>
      <c r="T4905" t="str">
        <v>x</v>
      </c>
      <c r="U4905">
        <f>0.006165*F4905^2</f>
        <v>0.6165</v>
      </c>
      <c r="V4905" t="str">
        <v>x</v>
      </c>
      <c r="W4905">
        <f>IF(D4888&gt;4*G4886,ROUND(MAX(D4888/4,2*G4886)/H4905,0)+1,ROUND(D4888/H4905,0)+1)</f>
        <v>9</v>
      </c>
      <c r="X4905" t="str">
        <v>x</v>
      </c>
      <c r="Y4905">
        <f>D4891</f>
        <v>1</v>
      </c>
      <c r="Z4905" t="str">
        <v>=</v>
      </c>
      <c r="AA4905">
        <f>N4905*U4905*W4905*Y4905</f>
        <v>5.714955000000001</v>
      </c>
    </row>
    <row r="4906">
      <c r="A4906" t="str">
        <f>A4885</f>
        <v>Lantai 3</v>
      </c>
      <c r="B4906">
        <f>B4885</f>
        <v>21</v>
      </c>
      <c r="C4906" t="str">
        <v>Sengkang Lapangan</v>
      </c>
      <c r="D4906">
        <f>VLOOKUP(D4885,'Detail Balok'!$C$10:$AU$140,36,FALSE)</f>
        <v>0</v>
      </c>
      <c r="E4906" t="str">
        <v>D</v>
      </c>
      <c r="F4906">
        <f>VLOOKUP(D4885,'Detail Balok'!$C$10:$AU$140,38,FALSE)</f>
        <v>10</v>
      </c>
      <c r="G4906" t="str">
        <v>-</v>
      </c>
      <c r="H4906">
        <f>VLOOKUP(D4885,'Detail Balok'!$C$10:$AU$140,40,FALSE)</f>
        <v>200</v>
      </c>
      <c r="J4906">
        <f>(IF(D4906=0,(2*(D4886+G4886))-(F$5*8),IF(D4906=3,(2*(D4886+G4886))-(F$5*8)+(G4886-2*F$5),IF(D4906=4,(2*(D4886+G4886))-(F$5*8)+2*(G4886-2*F$5)))))/1000</f>
        <v>0.88</v>
      </c>
      <c r="K4906" t="str">
        <v>+</v>
      </c>
      <c r="L4906">
        <f>IF(D4906=0,2*MAX(6*F4906,75),(D4906-1)*2*MAX(6*F4906,75))/1000</f>
        <v>0.15</v>
      </c>
      <c r="M4906" t="str">
        <v>=</v>
      </c>
      <c r="N4906">
        <f>J4906+L4906</f>
        <v>1.03</v>
      </c>
      <c r="T4906" t="str">
        <v>x</v>
      </c>
      <c r="U4906">
        <f>0.006165*F4906^2</f>
        <v>0.6165</v>
      </c>
      <c r="V4906" t="str">
        <v>x</v>
      </c>
      <c r="W4906">
        <f>IF(D4888-MAX(D4888/4,2*G4886)*2&gt;0,ROUND((D4888-MAX(D4888/4,2*G4886)*2)/H4906,0),0)</f>
        <v>3</v>
      </c>
      <c r="X4906" t="str">
        <v>x</v>
      </c>
      <c r="Y4906">
        <f>D4891</f>
        <v>1</v>
      </c>
      <c r="Z4906" t="str">
        <v>=</v>
      </c>
      <c r="AA4906">
        <f>N4906*U4906*W4906*Y4906</f>
        <v>1.9049850000000004</v>
      </c>
    </row>
    <row r="4907">
      <c r="A4907" t="str">
        <f>A4885</f>
        <v>Lantai 3</v>
      </c>
      <c r="B4907">
        <f>B4885</f>
        <v>21</v>
      </c>
      <c r="C4907" t="str">
        <v>Sengkang Tumpuan</v>
      </c>
      <c r="D4907">
        <f>VLOOKUP(D4885,'Detail Balok'!$C$10:$AU$140,41,FALSE)</f>
        <v>0</v>
      </c>
      <c r="E4907" t="str">
        <v>D</v>
      </c>
      <c r="F4907">
        <f>VLOOKUP(D4885,'Detail Balok'!$C$10:$AU$140,43,FALSE)</f>
        <v>10</v>
      </c>
      <c r="G4907" t="str">
        <v>-</v>
      </c>
      <c r="H4907">
        <f>VLOOKUP(D4885,'Detail Balok'!$C$10:$AU$140,45,FALSE)</f>
        <v>100</v>
      </c>
      <c r="J4907">
        <f>(IF(D4907=0,(2*(D4886+G4886))-(F$5*8),IF(D4907=3,(2*(D4886+G4886))-(F$5*8)+(G4886-2*F$5),IF(D4907=4,(2*(D4886+G4886))-(F$5*8)+2*(G4886-2*F$5)))))/1000</f>
        <v>0.88</v>
      </c>
      <c r="K4907" t="str">
        <v>+</v>
      </c>
      <c r="L4907">
        <f>IF(D4907=0,2*MAX(6*F4907,75),(D4907-1)*2*MAX(6*F4907,75))/1000</f>
        <v>0.15</v>
      </c>
      <c r="M4907" t="str">
        <v>=</v>
      </c>
      <c r="N4907">
        <f>J4907+L4907</f>
        <v>1.03</v>
      </c>
      <c r="T4907" t="str">
        <v>x</v>
      </c>
      <c r="U4907">
        <f>0.006165*F4907^2</f>
        <v>0.6165</v>
      </c>
      <c r="V4907" t="str">
        <v>x</v>
      </c>
      <c r="W4907">
        <f>IF(D4888&gt;4*G4886,ROUND(MAX(D4888/4,2*G4886)/H4907,0)+1,0)</f>
        <v>9</v>
      </c>
      <c r="X4907" t="str">
        <v>x</v>
      </c>
      <c r="Y4907">
        <f>D4891</f>
        <v>1</v>
      </c>
      <c r="Z4907" t="str">
        <v>=</v>
      </c>
      <c r="AA4907">
        <f>N4907*U4907*W4907*Y4907</f>
        <v>5.714955000000001</v>
      </c>
    </row>
    <row r="4909">
      <c r="A4909" t="str">
        <f>A4885</f>
        <v>Lantai 3</v>
      </c>
      <c r="B4909">
        <f>B4885</f>
        <v>21</v>
      </c>
      <c r="C4909" t="str">
        <v>Kait Horizontal Tump.</v>
      </c>
      <c r="D4909">
        <f>VLOOKUP(D4885,'Detail Balok'!$C$10:$BJ$140,46,FALSE)</f>
        <v>0</v>
      </c>
      <c r="E4909" t="str">
        <v>D</v>
      </c>
      <c r="F4909">
        <f>VLOOKUP(D4885,'Detail Balok'!$C$10:$BJ$140,48,FALSE)</f>
        <v>0</v>
      </c>
      <c r="G4909" t="str">
        <v>-</v>
      </c>
      <c r="H4909">
        <f>VLOOKUP(D4885,'Detail Balok'!$C$10:$BJ$140,50,FALSE)</f>
        <v>100</v>
      </c>
      <c r="J4909">
        <f>(D4886-2*F$5)/1000</f>
        <v>0.12</v>
      </c>
      <c r="K4909" t="str">
        <v>+</v>
      </c>
      <c r="L4909">
        <f>IF(D4909=0,2*MAX(6*F4909,75),(D4909-1)*2*MAX(6*F4909,75))/1000</f>
        <v>0.15</v>
      </c>
      <c r="M4909" t="str">
        <v>=</v>
      </c>
      <c r="N4909">
        <f>J4909+L4909</f>
        <v>0.27</v>
      </c>
      <c r="T4909" t="str">
        <v>x</v>
      </c>
      <c r="U4909">
        <f>0.006165*F4909^2</f>
        <v>0</v>
      </c>
      <c r="V4909" t="str">
        <v>x</v>
      </c>
      <c r="W4909">
        <f>W4905</f>
        <v>9</v>
      </c>
      <c r="X4909" t="str">
        <v>x</v>
      </c>
      <c r="Y4909">
        <f>D4895</f>
        <v>3</v>
      </c>
      <c r="Z4909" t="str">
        <v>=</v>
      </c>
      <c r="AA4909">
        <f>N4909*U4909*W4909*Y4909</f>
        <v>0</v>
      </c>
    </row>
    <row r="4910">
      <c r="A4910" t="str">
        <f>A4885</f>
        <v>Lantai 3</v>
      </c>
      <c r="B4910">
        <f>B4885</f>
        <v>21</v>
      </c>
      <c r="C4910" t="str">
        <v>Kait Horizontal Lap.</v>
      </c>
      <c r="D4910">
        <f>VLOOKUP(D4885,'Detail Balok'!$C$10:$BJ$140,51,FALSE)</f>
        <v>0</v>
      </c>
      <c r="E4910" t="str">
        <v>D</v>
      </c>
      <c r="F4910">
        <f>VLOOKUP(D4885,'Detail Balok'!$C$10:$BJ$140,53,FALSE)</f>
        <v>0</v>
      </c>
      <c r="G4910" t="str">
        <v>-</v>
      </c>
      <c r="H4910">
        <f>VLOOKUP(D4885,'Detail Balok'!$C$10:$BJ$140,55,FALSE)</f>
        <v>100</v>
      </c>
      <c r="J4910">
        <f>(D4886-2*F$5)/1000</f>
        <v>0.12</v>
      </c>
      <c r="K4910" t="str">
        <v>+</v>
      </c>
      <c r="L4910">
        <f>IF(D4910=0,2*MAX(6*F4910,75),(D4910-1)*2*MAX(6*F4910,75))/1000</f>
        <v>0.15</v>
      </c>
      <c r="M4910" t="str">
        <v>=</v>
      </c>
      <c r="N4910">
        <f>J4910+L4910</f>
        <v>0.27</v>
      </c>
      <c r="T4910" t="str">
        <v>x</v>
      </c>
      <c r="U4910">
        <f>0.006165*F4910^2</f>
        <v>0</v>
      </c>
      <c r="V4910" t="str">
        <v>x</v>
      </c>
      <c r="W4910">
        <f>W4906</f>
        <v>3</v>
      </c>
      <c r="X4910" t="str">
        <v>x</v>
      </c>
      <c r="Y4910">
        <f>D4895</f>
        <v>3</v>
      </c>
      <c r="Z4910" t="str">
        <v>=</v>
      </c>
      <c r="AA4910">
        <f>N4910*U4910*W4910*Y4910</f>
        <v>0</v>
      </c>
    </row>
    <row r="4911">
      <c r="A4911" t="str">
        <f>A4885</f>
        <v>Lantai 3</v>
      </c>
      <c r="B4911">
        <f>B4885</f>
        <v>21</v>
      </c>
      <c r="C4911" t="str">
        <v>Kait Horizontal Tump.</v>
      </c>
      <c r="D4911">
        <f>VLOOKUP(D4885,'Detail Balok'!$C$10:$BJ$140,56,FALSE)</f>
        <v>0</v>
      </c>
      <c r="E4911" t="str">
        <v>D</v>
      </c>
      <c r="F4911">
        <f>VLOOKUP(D4885,'Detail Balok'!$C$10:$BJ$140,58,FALSE)</f>
        <v>0</v>
      </c>
      <c r="G4911" t="str">
        <v>-</v>
      </c>
      <c r="H4911">
        <f>VLOOKUP(D4885,'Detail Balok'!$C$10:$BJ$140,60,FALSE)</f>
        <v>100</v>
      </c>
      <c r="J4911">
        <f>(D4886-2*F$5)/1000</f>
        <v>0.12</v>
      </c>
      <c r="K4911" t="str">
        <v>+</v>
      </c>
      <c r="L4911">
        <f>IF(D4911=0,2*MAX(6*F4911,75),(D4911-1)*2*MAX(6*F4911,75))/1000</f>
        <v>0.15</v>
      </c>
      <c r="M4911" t="str">
        <v>=</v>
      </c>
      <c r="N4911">
        <f>J4911+L4911</f>
        <v>0.27</v>
      </c>
      <c r="T4911" t="str">
        <v>x</v>
      </c>
      <c r="U4911">
        <f>0.006165*F4911^2</f>
        <v>0</v>
      </c>
      <c r="V4911" t="str">
        <v>x</v>
      </c>
      <c r="W4911">
        <f>W4907</f>
        <v>9</v>
      </c>
      <c r="X4911" t="str">
        <v>x</v>
      </c>
      <c r="Y4911">
        <f>D4895</f>
        <v>3</v>
      </c>
      <c r="Z4911" t="str">
        <v>=</v>
      </c>
      <c r="AA4911">
        <f>N4911*U4911*W4911*Y4911</f>
        <v>0</v>
      </c>
    </row>
    <row r="4915">
      <c r="A4915" t="str">
        <f>A4885</f>
        <v>Lantai 3</v>
      </c>
      <c r="B4915">
        <f>B4885+1</f>
        <v>22</v>
      </c>
      <c r="C4915" t="str">
        <f>CONCATENATE(A4915," no. ",B4915)</f>
        <v>Lantai 3 no. 22</v>
      </c>
      <c r="D4915" t="str">
        <f>VLOOKUP(C4915,'Data Panjang Balok'!$C$9:$N$254,2,FALSE)</f>
        <v>B24-1</v>
      </c>
    </row>
    <row r="4916">
      <c r="C4916" t="str">
        <v>Dimensi</v>
      </c>
      <c r="D4916">
        <f>VLOOKUP(D4915,'Detail Balok'!$C$10:$AU$140,2,FALSE)</f>
        <v>200</v>
      </c>
      <c r="F4916" t="str">
        <v>x</v>
      </c>
      <c r="G4916">
        <f>VLOOKUP(D4915,'Detail Balok'!$C$10:$AU$140,3,FALSE)</f>
        <v>400</v>
      </c>
    </row>
    <row r="4917">
      <c r="C4917" t="str">
        <v>Panjang as ke as</v>
      </c>
      <c r="D4917">
        <f>VLOOKUP(C4915,'Data Panjang Balok'!$C$9:$N$254,4,FALSE)</f>
        <v>2200</v>
      </c>
    </row>
    <row r="4918">
      <c r="C4918" t="str">
        <v>Panjang netto</v>
      </c>
      <c r="D4918">
        <f>VLOOKUP(C4915,'Data Panjang Balok'!$C$9:$N$254,7,FALSE)</f>
        <v>2200</v>
      </c>
    </row>
    <row r="4919">
      <c r="C4919" t="str">
        <v>Kolom / balok kiri</v>
      </c>
      <c r="D4919">
        <f>VLOOKUP(C4915,'Data Panjang Balok'!$C$9:$N$254,9,FALSE)</f>
        <v>0</v>
      </c>
    </row>
    <row r="4920">
      <c r="C4920" t="str">
        <v>Kolom / balok kanan</v>
      </c>
      <c r="D4920">
        <f>VLOOKUP(C4915,'Data Panjang Balok'!$C$9:$N$254,10,FALSE)</f>
        <v>0</v>
      </c>
    </row>
    <row r="4921">
      <c r="C4921" t="str">
        <v>Jumlah</v>
      </c>
      <c r="D4921">
        <f>VLOOKUP(C4915,'Data Panjang Balok'!$C$9:$N$254,3,FALSE)</f>
        <v>1</v>
      </c>
    </row>
    <row r="4922">
      <c r="A4922" t="str">
        <f>A4915</f>
        <v>Lantai 3</v>
      </c>
      <c r="B4922">
        <f>B4915</f>
        <v>22</v>
      </c>
      <c r="C4922" t="str">
        <v>Tul Atas Tumpuan</v>
      </c>
      <c r="D4922">
        <f>VLOOKUP(D4915,'Detail Balok'!$C$10:$AU$140,4,FALSE)</f>
        <v>3</v>
      </c>
      <c r="E4922" t="str">
        <v>D</v>
      </c>
      <c r="F4922">
        <f>VLOOKUP(D4915,'Detail Balok'!$C$10:$AU$140,6,FALSE)</f>
        <v>13</v>
      </c>
      <c r="I4922" t="str">
        <v>(</v>
      </c>
      <c r="J4922">
        <f>+D4917/4/1000</f>
        <v>0.55</v>
      </c>
      <c r="K4922" t="str">
        <v>+</v>
      </c>
      <c r="L4922">
        <f>MAX(VLOOKUP(F4922,N$6:P$15,3,FALSE)/1000,2/3*D4919/1000)+F$16*F4922/1000</f>
        <v>0.156</v>
      </c>
      <c r="M4922" t="str">
        <v>=</v>
      </c>
      <c r="N4922">
        <f>J4922+L4922</f>
        <v>0.7060000000000001</v>
      </c>
      <c r="O4922" t="str">
        <v>+</v>
      </c>
      <c r="P4922">
        <f>D4922-D4923</f>
        <v>0</v>
      </c>
      <c r="Q4922" t="str">
        <v>x</v>
      </c>
      <c r="R4922">
        <f>IF(P4922&gt;0,$F$18*F4922/1000,0)</f>
        <v>0</v>
      </c>
      <c r="S4922" t="str">
        <v>)</v>
      </c>
      <c r="T4922" t="str">
        <v>x</v>
      </c>
      <c r="U4922">
        <f>0.006165*F4922^2</f>
        <v>1.041885</v>
      </c>
      <c r="X4922" t="str">
        <v>x</v>
      </c>
      <c r="Y4922">
        <f>D4921</f>
        <v>1</v>
      </c>
      <c r="Z4922" t="str">
        <v>=</v>
      </c>
      <c r="AA4922">
        <f>IF(AA4925=0,(D4922*N4922+P4922*R4922)*U4922*Y4922,0)</f>
        <v>0</v>
      </c>
    </row>
    <row r="4923">
      <c r="A4923" t="str">
        <f>A4915</f>
        <v>Lantai 3</v>
      </c>
      <c r="B4923">
        <f>B4915</f>
        <v>22</v>
      </c>
      <c r="C4923" t="str">
        <v>Tul Atas Lapangan</v>
      </c>
      <c r="D4923">
        <f>VLOOKUP(D4915,'Detail Balok'!$C$10:$AU$140,7,FALSE)</f>
        <v>3</v>
      </c>
      <c r="E4923" t="str">
        <v>D</v>
      </c>
      <c r="F4923">
        <f>VLOOKUP(D4915,'Detail Balok'!$C$10:$AU$140,9,FALSE)</f>
        <v>13</v>
      </c>
      <c r="I4923" t="str">
        <v>(</v>
      </c>
      <c r="J4923">
        <f>+D4917/2/1000</f>
        <v>1.1</v>
      </c>
      <c r="K4923" t="str">
        <v>+</v>
      </c>
      <c r="M4923" t="str">
        <v>=</v>
      </c>
      <c r="N4923">
        <f>J4923+L4923</f>
        <v>1.1</v>
      </c>
      <c r="O4923" t="str">
        <v>+</v>
      </c>
      <c r="P4923">
        <f>MAX(D4923-D4922,D4923-D4924)</f>
        <v>0</v>
      </c>
      <c r="Q4923" t="str">
        <v>x</v>
      </c>
      <c r="R4923">
        <f>IF(P4923&gt;0,2*(1-2*$F$19-1/2)*D4918/1000,0)</f>
        <v>0</v>
      </c>
      <c r="S4923" t="str">
        <v>)</v>
      </c>
      <c r="T4923" t="str">
        <v>x</v>
      </c>
      <c r="U4923">
        <f>0.006165*F4923^2</f>
        <v>1.041885</v>
      </c>
      <c r="X4923" t="str">
        <v>x</v>
      </c>
      <c r="Y4923">
        <f>D4921</f>
        <v>1</v>
      </c>
      <c r="Z4923" t="str">
        <v>=</v>
      </c>
      <c r="AA4923">
        <f>IF(AA4925=0,(D4923*N4923+P4923*R4923)*U4923*Y4923,0)</f>
        <v>0</v>
      </c>
    </row>
    <row r="4924">
      <c r="A4924" t="str">
        <f>A4915</f>
        <v>Lantai 3</v>
      </c>
      <c r="B4924">
        <f>B4915</f>
        <v>22</v>
      </c>
      <c r="C4924" t="str">
        <v>Tul Atas Tumpuan</v>
      </c>
      <c r="D4924">
        <f>VLOOKUP(D4915,'Detail Balok'!$C$10:$AU$140,10,FALSE)</f>
        <v>3</v>
      </c>
      <c r="E4924" t="str">
        <v>D</v>
      </c>
      <c r="F4924">
        <f>VLOOKUP(D4915,'Detail Balok'!$C$10:$AU$140,12,FALSE)</f>
        <v>13</v>
      </c>
      <c r="I4924" t="str">
        <v>(</v>
      </c>
      <c r="J4924">
        <f>+D4917/4/1000</f>
        <v>0.55</v>
      </c>
      <c r="K4924" t="str">
        <v>+</v>
      </c>
      <c r="L4924">
        <f>MAX(VLOOKUP(F4924,N$6:P$15,3,FALSE)/1000,2/3*D4919/1000)+F$16*F4924/1000</f>
        <v>0.156</v>
      </c>
      <c r="M4924" t="str">
        <v>=</v>
      </c>
      <c r="N4924">
        <f>J4924+L4924</f>
        <v>0.7060000000000001</v>
      </c>
      <c r="O4924" t="str">
        <v>+</v>
      </c>
      <c r="P4924">
        <f>D4924-D4923</f>
        <v>0</v>
      </c>
      <c r="Q4924" t="str">
        <v>x</v>
      </c>
      <c r="R4924">
        <f>IF(P4924&gt;0,$F$18*F4924/1000,0)</f>
        <v>0</v>
      </c>
      <c r="S4924" t="str">
        <v>)</v>
      </c>
      <c r="T4924" t="str">
        <v>x</v>
      </c>
      <c r="U4924">
        <f>0.006165*F4924^2</f>
        <v>1.041885</v>
      </c>
      <c r="X4924" t="str">
        <v>x</v>
      </c>
      <c r="Y4924">
        <f>D4921</f>
        <v>1</v>
      </c>
      <c r="Z4924" t="str">
        <v>=</v>
      </c>
      <c r="AA4924">
        <f>IF(AA4925=0,(D4924*N4924+P4924*R4924)*U4924*Y4924,0)</f>
        <v>0</v>
      </c>
    </row>
    <row r="4925">
      <c r="A4925" t="str">
        <f>A4915</f>
        <v>Lantai 3</v>
      </c>
      <c r="B4925">
        <f>B4915</f>
        <v>22</v>
      </c>
      <c r="D4925">
        <f>IF(AND(D4922=D4923,D4923=D4924,D4922=D4924),D4922,0)</f>
        <v>3</v>
      </c>
      <c r="E4925" t="str">
        <v>D</v>
      </c>
      <c r="F4925">
        <f>IF(AND(F4922=F4923,F4922=F4924,F4923=F4924),F4922,0)</f>
        <v>13</v>
      </c>
      <c r="L4925" t="str">
        <v>Total panjang per balok</v>
      </c>
      <c r="M4925" t="str">
        <v>=</v>
      </c>
      <c r="N4925">
        <f>IF(AND(D4922=D4923,D4922=D4924,D4923=D4924,F4922=F4923,F4922=F4924,F4923=F4924),SUM(N4922:N4924),0)</f>
        <v>2.512</v>
      </c>
      <c r="O4925" t="str">
        <v>+</v>
      </c>
      <c r="P4925">
        <f>IF(N4925&gt;12,ROUNDDOWN(N4925/12,0),0)</f>
        <v>0</v>
      </c>
      <c r="Q4925" t="str">
        <v>x</v>
      </c>
      <c r="R4925">
        <f>IF(P4925&gt;0,MAX(VLOOKUP(F4925,$D$6:$G$15,3,FALSE),600),0)/1000</f>
        <v>0</v>
      </c>
      <c r="T4925" t="str">
        <v>x</v>
      </c>
      <c r="U4925">
        <f>U4924</f>
        <v>1.041885</v>
      </c>
      <c r="V4925" t="str">
        <v>x</v>
      </c>
      <c r="W4925">
        <f>D4925</f>
        <v>3</v>
      </c>
      <c r="X4925" t="str">
        <v>x</v>
      </c>
      <c r="Y4925">
        <f>Y4924</f>
        <v>1</v>
      </c>
      <c r="Z4925" t="str">
        <v>=</v>
      </c>
      <c r="AA4925">
        <f>(N4925+P4925*R4925/1000)*U4925*W4925*Y4925</f>
        <v>7.85164536</v>
      </c>
    </row>
    <row r="4927">
      <c r="A4927" t="str">
        <f>A4915</f>
        <v>Lantai 3</v>
      </c>
      <c r="B4927">
        <f>B4915</f>
        <v>22</v>
      </c>
      <c r="C4927" t="str">
        <v>Tul Peminggang</v>
      </c>
      <c r="D4927">
        <f>VLOOKUP(D4915,'Detail Balok'!$C$10:$AU$140,13,FALSE)</f>
        <v>0</v>
      </c>
      <c r="E4927" t="str">
        <v>D</v>
      </c>
      <c r="F4927">
        <f>VLOOKUP(D4915,'Detail Balok'!$C$10:$AU$140,15,FALSE)</f>
        <v>8</v>
      </c>
      <c r="J4927">
        <f>+D4917/1000</f>
        <v>2.2</v>
      </c>
      <c r="K4927" t="str">
        <v>+</v>
      </c>
      <c r="L4927">
        <f>2*$F$16*F4927/1000</f>
        <v>0.192</v>
      </c>
      <c r="M4927" t="str">
        <v>=</v>
      </c>
      <c r="N4927">
        <f>J4927+L4927</f>
        <v>2.3920000000000003</v>
      </c>
      <c r="O4927" t="str">
        <v>+</v>
      </c>
      <c r="P4927">
        <f>IF(N4927&gt;12,ROUNDDOWN(N4927/12,0),0)</f>
        <v>0</v>
      </c>
      <c r="Q4927" t="str">
        <v>x</v>
      </c>
      <c r="R4927">
        <f>IF(P4927&gt;0,MAX(VLOOKUP(F4927,$D$6:$G$15,3,FALSE),600),0)/1000</f>
        <v>0</v>
      </c>
      <c r="T4927" t="str">
        <v>x</v>
      </c>
      <c r="U4927">
        <f>0.006165*F4927^2</f>
        <v>0.39456</v>
      </c>
      <c r="V4927" t="str">
        <v>x</v>
      </c>
      <c r="W4927">
        <f>+D4927</f>
        <v>0</v>
      </c>
      <c r="X4927" t="str">
        <v>x</v>
      </c>
      <c r="Y4927">
        <f>D4921</f>
        <v>1</v>
      </c>
      <c r="Z4927" t="str">
        <v>=</v>
      </c>
      <c r="AA4927">
        <f>(N4927+P4927*R4927/1000)*U4927*W4927*Y4927</f>
        <v>0</v>
      </c>
    </row>
    <row r="4930">
      <c r="A4930" t="str">
        <f>A4915</f>
        <v>Lantai 3</v>
      </c>
      <c r="B4930">
        <f>B4915</f>
        <v>22</v>
      </c>
      <c r="C4930" t="str">
        <v>Tul Bawah Tumpuan</v>
      </c>
      <c r="D4930">
        <f>VLOOKUP(D4915,'Detail Balok'!$C$10:$AU$140,22,FALSE)</f>
        <v>3</v>
      </c>
      <c r="E4930" t="str">
        <v>D</v>
      </c>
      <c r="F4930">
        <f>VLOOKUP(D4915,'Detail Balok'!$C$10:$AU$140,24,FALSE)</f>
        <v>13</v>
      </c>
      <c r="I4930" t="str">
        <v>(</v>
      </c>
      <c r="J4930">
        <f>+J4922</f>
        <v>0.55</v>
      </c>
      <c r="K4930" t="str">
        <v>+</v>
      </c>
      <c r="L4930">
        <f>MAX(VLOOKUP(F4930,N$6:P$15,3,FALSE)/1000,2/3*D4920/1000)+F$16*F4930/1000</f>
        <v>0.156</v>
      </c>
      <c r="M4930" t="str">
        <v>=</v>
      </c>
      <c r="N4930">
        <f>J4930+L4930</f>
        <v>0.7060000000000001</v>
      </c>
      <c r="O4930" t="str">
        <v>+</v>
      </c>
      <c r="P4930">
        <f>D4930-D4931</f>
        <v>0</v>
      </c>
      <c r="Q4930" t="str">
        <v>x</v>
      </c>
      <c r="R4930">
        <f>IF(P4930&gt;0,$F$18*F4930/1000,0)</f>
        <v>0</v>
      </c>
      <c r="S4930" t="str">
        <v>)</v>
      </c>
      <c r="T4930" t="str">
        <v>x</v>
      </c>
      <c r="U4930">
        <f>0.006165*F4930^2</f>
        <v>1.041885</v>
      </c>
      <c r="X4930" t="str">
        <v>x</v>
      </c>
      <c r="Y4930">
        <f>D4921</f>
        <v>1</v>
      </c>
      <c r="Z4930" t="str">
        <v>=</v>
      </c>
      <c r="AA4930">
        <f>IF(AA4933=0,(D4930*N4930+P4930*R4930)*U4930*Y4930,0)</f>
        <v>0</v>
      </c>
    </row>
    <row r="4931">
      <c r="A4931" t="str">
        <f>A4915</f>
        <v>Lantai 3</v>
      </c>
      <c r="B4931">
        <f>B4915</f>
        <v>22</v>
      </c>
      <c r="C4931" t="str">
        <v>Tul Bawah Lapangan</v>
      </c>
      <c r="D4931">
        <f>VLOOKUP(D4915,'Detail Balok'!$C$10:$AU$140,25,FALSE)</f>
        <v>3</v>
      </c>
      <c r="E4931" t="str">
        <v>D</v>
      </c>
      <c r="F4931">
        <f>VLOOKUP(D4915,'Detail Balok'!$C$10:$AU$140,27,FALSE)</f>
        <v>13</v>
      </c>
      <c r="I4931" t="str">
        <v>(</v>
      </c>
      <c r="J4931">
        <f>+J4923</f>
        <v>1.1</v>
      </c>
      <c r="K4931" t="str">
        <v>+</v>
      </c>
      <c r="M4931" t="str">
        <v>=</v>
      </c>
      <c r="N4931">
        <f>J4931+L4931</f>
        <v>1.1</v>
      </c>
      <c r="O4931" t="str">
        <v>+</v>
      </c>
      <c r="P4931">
        <f>MAX(D4931-D4930,D4931-D4932)</f>
        <v>0</v>
      </c>
      <c r="Q4931" t="str">
        <v>x</v>
      </c>
      <c r="R4931">
        <f>IF(P4931&gt;0,2*(1-2*$F$19-1/2)*D4918/1000,0)</f>
        <v>0</v>
      </c>
      <c r="S4931" t="str">
        <v>)</v>
      </c>
      <c r="T4931" t="str">
        <v>x</v>
      </c>
      <c r="U4931">
        <f>0.006165*F4931^2</f>
        <v>1.041885</v>
      </c>
      <c r="X4931" t="str">
        <v>x</v>
      </c>
      <c r="Y4931">
        <f>D4921</f>
        <v>1</v>
      </c>
      <c r="Z4931" t="str">
        <v>=</v>
      </c>
      <c r="AA4931">
        <f>IF(AA4933=0,(D4931*N4931+P4931*R4931)*U4931*Y4931,0)</f>
        <v>0</v>
      </c>
    </row>
    <row r="4932">
      <c r="A4932" t="str">
        <f>A4915</f>
        <v>Lantai 3</v>
      </c>
      <c r="B4932">
        <f>B4915</f>
        <v>22</v>
      </c>
      <c r="C4932" t="str">
        <v>Tul Bawah Tumpuan</v>
      </c>
      <c r="D4932">
        <f>VLOOKUP(D4915,'Detail Balok'!$C$10:$AU$140,28,FALSE)</f>
        <v>3</v>
      </c>
      <c r="E4932" t="str">
        <v>D</v>
      </c>
      <c r="F4932">
        <f>VLOOKUP(D4915,'Detail Balok'!$C$10:$AU$140,30,FALSE)</f>
        <v>13</v>
      </c>
      <c r="I4932" t="str">
        <v>(</v>
      </c>
      <c r="J4932">
        <f>+J4924</f>
        <v>0.55</v>
      </c>
      <c r="K4932" t="str">
        <v>+</v>
      </c>
      <c r="L4932">
        <f>MAX(VLOOKUP(F4932,N$6:P$15,3,FALSE)/1000,2/3*D4920/1000)+F$16*F4932/1000</f>
        <v>0.156</v>
      </c>
      <c r="M4932" t="str">
        <v>=</v>
      </c>
      <c r="N4932">
        <f>J4932+L4932</f>
        <v>0.7060000000000001</v>
      </c>
      <c r="O4932" t="str">
        <v>+</v>
      </c>
      <c r="P4932">
        <f>D4932-D4931</f>
        <v>0</v>
      </c>
      <c r="Q4932" t="str">
        <v>x</v>
      </c>
      <c r="R4932">
        <f>IF(P4932&gt;0,$F$18*F4932/1000,0)</f>
        <v>0</v>
      </c>
      <c r="S4932" t="str">
        <v>)</v>
      </c>
      <c r="T4932" t="str">
        <v>x</v>
      </c>
      <c r="U4932">
        <f>0.006165*F4932^2</f>
        <v>1.041885</v>
      </c>
      <c r="X4932" t="str">
        <v>x</v>
      </c>
      <c r="Y4932">
        <f>D4921</f>
        <v>1</v>
      </c>
      <c r="Z4932" t="str">
        <v>=</v>
      </c>
      <c r="AA4932">
        <f>IF(AA4933=0,(D4932*N4932+P4932*R4932)*U4932*Y4932,0)</f>
        <v>0</v>
      </c>
    </row>
    <row r="4933">
      <c r="A4933" t="str">
        <f>A4915</f>
        <v>Lantai 3</v>
      </c>
      <c r="B4933">
        <f>B4915</f>
        <v>22</v>
      </c>
      <c r="D4933">
        <f>IF(AND(D4930=D4931,D4931=D4932,D4930=D4932),D4930,0)</f>
        <v>3</v>
      </c>
      <c r="E4933" t="str">
        <v>D</v>
      </c>
      <c r="F4933">
        <f>IF(AND(F4930=F4931,F4930=F4932,F4931=F4932),F4930,0)</f>
        <v>13</v>
      </c>
      <c r="L4933" t="str">
        <v>Total panjang per balok</v>
      </c>
      <c r="M4933" t="str">
        <v>=</v>
      </c>
      <c r="N4933">
        <f>IF(AND(D4930=D4931,D4930=D4932,D4931=D4932,F4930=F4931,F4930=F4932,F4931=F4932),SUM(N4930:N4932),0)</f>
        <v>2.512</v>
      </c>
      <c r="O4933" t="str">
        <v>+</v>
      </c>
      <c r="P4933">
        <f>IF(N4933&gt;12,ROUNDDOWN(N4933/12,0),0)</f>
        <v>0</v>
      </c>
      <c r="Q4933" t="str">
        <v>x</v>
      </c>
      <c r="R4933">
        <f>IF(P4933&gt;0,MAX(VLOOKUP(F4933,$D$6:$G$15,3,FALSE),600),0)/1000</f>
        <v>0</v>
      </c>
      <c r="T4933" t="str">
        <v>x</v>
      </c>
      <c r="U4933">
        <f>U4932</f>
        <v>1.041885</v>
      </c>
      <c r="V4933" t="str">
        <v>x</v>
      </c>
      <c r="W4933">
        <f>D4933</f>
        <v>3</v>
      </c>
      <c r="X4933" t="str">
        <v>x</v>
      </c>
      <c r="Y4933">
        <f>Y4932</f>
        <v>1</v>
      </c>
      <c r="Z4933" t="str">
        <v>=</v>
      </c>
      <c r="AA4933">
        <f>(N4933+P4933*R4933/1000)*U4933*W4933*Y4933</f>
        <v>7.85164536</v>
      </c>
    </row>
    <row r="4935">
      <c r="A4935" t="str">
        <f>A4915</f>
        <v>Lantai 3</v>
      </c>
      <c r="B4935">
        <f>B4915</f>
        <v>22</v>
      </c>
      <c r="C4935" t="str">
        <v>Sengkang Tumpuan</v>
      </c>
      <c r="D4935">
        <f>VLOOKUP(D4915,'Detail Balok'!$C$10:$AU$140,31,FALSE)</f>
        <v>0</v>
      </c>
      <c r="E4935" t="str">
        <v>D</v>
      </c>
      <c r="F4935">
        <f>VLOOKUP(D4915,'Detail Balok'!$C$10:$AU$140,33,FALSE)</f>
        <v>10</v>
      </c>
      <c r="G4935" t="str">
        <v>-</v>
      </c>
      <c r="H4935">
        <f>VLOOKUP(D4915,'Detail Balok'!$C$10:$AU$140,35,FALSE)</f>
        <v>100</v>
      </c>
      <c r="J4935">
        <f>(IF(D4935=0,(2*(D4916+G4916))-(F$5*8),IF(D4935=3,(2*(D4916+G4916))-(F$5*8)+(G4916-2*F$5),IF(D4935=4,(2*(D4916+G4916))-(F$5*8)+2*(G4916-2*F$5)))))/1000</f>
        <v>0.88</v>
      </c>
      <c r="K4935" t="str">
        <v>+</v>
      </c>
      <c r="L4935">
        <f>IF(D4935=0,2*MAX(6*F4935,75),(D4935-1)*2*MAX(6*F4935,75))/1000</f>
        <v>0.15</v>
      </c>
      <c r="M4935" t="str">
        <v>=</v>
      </c>
      <c r="N4935">
        <f>J4935+L4935</f>
        <v>1.03</v>
      </c>
      <c r="T4935" t="str">
        <v>x</v>
      </c>
      <c r="U4935">
        <f>0.006165*F4935^2</f>
        <v>0.6165</v>
      </c>
      <c r="V4935" t="str">
        <v>x</v>
      </c>
      <c r="W4935">
        <f>IF(D4918&gt;4*G4916,ROUND(MAX(D4918/4,2*G4916)/H4935,0)+1,ROUND(D4918/H4935,0)+1)</f>
        <v>9</v>
      </c>
      <c r="X4935" t="str">
        <v>x</v>
      </c>
      <c r="Y4935">
        <f>D4921</f>
        <v>1</v>
      </c>
      <c r="Z4935" t="str">
        <v>=</v>
      </c>
      <c r="AA4935">
        <f>N4935*U4935*W4935*Y4935</f>
        <v>5.714955000000001</v>
      </c>
    </row>
    <row r="4936">
      <c r="A4936" t="str">
        <f>A4915</f>
        <v>Lantai 3</v>
      </c>
      <c r="B4936">
        <f>B4915</f>
        <v>22</v>
      </c>
      <c r="C4936" t="str">
        <v>Sengkang Lapangan</v>
      </c>
      <c r="D4936">
        <f>VLOOKUP(D4915,'Detail Balok'!$C$10:$AU$140,36,FALSE)</f>
        <v>0</v>
      </c>
      <c r="E4936" t="str">
        <v>D</v>
      </c>
      <c r="F4936">
        <f>VLOOKUP(D4915,'Detail Balok'!$C$10:$AU$140,38,FALSE)</f>
        <v>10</v>
      </c>
      <c r="G4936" t="str">
        <v>-</v>
      </c>
      <c r="H4936">
        <f>VLOOKUP(D4915,'Detail Balok'!$C$10:$AU$140,40,FALSE)</f>
        <v>200</v>
      </c>
      <c r="J4936">
        <f>(IF(D4936=0,(2*(D4916+G4916))-(F$5*8),IF(D4936=3,(2*(D4916+G4916))-(F$5*8)+(G4916-2*F$5),IF(D4936=4,(2*(D4916+G4916))-(F$5*8)+2*(G4916-2*F$5)))))/1000</f>
        <v>0.88</v>
      </c>
      <c r="K4936" t="str">
        <v>+</v>
      </c>
      <c r="L4936">
        <f>IF(D4936=0,2*MAX(6*F4936,75),(D4936-1)*2*MAX(6*F4936,75))/1000</f>
        <v>0.15</v>
      </c>
      <c r="M4936" t="str">
        <v>=</v>
      </c>
      <c r="N4936">
        <f>J4936+L4936</f>
        <v>1.03</v>
      </c>
      <c r="T4936" t="str">
        <v>x</v>
      </c>
      <c r="U4936">
        <f>0.006165*F4936^2</f>
        <v>0.6165</v>
      </c>
      <c r="V4936" t="str">
        <v>x</v>
      </c>
      <c r="W4936">
        <f>IF(D4918-MAX(D4918/4,2*G4916)*2&gt;0,ROUND((D4918-MAX(D4918/4,2*G4916)*2)/H4936,0),0)</f>
        <v>3</v>
      </c>
      <c r="X4936" t="str">
        <v>x</v>
      </c>
      <c r="Y4936">
        <f>D4921</f>
        <v>1</v>
      </c>
      <c r="Z4936" t="str">
        <v>=</v>
      </c>
      <c r="AA4936">
        <f>N4936*U4936*W4936*Y4936</f>
        <v>1.9049850000000004</v>
      </c>
    </row>
    <row r="4937">
      <c r="A4937" t="str">
        <f>A4915</f>
        <v>Lantai 3</v>
      </c>
      <c r="B4937">
        <f>B4915</f>
        <v>22</v>
      </c>
      <c r="C4937" t="str">
        <v>Sengkang Tumpuan</v>
      </c>
      <c r="D4937">
        <f>VLOOKUP(D4915,'Detail Balok'!$C$10:$AU$140,41,FALSE)</f>
        <v>0</v>
      </c>
      <c r="E4937" t="str">
        <v>D</v>
      </c>
      <c r="F4937">
        <f>VLOOKUP(D4915,'Detail Balok'!$C$10:$AU$140,43,FALSE)</f>
        <v>10</v>
      </c>
      <c r="G4937" t="str">
        <v>-</v>
      </c>
      <c r="H4937">
        <f>VLOOKUP(D4915,'Detail Balok'!$C$10:$AU$140,45,FALSE)</f>
        <v>100</v>
      </c>
      <c r="J4937">
        <f>(IF(D4937=0,(2*(D4916+G4916))-(F$5*8),IF(D4937=3,(2*(D4916+G4916))-(F$5*8)+(G4916-2*F$5),IF(D4937=4,(2*(D4916+G4916))-(F$5*8)+2*(G4916-2*F$5)))))/1000</f>
        <v>0.88</v>
      </c>
      <c r="K4937" t="str">
        <v>+</v>
      </c>
      <c r="L4937">
        <f>IF(D4937=0,2*MAX(6*F4937,75),(D4937-1)*2*MAX(6*F4937,75))/1000</f>
        <v>0.15</v>
      </c>
      <c r="M4937" t="str">
        <v>=</v>
      </c>
      <c r="N4937">
        <f>J4937+L4937</f>
        <v>1.03</v>
      </c>
      <c r="T4937" t="str">
        <v>x</v>
      </c>
      <c r="U4937">
        <f>0.006165*F4937^2</f>
        <v>0.6165</v>
      </c>
      <c r="V4937" t="str">
        <v>x</v>
      </c>
      <c r="W4937">
        <f>IF(D4918&gt;4*G4916,ROUND(MAX(D4918/4,2*G4916)/H4937,0)+1,0)</f>
        <v>9</v>
      </c>
      <c r="X4937" t="str">
        <v>x</v>
      </c>
      <c r="Y4937">
        <f>D4921</f>
        <v>1</v>
      </c>
      <c r="Z4937" t="str">
        <v>=</v>
      </c>
      <c r="AA4937">
        <f>N4937*U4937*W4937*Y4937</f>
        <v>5.714955000000001</v>
      </c>
    </row>
    <row r="4939">
      <c r="A4939" t="str">
        <f>A4915</f>
        <v>Lantai 3</v>
      </c>
      <c r="B4939">
        <f>B4915</f>
        <v>22</v>
      </c>
      <c r="C4939" t="str">
        <v>Kait Horizontal Tump.</v>
      </c>
      <c r="D4939">
        <f>VLOOKUP(D4915,'Detail Balok'!$C$10:$BJ$140,46,FALSE)</f>
        <v>0</v>
      </c>
      <c r="E4939" t="str">
        <v>D</v>
      </c>
      <c r="F4939">
        <f>VLOOKUP(D4915,'Detail Balok'!$C$10:$BJ$140,48,FALSE)</f>
        <v>0</v>
      </c>
      <c r="G4939" t="str">
        <v>-</v>
      </c>
      <c r="H4939">
        <f>VLOOKUP(D4915,'Detail Balok'!$C$10:$BJ$140,50,FALSE)</f>
        <v>100</v>
      </c>
      <c r="J4939">
        <f>(D4916-2*F$5)/1000</f>
        <v>0.12</v>
      </c>
      <c r="K4939" t="str">
        <v>+</v>
      </c>
      <c r="L4939">
        <f>IF(D4939=0,2*MAX(6*F4939,75),(D4939-1)*2*MAX(6*F4939,75))/1000</f>
        <v>0.15</v>
      </c>
      <c r="M4939" t="str">
        <v>=</v>
      </c>
      <c r="N4939">
        <f>J4939+L4939</f>
        <v>0.27</v>
      </c>
      <c r="T4939" t="str">
        <v>x</v>
      </c>
      <c r="U4939">
        <f>0.006165*F4939^2</f>
        <v>0</v>
      </c>
      <c r="V4939" t="str">
        <v>x</v>
      </c>
      <c r="W4939">
        <f>W4935</f>
        <v>9</v>
      </c>
      <c r="X4939" t="str">
        <v>x</v>
      </c>
      <c r="Y4939">
        <f>D4925</f>
        <v>3</v>
      </c>
      <c r="Z4939" t="str">
        <v>=</v>
      </c>
      <c r="AA4939">
        <f>N4939*U4939*W4939*Y4939</f>
        <v>0</v>
      </c>
    </row>
    <row r="4940">
      <c r="A4940" t="str">
        <f>A4915</f>
        <v>Lantai 3</v>
      </c>
      <c r="B4940">
        <f>B4915</f>
        <v>22</v>
      </c>
      <c r="C4940" t="str">
        <v>Kait Horizontal Lap.</v>
      </c>
      <c r="D4940">
        <f>VLOOKUP(D4915,'Detail Balok'!$C$10:$BJ$140,51,FALSE)</f>
        <v>0</v>
      </c>
      <c r="E4940" t="str">
        <v>D</v>
      </c>
      <c r="F4940">
        <f>VLOOKUP(D4915,'Detail Balok'!$C$10:$BJ$140,53,FALSE)</f>
        <v>0</v>
      </c>
      <c r="G4940" t="str">
        <v>-</v>
      </c>
      <c r="H4940">
        <f>VLOOKUP(D4915,'Detail Balok'!$C$10:$BJ$140,55,FALSE)</f>
        <v>100</v>
      </c>
      <c r="J4940">
        <f>(D4916-2*F$5)/1000</f>
        <v>0.12</v>
      </c>
      <c r="K4940" t="str">
        <v>+</v>
      </c>
      <c r="L4940">
        <f>IF(D4940=0,2*MAX(6*F4940,75),(D4940-1)*2*MAX(6*F4940,75))/1000</f>
        <v>0.15</v>
      </c>
      <c r="M4940" t="str">
        <v>=</v>
      </c>
      <c r="N4940">
        <f>J4940+L4940</f>
        <v>0.27</v>
      </c>
      <c r="T4940" t="str">
        <v>x</v>
      </c>
      <c r="U4940">
        <f>0.006165*F4940^2</f>
        <v>0</v>
      </c>
      <c r="V4940" t="str">
        <v>x</v>
      </c>
      <c r="W4940">
        <f>W4936</f>
        <v>3</v>
      </c>
      <c r="X4940" t="str">
        <v>x</v>
      </c>
      <c r="Y4940">
        <f>D4925</f>
        <v>3</v>
      </c>
      <c r="Z4940" t="str">
        <v>=</v>
      </c>
      <c r="AA4940">
        <f>N4940*U4940*W4940*Y4940</f>
        <v>0</v>
      </c>
    </row>
    <row r="4941">
      <c r="A4941" t="str">
        <f>A4915</f>
        <v>Lantai 3</v>
      </c>
      <c r="B4941">
        <f>B4915</f>
        <v>22</v>
      </c>
      <c r="C4941" t="str">
        <v>Kait Horizontal Tump.</v>
      </c>
      <c r="D4941">
        <f>VLOOKUP(D4915,'Detail Balok'!$C$10:$BJ$140,56,FALSE)</f>
        <v>0</v>
      </c>
      <c r="E4941" t="str">
        <v>D</v>
      </c>
      <c r="F4941">
        <f>VLOOKUP(D4915,'Detail Balok'!$C$10:$BJ$140,58,FALSE)</f>
        <v>0</v>
      </c>
      <c r="G4941" t="str">
        <v>-</v>
      </c>
      <c r="H4941">
        <f>VLOOKUP(D4915,'Detail Balok'!$C$10:$BJ$140,60,FALSE)</f>
        <v>100</v>
      </c>
      <c r="J4941">
        <f>(D4916-2*F$5)/1000</f>
        <v>0.12</v>
      </c>
      <c r="K4941" t="str">
        <v>+</v>
      </c>
      <c r="L4941">
        <f>IF(D4941=0,2*MAX(6*F4941,75),(D4941-1)*2*MAX(6*F4941,75))/1000</f>
        <v>0.15</v>
      </c>
      <c r="M4941" t="str">
        <v>=</v>
      </c>
      <c r="N4941">
        <f>J4941+L4941</f>
        <v>0.27</v>
      </c>
      <c r="T4941" t="str">
        <v>x</v>
      </c>
      <c r="U4941">
        <f>0.006165*F4941^2</f>
        <v>0</v>
      </c>
      <c r="V4941" t="str">
        <v>x</v>
      </c>
      <c r="W4941">
        <f>W4937</f>
        <v>9</v>
      </c>
      <c r="X4941" t="str">
        <v>x</v>
      </c>
      <c r="Y4941">
        <f>D4925</f>
        <v>3</v>
      </c>
      <c r="Z4941" t="str">
        <v>=</v>
      </c>
      <c r="AA4941">
        <f>N4941*U4941*W4941*Y4941</f>
        <v>0</v>
      </c>
    </row>
    <row r="4945">
      <c r="A4945" t="str">
        <f>A4915</f>
        <v>Lantai 3</v>
      </c>
      <c r="B4945">
        <f>B4915+1</f>
        <v>23</v>
      </c>
      <c r="C4945" t="str">
        <f>CONCATENATE(A4945," no. ",B4945)</f>
        <v>Lantai 3 no. 23</v>
      </c>
      <c r="D4945" t="str">
        <f>VLOOKUP(C4945,'Data Panjang Balok'!$C$9:$N$254,2,FALSE)</f>
        <v>CL24-1</v>
      </c>
    </row>
    <row r="4946">
      <c r="C4946" t="str">
        <v>Dimensi</v>
      </c>
      <c r="D4946">
        <f>VLOOKUP(D4945,'Detail Balok'!$C$10:$AU$140,2,FALSE)</f>
        <v>200</v>
      </c>
      <c r="F4946" t="str">
        <v>x</v>
      </c>
      <c r="G4946">
        <f>VLOOKUP(D4945,'Detail Balok'!$C$10:$AU$140,3,FALSE)</f>
        <v>400</v>
      </c>
    </row>
    <row r="4947">
      <c r="C4947" t="str">
        <v>Panjang as ke as</v>
      </c>
      <c r="D4947">
        <f>VLOOKUP(C4945,'Data Panjang Balok'!$C$9:$N$254,4,FALSE)</f>
        <v>3425</v>
      </c>
    </row>
    <row r="4948">
      <c r="C4948" t="str">
        <v>Panjang netto</v>
      </c>
      <c r="D4948">
        <f>VLOOKUP(C4945,'Data Panjang Balok'!$C$9:$N$254,7,FALSE)</f>
        <v>3425</v>
      </c>
    </row>
    <row r="4949">
      <c r="C4949" t="str">
        <v>Kolom / balok kiri</v>
      </c>
      <c r="D4949">
        <f>VLOOKUP(C4945,'Data Panjang Balok'!$C$9:$N$254,9,FALSE)</f>
        <v>0</v>
      </c>
    </row>
    <row r="4950">
      <c r="C4950" t="str">
        <v>Kolom / balok kanan</v>
      </c>
      <c r="D4950">
        <f>VLOOKUP(C4945,'Data Panjang Balok'!$C$9:$N$254,10,FALSE)</f>
        <v>0</v>
      </c>
    </row>
    <row r="4951">
      <c r="C4951" t="str">
        <v>Jumlah</v>
      </c>
      <c r="D4951">
        <f>VLOOKUP(C4945,'Data Panjang Balok'!$C$9:$N$254,3,FALSE)</f>
        <v>1</v>
      </c>
    </row>
    <row r="4952">
      <c r="A4952" t="str">
        <f>A4945</f>
        <v>Lantai 3</v>
      </c>
      <c r="B4952">
        <f>B4945</f>
        <v>23</v>
      </c>
      <c r="C4952" t="str">
        <v>Tul Atas Tumpuan</v>
      </c>
      <c r="D4952">
        <f>VLOOKUP(D4945,'Detail Balok'!$C$10:$AU$140,4,FALSE)</f>
        <v>3</v>
      </c>
      <c r="E4952" t="str">
        <v>D</v>
      </c>
      <c r="F4952">
        <f>VLOOKUP(D4945,'Detail Balok'!$C$10:$AU$140,6,FALSE)</f>
        <v>16</v>
      </c>
      <c r="I4952" t="str">
        <v>(</v>
      </c>
      <c r="J4952">
        <f>+D4947/4/1000</f>
        <v>0.85625</v>
      </c>
      <c r="K4952" t="str">
        <v>+</v>
      </c>
      <c r="L4952">
        <f>MAX(VLOOKUP(F4952,N$6:P$15,3,FALSE)/1000,2/3*D4949/1000)+F$16*F4952/1000</f>
        <v>0.192</v>
      </c>
      <c r="M4952" t="str">
        <v>=</v>
      </c>
      <c r="N4952">
        <f>J4952+L4952</f>
        <v>1.04825</v>
      </c>
      <c r="O4952" t="str">
        <v>+</v>
      </c>
      <c r="P4952">
        <f>D4952-D4953</f>
        <v>0</v>
      </c>
      <c r="Q4952" t="str">
        <v>x</v>
      </c>
      <c r="R4952">
        <f>IF(P4952&gt;0,$F$18*F4952/1000,0)</f>
        <v>0</v>
      </c>
      <c r="S4952" t="str">
        <v>)</v>
      </c>
      <c r="T4952" t="str">
        <v>x</v>
      </c>
      <c r="U4952">
        <f>0.006165*F4952^2</f>
        <v>1.57824</v>
      </c>
      <c r="X4952" t="str">
        <v>x</v>
      </c>
      <c r="Y4952">
        <f>D4951</f>
        <v>1</v>
      </c>
      <c r="Z4952" t="str">
        <v>=</v>
      </c>
      <c r="AA4952">
        <f>IF(AA4955=0,(D4952*N4952+P4952*R4952)*U4952*Y4952,0)</f>
        <v>0</v>
      </c>
    </row>
    <row r="4953">
      <c r="A4953" t="str">
        <f>A4945</f>
        <v>Lantai 3</v>
      </c>
      <c r="B4953">
        <f>B4945</f>
        <v>23</v>
      </c>
      <c r="C4953" t="str">
        <v>Tul Atas Lapangan</v>
      </c>
      <c r="D4953">
        <f>VLOOKUP(D4945,'Detail Balok'!$C$10:$AU$140,7,FALSE)</f>
        <v>3</v>
      </c>
      <c r="E4953" t="str">
        <v>D</v>
      </c>
      <c r="F4953">
        <f>VLOOKUP(D4945,'Detail Balok'!$C$10:$AU$140,9,FALSE)</f>
        <v>16</v>
      </c>
      <c r="I4953" t="str">
        <v>(</v>
      </c>
      <c r="J4953">
        <f>+D4947/2/1000</f>
        <v>1.7125</v>
      </c>
      <c r="K4953" t="str">
        <v>+</v>
      </c>
      <c r="M4953" t="str">
        <v>=</v>
      </c>
      <c r="N4953">
        <f>J4953+L4953</f>
        <v>1.7125</v>
      </c>
      <c r="O4953" t="str">
        <v>+</v>
      </c>
      <c r="P4953">
        <f>MAX(D4953-D4952,D4953-D4954)</f>
        <v>0</v>
      </c>
      <c r="Q4953" t="str">
        <v>x</v>
      </c>
      <c r="R4953">
        <f>IF(P4953&gt;0,2*(1-2*$F$19-1/2)*D4948/1000,0)</f>
        <v>0</v>
      </c>
      <c r="S4953" t="str">
        <v>)</v>
      </c>
      <c r="T4953" t="str">
        <v>x</v>
      </c>
      <c r="U4953">
        <f>0.006165*F4953^2</f>
        <v>1.57824</v>
      </c>
      <c r="X4953" t="str">
        <v>x</v>
      </c>
      <c r="Y4953">
        <f>D4951</f>
        <v>1</v>
      </c>
      <c r="Z4953" t="str">
        <v>=</v>
      </c>
      <c r="AA4953">
        <f>IF(AA4955=0,(D4953*N4953+P4953*R4953)*U4953*Y4953,0)</f>
        <v>0</v>
      </c>
    </row>
    <row r="4954">
      <c r="A4954" t="str">
        <f>A4945</f>
        <v>Lantai 3</v>
      </c>
      <c r="B4954">
        <f>B4945</f>
        <v>23</v>
      </c>
      <c r="C4954" t="str">
        <v>Tul Atas Tumpuan</v>
      </c>
      <c r="D4954">
        <f>VLOOKUP(D4945,'Detail Balok'!$C$10:$AU$140,10,FALSE)</f>
        <v>3</v>
      </c>
      <c r="E4954" t="str">
        <v>D</v>
      </c>
      <c r="F4954">
        <f>VLOOKUP(D4945,'Detail Balok'!$C$10:$AU$140,12,FALSE)</f>
        <v>16</v>
      </c>
      <c r="I4954" t="str">
        <v>(</v>
      </c>
      <c r="J4954">
        <f>+D4947/4/1000</f>
        <v>0.85625</v>
      </c>
      <c r="K4954" t="str">
        <v>+</v>
      </c>
      <c r="L4954">
        <f>MAX(VLOOKUP(F4954,N$6:P$15,3,FALSE)/1000,2/3*D4949/1000)+F$16*F4954/1000</f>
        <v>0.192</v>
      </c>
      <c r="M4954" t="str">
        <v>=</v>
      </c>
      <c r="N4954">
        <f>J4954+L4954</f>
        <v>1.04825</v>
      </c>
      <c r="O4954" t="str">
        <v>+</v>
      </c>
      <c r="P4954">
        <f>D4954-D4953</f>
        <v>0</v>
      </c>
      <c r="Q4954" t="str">
        <v>x</v>
      </c>
      <c r="R4954">
        <f>IF(P4954&gt;0,$F$18*F4954/1000,0)</f>
        <v>0</v>
      </c>
      <c r="S4954" t="str">
        <v>)</v>
      </c>
      <c r="T4954" t="str">
        <v>x</v>
      </c>
      <c r="U4954">
        <f>0.006165*F4954^2</f>
        <v>1.57824</v>
      </c>
      <c r="X4954" t="str">
        <v>x</v>
      </c>
      <c r="Y4954">
        <f>D4951</f>
        <v>1</v>
      </c>
      <c r="Z4954" t="str">
        <v>=</v>
      </c>
      <c r="AA4954">
        <f>IF(AA4955=0,(D4954*N4954+P4954*R4954)*U4954*Y4954,0)</f>
        <v>0</v>
      </c>
    </row>
    <row r="4955">
      <c r="A4955" t="str">
        <f>A4945</f>
        <v>Lantai 3</v>
      </c>
      <c r="B4955">
        <f>B4945</f>
        <v>23</v>
      </c>
      <c r="D4955">
        <f>IF(AND(D4952=D4953,D4953=D4954,D4952=D4954),D4952,0)</f>
        <v>3</v>
      </c>
      <c r="E4955" t="str">
        <v>D</v>
      </c>
      <c r="F4955">
        <f>IF(AND(F4952=F4953,F4952=F4954,F4953=F4954),F4952,0)</f>
        <v>16</v>
      </c>
      <c r="L4955" t="str">
        <v>Total panjang per balok</v>
      </c>
      <c r="M4955" t="str">
        <v>=</v>
      </c>
      <c r="N4955">
        <f>IF(AND(D4952=D4953,D4952=D4954,D4953=D4954,F4952=F4953,F4952=F4954,F4953=F4954),SUM(N4952:N4954),0)</f>
        <v>3.8089999999999997</v>
      </c>
      <c r="O4955" t="str">
        <v>+</v>
      </c>
      <c r="P4955">
        <f>IF(N4955&gt;12,ROUNDDOWN(N4955/12,0),0)</f>
        <v>0</v>
      </c>
      <c r="Q4955" t="str">
        <v>x</v>
      </c>
      <c r="R4955">
        <f>IF(P4955&gt;0,MAX(VLOOKUP(F4955,$D$6:$G$15,3,FALSE),600),0)/1000</f>
        <v>0</v>
      </c>
      <c r="T4955" t="str">
        <v>x</v>
      </c>
      <c r="U4955">
        <f>U4954</f>
        <v>1.57824</v>
      </c>
      <c r="V4955" t="str">
        <v>x</v>
      </c>
      <c r="W4955">
        <f>D4955</f>
        <v>3</v>
      </c>
      <c r="X4955" t="str">
        <v>x</v>
      </c>
      <c r="Y4955">
        <f>Y4954</f>
        <v>1</v>
      </c>
      <c r="Z4955" t="str">
        <v>=</v>
      </c>
      <c r="AA4955">
        <f>(N4955+P4955*R4955/1000)*U4955*W4955*Y4955</f>
        <v>18.03454848</v>
      </c>
    </row>
    <row r="4957">
      <c r="A4957" t="str">
        <f>A4945</f>
        <v>Lantai 3</v>
      </c>
      <c r="B4957">
        <f>B4945</f>
        <v>23</v>
      </c>
      <c r="C4957" t="str">
        <v>Tul Peminggang</v>
      </c>
      <c r="D4957">
        <f>VLOOKUP(D4945,'Detail Balok'!$C$10:$AU$140,13,FALSE)</f>
        <v>0</v>
      </c>
      <c r="E4957" t="str">
        <v>D</v>
      </c>
      <c r="F4957">
        <f>VLOOKUP(D4945,'Detail Balok'!$C$10:$AU$140,15,FALSE)</f>
        <v>8</v>
      </c>
      <c r="J4957">
        <f>+D4947/1000</f>
        <v>3.425</v>
      </c>
      <c r="K4957" t="str">
        <v>+</v>
      </c>
      <c r="L4957">
        <f>2*$F$16*F4957/1000</f>
        <v>0.192</v>
      </c>
      <c r="M4957" t="str">
        <v>=</v>
      </c>
      <c r="N4957">
        <f>J4957+L4957</f>
        <v>3.617</v>
      </c>
      <c r="O4957" t="str">
        <v>+</v>
      </c>
      <c r="P4957">
        <f>IF(N4957&gt;12,ROUNDDOWN(N4957/12,0),0)</f>
        <v>0</v>
      </c>
      <c r="Q4957" t="str">
        <v>x</v>
      </c>
      <c r="R4957">
        <f>IF(P4957&gt;0,MAX(VLOOKUP(F4957,$D$6:$G$15,3,FALSE),600),0)/1000</f>
        <v>0</v>
      </c>
      <c r="T4957" t="str">
        <v>x</v>
      </c>
      <c r="U4957">
        <f>0.006165*F4957^2</f>
        <v>0.39456</v>
      </c>
      <c r="V4957" t="str">
        <v>x</v>
      </c>
      <c r="W4957">
        <f>+D4957</f>
        <v>0</v>
      </c>
      <c r="X4957" t="str">
        <v>x</v>
      </c>
      <c r="Y4957">
        <f>D4951</f>
        <v>1</v>
      </c>
      <c r="Z4957" t="str">
        <v>=</v>
      </c>
      <c r="AA4957">
        <f>(N4957+P4957*R4957/1000)*U4957*W4957*Y4957</f>
        <v>0</v>
      </c>
    </row>
    <row r="4960">
      <c r="A4960" t="str">
        <f>A4945</f>
        <v>Lantai 3</v>
      </c>
      <c r="B4960">
        <f>B4945</f>
        <v>23</v>
      </c>
      <c r="C4960" t="str">
        <v>Tul Bawah Tumpuan</v>
      </c>
      <c r="D4960">
        <f>VLOOKUP(D4945,'Detail Balok'!$C$10:$AU$140,22,FALSE)</f>
        <v>3</v>
      </c>
      <c r="E4960" t="str">
        <v>D</v>
      </c>
      <c r="F4960">
        <f>VLOOKUP(D4945,'Detail Balok'!$C$10:$AU$140,24,FALSE)</f>
        <v>16</v>
      </c>
      <c r="I4960" t="str">
        <v>(</v>
      </c>
      <c r="J4960">
        <f>+J4952</f>
        <v>0.85625</v>
      </c>
      <c r="K4960" t="str">
        <v>+</v>
      </c>
      <c r="L4960">
        <f>MAX(VLOOKUP(F4960,N$6:P$15,3,FALSE)/1000,2/3*D4950/1000)+F$16*F4960/1000</f>
        <v>0.192</v>
      </c>
      <c r="M4960" t="str">
        <v>=</v>
      </c>
      <c r="N4960">
        <f>J4960+L4960</f>
        <v>1.04825</v>
      </c>
      <c r="O4960" t="str">
        <v>+</v>
      </c>
      <c r="P4960">
        <f>D4960-D4961</f>
        <v>0</v>
      </c>
      <c r="Q4960" t="str">
        <v>x</v>
      </c>
      <c r="R4960">
        <f>IF(P4960&gt;0,$F$18*F4960/1000,0)</f>
        <v>0</v>
      </c>
      <c r="S4960" t="str">
        <v>)</v>
      </c>
      <c r="T4960" t="str">
        <v>x</v>
      </c>
      <c r="U4960">
        <f>0.006165*F4960^2</f>
        <v>1.57824</v>
      </c>
      <c r="X4960" t="str">
        <v>x</v>
      </c>
      <c r="Y4960">
        <f>D4951</f>
        <v>1</v>
      </c>
      <c r="Z4960" t="str">
        <v>=</v>
      </c>
      <c r="AA4960">
        <f>IF(AA4963=0,(D4960*N4960+P4960*R4960)*U4960*Y4960,0)</f>
        <v>0</v>
      </c>
    </row>
    <row r="4961">
      <c r="A4961" t="str">
        <f>A4945</f>
        <v>Lantai 3</v>
      </c>
      <c r="B4961">
        <f>B4945</f>
        <v>23</v>
      </c>
      <c r="C4961" t="str">
        <v>Tul Bawah Lapangan</v>
      </c>
      <c r="D4961">
        <f>VLOOKUP(D4945,'Detail Balok'!$C$10:$AU$140,25,FALSE)</f>
        <v>3</v>
      </c>
      <c r="E4961" t="str">
        <v>D</v>
      </c>
      <c r="F4961">
        <f>VLOOKUP(D4945,'Detail Balok'!$C$10:$AU$140,27,FALSE)</f>
        <v>16</v>
      </c>
      <c r="I4961" t="str">
        <v>(</v>
      </c>
      <c r="J4961">
        <f>+J4953</f>
        <v>1.7125</v>
      </c>
      <c r="K4961" t="str">
        <v>+</v>
      </c>
      <c r="M4961" t="str">
        <v>=</v>
      </c>
      <c r="N4961">
        <f>J4961+L4961</f>
        <v>1.7125</v>
      </c>
      <c r="O4961" t="str">
        <v>+</v>
      </c>
      <c r="P4961">
        <f>MAX(D4961-D4960,D4961-D4962)</f>
        <v>0</v>
      </c>
      <c r="Q4961" t="str">
        <v>x</v>
      </c>
      <c r="R4961">
        <f>IF(P4961&gt;0,2*(1-2*$F$19-1/2)*D4948/1000,0)</f>
        <v>0</v>
      </c>
      <c r="S4961" t="str">
        <v>)</v>
      </c>
      <c r="T4961" t="str">
        <v>x</v>
      </c>
      <c r="U4961">
        <f>0.006165*F4961^2</f>
        <v>1.57824</v>
      </c>
      <c r="X4961" t="str">
        <v>x</v>
      </c>
      <c r="Y4961">
        <f>D4951</f>
        <v>1</v>
      </c>
      <c r="Z4961" t="str">
        <v>=</v>
      </c>
      <c r="AA4961">
        <f>IF(AA4963=0,(D4961*N4961+P4961*R4961)*U4961*Y4961,0)</f>
        <v>0</v>
      </c>
    </row>
    <row r="4962">
      <c r="A4962" t="str">
        <f>A4945</f>
        <v>Lantai 3</v>
      </c>
      <c r="B4962">
        <f>B4945</f>
        <v>23</v>
      </c>
      <c r="C4962" t="str">
        <v>Tul Bawah Tumpuan</v>
      </c>
      <c r="D4962">
        <f>VLOOKUP(D4945,'Detail Balok'!$C$10:$AU$140,28,FALSE)</f>
        <v>3</v>
      </c>
      <c r="E4962" t="str">
        <v>D</v>
      </c>
      <c r="F4962">
        <f>VLOOKUP(D4945,'Detail Balok'!$C$10:$AU$140,30,FALSE)</f>
        <v>16</v>
      </c>
      <c r="I4962" t="str">
        <v>(</v>
      </c>
      <c r="J4962">
        <f>+J4954</f>
        <v>0.85625</v>
      </c>
      <c r="K4962" t="str">
        <v>+</v>
      </c>
      <c r="L4962">
        <f>MAX(VLOOKUP(F4962,N$6:P$15,3,FALSE)/1000,2/3*D4950/1000)+F$16*F4962/1000</f>
        <v>0.192</v>
      </c>
      <c r="M4962" t="str">
        <v>=</v>
      </c>
      <c r="N4962">
        <f>J4962+L4962</f>
        <v>1.04825</v>
      </c>
      <c r="O4962" t="str">
        <v>+</v>
      </c>
      <c r="P4962">
        <f>D4962-D4961</f>
        <v>0</v>
      </c>
      <c r="Q4962" t="str">
        <v>x</v>
      </c>
      <c r="R4962">
        <f>IF(P4962&gt;0,$F$18*F4962/1000,0)</f>
        <v>0</v>
      </c>
      <c r="S4962" t="str">
        <v>)</v>
      </c>
      <c r="T4962" t="str">
        <v>x</v>
      </c>
      <c r="U4962">
        <f>0.006165*F4962^2</f>
        <v>1.57824</v>
      </c>
      <c r="X4962" t="str">
        <v>x</v>
      </c>
      <c r="Y4962">
        <f>D4951</f>
        <v>1</v>
      </c>
      <c r="Z4962" t="str">
        <v>=</v>
      </c>
      <c r="AA4962">
        <f>IF(AA4963=0,(D4962*N4962+P4962*R4962)*U4962*Y4962,0)</f>
        <v>0</v>
      </c>
    </row>
    <row r="4963">
      <c r="A4963" t="str">
        <f>A4945</f>
        <v>Lantai 3</v>
      </c>
      <c r="B4963">
        <f>B4945</f>
        <v>23</v>
      </c>
      <c r="D4963">
        <f>IF(AND(D4960=D4961,D4961=D4962,D4960=D4962),D4960,0)</f>
        <v>3</v>
      </c>
      <c r="E4963" t="str">
        <v>D</v>
      </c>
      <c r="F4963">
        <f>IF(AND(F4960=F4961,F4960=F4962,F4961=F4962),F4960,0)</f>
        <v>16</v>
      </c>
      <c r="L4963" t="str">
        <v>Total panjang per balok</v>
      </c>
      <c r="M4963" t="str">
        <v>=</v>
      </c>
      <c r="N4963">
        <f>IF(AND(D4960=D4961,D4960=D4962,D4961=D4962,F4960=F4961,F4960=F4962,F4961=F4962),SUM(N4960:N4962),0)</f>
        <v>3.8089999999999997</v>
      </c>
      <c r="O4963" t="str">
        <v>+</v>
      </c>
      <c r="P4963">
        <f>IF(N4963&gt;12,ROUNDDOWN(N4963/12,0),0)</f>
        <v>0</v>
      </c>
      <c r="Q4963" t="str">
        <v>x</v>
      </c>
      <c r="R4963">
        <f>IF(P4963&gt;0,MAX(VLOOKUP(F4963,$D$6:$G$15,3,FALSE),600),0)/1000</f>
        <v>0</v>
      </c>
      <c r="T4963" t="str">
        <v>x</v>
      </c>
      <c r="U4963">
        <f>U4962</f>
        <v>1.57824</v>
      </c>
      <c r="V4963" t="str">
        <v>x</v>
      </c>
      <c r="W4963">
        <f>D4963</f>
        <v>3</v>
      </c>
      <c r="X4963" t="str">
        <v>x</v>
      </c>
      <c r="Y4963">
        <f>Y4962</f>
        <v>1</v>
      </c>
      <c r="Z4963" t="str">
        <v>=</v>
      </c>
      <c r="AA4963">
        <f>(N4963+P4963*R4963/1000)*U4963*W4963*Y4963</f>
        <v>18.03454848</v>
      </c>
    </row>
    <row r="4965">
      <c r="A4965" t="str">
        <f>A4945</f>
        <v>Lantai 3</v>
      </c>
      <c r="B4965">
        <f>B4945</f>
        <v>23</v>
      </c>
      <c r="C4965" t="str">
        <v>Sengkang Tumpuan</v>
      </c>
      <c r="D4965">
        <f>VLOOKUP(D4945,'Detail Balok'!$C$10:$AU$140,31,FALSE)</f>
        <v>0</v>
      </c>
      <c r="E4965" t="str">
        <v>D</v>
      </c>
      <c r="F4965">
        <f>VLOOKUP(D4945,'Detail Balok'!$C$10:$AU$140,33,FALSE)</f>
        <v>10</v>
      </c>
      <c r="G4965" t="str">
        <v>-</v>
      </c>
      <c r="H4965">
        <f>VLOOKUP(D4945,'Detail Balok'!$C$10:$AU$140,35,FALSE)</f>
        <v>100</v>
      </c>
      <c r="J4965">
        <f>(IF(D4965=0,(2*(D4946+G4946))-(F$5*8),IF(D4965=3,(2*(D4946+G4946))-(F$5*8)+(G4946-2*F$5),IF(D4965=4,(2*(D4946+G4946))-(F$5*8)+2*(G4946-2*F$5)))))/1000</f>
        <v>0.88</v>
      </c>
      <c r="K4965" t="str">
        <v>+</v>
      </c>
      <c r="L4965">
        <f>IF(D4965=0,2*MAX(6*F4965,75),(D4965-1)*2*MAX(6*F4965,75))/1000</f>
        <v>0.15</v>
      </c>
      <c r="M4965" t="str">
        <v>=</v>
      </c>
      <c r="N4965">
        <f>J4965+L4965</f>
        <v>1.03</v>
      </c>
      <c r="T4965" t="str">
        <v>x</v>
      </c>
      <c r="U4965">
        <f>0.006165*F4965^2</f>
        <v>0.6165</v>
      </c>
      <c r="V4965" t="str">
        <v>x</v>
      </c>
      <c r="W4965">
        <f>IF(D4948&gt;4*G4946,ROUND(MAX(D4948/4,2*G4946)/H4965,0)+1,ROUND(D4948/H4965,0)+1)</f>
        <v>10</v>
      </c>
      <c r="X4965" t="str">
        <v>x</v>
      </c>
      <c r="Y4965">
        <f>D4951</f>
        <v>1</v>
      </c>
      <c r="Z4965" t="str">
        <v>=</v>
      </c>
      <c r="AA4965">
        <f>N4965*U4965*W4965*Y4965</f>
        <v>6.349950000000001</v>
      </c>
    </row>
    <row r="4966">
      <c r="A4966" t="str">
        <f>A4945</f>
        <v>Lantai 3</v>
      </c>
      <c r="B4966">
        <f>B4945</f>
        <v>23</v>
      </c>
      <c r="C4966" t="str">
        <v>Sengkang Lapangan</v>
      </c>
      <c r="D4966">
        <f>VLOOKUP(D4945,'Detail Balok'!$C$10:$AU$140,36,FALSE)</f>
        <v>0</v>
      </c>
      <c r="E4966" t="str">
        <v>D</v>
      </c>
      <c r="F4966">
        <f>VLOOKUP(D4945,'Detail Balok'!$C$10:$AU$140,38,FALSE)</f>
        <v>10</v>
      </c>
      <c r="G4966" t="str">
        <v>-</v>
      </c>
      <c r="H4966">
        <f>VLOOKUP(D4945,'Detail Balok'!$C$10:$AU$140,40,FALSE)</f>
        <v>100</v>
      </c>
      <c r="J4966">
        <f>(IF(D4966=0,(2*(D4946+G4946))-(F$5*8),IF(D4966=3,(2*(D4946+G4946))-(F$5*8)+(G4946-2*F$5),IF(D4966=4,(2*(D4946+G4946))-(F$5*8)+2*(G4946-2*F$5)))))/1000</f>
        <v>0.88</v>
      </c>
      <c r="K4966" t="str">
        <v>+</v>
      </c>
      <c r="L4966">
        <f>IF(D4966=0,2*MAX(6*F4966,75),(D4966-1)*2*MAX(6*F4966,75))/1000</f>
        <v>0.15</v>
      </c>
      <c r="M4966" t="str">
        <v>=</v>
      </c>
      <c r="N4966">
        <f>J4966+L4966</f>
        <v>1.03</v>
      </c>
      <c r="T4966" t="str">
        <v>x</v>
      </c>
      <c r="U4966">
        <f>0.006165*F4966^2</f>
        <v>0.6165</v>
      </c>
      <c r="V4966" t="str">
        <v>x</v>
      </c>
      <c r="W4966">
        <f>IF(D4948-MAX(D4948/4,2*G4946)*2&gt;0,ROUND((D4948-MAX(D4948/4,2*G4946)*2)/H4966,0),0)</f>
        <v>17</v>
      </c>
      <c r="X4966" t="str">
        <v>x</v>
      </c>
      <c r="Y4966">
        <f>D4951</f>
        <v>1</v>
      </c>
      <c r="Z4966" t="str">
        <v>=</v>
      </c>
      <c r="AA4966">
        <f>N4966*U4966*W4966*Y4966</f>
        <v>10.794915000000001</v>
      </c>
    </row>
    <row r="4967">
      <c r="A4967" t="str">
        <f>A4945</f>
        <v>Lantai 3</v>
      </c>
      <c r="B4967">
        <f>B4945</f>
        <v>23</v>
      </c>
      <c r="C4967" t="str">
        <v>Sengkang Tumpuan</v>
      </c>
      <c r="D4967">
        <f>VLOOKUP(D4945,'Detail Balok'!$C$10:$AU$140,41,FALSE)</f>
        <v>0</v>
      </c>
      <c r="E4967" t="str">
        <v>D</v>
      </c>
      <c r="F4967">
        <f>VLOOKUP(D4945,'Detail Balok'!$C$10:$AU$140,43,FALSE)</f>
        <v>10</v>
      </c>
      <c r="G4967" t="str">
        <v>-</v>
      </c>
      <c r="H4967">
        <f>VLOOKUP(D4945,'Detail Balok'!$C$10:$AU$140,45,FALSE)</f>
        <v>100</v>
      </c>
      <c r="J4967">
        <f>(IF(D4967=0,(2*(D4946+G4946))-(F$5*8),IF(D4967=3,(2*(D4946+G4946))-(F$5*8)+(G4946-2*F$5),IF(D4967=4,(2*(D4946+G4946))-(F$5*8)+2*(G4946-2*F$5)))))/1000</f>
        <v>0.88</v>
      </c>
      <c r="K4967" t="str">
        <v>+</v>
      </c>
      <c r="L4967">
        <f>IF(D4967=0,2*MAX(6*F4967,75),(D4967-1)*2*MAX(6*F4967,75))/1000</f>
        <v>0.15</v>
      </c>
      <c r="M4967" t="str">
        <v>=</v>
      </c>
      <c r="N4967">
        <f>J4967+L4967</f>
        <v>1.03</v>
      </c>
      <c r="T4967" t="str">
        <v>x</v>
      </c>
      <c r="U4967">
        <f>0.006165*F4967^2</f>
        <v>0.6165</v>
      </c>
      <c r="V4967" t="str">
        <v>x</v>
      </c>
      <c r="W4967">
        <f>IF(D4948&gt;4*G4946,ROUND(MAX(D4948/4,2*G4946)/H4967,0)+1,0)</f>
        <v>10</v>
      </c>
      <c r="X4967" t="str">
        <v>x</v>
      </c>
      <c r="Y4967">
        <f>D4951</f>
        <v>1</v>
      </c>
      <c r="Z4967" t="str">
        <v>=</v>
      </c>
      <c r="AA4967">
        <f>N4967*U4967*W4967*Y4967</f>
        <v>6.349950000000001</v>
      </c>
    </row>
    <row r="4969">
      <c r="A4969" t="str">
        <f>A4945</f>
        <v>Lantai 3</v>
      </c>
      <c r="B4969">
        <f>B4945</f>
        <v>23</v>
      </c>
      <c r="C4969" t="str">
        <v>Kait Horizontal Tump.</v>
      </c>
      <c r="D4969">
        <f>VLOOKUP(D4945,'Detail Balok'!$C$10:$BJ$140,46,FALSE)</f>
        <v>0</v>
      </c>
      <c r="E4969" t="str">
        <v>D</v>
      </c>
      <c r="F4969">
        <f>VLOOKUP(D4945,'Detail Balok'!$C$10:$BJ$140,48,FALSE)</f>
        <v>0</v>
      </c>
      <c r="G4969" t="str">
        <v>-</v>
      </c>
      <c r="H4969">
        <f>VLOOKUP(D4945,'Detail Balok'!$C$10:$BJ$140,50,FALSE)</f>
        <v>100</v>
      </c>
      <c r="J4969">
        <f>(D4946-2*F$5)/1000</f>
        <v>0.12</v>
      </c>
      <c r="K4969" t="str">
        <v>+</v>
      </c>
      <c r="L4969">
        <f>IF(D4969=0,2*MAX(6*F4969,75),(D4969-1)*2*MAX(6*F4969,75))/1000</f>
        <v>0.15</v>
      </c>
      <c r="M4969" t="str">
        <v>=</v>
      </c>
      <c r="N4969">
        <f>J4969+L4969</f>
        <v>0.27</v>
      </c>
      <c r="T4969" t="str">
        <v>x</v>
      </c>
      <c r="U4969">
        <f>0.006165*F4969^2</f>
        <v>0</v>
      </c>
      <c r="V4969" t="str">
        <v>x</v>
      </c>
      <c r="W4969">
        <f>W4965</f>
        <v>10</v>
      </c>
      <c r="X4969" t="str">
        <v>x</v>
      </c>
      <c r="Y4969">
        <f>D4955</f>
        <v>3</v>
      </c>
      <c r="Z4969" t="str">
        <v>=</v>
      </c>
      <c r="AA4969">
        <f>N4969*U4969*W4969*Y4969</f>
        <v>0</v>
      </c>
    </row>
    <row r="4970">
      <c r="A4970" t="str">
        <f>A4945</f>
        <v>Lantai 3</v>
      </c>
      <c r="B4970">
        <f>B4945</f>
        <v>23</v>
      </c>
      <c r="C4970" t="str">
        <v>Kait Horizontal Lap.</v>
      </c>
      <c r="D4970">
        <f>VLOOKUP(D4945,'Detail Balok'!$C$10:$BJ$140,51,FALSE)</f>
        <v>0</v>
      </c>
      <c r="E4970" t="str">
        <v>D</v>
      </c>
      <c r="F4970">
        <f>VLOOKUP(D4945,'Detail Balok'!$C$10:$BJ$140,53,FALSE)</f>
        <v>0</v>
      </c>
      <c r="G4970" t="str">
        <v>-</v>
      </c>
      <c r="H4970">
        <f>VLOOKUP(D4945,'Detail Balok'!$C$10:$BJ$140,55,FALSE)</f>
        <v>100</v>
      </c>
      <c r="J4970">
        <f>(D4946-2*F$5)/1000</f>
        <v>0.12</v>
      </c>
      <c r="K4970" t="str">
        <v>+</v>
      </c>
      <c r="L4970">
        <f>IF(D4970=0,2*MAX(6*F4970,75),(D4970-1)*2*MAX(6*F4970,75))/1000</f>
        <v>0.15</v>
      </c>
      <c r="M4970" t="str">
        <v>=</v>
      </c>
      <c r="N4970">
        <f>J4970+L4970</f>
        <v>0.27</v>
      </c>
      <c r="T4970" t="str">
        <v>x</v>
      </c>
      <c r="U4970">
        <f>0.006165*F4970^2</f>
        <v>0</v>
      </c>
      <c r="V4970" t="str">
        <v>x</v>
      </c>
      <c r="W4970">
        <f>W4966</f>
        <v>17</v>
      </c>
      <c r="X4970" t="str">
        <v>x</v>
      </c>
      <c r="Y4970">
        <f>D4955</f>
        <v>3</v>
      </c>
      <c r="Z4970" t="str">
        <v>=</v>
      </c>
      <c r="AA4970">
        <f>N4970*U4970*W4970*Y4970</f>
        <v>0</v>
      </c>
    </row>
    <row r="4971">
      <c r="A4971" t="str">
        <f>A4945</f>
        <v>Lantai 3</v>
      </c>
      <c r="B4971">
        <f>B4945</f>
        <v>23</v>
      </c>
      <c r="C4971" t="str">
        <v>Kait Horizontal Tump.</v>
      </c>
      <c r="D4971">
        <f>VLOOKUP(D4945,'Detail Balok'!$C$10:$BJ$140,56,FALSE)</f>
        <v>0</v>
      </c>
      <c r="E4971" t="str">
        <v>D</v>
      </c>
      <c r="F4971">
        <f>VLOOKUP(D4945,'Detail Balok'!$C$10:$BJ$140,58,FALSE)</f>
        <v>0</v>
      </c>
      <c r="G4971" t="str">
        <v>-</v>
      </c>
      <c r="H4971">
        <f>VLOOKUP(D4945,'Detail Balok'!$C$10:$BJ$140,60,FALSE)</f>
        <v>100</v>
      </c>
      <c r="J4971">
        <f>(D4946-2*F$5)/1000</f>
        <v>0.12</v>
      </c>
      <c r="K4971" t="str">
        <v>+</v>
      </c>
      <c r="L4971">
        <f>IF(D4971=0,2*MAX(6*F4971,75),(D4971-1)*2*MAX(6*F4971,75))/1000</f>
        <v>0.15</v>
      </c>
      <c r="M4971" t="str">
        <v>=</v>
      </c>
      <c r="N4971">
        <f>J4971+L4971</f>
        <v>0.27</v>
      </c>
      <c r="T4971" t="str">
        <v>x</v>
      </c>
      <c r="U4971">
        <f>0.006165*F4971^2</f>
        <v>0</v>
      </c>
      <c r="V4971" t="str">
        <v>x</v>
      </c>
      <c r="W4971">
        <f>W4967</f>
        <v>10</v>
      </c>
      <c r="X4971" t="str">
        <v>x</v>
      </c>
      <c r="Y4971">
        <f>D4955</f>
        <v>3</v>
      </c>
      <c r="Z4971" t="str">
        <v>=</v>
      </c>
      <c r="AA4971">
        <f>N4971*U4971*W4971*Y4971</f>
        <v>0</v>
      </c>
    </row>
    <row r="4975">
      <c r="A4975" t="str">
        <f>A4945</f>
        <v>Lantai 3</v>
      </c>
      <c r="B4975">
        <f>B4945+1</f>
        <v>24</v>
      </c>
      <c r="C4975" t="str">
        <f>CONCATENATE(A4975," no. ",B4975)</f>
        <v>Lantai 3 no. 24</v>
      </c>
      <c r="D4975" t="str">
        <f>VLOOKUP(C4975,'Data Panjang Balok'!$C$9:$N$254,2,FALSE)</f>
        <v>B25-1</v>
      </c>
    </row>
    <row r="4976">
      <c r="C4976" t="str">
        <v>Dimensi</v>
      </c>
      <c r="D4976">
        <f>VLOOKUP(D4975,'Detail Balok'!$C$10:$AU$140,2,FALSE)</f>
        <v>200</v>
      </c>
      <c r="F4976" t="str">
        <v>x</v>
      </c>
      <c r="G4976">
        <f>VLOOKUP(D4975,'Detail Balok'!$C$10:$AU$140,3,FALSE)</f>
        <v>500</v>
      </c>
    </row>
    <row r="4977">
      <c r="C4977" t="str">
        <v>Panjang as ke as</v>
      </c>
      <c r="D4977">
        <f>VLOOKUP(C4975,'Data Panjang Balok'!$C$9:$N$254,4,FALSE)</f>
        <v>4075</v>
      </c>
    </row>
    <row r="4978">
      <c r="C4978" t="str">
        <v>Panjang netto</v>
      </c>
      <c r="D4978">
        <f>VLOOKUP(C4975,'Data Panjang Balok'!$C$9:$N$254,7,FALSE)</f>
        <v>4075</v>
      </c>
    </row>
    <row r="4979">
      <c r="C4979" t="str">
        <v>Kolom / balok kiri</v>
      </c>
      <c r="D4979">
        <f>VLOOKUP(C4975,'Data Panjang Balok'!$C$9:$N$254,9,FALSE)</f>
        <v>0</v>
      </c>
    </row>
    <row r="4980">
      <c r="C4980" t="str">
        <v>Kolom / balok kanan</v>
      </c>
      <c r="D4980">
        <f>VLOOKUP(C4975,'Data Panjang Balok'!$C$9:$N$254,10,FALSE)</f>
        <v>0</v>
      </c>
    </row>
    <row r="4981">
      <c r="C4981" t="str">
        <v>Jumlah</v>
      </c>
      <c r="D4981">
        <f>VLOOKUP(C4975,'Data Panjang Balok'!$C$9:$N$254,3,FALSE)</f>
        <v>1</v>
      </c>
    </row>
    <row r="4982">
      <c r="A4982" t="str">
        <f>A4975</f>
        <v>Lantai 3</v>
      </c>
      <c r="B4982">
        <f>B4975</f>
        <v>24</v>
      </c>
      <c r="C4982" t="str">
        <v>Tul Atas Tumpuan</v>
      </c>
      <c r="D4982">
        <f>VLOOKUP(D4975,'Detail Balok'!$C$10:$AU$140,4,FALSE)</f>
        <v>4</v>
      </c>
      <c r="E4982" t="str">
        <v>D</v>
      </c>
      <c r="F4982">
        <f>VLOOKUP(D4975,'Detail Balok'!$C$10:$AU$140,6,FALSE)</f>
        <v>16</v>
      </c>
      <c r="I4982" t="str">
        <v>(</v>
      </c>
      <c r="J4982">
        <f>+D4977/4/1000</f>
        <v>1.01875</v>
      </c>
      <c r="K4982" t="str">
        <v>+</v>
      </c>
      <c r="L4982">
        <f>MAX(VLOOKUP(F4982,N$6:P$15,3,FALSE)/1000,2/3*D4979/1000)+F$16*F4982/1000</f>
        <v>0.192</v>
      </c>
      <c r="M4982" t="str">
        <v>=</v>
      </c>
      <c r="N4982">
        <f>J4982+L4982</f>
        <v>1.21075</v>
      </c>
      <c r="O4982" t="str">
        <v>+</v>
      </c>
      <c r="P4982">
        <f>D4982-D4983</f>
        <v>0</v>
      </c>
      <c r="Q4982" t="str">
        <v>x</v>
      </c>
      <c r="R4982">
        <f>IF(P4982&gt;0,$F$18*F4982/1000,0)</f>
        <v>0</v>
      </c>
      <c r="S4982" t="str">
        <v>)</v>
      </c>
      <c r="T4982" t="str">
        <v>x</v>
      </c>
      <c r="U4982">
        <f>0.006165*F4982^2</f>
        <v>1.57824</v>
      </c>
      <c r="X4982" t="str">
        <v>x</v>
      </c>
      <c r="Y4982">
        <f>D4981</f>
        <v>1</v>
      </c>
      <c r="Z4982" t="str">
        <v>=</v>
      </c>
      <c r="AA4982">
        <f>IF(AA4985=0,(D4982*N4982+P4982*R4982)*U4982*Y4982,0)</f>
        <v>0</v>
      </c>
    </row>
    <row r="4983">
      <c r="A4983" t="str">
        <f>A4975</f>
        <v>Lantai 3</v>
      </c>
      <c r="B4983">
        <f>B4975</f>
        <v>24</v>
      </c>
      <c r="C4983" t="str">
        <v>Tul Atas Lapangan</v>
      </c>
      <c r="D4983">
        <f>VLOOKUP(D4975,'Detail Balok'!$C$10:$AU$140,7,FALSE)</f>
        <v>4</v>
      </c>
      <c r="E4983" t="str">
        <v>D</v>
      </c>
      <c r="F4983">
        <f>VLOOKUP(D4975,'Detail Balok'!$C$10:$AU$140,9,FALSE)</f>
        <v>16</v>
      </c>
      <c r="I4983" t="str">
        <v>(</v>
      </c>
      <c r="J4983">
        <f>+D4977/2/1000</f>
        <v>2.0375</v>
      </c>
      <c r="K4983" t="str">
        <v>+</v>
      </c>
      <c r="M4983" t="str">
        <v>=</v>
      </c>
      <c r="N4983">
        <f>J4983+L4983</f>
        <v>2.0375</v>
      </c>
      <c r="O4983" t="str">
        <v>+</v>
      </c>
      <c r="P4983">
        <f>MAX(D4983-D4982,D4983-D4984)</f>
        <v>0</v>
      </c>
      <c r="Q4983" t="str">
        <v>x</v>
      </c>
      <c r="R4983">
        <f>IF(P4983&gt;0,2*(1-2*$F$19-1/2)*D4978/1000,0)</f>
        <v>0</v>
      </c>
      <c r="S4983" t="str">
        <v>)</v>
      </c>
      <c r="T4983" t="str">
        <v>x</v>
      </c>
      <c r="U4983">
        <f>0.006165*F4983^2</f>
        <v>1.57824</v>
      </c>
      <c r="X4983" t="str">
        <v>x</v>
      </c>
      <c r="Y4983">
        <f>D4981</f>
        <v>1</v>
      </c>
      <c r="Z4983" t="str">
        <v>=</v>
      </c>
      <c r="AA4983">
        <f>IF(AA4985=0,(D4983*N4983+P4983*R4983)*U4983*Y4983,0)</f>
        <v>0</v>
      </c>
    </row>
    <row r="4984">
      <c r="A4984" t="str">
        <f>A4975</f>
        <v>Lantai 3</v>
      </c>
      <c r="B4984">
        <f>B4975</f>
        <v>24</v>
      </c>
      <c r="C4984" t="str">
        <v>Tul Atas Tumpuan</v>
      </c>
      <c r="D4984">
        <f>VLOOKUP(D4975,'Detail Balok'!$C$10:$AU$140,10,FALSE)</f>
        <v>4</v>
      </c>
      <c r="E4984" t="str">
        <v>D</v>
      </c>
      <c r="F4984">
        <f>VLOOKUP(D4975,'Detail Balok'!$C$10:$AU$140,12,FALSE)</f>
        <v>16</v>
      </c>
      <c r="I4984" t="str">
        <v>(</v>
      </c>
      <c r="J4984">
        <f>+D4977/4/1000</f>
        <v>1.01875</v>
      </c>
      <c r="K4984" t="str">
        <v>+</v>
      </c>
      <c r="L4984">
        <f>MAX(VLOOKUP(F4984,N$6:P$15,3,FALSE)/1000,2/3*D4979/1000)+F$16*F4984/1000</f>
        <v>0.192</v>
      </c>
      <c r="M4984" t="str">
        <v>=</v>
      </c>
      <c r="N4984">
        <f>J4984+L4984</f>
        <v>1.21075</v>
      </c>
      <c r="O4984" t="str">
        <v>+</v>
      </c>
      <c r="P4984">
        <f>D4984-D4983</f>
        <v>0</v>
      </c>
      <c r="Q4984" t="str">
        <v>x</v>
      </c>
      <c r="R4984">
        <f>IF(P4984&gt;0,$F$18*F4984/1000,0)</f>
        <v>0</v>
      </c>
      <c r="S4984" t="str">
        <v>)</v>
      </c>
      <c r="T4984" t="str">
        <v>x</v>
      </c>
      <c r="U4984">
        <f>0.006165*F4984^2</f>
        <v>1.57824</v>
      </c>
      <c r="X4984" t="str">
        <v>x</v>
      </c>
      <c r="Y4984">
        <f>D4981</f>
        <v>1</v>
      </c>
      <c r="Z4984" t="str">
        <v>=</v>
      </c>
      <c r="AA4984">
        <f>IF(AA4985=0,(D4984*N4984+P4984*R4984)*U4984*Y4984,0)</f>
        <v>0</v>
      </c>
    </row>
    <row r="4985">
      <c r="A4985" t="str">
        <f>A4975</f>
        <v>Lantai 3</v>
      </c>
      <c r="B4985">
        <f>B4975</f>
        <v>24</v>
      </c>
      <c r="D4985">
        <f>IF(AND(D4982=D4983,D4983=D4984,D4982=D4984),D4982,0)</f>
        <v>4</v>
      </c>
      <c r="E4985" t="str">
        <v>D</v>
      </c>
      <c r="F4985">
        <f>IF(AND(F4982=F4983,F4982=F4984,F4983=F4984),F4982,0)</f>
        <v>16</v>
      </c>
      <c r="L4985" t="str">
        <v>Total panjang per balok</v>
      </c>
      <c r="M4985" t="str">
        <v>=</v>
      </c>
      <c r="N4985">
        <f>IF(AND(D4982=D4983,D4982=D4984,D4983=D4984,F4982=F4983,F4982=F4984,F4983=F4984),SUM(N4982:N4984),0)</f>
        <v>4.459</v>
      </c>
      <c r="O4985" t="str">
        <v>+</v>
      </c>
      <c r="P4985">
        <f>IF(N4985&gt;12,ROUNDDOWN(N4985/12,0),0)</f>
        <v>0</v>
      </c>
      <c r="Q4985" t="str">
        <v>x</v>
      </c>
      <c r="R4985">
        <f>IF(P4985&gt;0,MAX(VLOOKUP(F4985,$D$6:$G$15,3,FALSE),600),0)/1000</f>
        <v>0</v>
      </c>
      <c r="T4985" t="str">
        <v>x</v>
      </c>
      <c r="U4985">
        <f>U4984</f>
        <v>1.57824</v>
      </c>
      <c r="V4985" t="str">
        <v>x</v>
      </c>
      <c r="W4985">
        <f>D4985</f>
        <v>4</v>
      </c>
      <c r="X4985" t="str">
        <v>x</v>
      </c>
      <c r="Y4985">
        <f>Y4984</f>
        <v>1</v>
      </c>
      <c r="Z4985" t="str">
        <v>=</v>
      </c>
      <c r="AA4985">
        <f>(N4985+P4985*R4985/1000)*U4985*W4985*Y4985</f>
        <v>28.149488639999998</v>
      </c>
    </row>
    <row r="4987">
      <c r="A4987" t="str">
        <f>A4975</f>
        <v>Lantai 3</v>
      </c>
      <c r="B4987">
        <f>B4975</f>
        <v>24</v>
      </c>
      <c r="C4987" t="str">
        <v>Tul Peminggang</v>
      </c>
      <c r="D4987">
        <f>VLOOKUP(D4975,'Detail Balok'!$C$10:$AU$140,13,FALSE)</f>
        <v>2</v>
      </c>
      <c r="E4987" t="str">
        <v>D</v>
      </c>
      <c r="F4987">
        <f>VLOOKUP(D4975,'Detail Balok'!$C$10:$AU$140,15,FALSE)</f>
        <v>10</v>
      </c>
      <c r="J4987">
        <f>+D4977/1000</f>
        <v>4.075</v>
      </c>
      <c r="K4987" t="str">
        <v>+</v>
      </c>
      <c r="L4987">
        <f>2*$F$16*F4987/1000</f>
        <v>0.24</v>
      </c>
      <c r="M4987" t="str">
        <v>=</v>
      </c>
      <c r="N4987">
        <f>J4987+L4987</f>
        <v>4.315</v>
      </c>
      <c r="O4987" t="str">
        <v>+</v>
      </c>
      <c r="P4987">
        <f>IF(N4987&gt;12,ROUNDDOWN(N4987/12,0),0)</f>
        <v>0</v>
      </c>
      <c r="Q4987" t="str">
        <v>x</v>
      </c>
      <c r="R4987">
        <f>IF(P4987&gt;0,MAX(VLOOKUP(F4987,$D$6:$G$15,3,FALSE),600),0)/1000</f>
        <v>0</v>
      </c>
      <c r="T4987" t="str">
        <v>x</v>
      </c>
      <c r="U4987">
        <f>0.006165*F4987^2</f>
        <v>0.6165</v>
      </c>
      <c r="V4987" t="str">
        <v>x</v>
      </c>
      <c r="W4987">
        <f>+D4987</f>
        <v>2</v>
      </c>
      <c r="X4987" t="str">
        <v>x</v>
      </c>
      <c r="Y4987">
        <f>D4981</f>
        <v>1</v>
      </c>
      <c r="Z4987" t="str">
        <v>=</v>
      </c>
      <c r="AA4987">
        <f>(N4987+P4987*R4987/1000)*U4987*W4987*Y4987</f>
        <v>5.320395000000001</v>
      </c>
    </row>
    <row r="4990">
      <c r="A4990" t="str">
        <f>A4975</f>
        <v>Lantai 3</v>
      </c>
      <c r="B4990">
        <f>B4975</f>
        <v>24</v>
      </c>
      <c r="C4990" t="str">
        <v>Tul Bawah Tumpuan</v>
      </c>
      <c r="D4990">
        <f>VLOOKUP(D4975,'Detail Balok'!$C$10:$AU$140,22,FALSE)</f>
        <v>4</v>
      </c>
      <c r="E4990" t="str">
        <v>D</v>
      </c>
      <c r="F4990">
        <f>VLOOKUP(D4975,'Detail Balok'!$C$10:$AU$140,24,FALSE)</f>
        <v>16</v>
      </c>
      <c r="I4990" t="str">
        <v>(</v>
      </c>
      <c r="J4990">
        <f>+J4982</f>
        <v>1.01875</v>
      </c>
      <c r="K4990" t="str">
        <v>+</v>
      </c>
      <c r="L4990">
        <f>MAX(VLOOKUP(F4990,N$6:P$15,3,FALSE)/1000,2/3*D4980/1000)+F$16*F4990/1000</f>
        <v>0.192</v>
      </c>
      <c r="M4990" t="str">
        <v>=</v>
      </c>
      <c r="N4990">
        <f>J4990+L4990</f>
        <v>1.21075</v>
      </c>
      <c r="O4990" t="str">
        <v>+</v>
      </c>
      <c r="P4990">
        <f>D4990-D4991</f>
        <v>0</v>
      </c>
      <c r="Q4990" t="str">
        <v>x</v>
      </c>
      <c r="R4990">
        <f>IF(P4990&gt;0,$F$18*F4990/1000,0)</f>
        <v>0</v>
      </c>
      <c r="S4990" t="str">
        <v>)</v>
      </c>
      <c r="T4990" t="str">
        <v>x</v>
      </c>
      <c r="U4990">
        <f>0.006165*F4990^2</f>
        <v>1.57824</v>
      </c>
      <c r="X4990" t="str">
        <v>x</v>
      </c>
      <c r="Y4990">
        <f>D4981</f>
        <v>1</v>
      </c>
      <c r="Z4990" t="str">
        <v>=</v>
      </c>
      <c r="AA4990">
        <f>IF(AA4993=0,(D4990*N4990+P4990*R4990)*U4990*Y4990,0)</f>
        <v>0</v>
      </c>
    </row>
    <row r="4991">
      <c r="A4991" t="str">
        <f>A4975</f>
        <v>Lantai 3</v>
      </c>
      <c r="B4991">
        <f>B4975</f>
        <v>24</v>
      </c>
      <c r="C4991" t="str">
        <v>Tul Bawah Lapangan</v>
      </c>
      <c r="D4991">
        <f>VLOOKUP(D4975,'Detail Balok'!$C$10:$AU$140,25,FALSE)</f>
        <v>4</v>
      </c>
      <c r="E4991" t="str">
        <v>D</v>
      </c>
      <c r="F4991">
        <f>VLOOKUP(D4975,'Detail Balok'!$C$10:$AU$140,27,FALSE)</f>
        <v>16</v>
      </c>
      <c r="I4991" t="str">
        <v>(</v>
      </c>
      <c r="J4991">
        <f>+J4983</f>
        <v>2.0375</v>
      </c>
      <c r="K4991" t="str">
        <v>+</v>
      </c>
      <c r="M4991" t="str">
        <v>=</v>
      </c>
      <c r="N4991">
        <f>J4991+L4991</f>
        <v>2.0375</v>
      </c>
      <c r="O4991" t="str">
        <v>+</v>
      </c>
      <c r="P4991">
        <f>MAX(D4991-D4990,D4991-D4992)</f>
        <v>0</v>
      </c>
      <c r="Q4991" t="str">
        <v>x</v>
      </c>
      <c r="R4991">
        <f>IF(P4991&gt;0,2*(1-2*$F$19-1/2)*D4978/1000,0)</f>
        <v>0</v>
      </c>
      <c r="S4991" t="str">
        <v>)</v>
      </c>
      <c r="T4991" t="str">
        <v>x</v>
      </c>
      <c r="U4991">
        <f>0.006165*F4991^2</f>
        <v>1.57824</v>
      </c>
      <c r="X4991" t="str">
        <v>x</v>
      </c>
      <c r="Y4991">
        <f>D4981</f>
        <v>1</v>
      </c>
      <c r="Z4991" t="str">
        <v>=</v>
      </c>
      <c r="AA4991">
        <f>IF(AA4993=0,(D4991*N4991+P4991*R4991)*U4991*Y4991,0)</f>
        <v>0</v>
      </c>
    </row>
    <row r="4992">
      <c r="A4992" t="str">
        <f>A4975</f>
        <v>Lantai 3</v>
      </c>
      <c r="B4992">
        <f>B4975</f>
        <v>24</v>
      </c>
      <c r="C4992" t="str">
        <v>Tul Bawah Tumpuan</v>
      </c>
      <c r="D4992">
        <f>VLOOKUP(D4975,'Detail Balok'!$C$10:$AU$140,28,FALSE)</f>
        <v>4</v>
      </c>
      <c r="E4992" t="str">
        <v>D</v>
      </c>
      <c r="F4992">
        <f>VLOOKUP(D4975,'Detail Balok'!$C$10:$AU$140,30,FALSE)</f>
        <v>16</v>
      </c>
      <c r="I4992" t="str">
        <v>(</v>
      </c>
      <c r="J4992">
        <f>+J4984</f>
        <v>1.01875</v>
      </c>
      <c r="K4992" t="str">
        <v>+</v>
      </c>
      <c r="L4992">
        <f>MAX(VLOOKUP(F4992,N$6:P$15,3,FALSE)/1000,2/3*D4980/1000)+F$16*F4992/1000</f>
        <v>0.192</v>
      </c>
      <c r="M4992" t="str">
        <v>=</v>
      </c>
      <c r="N4992">
        <f>J4992+L4992</f>
        <v>1.21075</v>
      </c>
      <c r="O4992" t="str">
        <v>+</v>
      </c>
      <c r="P4992">
        <f>D4992-D4991</f>
        <v>0</v>
      </c>
      <c r="Q4992" t="str">
        <v>x</v>
      </c>
      <c r="R4992">
        <f>IF(P4992&gt;0,$F$18*F4992/1000,0)</f>
        <v>0</v>
      </c>
      <c r="S4992" t="str">
        <v>)</v>
      </c>
      <c r="T4992" t="str">
        <v>x</v>
      </c>
      <c r="U4992">
        <f>0.006165*F4992^2</f>
        <v>1.57824</v>
      </c>
      <c r="X4992" t="str">
        <v>x</v>
      </c>
      <c r="Y4992">
        <f>D4981</f>
        <v>1</v>
      </c>
      <c r="Z4992" t="str">
        <v>=</v>
      </c>
      <c r="AA4992">
        <f>IF(AA4993=0,(D4992*N4992+P4992*R4992)*U4992*Y4992,0)</f>
        <v>0</v>
      </c>
    </row>
    <row r="4993">
      <c r="A4993" t="str">
        <f>A4975</f>
        <v>Lantai 3</v>
      </c>
      <c r="B4993">
        <f>B4975</f>
        <v>24</v>
      </c>
      <c r="D4993">
        <f>IF(AND(D4990=D4991,D4991=D4992,D4990=D4992),D4990,0)</f>
        <v>4</v>
      </c>
      <c r="E4993" t="str">
        <v>D</v>
      </c>
      <c r="F4993">
        <f>IF(AND(F4990=F4991,F4990=F4992,F4991=F4992),F4990,0)</f>
        <v>16</v>
      </c>
      <c r="L4993" t="str">
        <v>Total panjang per balok</v>
      </c>
      <c r="M4993" t="str">
        <v>=</v>
      </c>
      <c r="N4993">
        <f>IF(AND(D4990=D4991,D4990=D4992,D4991=D4992,F4990=F4991,F4990=F4992,F4991=F4992),SUM(N4990:N4992),0)</f>
        <v>4.459</v>
      </c>
      <c r="O4993" t="str">
        <v>+</v>
      </c>
      <c r="P4993">
        <f>IF(N4993&gt;12,ROUNDDOWN(N4993/12,0),0)</f>
        <v>0</v>
      </c>
      <c r="Q4993" t="str">
        <v>x</v>
      </c>
      <c r="R4993">
        <f>IF(P4993&gt;0,MAX(VLOOKUP(F4993,$D$6:$G$15,3,FALSE),600),0)/1000</f>
        <v>0</v>
      </c>
      <c r="T4993" t="str">
        <v>x</v>
      </c>
      <c r="U4993">
        <f>U4992</f>
        <v>1.57824</v>
      </c>
      <c r="V4993" t="str">
        <v>x</v>
      </c>
      <c r="W4993">
        <f>D4993</f>
        <v>4</v>
      </c>
      <c r="X4993" t="str">
        <v>x</v>
      </c>
      <c r="Y4993">
        <f>Y4992</f>
        <v>1</v>
      </c>
      <c r="Z4993" t="str">
        <v>=</v>
      </c>
      <c r="AA4993">
        <f>(N4993+P4993*R4993/1000)*U4993*W4993*Y4993</f>
        <v>28.149488639999998</v>
      </c>
    </row>
    <row r="4995">
      <c r="A4995" t="str">
        <f>A4975</f>
        <v>Lantai 3</v>
      </c>
      <c r="B4995">
        <f>B4975</f>
        <v>24</v>
      </c>
      <c r="C4995" t="str">
        <v>Sengkang Tumpuan</v>
      </c>
      <c r="D4995">
        <f>VLOOKUP(D4975,'Detail Balok'!$C$10:$AU$140,31,FALSE)</f>
        <v>0</v>
      </c>
      <c r="E4995" t="str">
        <v>D</v>
      </c>
      <c r="F4995">
        <f>VLOOKUP(D4975,'Detail Balok'!$C$10:$AU$140,33,FALSE)</f>
        <v>10</v>
      </c>
      <c r="G4995" t="str">
        <v>-</v>
      </c>
      <c r="H4995">
        <f>VLOOKUP(D4975,'Detail Balok'!$C$10:$AU$140,35,FALSE)</f>
        <v>150</v>
      </c>
      <c r="J4995">
        <f>(IF(D4995=0,(2*(D4976+G4976))-(F$5*8),IF(D4995=3,(2*(D4976+G4976))-(F$5*8)+(G4976-2*F$5),IF(D4995=4,(2*(D4976+G4976))-(F$5*8)+2*(G4976-2*F$5)))))/1000</f>
        <v>1.08</v>
      </c>
      <c r="K4995" t="str">
        <v>+</v>
      </c>
      <c r="L4995">
        <f>IF(D4995=0,2*MAX(6*F4995,75),(D4995-1)*2*MAX(6*F4995,75))/1000</f>
        <v>0.15</v>
      </c>
      <c r="M4995" t="str">
        <v>=</v>
      </c>
      <c r="N4995">
        <f>J4995+L4995</f>
        <v>1.23</v>
      </c>
      <c r="T4995" t="str">
        <v>x</v>
      </c>
      <c r="U4995">
        <f>0.006165*F4995^2</f>
        <v>0.6165</v>
      </c>
      <c r="V4995" t="str">
        <v>x</v>
      </c>
      <c r="W4995">
        <f>IF(D4978&gt;4*G4976,ROUND(MAX(D4978/4,2*G4976)/H4995,0)+1,ROUND(D4978/H4995,0)+1)</f>
        <v>8</v>
      </c>
      <c r="X4995" t="str">
        <v>x</v>
      </c>
      <c r="Y4995">
        <f>D4981</f>
        <v>1</v>
      </c>
      <c r="Z4995" t="str">
        <v>=</v>
      </c>
      <c r="AA4995">
        <f>N4995*U4995*W4995*Y4995</f>
        <v>6.06636</v>
      </c>
    </row>
    <row r="4996">
      <c r="A4996" t="str">
        <f>A4975</f>
        <v>Lantai 3</v>
      </c>
      <c r="B4996">
        <f>B4975</f>
        <v>24</v>
      </c>
      <c r="C4996" t="str">
        <v>Sengkang Lapangan</v>
      </c>
      <c r="D4996">
        <f>VLOOKUP(D4975,'Detail Balok'!$C$10:$AU$140,36,FALSE)</f>
        <v>0</v>
      </c>
      <c r="E4996" t="str">
        <v>D</v>
      </c>
      <c r="F4996">
        <f>VLOOKUP(D4975,'Detail Balok'!$C$10:$AU$140,38,FALSE)</f>
        <v>10</v>
      </c>
      <c r="G4996" t="str">
        <v>-</v>
      </c>
      <c r="H4996">
        <f>VLOOKUP(D4975,'Detail Balok'!$C$10:$AU$140,40,FALSE)</f>
        <v>200</v>
      </c>
      <c r="J4996">
        <f>(IF(D4996=0,(2*(D4976+G4976))-(F$5*8),IF(D4996=3,(2*(D4976+G4976))-(F$5*8)+(G4976-2*F$5),IF(D4996=4,(2*(D4976+G4976))-(F$5*8)+2*(G4976-2*F$5)))))/1000</f>
        <v>1.08</v>
      </c>
      <c r="K4996" t="str">
        <v>+</v>
      </c>
      <c r="L4996">
        <f>IF(D4996=0,2*MAX(6*F4996,75),(D4996-1)*2*MAX(6*F4996,75))/1000</f>
        <v>0.15</v>
      </c>
      <c r="M4996" t="str">
        <v>=</v>
      </c>
      <c r="N4996">
        <f>J4996+L4996</f>
        <v>1.23</v>
      </c>
      <c r="T4996" t="str">
        <v>x</v>
      </c>
      <c r="U4996">
        <f>0.006165*F4996^2</f>
        <v>0.6165</v>
      </c>
      <c r="V4996" t="str">
        <v>x</v>
      </c>
      <c r="W4996">
        <f>IF(D4978-MAX(D4978/4,2*G4976)*2&gt;0,ROUND((D4978-MAX(D4978/4,2*G4976)*2)/H4996,0),0)</f>
        <v>10</v>
      </c>
      <c r="X4996" t="str">
        <v>x</v>
      </c>
      <c r="Y4996">
        <f>D4981</f>
        <v>1</v>
      </c>
      <c r="Z4996" t="str">
        <v>=</v>
      </c>
      <c r="AA4996">
        <f>N4996*U4996*W4996*Y4996</f>
        <v>7.58295</v>
      </c>
    </row>
    <row r="4997">
      <c r="A4997" t="str">
        <f>A4975</f>
        <v>Lantai 3</v>
      </c>
      <c r="B4997">
        <f>B4975</f>
        <v>24</v>
      </c>
      <c r="C4997" t="str">
        <v>Sengkang Tumpuan</v>
      </c>
      <c r="D4997">
        <f>VLOOKUP(D4975,'Detail Balok'!$C$10:$AU$140,41,FALSE)</f>
        <v>0</v>
      </c>
      <c r="E4997" t="str">
        <v>D</v>
      </c>
      <c r="F4997">
        <f>VLOOKUP(D4975,'Detail Balok'!$C$10:$AU$140,43,FALSE)</f>
        <v>10</v>
      </c>
      <c r="G4997" t="str">
        <v>-</v>
      </c>
      <c r="H4997">
        <f>VLOOKUP(D4975,'Detail Balok'!$C$10:$AU$140,45,FALSE)</f>
        <v>150</v>
      </c>
      <c r="J4997">
        <f>(IF(D4997=0,(2*(D4976+G4976))-(F$5*8),IF(D4997=3,(2*(D4976+G4976))-(F$5*8)+(G4976-2*F$5),IF(D4997=4,(2*(D4976+G4976))-(F$5*8)+2*(G4976-2*F$5)))))/1000</f>
        <v>1.08</v>
      </c>
      <c r="K4997" t="str">
        <v>+</v>
      </c>
      <c r="L4997">
        <f>IF(D4997=0,2*MAX(6*F4997,75),(D4997-1)*2*MAX(6*F4997,75))/1000</f>
        <v>0.15</v>
      </c>
      <c r="M4997" t="str">
        <v>=</v>
      </c>
      <c r="N4997">
        <f>J4997+L4997</f>
        <v>1.23</v>
      </c>
      <c r="T4997" t="str">
        <v>x</v>
      </c>
      <c r="U4997">
        <f>0.006165*F4997^2</f>
        <v>0.6165</v>
      </c>
      <c r="V4997" t="str">
        <v>x</v>
      </c>
      <c r="W4997">
        <f>IF(D4978&gt;4*G4976,ROUND(MAX(D4978/4,2*G4976)/H4997,0)+1,0)</f>
        <v>8</v>
      </c>
      <c r="X4997" t="str">
        <v>x</v>
      </c>
      <c r="Y4997">
        <f>D4981</f>
        <v>1</v>
      </c>
      <c r="Z4997" t="str">
        <v>=</v>
      </c>
      <c r="AA4997">
        <f>N4997*U4997*W4997*Y4997</f>
        <v>6.06636</v>
      </c>
    </row>
    <row r="4999">
      <c r="A4999" t="str">
        <f>A4975</f>
        <v>Lantai 3</v>
      </c>
      <c r="B4999">
        <f>B4975</f>
        <v>24</v>
      </c>
      <c r="C4999" t="str">
        <v>Kait Horizontal Tump.</v>
      </c>
      <c r="D4999">
        <f>VLOOKUP(D4975,'Detail Balok'!$C$10:$BJ$140,46,FALSE)</f>
        <v>0</v>
      </c>
      <c r="E4999" t="str">
        <v>D</v>
      </c>
      <c r="F4999">
        <f>VLOOKUP(D4975,'Detail Balok'!$C$10:$BJ$140,48,FALSE)</f>
        <v>0</v>
      </c>
      <c r="G4999" t="str">
        <v>-</v>
      </c>
      <c r="H4999">
        <f>VLOOKUP(D4975,'Detail Balok'!$C$10:$BJ$140,50,FALSE)</f>
        <v>100</v>
      </c>
      <c r="J4999">
        <f>(D4976-2*F$5)/1000</f>
        <v>0.12</v>
      </c>
      <c r="K4999" t="str">
        <v>+</v>
      </c>
      <c r="L4999">
        <f>IF(D4999=0,2*MAX(6*F4999,75),(D4999-1)*2*MAX(6*F4999,75))/1000</f>
        <v>0.15</v>
      </c>
      <c r="M4999" t="str">
        <v>=</v>
      </c>
      <c r="N4999">
        <f>J4999+L4999</f>
        <v>0.27</v>
      </c>
      <c r="T4999" t="str">
        <v>x</v>
      </c>
      <c r="U4999">
        <f>0.006165*F4999^2</f>
        <v>0</v>
      </c>
      <c r="V4999" t="str">
        <v>x</v>
      </c>
      <c r="W4999">
        <f>W4995</f>
        <v>8</v>
      </c>
      <c r="X4999" t="str">
        <v>x</v>
      </c>
      <c r="Y4999">
        <f>D4985</f>
        <v>4</v>
      </c>
      <c r="Z4999" t="str">
        <v>=</v>
      </c>
      <c r="AA4999">
        <f>N4999*U4999*W4999*Y4999</f>
        <v>0</v>
      </c>
    </row>
    <row r="5000">
      <c r="A5000" t="str">
        <f>A4975</f>
        <v>Lantai 3</v>
      </c>
      <c r="B5000">
        <f>B4975</f>
        <v>24</v>
      </c>
      <c r="C5000" t="str">
        <v>Kait Horizontal Lap.</v>
      </c>
      <c r="D5000">
        <f>VLOOKUP(D4975,'Detail Balok'!$C$10:$BJ$140,51,FALSE)</f>
        <v>0</v>
      </c>
      <c r="E5000" t="str">
        <v>D</v>
      </c>
      <c r="F5000">
        <f>VLOOKUP(D4975,'Detail Balok'!$C$10:$BJ$140,53,FALSE)</f>
        <v>0</v>
      </c>
      <c r="G5000" t="str">
        <v>-</v>
      </c>
      <c r="H5000">
        <f>VLOOKUP(D4975,'Detail Balok'!$C$10:$BJ$140,55,FALSE)</f>
        <v>100</v>
      </c>
      <c r="J5000">
        <f>(D4976-2*F$5)/1000</f>
        <v>0.12</v>
      </c>
      <c r="K5000" t="str">
        <v>+</v>
      </c>
      <c r="L5000">
        <f>IF(D5000=0,2*MAX(6*F5000,75),(D5000-1)*2*MAX(6*F5000,75))/1000</f>
        <v>0.15</v>
      </c>
      <c r="M5000" t="str">
        <v>=</v>
      </c>
      <c r="N5000">
        <f>J5000+L5000</f>
        <v>0.27</v>
      </c>
      <c r="T5000" t="str">
        <v>x</v>
      </c>
      <c r="U5000">
        <f>0.006165*F5000^2</f>
        <v>0</v>
      </c>
      <c r="V5000" t="str">
        <v>x</v>
      </c>
      <c r="W5000">
        <f>W4996</f>
        <v>10</v>
      </c>
      <c r="X5000" t="str">
        <v>x</v>
      </c>
      <c r="Y5000">
        <f>D4985</f>
        <v>4</v>
      </c>
      <c r="Z5000" t="str">
        <v>=</v>
      </c>
      <c r="AA5000">
        <f>N5000*U5000*W5000*Y5000</f>
        <v>0</v>
      </c>
    </row>
    <row r="5001">
      <c r="A5001" t="str">
        <f>A4975</f>
        <v>Lantai 3</v>
      </c>
      <c r="B5001">
        <f>B4975</f>
        <v>24</v>
      </c>
      <c r="C5001" t="str">
        <v>Kait Horizontal Tump.</v>
      </c>
      <c r="D5001">
        <f>VLOOKUP(D4975,'Detail Balok'!$C$10:$BJ$140,56,FALSE)</f>
        <v>0</v>
      </c>
      <c r="E5001" t="str">
        <v>D</v>
      </c>
      <c r="F5001">
        <f>VLOOKUP(D4975,'Detail Balok'!$C$10:$BJ$140,58,FALSE)</f>
        <v>0</v>
      </c>
      <c r="G5001" t="str">
        <v>-</v>
      </c>
      <c r="H5001">
        <f>VLOOKUP(D4975,'Detail Balok'!$C$10:$BJ$140,60,FALSE)</f>
        <v>100</v>
      </c>
      <c r="J5001">
        <f>(D4976-2*F$5)/1000</f>
        <v>0.12</v>
      </c>
      <c r="K5001" t="str">
        <v>+</v>
      </c>
      <c r="L5001">
        <f>IF(D5001=0,2*MAX(6*F5001,75),(D5001-1)*2*MAX(6*F5001,75))/1000</f>
        <v>0.15</v>
      </c>
      <c r="M5001" t="str">
        <v>=</v>
      </c>
      <c r="N5001">
        <f>J5001+L5001</f>
        <v>0.27</v>
      </c>
      <c r="T5001" t="str">
        <v>x</v>
      </c>
      <c r="U5001">
        <f>0.006165*F5001^2</f>
        <v>0</v>
      </c>
      <c r="V5001" t="str">
        <v>x</v>
      </c>
      <c r="W5001">
        <f>W4997</f>
        <v>8</v>
      </c>
      <c r="X5001" t="str">
        <v>x</v>
      </c>
      <c r="Y5001">
        <f>D4985</f>
        <v>4</v>
      </c>
      <c r="Z5001" t="str">
        <v>=</v>
      </c>
      <c r="AA5001">
        <f>N5001*U5001*W5001*Y5001</f>
        <v>0</v>
      </c>
    </row>
    <row r="5005">
      <c r="A5005" t="str">
        <f>A4975</f>
        <v>Lantai 3</v>
      </c>
      <c r="B5005">
        <f>B4975+1</f>
        <v>25</v>
      </c>
      <c r="C5005" t="str">
        <f>CONCATENATE(A5005," no. ",B5005)</f>
        <v>Lantai 3 no. 25</v>
      </c>
      <c r="D5005" t="str">
        <f>VLOOKUP(C5005,'Data Panjang Balok'!$C$9:$N$254,2,FALSE)</f>
        <v>CL24-1</v>
      </c>
    </row>
    <row r="5006">
      <c r="C5006" t="str">
        <v>Dimensi</v>
      </c>
      <c r="D5006">
        <f>VLOOKUP(D5005,'Detail Balok'!$C$10:$AU$140,2,FALSE)</f>
        <v>200</v>
      </c>
      <c r="F5006" t="str">
        <v>x</v>
      </c>
      <c r="G5006">
        <f>VLOOKUP(D5005,'Detail Balok'!$C$10:$AU$140,3,FALSE)</f>
        <v>400</v>
      </c>
    </row>
    <row r="5007">
      <c r="C5007" t="str">
        <v>Panjang as ke as</v>
      </c>
      <c r="D5007">
        <f>VLOOKUP(C5005,'Data Panjang Balok'!$C$9:$N$254,4,FALSE)</f>
        <v>1075</v>
      </c>
    </row>
    <row r="5008">
      <c r="C5008" t="str">
        <v>Panjang netto</v>
      </c>
      <c r="D5008">
        <f>VLOOKUP(C5005,'Data Panjang Balok'!$C$9:$N$254,7,FALSE)</f>
        <v>1075</v>
      </c>
    </row>
    <row r="5009">
      <c r="C5009" t="str">
        <v>Kolom / balok kiri</v>
      </c>
      <c r="D5009">
        <f>VLOOKUP(C5005,'Data Panjang Balok'!$C$9:$N$254,9,FALSE)</f>
        <v>0</v>
      </c>
    </row>
    <row r="5010">
      <c r="C5010" t="str">
        <v>Kolom / balok kanan</v>
      </c>
      <c r="D5010">
        <f>VLOOKUP(C5005,'Data Panjang Balok'!$C$9:$N$254,10,FALSE)</f>
        <v>0</v>
      </c>
    </row>
    <row r="5011">
      <c r="C5011" t="str">
        <v>Jumlah</v>
      </c>
      <c r="D5011">
        <f>VLOOKUP(C5005,'Data Panjang Balok'!$C$9:$N$254,3,FALSE)</f>
        <v>1</v>
      </c>
    </row>
    <row r="5012">
      <c r="A5012" t="str">
        <f>A5005</f>
        <v>Lantai 3</v>
      </c>
      <c r="B5012">
        <f>B5005</f>
        <v>25</v>
      </c>
      <c r="C5012" t="str">
        <v>Tul Atas Tumpuan</v>
      </c>
      <c r="D5012">
        <f>VLOOKUP(D5005,'Detail Balok'!$C$10:$AU$140,4,FALSE)</f>
        <v>3</v>
      </c>
      <c r="E5012" t="str">
        <v>D</v>
      </c>
      <c r="F5012">
        <f>VLOOKUP(D5005,'Detail Balok'!$C$10:$AU$140,6,FALSE)</f>
        <v>16</v>
      </c>
      <c r="I5012" t="str">
        <v>(</v>
      </c>
      <c r="J5012">
        <f>+D5007/4/1000</f>
        <v>0.26875</v>
      </c>
      <c r="K5012" t="str">
        <v>+</v>
      </c>
      <c r="L5012">
        <f>MAX(VLOOKUP(F5012,N$6:P$15,3,FALSE)/1000,2/3*D5009/1000)+F$16*F5012/1000</f>
        <v>0.192</v>
      </c>
      <c r="M5012" t="str">
        <v>=</v>
      </c>
      <c r="N5012">
        <f>J5012+L5012</f>
        <v>0.46075</v>
      </c>
      <c r="O5012" t="str">
        <v>+</v>
      </c>
      <c r="P5012">
        <f>D5012-D5013</f>
        <v>0</v>
      </c>
      <c r="Q5012" t="str">
        <v>x</v>
      </c>
      <c r="R5012">
        <f>IF(P5012&gt;0,$F$18*F5012/1000,0)</f>
        <v>0</v>
      </c>
      <c r="S5012" t="str">
        <v>)</v>
      </c>
      <c r="T5012" t="str">
        <v>x</v>
      </c>
      <c r="U5012">
        <f>0.006165*F5012^2</f>
        <v>1.57824</v>
      </c>
      <c r="X5012" t="str">
        <v>x</v>
      </c>
      <c r="Y5012">
        <f>D5011</f>
        <v>1</v>
      </c>
      <c r="Z5012" t="str">
        <v>=</v>
      </c>
      <c r="AA5012">
        <f>IF(AA5015=0,(D5012*N5012+P5012*R5012)*U5012*Y5012,0)</f>
        <v>0</v>
      </c>
    </row>
    <row r="5013">
      <c r="A5013" t="str">
        <f>A5005</f>
        <v>Lantai 3</v>
      </c>
      <c r="B5013">
        <f>B5005</f>
        <v>25</v>
      </c>
      <c r="C5013" t="str">
        <v>Tul Atas Lapangan</v>
      </c>
      <c r="D5013">
        <f>VLOOKUP(D5005,'Detail Balok'!$C$10:$AU$140,7,FALSE)</f>
        <v>3</v>
      </c>
      <c r="E5013" t="str">
        <v>D</v>
      </c>
      <c r="F5013">
        <f>VLOOKUP(D5005,'Detail Balok'!$C$10:$AU$140,9,FALSE)</f>
        <v>16</v>
      </c>
      <c r="I5013" t="str">
        <v>(</v>
      </c>
      <c r="J5013">
        <f>+D5007/2/1000</f>
        <v>0.5375</v>
      </c>
      <c r="K5013" t="str">
        <v>+</v>
      </c>
      <c r="M5013" t="str">
        <v>=</v>
      </c>
      <c r="N5013">
        <f>J5013+L5013</f>
        <v>0.5375</v>
      </c>
      <c r="O5013" t="str">
        <v>+</v>
      </c>
      <c r="P5013">
        <f>MAX(D5013-D5012,D5013-D5014)</f>
        <v>0</v>
      </c>
      <c r="Q5013" t="str">
        <v>x</v>
      </c>
      <c r="R5013">
        <f>IF(P5013&gt;0,2*(1-2*$F$19-1/2)*D5008/1000,0)</f>
        <v>0</v>
      </c>
      <c r="S5013" t="str">
        <v>)</v>
      </c>
      <c r="T5013" t="str">
        <v>x</v>
      </c>
      <c r="U5013">
        <f>0.006165*F5013^2</f>
        <v>1.57824</v>
      </c>
      <c r="X5013" t="str">
        <v>x</v>
      </c>
      <c r="Y5013">
        <f>D5011</f>
        <v>1</v>
      </c>
      <c r="Z5013" t="str">
        <v>=</v>
      </c>
      <c r="AA5013">
        <f>IF(AA5015=0,(D5013*N5013+P5013*R5013)*U5013*Y5013,0)</f>
        <v>0</v>
      </c>
    </row>
    <row r="5014">
      <c r="A5014" t="str">
        <f>A5005</f>
        <v>Lantai 3</v>
      </c>
      <c r="B5014">
        <f>B5005</f>
        <v>25</v>
      </c>
      <c r="C5014" t="str">
        <v>Tul Atas Tumpuan</v>
      </c>
      <c r="D5014">
        <f>VLOOKUP(D5005,'Detail Balok'!$C$10:$AU$140,10,FALSE)</f>
        <v>3</v>
      </c>
      <c r="E5014" t="str">
        <v>D</v>
      </c>
      <c r="F5014">
        <f>VLOOKUP(D5005,'Detail Balok'!$C$10:$AU$140,12,FALSE)</f>
        <v>16</v>
      </c>
      <c r="I5014" t="str">
        <v>(</v>
      </c>
      <c r="J5014">
        <f>+D5007/4/1000</f>
        <v>0.26875</v>
      </c>
      <c r="K5014" t="str">
        <v>+</v>
      </c>
      <c r="L5014">
        <f>MAX(VLOOKUP(F5014,N$6:P$15,3,FALSE)/1000,2/3*D5009/1000)+F$16*F5014/1000</f>
        <v>0.192</v>
      </c>
      <c r="M5014" t="str">
        <v>=</v>
      </c>
      <c r="N5014">
        <f>J5014+L5014</f>
        <v>0.46075</v>
      </c>
      <c r="O5014" t="str">
        <v>+</v>
      </c>
      <c r="P5014">
        <f>D5014-D5013</f>
        <v>0</v>
      </c>
      <c r="Q5014" t="str">
        <v>x</v>
      </c>
      <c r="R5014">
        <f>IF(P5014&gt;0,$F$18*F5014/1000,0)</f>
        <v>0</v>
      </c>
      <c r="S5014" t="str">
        <v>)</v>
      </c>
      <c r="T5014" t="str">
        <v>x</v>
      </c>
      <c r="U5014">
        <f>0.006165*F5014^2</f>
        <v>1.57824</v>
      </c>
      <c r="X5014" t="str">
        <v>x</v>
      </c>
      <c r="Y5014">
        <f>D5011</f>
        <v>1</v>
      </c>
      <c r="Z5014" t="str">
        <v>=</v>
      </c>
      <c r="AA5014">
        <f>IF(AA5015=0,(D5014*N5014+P5014*R5014)*U5014*Y5014,0)</f>
        <v>0</v>
      </c>
    </row>
    <row r="5015">
      <c r="A5015" t="str">
        <f>A5005</f>
        <v>Lantai 3</v>
      </c>
      <c r="B5015">
        <f>B5005</f>
        <v>25</v>
      </c>
      <c r="D5015">
        <f>IF(AND(D5012=D5013,D5013=D5014,D5012=D5014),D5012,0)</f>
        <v>3</v>
      </c>
      <c r="E5015" t="str">
        <v>D</v>
      </c>
      <c r="F5015">
        <f>IF(AND(F5012=F5013,F5012=F5014,F5013=F5014),F5012,0)</f>
        <v>16</v>
      </c>
      <c r="L5015" t="str">
        <v>Total panjang per balok</v>
      </c>
      <c r="M5015" t="str">
        <v>=</v>
      </c>
      <c r="N5015">
        <f>IF(AND(D5012=D5013,D5012=D5014,D5013=D5014,F5012=F5013,F5012=F5014,F5013=F5014),SUM(N5012:N5014),0)</f>
        <v>1.459</v>
      </c>
      <c r="O5015" t="str">
        <v>+</v>
      </c>
      <c r="P5015">
        <f>IF(N5015&gt;12,ROUNDDOWN(N5015/12,0),0)</f>
        <v>0</v>
      </c>
      <c r="Q5015" t="str">
        <v>x</v>
      </c>
      <c r="R5015">
        <f>IF(P5015&gt;0,MAX(VLOOKUP(F5015,$D$6:$G$15,3,FALSE),600),0)/1000</f>
        <v>0</v>
      </c>
      <c r="T5015" t="str">
        <v>x</v>
      </c>
      <c r="U5015">
        <f>U5014</f>
        <v>1.57824</v>
      </c>
      <c r="V5015" t="str">
        <v>x</v>
      </c>
      <c r="W5015">
        <f>D5015</f>
        <v>3</v>
      </c>
      <c r="X5015" t="str">
        <v>x</v>
      </c>
      <c r="Y5015">
        <f>Y5014</f>
        <v>1</v>
      </c>
      <c r="Z5015" t="str">
        <v>=</v>
      </c>
      <c r="AA5015">
        <f>(N5015+P5015*R5015/1000)*U5015*W5015*Y5015</f>
        <v>6.90795648</v>
      </c>
    </row>
    <row r="5017">
      <c r="A5017" t="str">
        <f>A5005</f>
        <v>Lantai 3</v>
      </c>
      <c r="B5017">
        <f>B5005</f>
        <v>25</v>
      </c>
      <c r="C5017" t="str">
        <v>Tul Peminggang</v>
      </c>
      <c r="D5017">
        <f>VLOOKUP(D5005,'Detail Balok'!$C$10:$AU$140,13,FALSE)</f>
        <v>0</v>
      </c>
      <c r="E5017" t="str">
        <v>D</v>
      </c>
      <c r="F5017">
        <f>VLOOKUP(D5005,'Detail Balok'!$C$10:$AU$140,15,FALSE)</f>
        <v>8</v>
      </c>
      <c r="J5017">
        <f>+D5007/1000</f>
        <v>1.075</v>
      </c>
      <c r="K5017" t="str">
        <v>+</v>
      </c>
      <c r="L5017">
        <f>2*$F$16*F5017/1000</f>
        <v>0.192</v>
      </c>
      <c r="M5017" t="str">
        <v>=</v>
      </c>
      <c r="N5017">
        <f>J5017+L5017</f>
        <v>1.267</v>
      </c>
      <c r="O5017" t="str">
        <v>+</v>
      </c>
      <c r="P5017">
        <f>IF(N5017&gt;12,ROUNDDOWN(N5017/12,0),0)</f>
        <v>0</v>
      </c>
      <c r="Q5017" t="str">
        <v>x</v>
      </c>
      <c r="R5017">
        <f>IF(P5017&gt;0,MAX(VLOOKUP(F5017,$D$6:$G$15,3,FALSE),600),0)/1000</f>
        <v>0</v>
      </c>
      <c r="T5017" t="str">
        <v>x</v>
      </c>
      <c r="U5017">
        <f>0.006165*F5017^2</f>
        <v>0.39456</v>
      </c>
      <c r="V5017" t="str">
        <v>x</v>
      </c>
      <c r="W5017">
        <f>+D5017</f>
        <v>0</v>
      </c>
      <c r="X5017" t="str">
        <v>x</v>
      </c>
      <c r="Y5017">
        <f>D5011</f>
        <v>1</v>
      </c>
      <c r="Z5017" t="str">
        <v>=</v>
      </c>
      <c r="AA5017">
        <f>(N5017+P5017*R5017/1000)*U5017*W5017*Y5017</f>
        <v>0</v>
      </c>
    </row>
    <row r="5020">
      <c r="A5020" t="str">
        <f>A5005</f>
        <v>Lantai 3</v>
      </c>
      <c r="B5020">
        <f>B5005</f>
        <v>25</v>
      </c>
      <c r="C5020" t="str">
        <v>Tul Bawah Tumpuan</v>
      </c>
      <c r="D5020">
        <f>VLOOKUP(D5005,'Detail Balok'!$C$10:$AU$140,22,FALSE)</f>
        <v>3</v>
      </c>
      <c r="E5020" t="str">
        <v>D</v>
      </c>
      <c r="F5020">
        <f>VLOOKUP(D5005,'Detail Balok'!$C$10:$AU$140,24,FALSE)</f>
        <v>16</v>
      </c>
      <c r="I5020" t="str">
        <v>(</v>
      </c>
      <c r="J5020">
        <f>+J5012</f>
        <v>0.26875</v>
      </c>
      <c r="K5020" t="str">
        <v>+</v>
      </c>
      <c r="L5020">
        <f>MAX(VLOOKUP(F5020,N$6:P$15,3,FALSE)/1000,2/3*D5010/1000)+F$16*F5020/1000</f>
        <v>0.192</v>
      </c>
      <c r="M5020" t="str">
        <v>=</v>
      </c>
      <c r="N5020">
        <f>J5020+L5020</f>
        <v>0.46075</v>
      </c>
      <c r="O5020" t="str">
        <v>+</v>
      </c>
      <c r="P5020">
        <f>D5020-D5021</f>
        <v>0</v>
      </c>
      <c r="Q5020" t="str">
        <v>x</v>
      </c>
      <c r="R5020">
        <f>IF(P5020&gt;0,$F$18*F5020/1000,0)</f>
        <v>0</v>
      </c>
      <c r="S5020" t="str">
        <v>)</v>
      </c>
      <c r="T5020" t="str">
        <v>x</v>
      </c>
      <c r="U5020">
        <f>0.006165*F5020^2</f>
        <v>1.57824</v>
      </c>
      <c r="X5020" t="str">
        <v>x</v>
      </c>
      <c r="Y5020">
        <f>D5011</f>
        <v>1</v>
      </c>
      <c r="Z5020" t="str">
        <v>=</v>
      </c>
      <c r="AA5020">
        <f>IF(AA5023=0,(D5020*N5020+P5020*R5020)*U5020*Y5020,0)</f>
        <v>0</v>
      </c>
    </row>
    <row r="5021">
      <c r="A5021" t="str">
        <f>A5005</f>
        <v>Lantai 3</v>
      </c>
      <c r="B5021">
        <f>B5005</f>
        <v>25</v>
      </c>
      <c r="C5021" t="str">
        <v>Tul Bawah Lapangan</v>
      </c>
      <c r="D5021">
        <f>VLOOKUP(D5005,'Detail Balok'!$C$10:$AU$140,25,FALSE)</f>
        <v>3</v>
      </c>
      <c r="E5021" t="str">
        <v>D</v>
      </c>
      <c r="F5021">
        <f>VLOOKUP(D5005,'Detail Balok'!$C$10:$AU$140,27,FALSE)</f>
        <v>16</v>
      </c>
      <c r="I5021" t="str">
        <v>(</v>
      </c>
      <c r="J5021">
        <f>+J5013</f>
        <v>0.5375</v>
      </c>
      <c r="K5021" t="str">
        <v>+</v>
      </c>
      <c r="M5021" t="str">
        <v>=</v>
      </c>
      <c r="N5021">
        <f>J5021+L5021</f>
        <v>0.5375</v>
      </c>
      <c r="O5021" t="str">
        <v>+</v>
      </c>
      <c r="P5021">
        <f>MAX(D5021-D5020,D5021-D5022)</f>
        <v>0</v>
      </c>
      <c r="Q5021" t="str">
        <v>x</v>
      </c>
      <c r="R5021">
        <f>IF(P5021&gt;0,2*(1-2*$F$19-1/2)*D5008/1000,0)</f>
        <v>0</v>
      </c>
      <c r="S5021" t="str">
        <v>)</v>
      </c>
      <c r="T5021" t="str">
        <v>x</v>
      </c>
      <c r="U5021">
        <f>0.006165*F5021^2</f>
        <v>1.57824</v>
      </c>
      <c r="X5021" t="str">
        <v>x</v>
      </c>
      <c r="Y5021">
        <f>D5011</f>
        <v>1</v>
      </c>
      <c r="Z5021" t="str">
        <v>=</v>
      </c>
      <c r="AA5021">
        <f>IF(AA5023=0,(D5021*N5021+P5021*R5021)*U5021*Y5021,0)</f>
        <v>0</v>
      </c>
    </row>
    <row r="5022">
      <c r="A5022" t="str">
        <f>A5005</f>
        <v>Lantai 3</v>
      </c>
      <c r="B5022">
        <f>B5005</f>
        <v>25</v>
      </c>
      <c r="C5022" t="str">
        <v>Tul Bawah Tumpuan</v>
      </c>
      <c r="D5022">
        <f>VLOOKUP(D5005,'Detail Balok'!$C$10:$AU$140,28,FALSE)</f>
        <v>3</v>
      </c>
      <c r="E5022" t="str">
        <v>D</v>
      </c>
      <c r="F5022">
        <f>VLOOKUP(D5005,'Detail Balok'!$C$10:$AU$140,30,FALSE)</f>
        <v>16</v>
      </c>
      <c r="I5022" t="str">
        <v>(</v>
      </c>
      <c r="J5022">
        <f>+J5014</f>
        <v>0.26875</v>
      </c>
      <c r="K5022" t="str">
        <v>+</v>
      </c>
      <c r="L5022">
        <f>MAX(VLOOKUP(F5022,N$6:P$15,3,FALSE)/1000,2/3*D5010/1000)+F$16*F5022/1000</f>
        <v>0.192</v>
      </c>
      <c r="M5022" t="str">
        <v>=</v>
      </c>
      <c r="N5022">
        <f>J5022+L5022</f>
        <v>0.46075</v>
      </c>
      <c r="O5022" t="str">
        <v>+</v>
      </c>
      <c r="P5022">
        <f>D5022-D5021</f>
        <v>0</v>
      </c>
      <c r="Q5022" t="str">
        <v>x</v>
      </c>
      <c r="R5022">
        <f>IF(P5022&gt;0,$F$18*F5022/1000,0)</f>
        <v>0</v>
      </c>
      <c r="S5022" t="str">
        <v>)</v>
      </c>
      <c r="T5022" t="str">
        <v>x</v>
      </c>
      <c r="U5022">
        <f>0.006165*F5022^2</f>
        <v>1.57824</v>
      </c>
      <c r="X5022" t="str">
        <v>x</v>
      </c>
      <c r="Y5022">
        <f>D5011</f>
        <v>1</v>
      </c>
      <c r="Z5022" t="str">
        <v>=</v>
      </c>
      <c r="AA5022">
        <f>IF(AA5023=0,(D5022*N5022+P5022*R5022)*U5022*Y5022,0)</f>
        <v>0</v>
      </c>
    </row>
    <row r="5023">
      <c r="A5023" t="str">
        <f>A5005</f>
        <v>Lantai 3</v>
      </c>
      <c r="B5023">
        <f>B5005</f>
        <v>25</v>
      </c>
      <c r="D5023">
        <f>IF(AND(D5020=D5021,D5021=D5022,D5020=D5022),D5020,0)</f>
        <v>3</v>
      </c>
      <c r="E5023" t="str">
        <v>D</v>
      </c>
      <c r="F5023">
        <f>IF(AND(F5020=F5021,F5020=F5022,F5021=F5022),F5020,0)</f>
        <v>16</v>
      </c>
      <c r="L5023" t="str">
        <v>Total panjang per balok</v>
      </c>
      <c r="M5023" t="str">
        <v>=</v>
      </c>
      <c r="N5023">
        <f>IF(AND(D5020=D5021,D5020=D5022,D5021=D5022,F5020=F5021,F5020=F5022,F5021=F5022),SUM(N5020:N5022),0)</f>
        <v>1.459</v>
      </c>
      <c r="O5023" t="str">
        <v>+</v>
      </c>
      <c r="P5023">
        <f>IF(N5023&gt;12,ROUNDDOWN(N5023/12,0),0)</f>
        <v>0</v>
      </c>
      <c r="Q5023" t="str">
        <v>x</v>
      </c>
      <c r="R5023">
        <f>IF(P5023&gt;0,MAX(VLOOKUP(F5023,$D$6:$G$15,3,FALSE),600),0)/1000</f>
        <v>0</v>
      </c>
      <c r="T5023" t="str">
        <v>x</v>
      </c>
      <c r="U5023">
        <f>U5022</f>
        <v>1.57824</v>
      </c>
      <c r="V5023" t="str">
        <v>x</v>
      </c>
      <c r="W5023">
        <f>D5023</f>
        <v>3</v>
      </c>
      <c r="X5023" t="str">
        <v>x</v>
      </c>
      <c r="Y5023">
        <f>Y5022</f>
        <v>1</v>
      </c>
      <c r="Z5023" t="str">
        <v>=</v>
      </c>
      <c r="AA5023">
        <f>(N5023+P5023*R5023/1000)*U5023*W5023*Y5023</f>
        <v>6.90795648</v>
      </c>
    </row>
    <row r="5025">
      <c r="A5025" t="str">
        <f>A5005</f>
        <v>Lantai 3</v>
      </c>
      <c r="B5025">
        <f>B5005</f>
        <v>25</v>
      </c>
      <c r="C5025" t="str">
        <v>Sengkang Tumpuan</v>
      </c>
      <c r="D5025">
        <f>VLOOKUP(D5005,'Detail Balok'!$C$10:$AU$140,31,FALSE)</f>
        <v>0</v>
      </c>
      <c r="E5025" t="str">
        <v>D</v>
      </c>
      <c r="F5025">
        <f>VLOOKUP(D5005,'Detail Balok'!$C$10:$AU$140,33,FALSE)</f>
        <v>10</v>
      </c>
      <c r="G5025" t="str">
        <v>-</v>
      </c>
      <c r="H5025">
        <f>VLOOKUP(D5005,'Detail Balok'!$C$10:$AU$140,35,FALSE)</f>
        <v>100</v>
      </c>
      <c r="J5025">
        <f>(IF(D5025=0,(2*(D5006+G5006))-(F$5*8),IF(D5025=3,(2*(D5006+G5006))-(F$5*8)+(G5006-2*F$5),IF(D5025=4,(2*(D5006+G5006))-(F$5*8)+2*(G5006-2*F$5)))))/1000</f>
        <v>0.88</v>
      </c>
      <c r="K5025" t="str">
        <v>+</v>
      </c>
      <c r="L5025">
        <f>IF(D5025=0,2*MAX(6*F5025,75),(D5025-1)*2*MAX(6*F5025,75))/1000</f>
        <v>0.15</v>
      </c>
      <c r="M5025" t="str">
        <v>=</v>
      </c>
      <c r="N5025">
        <f>J5025+L5025</f>
        <v>1.03</v>
      </c>
      <c r="T5025" t="str">
        <v>x</v>
      </c>
      <c r="U5025">
        <f>0.006165*F5025^2</f>
        <v>0.6165</v>
      </c>
      <c r="V5025" t="str">
        <v>x</v>
      </c>
      <c r="W5025">
        <f>IF(D5008&gt;4*G5006,ROUND(MAX(D5008/4,2*G5006)/H5025,0)+1,ROUND(D5008/H5025,0)+1)</f>
        <v>12</v>
      </c>
      <c r="X5025" t="str">
        <v>x</v>
      </c>
      <c r="Y5025">
        <f>D5011</f>
        <v>1</v>
      </c>
      <c r="Z5025" t="str">
        <v>=</v>
      </c>
      <c r="AA5025">
        <f>N5025*U5025*W5025*Y5025</f>
        <v>7.6199400000000015</v>
      </c>
    </row>
    <row r="5026">
      <c r="A5026" t="str">
        <f>A5005</f>
        <v>Lantai 3</v>
      </c>
      <c r="B5026">
        <f>B5005</f>
        <v>25</v>
      </c>
      <c r="C5026" t="str">
        <v>Sengkang Lapangan</v>
      </c>
      <c r="D5026">
        <f>VLOOKUP(D5005,'Detail Balok'!$C$10:$AU$140,36,FALSE)</f>
        <v>0</v>
      </c>
      <c r="E5026" t="str">
        <v>D</v>
      </c>
      <c r="F5026">
        <f>VLOOKUP(D5005,'Detail Balok'!$C$10:$AU$140,38,FALSE)</f>
        <v>10</v>
      </c>
      <c r="G5026" t="str">
        <v>-</v>
      </c>
      <c r="H5026">
        <f>VLOOKUP(D5005,'Detail Balok'!$C$10:$AU$140,40,FALSE)</f>
        <v>100</v>
      </c>
      <c r="J5026">
        <f>(IF(D5026=0,(2*(D5006+G5006))-(F$5*8),IF(D5026=3,(2*(D5006+G5006))-(F$5*8)+(G5006-2*F$5),IF(D5026=4,(2*(D5006+G5006))-(F$5*8)+2*(G5006-2*F$5)))))/1000</f>
        <v>0.88</v>
      </c>
      <c r="K5026" t="str">
        <v>+</v>
      </c>
      <c r="L5026">
        <f>IF(D5026=0,2*MAX(6*F5026,75),(D5026-1)*2*MAX(6*F5026,75))/1000</f>
        <v>0.15</v>
      </c>
      <c r="M5026" t="str">
        <v>=</v>
      </c>
      <c r="N5026">
        <f>J5026+L5026</f>
        <v>1.03</v>
      </c>
      <c r="T5026" t="str">
        <v>x</v>
      </c>
      <c r="U5026">
        <f>0.006165*F5026^2</f>
        <v>0.6165</v>
      </c>
      <c r="V5026" t="str">
        <v>x</v>
      </c>
      <c r="W5026">
        <f>IF(D5008-MAX(D5008/4,2*G5006)*2&gt;0,ROUND((D5008-MAX(D5008/4,2*G5006)*2)/H5026,0),0)</f>
        <v>0</v>
      </c>
      <c r="X5026" t="str">
        <v>x</v>
      </c>
      <c r="Y5026">
        <f>D5011</f>
        <v>1</v>
      </c>
      <c r="Z5026" t="str">
        <v>=</v>
      </c>
      <c r="AA5026">
        <f>N5026*U5026*W5026*Y5026</f>
        <v>0</v>
      </c>
    </row>
    <row r="5027">
      <c r="A5027" t="str">
        <f>A5005</f>
        <v>Lantai 3</v>
      </c>
      <c r="B5027">
        <f>B5005</f>
        <v>25</v>
      </c>
      <c r="C5027" t="str">
        <v>Sengkang Tumpuan</v>
      </c>
      <c r="D5027">
        <f>VLOOKUP(D5005,'Detail Balok'!$C$10:$AU$140,41,FALSE)</f>
        <v>0</v>
      </c>
      <c r="E5027" t="str">
        <v>D</v>
      </c>
      <c r="F5027">
        <f>VLOOKUP(D5005,'Detail Balok'!$C$10:$AU$140,43,FALSE)</f>
        <v>10</v>
      </c>
      <c r="G5027" t="str">
        <v>-</v>
      </c>
      <c r="H5027">
        <f>VLOOKUP(D5005,'Detail Balok'!$C$10:$AU$140,45,FALSE)</f>
        <v>100</v>
      </c>
      <c r="J5027">
        <f>(IF(D5027=0,(2*(D5006+G5006))-(F$5*8),IF(D5027=3,(2*(D5006+G5006))-(F$5*8)+(G5006-2*F$5),IF(D5027=4,(2*(D5006+G5006))-(F$5*8)+2*(G5006-2*F$5)))))/1000</f>
        <v>0.88</v>
      </c>
      <c r="K5027" t="str">
        <v>+</v>
      </c>
      <c r="L5027">
        <f>IF(D5027=0,2*MAX(6*F5027,75),(D5027-1)*2*MAX(6*F5027,75))/1000</f>
        <v>0.15</v>
      </c>
      <c r="M5027" t="str">
        <v>=</v>
      </c>
      <c r="N5027">
        <f>J5027+L5027</f>
        <v>1.03</v>
      </c>
      <c r="T5027" t="str">
        <v>x</v>
      </c>
      <c r="U5027">
        <f>0.006165*F5027^2</f>
        <v>0.6165</v>
      </c>
      <c r="V5027" t="str">
        <v>x</v>
      </c>
      <c r="W5027">
        <f>IF(D5008&gt;4*G5006,ROUND(MAX(D5008/4,2*G5006)/H5027,0)+1,0)</f>
        <v>0</v>
      </c>
      <c r="X5027" t="str">
        <v>x</v>
      </c>
      <c r="Y5027">
        <f>D5011</f>
        <v>1</v>
      </c>
      <c r="Z5027" t="str">
        <v>=</v>
      </c>
      <c r="AA5027">
        <f>N5027*U5027*W5027*Y5027</f>
        <v>0</v>
      </c>
    </row>
    <row r="5029">
      <c r="A5029" t="str">
        <f>A5005</f>
        <v>Lantai 3</v>
      </c>
      <c r="B5029">
        <f>B5005</f>
        <v>25</v>
      </c>
      <c r="C5029" t="str">
        <v>Kait Horizontal Tump.</v>
      </c>
      <c r="D5029">
        <f>VLOOKUP(D5005,'Detail Balok'!$C$10:$BJ$140,46,FALSE)</f>
        <v>0</v>
      </c>
      <c r="E5029" t="str">
        <v>D</v>
      </c>
      <c r="F5029">
        <f>VLOOKUP(D5005,'Detail Balok'!$C$10:$BJ$140,48,FALSE)</f>
        <v>0</v>
      </c>
      <c r="G5029" t="str">
        <v>-</v>
      </c>
      <c r="H5029">
        <f>VLOOKUP(D5005,'Detail Balok'!$C$10:$BJ$140,50,FALSE)</f>
        <v>100</v>
      </c>
      <c r="J5029">
        <f>(D5006-2*F$5)/1000</f>
        <v>0.12</v>
      </c>
      <c r="K5029" t="str">
        <v>+</v>
      </c>
      <c r="L5029">
        <f>IF(D5029=0,2*MAX(6*F5029,75),(D5029-1)*2*MAX(6*F5029,75))/1000</f>
        <v>0.15</v>
      </c>
      <c r="M5029" t="str">
        <v>=</v>
      </c>
      <c r="N5029">
        <f>J5029+L5029</f>
        <v>0.27</v>
      </c>
      <c r="T5029" t="str">
        <v>x</v>
      </c>
      <c r="U5029">
        <f>0.006165*F5029^2</f>
        <v>0</v>
      </c>
      <c r="V5029" t="str">
        <v>x</v>
      </c>
      <c r="W5029">
        <f>W5025</f>
        <v>12</v>
      </c>
      <c r="X5029" t="str">
        <v>x</v>
      </c>
      <c r="Y5029">
        <f>D5015</f>
        <v>3</v>
      </c>
      <c r="Z5029" t="str">
        <v>=</v>
      </c>
      <c r="AA5029">
        <f>N5029*U5029*W5029*Y5029</f>
        <v>0</v>
      </c>
    </row>
    <row r="5030">
      <c r="A5030" t="str">
        <f>A5005</f>
        <v>Lantai 3</v>
      </c>
      <c r="B5030">
        <f>B5005</f>
        <v>25</v>
      </c>
      <c r="C5030" t="str">
        <v>Kait Horizontal Lap.</v>
      </c>
      <c r="D5030">
        <f>VLOOKUP(D5005,'Detail Balok'!$C$10:$BJ$140,51,FALSE)</f>
        <v>0</v>
      </c>
      <c r="E5030" t="str">
        <v>D</v>
      </c>
      <c r="F5030">
        <f>VLOOKUP(D5005,'Detail Balok'!$C$10:$BJ$140,53,FALSE)</f>
        <v>0</v>
      </c>
      <c r="G5030" t="str">
        <v>-</v>
      </c>
      <c r="H5030">
        <f>VLOOKUP(D5005,'Detail Balok'!$C$10:$BJ$140,55,FALSE)</f>
        <v>100</v>
      </c>
      <c r="J5030">
        <f>(D5006-2*F$5)/1000</f>
        <v>0.12</v>
      </c>
      <c r="K5030" t="str">
        <v>+</v>
      </c>
      <c r="L5030">
        <f>IF(D5030=0,2*MAX(6*F5030,75),(D5030-1)*2*MAX(6*F5030,75))/1000</f>
        <v>0.15</v>
      </c>
      <c r="M5030" t="str">
        <v>=</v>
      </c>
      <c r="N5030">
        <f>J5030+L5030</f>
        <v>0.27</v>
      </c>
      <c r="T5030" t="str">
        <v>x</v>
      </c>
      <c r="U5030">
        <f>0.006165*F5030^2</f>
        <v>0</v>
      </c>
      <c r="V5030" t="str">
        <v>x</v>
      </c>
      <c r="W5030">
        <f>W5026</f>
        <v>0</v>
      </c>
      <c r="X5030" t="str">
        <v>x</v>
      </c>
      <c r="Y5030">
        <f>D5015</f>
        <v>3</v>
      </c>
      <c r="Z5030" t="str">
        <v>=</v>
      </c>
      <c r="AA5030">
        <f>N5030*U5030*W5030*Y5030</f>
        <v>0</v>
      </c>
    </row>
    <row r="5031">
      <c r="A5031" t="str">
        <f>A5005</f>
        <v>Lantai 3</v>
      </c>
      <c r="B5031">
        <f>B5005</f>
        <v>25</v>
      </c>
      <c r="C5031" t="str">
        <v>Kait Horizontal Tump.</v>
      </c>
      <c r="D5031">
        <f>VLOOKUP(D5005,'Detail Balok'!$C$10:$BJ$140,56,FALSE)</f>
        <v>0</v>
      </c>
      <c r="E5031" t="str">
        <v>D</v>
      </c>
      <c r="F5031">
        <f>VLOOKUP(D5005,'Detail Balok'!$C$10:$BJ$140,58,FALSE)</f>
        <v>0</v>
      </c>
      <c r="G5031" t="str">
        <v>-</v>
      </c>
      <c r="H5031">
        <f>VLOOKUP(D5005,'Detail Balok'!$C$10:$BJ$140,60,FALSE)</f>
        <v>100</v>
      </c>
      <c r="J5031">
        <f>(D5006-2*F$5)/1000</f>
        <v>0.12</v>
      </c>
      <c r="K5031" t="str">
        <v>+</v>
      </c>
      <c r="L5031">
        <f>IF(D5031=0,2*MAX(6*F5031,75),(D5031-1)*2*MAX(6*F5031,75))/1000</f>
        <v>0.15</v>
      </c>
      <c r="M5031" t="str">
        <v>=</v>
      </c>
      <c r="N5031">
        <f>J5031+L5031</f>
        <v>0.27</v>
      </c>
      <c r="T5031" t="str">
        <v>x</v>
      </c>
      <c r="U5031">
        <f>0.006165*F5031^2</f>
        <v>0</v>
      </c>
      <c r="V5031" t="str">
        <v>x</v>
      </c>
      <c r="W5031">
        <f>W5027</f>
        <v>0</v>
      </c>
      <c r="X5031" t="str">
        <v>x</v>
      </c>
      <c r="Y5031">
        <f>D5015</f>
        <v>3</v>
      </c>
      <c r="Z5031" t="str">
        <v>=</v>
      </c>
      <c r="AA5031">
        <f>N5031*U5031*W5031*Y5031</f>
        <v>0</v>
      </c>
    </row>
    <row r="5035">
      <c r="A5035" t="str">
        <f>A5005</f>
        <v>Lantai 3</v>
      </c>
      <c r="B5035">
        <f>B5005+1</f>
        <v>26</v>
      </c>
      <c r="C5035" t="str">
        <f>CONCATENATE(A5035," no. ",B5035)</f>
        <v>Lantai 3 no. 26</v>
      </c>
      <c r="D5035" t="str">
        <f>VLOOKUP(C5035,'Data Panjang Balok'!$C$9:$N$254,2,FALSE)</f>
        <v>B25-1</v>
      </c>
    </row>
    <row r="5036">
      <c r="C5036" t="str">
        <v>Dimensi</v>
      </c>
      <c r="D5036">
        <f>VLOOKUP(D5035,'Detail Balok'!$C$10:$AU$140,2,FALSE)</f>
        <v>200</v>
      </c>
      <c r="F5036" t="str">
        <v>x</v>
      </c>
      <c r="G5036">
        <f>VLOOKUP(D5035,'Detail Balok'!$C$10:$AU$140,3,FALSE)</f>
        <v>500</v>
      </c>
    </row>
    <row r="5037">
      <c r="C5037" t="str">
        <v>Panjang as ke as</v>
      </c>
      <c r="D5037">
        <f>VLOOKUP(C5035,'Data Panjang Balok'!$C$9:$N$254,4,FALSE)</f>
        <v>5075</v>
      </c>
    </row>
    <row r="5038">
      <c r="C5038" t="str">
        <v>Panjang netto</v>
      </c>
      <c r="D5038">
        <f>VLOOKUP(C5035,'Data Panjang Balok'!$C$9:$N$254,7,FALSE)</f>
        <v>5075</v>
      </c>
    </row>
    <row r="5039">
      <c r="C5039" t="str">
        <v>Kolom / balok kiri</v>
      </c>
      <c r="D5039">
        <f>VLOOKUP(C5035,'Data Panjang Balok'!$C$9:$N$254,9,FALSE)</f>
        <v>0</v>
      </c>
    </row>
    <row r="5040">
      <c r="C5040" t="str">
        <v>Kolom / balok kanan</v>
      </c>
      <c r="D5040">
        <f>VLOOKUP(C5035,'Data Panjang Balok'!$C$9:$N$254,10,FALSE)</f>
        <v>0</v>
      </c>
    </row>
    <row r="5041">
      <c r="C5041" t="str">
        <v>Jumlah</v>
      </c>
      <c r="D5041">
        <f>VLOOKUP(C5035,'Data Panjang Balok'!$C$9:$N$254,3,FALSE)</f>
        <v>1</v>
      </c>
    </row>
    <row r="5042">
      <c r="A5042" t="str">
        <f>A5035</f>
        <v>Lantai 3</v>
      </c>
      <c r="B5042">
        <f>B5035</f>
        <v>26</v>
      </c>
      <c r="C5042" t="str">
        <v>Tul Atas Tumpuan</v>
      </c>
      <c r="D5042">
        <f>VLOOKUP(D5035,'Detail Balok'!$C$10:$AU$140,4,FALSE)</f>
        <v>4</v>
      </c>
      <c r="E5042" t="str">
        <v>D</v>
      </c>
      <c r="F5042">
        <f>VLOOKUP(D5035,'Detail Balok'!$C$10:$AU$140,6,FALSE)</f>
        <v>16</v>
      </c>
      <c r="I5042" t="str">
        <v>(</v>
      </c>
      <c r="J5042">
        <f>+D5037/4/1000</f>
        <v>1.26875</v>
      </c>
      <c r="K5042" t="str">
        <v>+</v>
      </c>
      <c r="L5042">
        <f>MAX(VLOOKUP(F5042,N$6:P$15,3,FALSE)/1000,2/3*D5039/1000)+F$16*F5042/1000</f>
        <v>0.192</v>
      </c>
      <c r="M5042" t="str">
        <v>=</v>
      </c>
      <c r="N5042">
        <f>J5042+L5042</f>
        <v>1.46075</v>
      </c>
      <c r="O5042" t="str">
        <v>+</v>
      </c>
      <c r="P5042">
        <f>D5042-D5043</f>
        <v>0</v>
      </c>
      <c r="Q5042" t="str">
        <v>x</v>
      </c>
      <c r="R5042">
        <f>IF(P5042&gt;0,$F$18*F5042/1000,0)</f>
        <v>0</v>
      </c>
      <c r="S5042" t="str">
        <v>)</v>
      </c>
      <c r="T5042" t="str">
        <v>x</v>
      </c>
      <c r="U5042">
        <f>0.006165*F5042^2</f>
        <v>1.57824</v>
      </c>
      <c r="X5042" t="str">
        <v>x</v>
      </c>
      <c r="Y5042">
        <f>D5041</f>
        <v>1</v>
      </c>
      <c r="Z5042" t="str">
        <v>=</v>
      </c>
      <c r="AA5042">
        <f>IF(AA5045=0,(D5042*N5042+P5042*R5042)*U5042*Y5042,0)</f>
        <v>0</v>
      </c>
    </row>
    <row r="5043">
      <c r="A5043" t="str">
        <f>A5035</f>
        <v>Lantai 3</v>
      </c>
      <c r="B5043">
        <f>B5035</f>
        <v>26</v>
      </c>
      <c r="C5043" t="str">
        <v>Tul Atas Lapangan</v>
      </c>
      <c r="D5043">
        <f>VLOOKUP(D5035,'Detail Balok'!$C$10:$AU$140,7,FALSE)</f>
        <v>4</v>
      </c>
      <c r="E5043" t="str">
        <v>D</v>
      </c>
      <c r="F5043">
        <f>VLOOKUP(D5035,'Detail Balok'!$C$10:$AU$140,9,FALSE)</f>
        <v>16</v>
      </c>
      <c r="I5043" t="str">
        <v>(</v>
      </c>
      <c r="J5043">
        <f>+D5037/2/1000</f>
        <v>2.5375</v>
      </c>
      <c r="K5043" t="str">
        <v>+</v>
      </c>
      <c r="M5043" t="str">
        <v>=</v>
      </c>
      <c r="N5043">
        <f>J5043+L5043</f>
        <v>2.5375</v>
      </c>
      <c r="O5043" t="str">
        <v>+</v>
      </c>
      <c r="P5043">
        <f>MAX(D5043-D5042,D5043-D5044)</f>
        <v>0</v>
      </c>
      <c r="Q5043" t="str">
        <v>x</v>
      </c>
      <c r="R5043">
        <f>IF(P5043&gt;0,2*(1-2*$F$19-1/2)*D5038/1000,0)</f>
        <v>0</v>
      </c>
      <c r="S5043" t="str">
        <v>)</v>
      </c>
      <c r="T5043" t="str">
        <v>x</v>
      </c>
      <c r="U5043">
        <f>0.006165*F5043^2</f>
        <v>1.57824</v>
      </c>
      <c r="X5043" t="str">
        <v>x</v>
      </c>
      <c r="Y5043">
        <f>D5041</f>
        <v>1</v>
      </c>
      <c r="Z5043" t="str">
        <v>=</v>
      </c>
      <c r="AA5043">
        <f>IF(AA5045=0,(D5043*N5043+P5043*R5043)*U5043*Y5043,0)</f>
        <v>0</v>
      </c>
    </row>
    <row r="5044">
      <c r="A5044" t="str">
        <f>A5035</f>
        <v>Lantai 3</v>
      </c>
      <c r="B5044">
        <f>B5035</f>
        <v>26</v>
      </c>
      <c r="C5044" t="str">
        <v>Tul Atas Tumpuan</v>
      </c>
      <c r="D5044">
        <f>VLOOKUP(D5035,'Detail Balok'!$C$10:$AU$140,10,FALSE)</f>
        <v>4</v>
      </c>
      <c r="E5044" t="str">
        <v>D</v>
      </c>
      <c r="F5044">
        <f>VLOOKUP(D5035,'Detail Balok'!$C$10:$AU$140,12,FALSE)</f>
        <v>16</v>
      </c>
      <c r="I5044" t="str">
        <v>(</v>
      </c>
      <c r="J5044">
        <f>+D5037/4/1000</f>
        <v>1.26875</v>
      </c>
      <c r="K5044" t="str">
        <v>+</v>
      </c>
      <c r="L5044">
        <f>MAX(VLOOKUP(F5044,N$6:P$15,3,FALSE)/1000,2/3*D5039/1000)+F$16*F5044/1000</f>
        <v>0.192</v>
      </c>
      <c r="M5044" t="str">
        <v>=</v>
      </c>
      <c r="N5044">
        <f>J5044+L5044</f>
        <v>1.46075</v>
      </c>
      <c r="O5044" t="str">
        <v>+</v>
      </c>
      <c r="P5044">
        <f>D5044-D5043</f>
        <v>0</v>
      </c>
      <c r="Q5044" t="str">
        <v>x</v>
      </c>
      <c r="R5044">
        <f>IF(P5044&gt;0,$F$18*F5044/1000,0)</f>
        <v>0</v>
      </c>
      <c r="S5044" t="str">
        <v>)</v>
      </c>
      <c r="T5044" t="str">
        <v>x</v>
      </c>
      <c r="U5044">
        <f>0.006165*F5044^2</f>
        <v>1.57824</v>
      </c>
      <c r="X5044" t="str">
        <v>x</v>
      </c>
      <c r="Y5044">
        <f>D5041</f>
        <v>1</v>
      </c>
      <c r="Z5044" t="str">
        <v>=</v>
      </c>
      <c r="AA5044">
        <f>IF(AA5045=0,(D5044*N5044+P5044*R5044)*U5044*Y5044,0)</f>
        <v>0</v>
      </c>
    </row>
    <row r="5045">
      <c r="A5045" t="str">
        <f>A5035</f>
        <v>Lantai 3</v>
      </c>
      <c r="B5045">
        <f>B5035</f>
        <v>26</v>
      </c>
      <c r="D5045">
        <f>IF(AND(D5042=D5043,D5043=D5044,D5042=D5044),D5042,0)</f>
        <v>4</v>
      </c>
      <c r="E5045" t="str">
        <v>D</v>
      </c>
      <c r="F5045">
        <f>IF(AND(F5042=F5043,F5042=F5044,F5043=F5044),F5042,0)</f>
        <v>16</v>
      </c>
      <c r="L5045" t="str">
        <v>Total panjang per balok</v>
      </c>
      <c r="M5045" t="str">
        <v>=</v>
      </c>
      <c r="N5045">
        <f>IF(AND(D5042=D5043,D5042=D5044,D5043=D5044,F5042=F5043,F5042=F5044,F5043=F5044),SUM(N5042:N5044),0)</f>
        <v>5.459</v>
      </c>
      <c r="O5045" t="str">
        <v>+</v>
      </c>
      <c r="P5045">
        <f>IF(N5045&gt;12,ROUNDDOWN(N5045/12,0),0)</f>
        <v>0</v>
      </c>
      <c r="Q5045" t="str">
        <v>x</v>
      </c>
      <c r="R5045">
        <f>IF(P5045&gt;0,MAX(VLOOKUP(F5045,$D$6:$G$15,3,FALSE),600),0)/1000</f>
        <v>0</v>
      </c>
      <c r="T5045" t="str">
        <v>x</v>
      </c>
      <c r="U5045">
        <f>U5044</f>
        <v>1.57824</v>
      </c>
      <c r="V5045" t="str">
        <v>x</v>
      </c>
      <c r="W5045">
        <f>D5045</f>
        <v>4</v>
      </c>
      <c r="X5045" t="str">
        <v>x</v>
      </c>
      <c r="Y5045">
        <f>Y5044</f>
        <v>1</v>
      </c>
      <c r="Z5045" t="str">
        <v>=</v>
      </c>
      <c r="AA5045">
        <f>(N5045+P5045*R5045/1000)*U5045*W5045*Y5045</f>
        <v>34.46244864</v>
      </c>
    </row>
    <row r="5047">
      <c r="A5047" t="str">
        <f>A5035</f>
        <v>Lantai 3</v>
      </c>
      <c r="B5047">
        <f>B5035</f>
        <v>26</v>
      </c>
      <c r="C5047" t="str">
        <v>Tul Peminggang</v>
      </c>
      <c r="D5047">
        <f>VLOOKUP(D5035,'Detail Balok'!$C$10:$AU$140,13,FALSE)</f>
        <v>2</v>
      </c>
      <c r="E5047" t="str">
        <v>D</v>
      </c>
      <c r="F5047">
        <f>VLOOKUP(D5035,'Detail Balok'!$C$10:$AU$140,15,FALSE)</f>
        <v>10</v>
      </c>
      <c r="J5047">
        <f>+D5037/1000</f>
        <v>5.075</v>
      </c>
      <c r="K5047" t="str">
        <v>+</v>
      </c>
      <c r="L5047">
        <f>2*$F$16*F5047/1000</f>
        <v>0.24</v>
      </c>
      <c r="M5047" t="str">
        <v>=</v>
      </c>
      <c r="N5047">
        <f>J5047+L5047</f>
        <v>5.315</v>
      </c>
      <c r="O5047" t="str">
        <v>+</v>
      </c>
      <c r="P5047">
        <f>IF(N5047&gt;12,ROUNDDOWN(N5047/12,0),0)</f>
        <v>0</v>
      </c>
      <c r="Q5047" t="str">
        <v>x</v>
      </c>
      <c r="R5047">
        <f>IF(P5047&gt;0,MAX(VLOOKUP(F5047,$D$6:$G$15,3,FALSE),600),0)/1000</f>
        <v>0</v>
      </c>
      <c r="T5047" t="str">
        <v>x</v>
      </c>
      <c r="U5047">
        <f>0.006165*F5047^2</f>
        <v>0.6165</v>
      </c>
      <c r="V5047" t="str">
        <v>x</v>
      </c>
      <c r="W5047">
        <f>+D5047</f>
        <v>2</v>
      </c>
      <c r="X5047" t="str">
        <v>x</v>
      </c>
      <c r="Y5047">
        <f>D5041</f>
        <v>1</v>
      </c>
      <c r="Z5047" t="str">
        <v>=</v>
      </c>
      <c r="AA5047">
        <f>(N5047+P5047*R5047/1000)*U5047*W5047*Y5047</f>
        <v>6.553395000000001</v>
      </c>
    </row>
    <row r="5050">
      <c r="A5050" t="str">
        <f>A5035</f>
        <v>Lantai 3</v>
      </c>
      <c r="B5050">
        <f>B5035</f>
        <v>26</v>
      </c>
      <c r="C5050" t="str">
        <v>Tul Bawah Tumpuan</v>
      </c>
      <c r="D5050">
        <f>VLOOKUP(D5035,'Detail Balok'!$C$10:$AU$140,22,FALSE)</f>
        <v>4</v>
      </c>
      <c r="E5050" t="str">
        <v>D</v>
      </c>
      <c r="F5050">
        <f>VLOOKUP(D5035,'Detail Balok'!$C$10:$AU$140,24,FALSE)</f>
        <v>16</v>
      </c>
      <c r="I5050" t="str">
        <v>(</v>
      </c>
      <c r="J5050">
        <f>+J5042</f>
        <v>1.26875</v>
      </c>
      <c r="K5050" t="str">
        <v>+</v>
      </c>
      <c r="L5050">
        <f>MAX(VLOOKUP(F5050,N$6:P$15,3,FALSE)/1000,2/3*D5040/1000)+F$16*F5050/1000</f>
        <v>0.192</v>
      </c>
      <c r="M5050" t="str">
        <v>=</v>
      </c>
      <c r="N5050">
        <f>J5050+L5050</f>
        <v>1.46075</v>
      </c>
      <c r="O5050" t="str">
        <v>+</v>
      </c>
      <c r="P5050">
        <f>D5050-D5051</f>
        <v>0</v>
      </c>
      <c r="Q5050" t="str">
        <v>x</v>
      </c>
      <c r="R5050">
        <f>IF(P5050&gt;0,$F$18*F5050/1000,0)</f>
        <v>0</v>
      </c>
      <c r="S5050" t="str">
        <v>)</v>
      </c>
      <c r="T5050" t="str">
        <v>x</v>
      </c>
      <c r="U5050">
        <f>0.006165*F5050^2</f>
        <v>1.57824</v>
      </c>
      <c r="X5050" t="str">
        <v>x</v>
      </c>
      <c r="Y5050">
        <f>D5041</f>
        <v>1</v>
      </c>
      <c r="Z5050" t="str">
        <v>=</v>
      </c>
      <c r="AA5050">
        <f>IF(AA5053=0,(D5050*N5050+P5050*R5050)*U5050*Y5050,0)</f>
        <v>0</v>
      </c>
    </row>
    <row r="5051">
      <c r="A5051" t="str">
        <f>A5035</f>
        <v>Lantai 3</v>
      </c>
      <c r="B5051">
        <f>B5035</f>
        <v>26</v>
      </c>
      <c r="C5051" t="str">
        <v>Tul Bawah Lapangan</v>
      </c>
      <c r="D5051">
        <f>VLOOKUP(D5035,'Detail Balok'!$C$10:$AU$140,25,FALSE)</f>
        <v>4</v>
      </c>
      <c r="E5051" t="str">
        <v>D</v>
      </c>
      <c r="F5051">
        <f>VLOOKUP(D5035,'Detail Balok'!$C$10:$AU$140,27,FALSE)</f>
        <v>16</v>
      </c>
      <c r="I5051" t="str">
        <v>(</v>
      </c>
      <c r="J5051">
        <f>+J5043</f>
        <v>2.5375</v>
      </c>
      <c r="K5051" t="str">
        <v>+</v>
      </c>
      <c r="M5051" t="str">
        <v>=</v>
      </c>
      <c r="N5051">
        <f>J5051+L5051</f>
        <v>2.5375</v>
      </c>
      <c r="O5051" t="str">
        <v>+</v>
      </c>
      <c r="P5051">
        <f>MAX(D5051-D5050,D5051-D5052)</f>
        <v>0</v>
      </c>
      <c r="Q5051" t="str">
        <v>x</v>
      </c>
      <c r="R5051">
        <f>IF(P5051&gt;0,2*(1-2*$F$19-1/2)*D5038/1000,0)</f>
        <v>0</v>
      </c>
      <c r="S5051" t="str">
        <v>)</v>
      </c>
      <c r="T5051" t="str">
        <v>x</v>
      </c>
      <c r="U5051">
        <f>0.006165*F5051^2</f>
        <v>1.57824</v>
      </c>
      <c r="X5051" t="str">
        <v>x</v>
      </c>
      <c r="Y5051">
        <f>D5041</f>
        <v>1</v>
      </c>
      <c r="Z5051" t="str">
        <v>=</v>
      </c>
      <c r="AA5051">
        <f>IF(AA5053=0,(D5051*N5051+P5051*R5051)*U5051*Y5051,0)</f>
        <v>0</v>
      </c>
    </row>
    <row r="5052">
      <c r="A5052" t="str">
        <f>A5035</f>
        <v>Lantai 3</v>
      </c>
      <c r="B5052">
        <f>B5035</f>
        <v>26</v>
      </c>
      <c r="C5052" t="str">
        <v>Tul Bawah Tumpuan</v>
      </c>
      <c r="D5052">
        <f>VLOOKUP(D5035,'Detail Balok'!$C$10:$AU$140,28,FALSE)</f>
        <v>4</v>
      </c>
      <c r="E5052" t="str">
        <v>D</v>
      </c>
      <c r="F5052">
        <f>VLOOKUP(D5035,'Detail Balok'!$C$10:$AU$140,30,FALSE)</f>
        <v>16</v>
      </c>
      <c r="I5052" t="str">
        <v>(</v>
      </c>
      <c r="J5052">
        <f>+J5044</f>
        <v>1.26875</v>
      </c>
      <c r="K5052" t="str">
        <v>+</v>
      </c>
      <c r="L5052">
        <f>MAX(VLOOKUP(F5052,N$6:P$15,3,FALSE)/1000,2/3*D5040/1000)+F$16*F5052/1000</f>
        <v>0.192</v>
      </c>
      <c r="M5052" t="str">
        <v>=</v>
      </c>
      <c r="N5052">
        <f>J5052+L5052</f>
        <v>1.46075</v>
      </c>
      <c r="O5052" t="str">
        <v>+</v>
      </c>
      <c r="P5052">
        <f>D5052-D5051</f>
        <v>0</v>
      </c>
      <c r="Q5052" t="str">
        <v>x</v>
      </c>
      <c r="R5052">
        <f>IF(P5052&gt;0,$F$18*F5052/1000,0)</f>
        <v>0</v>
      </c>
      <c r="S5052" t="str">
        <v>)</v>
      </c>
      <c r="T5052" t="str">
        <v>x</v>
      </c>
      <c r="U5052">
        <f>0.006165*F5052^2</f>
        <v>1.57824</v>
      </c>
      <c r="X5052" t="str">
        <v>x</v>
      </c>
      <c r="Y5052">
        <f>D5041</f>
        <v>1</v>
      </c>
      <c r="Z5052" t="str">
        <v>=</v>
      </c>
      <c r="AA5052">
        <f>IF(AA5053=0,(D5052*N5052+P5052*R5052)*U5052*Y5052,0)</f>
        <v>0</v>
      </c>
    </row>
    <row r="5053">
      <c r="A5053" t="str">
        <f>A5035</f>
        <v>Lantai 3</v>
      </c>
      <c r="B5053">
        <f>B5035</f>
        <v>26</v>
      </c>
      <c r="D5053">
        <f>IF(AND(D5050=D5051,D5051=D5052,D5050=D5052),D5050,0)</f>
        <v>4</v>
      </c>
      <c r="E5053" t="str">
        <v>D</v>
      </c>
      <c r="F5053">
        <f>IF(AND(F5050=F5051,F5050=F5052,F5051=F5052),F5050,0)</f>
        <v>16</v>
      </c>
      <c r="L5053" t="str">
        <v>Total panjang per balok</v>
      </c>
      <c r="M5053" t="str">
        <v>=</v>
      </c>
      <c r="N5053">
        <f>IF(AND(D5050=D5051,D5050=D5052,D5051=D5052,F5050=F5051,F5050=F5052,F5051=F5052),SUM(N5050:N5052),0)</f>
        <v>5.459</v>
      </c>
      <c r="O5053" t="str">
        <v>+</v>
      </c>
      <c r="P5053">
        <f>IF(N5053&gt;12,ROUNDDOWN(N5053/12,0),0)</f>
        <v>0</v>
      </c>
      <c r="Q5053" t="str">
        <v>x</v>
      </c>
      <c r="R5053">
        <f>IF(P5053&gt;0,MAX(VLOOKUP(F5053,$D$6:$G$15,3,FALSE),600),0)/1000</f>
        <v>0</v>
      </c>
      <c r="T5053" t="str">
        <v>x</v>
      </c>
      <c r="U5053">
        <f>U5052</f>
        <v>1.57824</v>
      </c>
      <c r="V5053" t="str">
        <v>x</v>
      </c>
      <c r="W5053">
        <f>D5053</f>
        <v>4</v>
      </c>
      <c r="X5053" t="str">
        <v>x</v>
      </c>
      <c r="Y5053">
        <f>Y5052</f>
        <v>1</v>
      </c>
      <c r="Z5053" t="str">
        <v>=</v>
      </c>
      <c r="AA5053">
        <f>(N5053+P5053*R5053/1000)*U5053*W5053*Y5053</f>
        <v>34.46244864</v>
      </c>
    </row>
    <row r="5055">
      <c r="A5055" t="str">
        <f>A5035</f>
        <v>Lantai 3</v>
      </c>
      <c r="B5055">
        <f>B5035</f>
        <v>26</v>
      </c>
      <c r="C5055" t="str">
        <v>Sengkang Tumpuan</v>
      </c>
      <c r="D5055">
        <f>VLOOKUP(D5035,'Detail Balok'!$C$10:$AU$140,31,FALSE)</f>
        <v>0</v>
      </c>
      <c r="E5055" t="str">
        <v>D</v>
      </c>
      <c r="F5055">
        <f>VLOOKUP(D5035,'Detail Balok'!$C$10:$AU$140,33,FALSE)</f>
        <v>10</v>
      </c>
      <c r="G5055" t="str">
        <v>-</v>
      </c>
      <c r="H5055">
        <f>VLOOKUP(D5035,'Detail Balok'!$C$10:$AU$140,35,FALSE)</f>
        <v>150</v>
      </c>
      <c r="J5055">
        <f>(IF(D5055=0,(2*(D5036+G5036))-(F$5*8),IF(D5055=3,(2*(D5036+G5036))-(F$5*8)+(G5036-2*F$5),IF(D5055=4,(2*(D5036+G5036))-(F$5*8)+2*(G5036-2*F$5)))))/1000</f>
        <v>1.08</v>
      </c>
      <c r="K5055" t="str">
        <v>+</v>
      </c>
      <c r="L5055">
        <f>IF(D5055=0,2*MAX(6*F5055,75),(D5055-1)*2*MAX(6*F5055,75))/1000</f>
        <v>0.15</v>
      </c>
      <c r="M5055" t="str">
        <v>=</v>
      </c>
      <c r="N5055">
        <f>J5055+L5055</f>
        <v>1.23</v>
      </c>
      <c r="T5055" t="str">
        <v>x</v>
      </c>
      <c r="U5055">
        <f>0.006165*F5055^2</f>
        <v>0.6165</v>
      </c>
      <c r="V5055" t="str">
        <v>x</v>
      </c>
      <c r="W5055">
        <f>IF(D5038&gt;4*G5036,ROUND(MAX(D5038/4,2*G5036)/H5055,0)+1,ROUND(D5038/H5055,0)+1)</f>
        <v>9</v>
      </c>
      <c r="X5055" t="str">
        <v>x</v>
      </c>
      <c r="Y5055">
        <f>D5041</f>
        <v>1</v>
      </c>
      <c r="Z5055" t="str">
        <v>=</v>
      </c>
      <c r="AA5055">
        <f>N5055*U5055*W5055*Y5055</f>
        <v>6.824655000000001</v>
      </c>
    </row>
    <row r="5056">
      <c r="A5056" t="str">
        <f>A5035</f>
        <v>Lantai 3</v>
      </c>
      <c r="B5056">
        <f>B5035</f>
        <v>26</v>
      </c>
      <c r="C5056" t="str">
        <v>Sengkang Lapangan</v>
      </c>
      <c r="D5056">
        <f>VLOOKUP(D5035,'Detail Balok'!$C$10:$AU$140,36,FALSE)</f>
        <v>0</v>
      </c>
      <c r="E5056" t="str">
        <v>D</v>
      </c>
      <c r="F5056">
        <f>VLOOKUP(D5035,'Detail Balok'!$C$10:$AU$140,38,FALSE)</f>
        <v>10</v>
      </c>
      <c r="G5056" t="str">
        <v>-</v>
      </c>
      <c r="H5056">
        <f>VLOOKUP(D5035,'Detail Balok'!$C$10:$AU$140,40,FALSE)</f>
        <v>200</v>
      </c>
      <c r="J5056">
        <f>(IF(D5056=0,(2*(D5036+G5036))-(F$5*8),IF(D5056=3,(2*(D5036+G5036))-(F$5*8)+(G5036-2*F$5),IF(D5056=4,(2*(D5036+G5036))-(F$5*8)+2*(G5036-2*F$5)))))/1000</f>
        <v>1.08</v>
      </c>
      <c r="K5056" t="str">
        <v>+</v>
      </c>
      <c r="L5056">
        <f>IF(D5056=0,2*MAX(6*F5056,75),(D5056-1)*2*MAX(6*F5056,75))/1000</f>
        <v>0.15</v>
      </c>
      <c r="M5056" t="str">
        <v>=</v>
      </c>
      <c r="N5056">
        <f>J5056+L5056</f>
        <v>1.23</v>
      </c>
      <c r="T5056" t="str">
        <v>x</v>
      </c>
      <c r="U5056">
        <f>0.006165*F5056^2</f>
        <v>0.6165</v>
      </c>
      <c r="V5056" t="str">
        <v>x</v>
      </c>
      <c r="W5056">
        <f>IF(D5038-MAX(D5038/4,2*G5036)*2&gt;0,ROUND((D5038-MAX(D5038/4,2*G5036)*2)/H5056,0),0)</f>
        <v>13</v>
      </c>
      <c r="X5056" t="str">
        <v>x</v>
      </c>
      <c r="Y5056">
        <f>D5041</f>
        <v>1</v>
      </c>
      <c r="Z5056" t="str">
        <v>=</v>
      </c>
      <c r="AA5056">
        <f>N5056*U5056*W5056*Y5056</f>
        <v>9.857835000000001</v>
      </c>
    </row>
    <row r="5057">
      <c r="A5057" t="str">
        <f>A5035</f>
        <v>Lantai 3</v>
      </c>
      <c r="B5057">
        <f>B5035</f>
        <v>26</v>
      </c>
      <c r="C5057" t="str">
        <v>Sengkang Tumpuan</v>
      </c>
      <c r="D5057">
        <f>VLOOKUP(D5035,'Detail Balok'!$C$10:$AU$140,41,FALSE)</f>
        <v>0</v>
      </c>
      <c r="E5057" t="str">
        <v>D</v>
      </c>
      <c r="F5057">
        <f>VLOOKUP(D5035,'Detail Balok'!$C$10:$AU$140,43,FALSE)</f>
        <v>10</v>
      </c>
      <c r="G5057" t="str">
        <v>-</v>
      </c>
      <c r="H5057">
        <f>VLOOKUP(D5035,'Detail Balok'!$C$10:$AU$140,45,FALSE)</f>
        <v>150</v>
      </c>
      <c r="J5057">
        <f>(IF(D5057=0,(2*(D5036+G5036))-(F$5*8),IF(D5057=3,(2*(D5036+G5036))-(F$5*8)+(G5036-2*F$5),IF(D5057=4,(2*(D5036+G5036))-(F$5*8)+2*(G5036-2*F$5)))))/1000</f>
        <v>1.08</v>
      </c>
      <c r="K5057" t="str">
        <v>+</v>
      </c>
      <c r="L5057">
        <f>IF(D5057=0,2*MAX(6*F5057,75),(D5057-1)*2*MAX(6*F5057,75))/1000</f>
        <v>0.15</v>
      </c>
      <c r="M5057" t="str">
        <v>=</v>
      </c>
      <c r="N5057">
        <f>J5057+L5057</f>
        <v>1.23</v>
      </c>
      <c r="T5057" t="str">
        <v>x</v>
      </c>
      <c r="U5057">
        <f>0.006165*F5057^2</f>
        <v>0.6165</v>
      </c>
      <c r="V5057" t="str">
        <v>x</v>
      </c>
      <c r="W5057">
        <f>IF(D5038&gt;4*G5036,ROUND(MAX(D5038/4,2*G5036)/H5057,0)+1,0)</f>
        <v>9</v>
      </c>
      <c r="X5057" t="str">
        <v>x</v>
      </c>
      <c r="Y5057">
        <f>D5041</f>
        <v>1</v>
      </c>
      <c r="Z5057" t="str">
        <v>=</v>
      </c>
      <c r="AA5057">
        <f>N5057*U5057*W5057*Y5057</f>
        <v>6.824655000000001</v>
      </c>
    </row>
    <row r="5059">
      <c r="A5059" t="str">
        <f>A5035</f>
        <v>Lantai 3</v>
      </c>
      <c r="B5059">
        <f>B5035</f>
        <v>26</v>
      </c>
      <c r="C5059" t="str">
        <v>Kait Horizontal Tump.</v>
      </c>
      <c r="D5059">
        <f>VLOOKUP(D5035,'Detail Balok'!$C$10:$BJ$140,46,FALSE)</f>
        <v>0</v>
      </c>
      <c r="E5059" t="str">
        <v>D</v>
      </c>
      <c r="F5059">
        <f>VLOOKUP(D5035,'Detail Balok'!$C$10:$BJ$140,48,FALSE)</f>
        <v>0</v>
      </c>
      <c r="G5059" t="str">
        <v>-</v>
      </c>
      <c r="H5059">
        <f>VLOOKUP(D5035,'Detail Balok'!$C$10:$BJ$140,50,FALSE)</f>
        <v>100</v>
      </c>
      <c r="J5059">
        <f>(D5036-2*F$5)/1000</f>
        <v>0.12</v>
      </c>
      <c r="K5059" t="str">
        <v>+</v>
      </c>
      <c r="L5059">
        <f>IF(D5059=0,2*MAX(6*F5059,75),(D5059-1)*2*MAX(6*F5059,75))/1000</f>
        <v>0.15</v>
      </c>
      <c r="M5059" t="str">
        <v>=</v>
      </c>
      <c r="N5059">
        <f>J5059+L5059</f>
        <v>0.27</v>
      </c>
      <c r="T5059" t="str">
        <v>x</v>
      </c>
      <c r="U5059">
        <f>0.006165*F5059^2</f>
        <v>0</v>
      </c>
      <c r="V5059" t="str">
        <v>x</v>
      </c>
      <c r="W5059">
        <f>W5055</f>
        <v>9</v>
      </c>
      <c r="X5059" t="str">
        <v>x</v>
      </c>
      <c r="Y5059">
        <f>D5045</f>
        <v>4</v>
      </c>
      <c r="Z5059" t="str">
        <v>=</v>
      </c>
      <c r="AA5059">
        <f>N5059*U5059*W5059*Y5059</f>
        <v>0</v>
      </c>
    </row>
    <row r="5060">
      <c r="A5060" t="str">
        <f>A5035</f>
        <v>Lantai 3</v>
      </c>
      <c r="B5060">
        <f>B5035</f>
        <v>26</v>
      </c>
      <c r="C5060" t="str">
        <v>Kait Horizontal Lap.</v>
      </c>
      <c r="D5060">
        <f>VLOOKUP(D5035,'Detail Balok'!$C$10:$BJ$140,51,FALSE)</f>
        <v>0</v>
      </c>
      <c r="E5060" t="str">
        <v>D</v>
      </c>
      <c r="F5060">
        <f>VLOOKUP(D5035,'Detail Balok'!$C$10:$BJ$140,53,FALSE)</f>
        <v>0</v>
      </c>
      <c r="G5060" t="str">
        <v>-</v>
      </c>
      <c r="H5060">
        <f>VLOOKUP(D5035,'Detail Balok'!$C$10:$BJ$140,55,FALSE)</f>
        <v>100</v>
      </c>
      <c r="J5060">
        <f>(D5036-2*F$5)/1000</f>
        <v>0.12</v>
      </c>
      <c r="K5060" t="str">
        <v>+</v>
      </c>
      <c r="L5060">
        <f>IF(D5060=0,2*MAX(6*F5060,75),(D5060-1)*2*MAX(6*F5060,75))/1000</f>
        <v>0.15</v>
      </c>
      <c r="M5060" t="str">
        <v>=</v>
      </c>
      <c r="N5060">
        <f>J5060+L5060</f>
        <v>0.27</v>
      </c>
      <c r="T5060" t="str">
        <v>x</v>
      </c>
      <c r="U5060">
        <f>0.006165*F5060^2</f>
        <v>0</v>
      </c>
      <c r="V5060" t="str">
        <v>x</v>
      </c>
      <c r="W5060">
        <f>W5056</f>
        <v>13</v>
      </c>
      <c r="X5060" t="str">
        <v>x</v>
      </c>
      <c r="Y5060">
        <f>D5045</f>
        <v>4</v>
      </c>
      <c r="Z5060" t="str">
        <v>=</v>
      </c>
      <c r="AA5060">
        <f>N5060*U5060*W5060*Y5060</f>
        <v>0</v>
      </c>
    </row>
    <row r="5061">
      <c r="A5061" t="str">
        <f>A5035</f>
        <v>Lantai 3</v>
      </c>
      <c r="B5061">
        <f>B5035</f>
        <v>26</v>
      </c>
      <c r="C5061" t="str">
        <v>Kait Horizontal Tump.</v>
      </c>
      <c r="D5061">
        <f>VLOOKUP(D5035,'Detail Balok'!$C$10:$BJ$140,56,FALSE)</f>
        <v>0</v>
      </c>
      <c r="E5061" t="str">
        <v>D</v>
      </c>
      <c r="F5061">
        <f>VLOOKUP(D5035,'Detail Balok'!$C$10:$BJ$140,58,FALSE)</f>
        <v>0</v>
      </c>
      <c r="G5061" t="str">
        <v>-</v>
      </c>
      <c r="H5061">
        <f>VLOOKUP(D5035,'Detail Balok'!$C$10:$BJ$140,60,FALSE)</f>
        <v>100</v>
      </c>
      <c r="J5061">
        <f>(D5036-2*F$5)/1000</f>
        <v>0.12</v>
      </c>
      <c r="K5061" t="str">
        <v>+</v>
      </c>
      <c r="L5061">
        <f>IF(D5061=0,2*MAX(6*F5061,75),(D5061-1)*2*MAX(6*F5061,75))/1000</f>
        <v>0.15</v>
      </c>
      <c r="M5061" t="str">
        <v>=</v>
      </c>
      <c r="N5061">
        <f>J5061+L5061</f>
        <v>0.27</v>
      </c>
      <c r="T5061" t="str">
        <v>x</v>
      </c>
      <c r="U5061">
        <f>0.006165*F5061^2</f>
        <v>0</v>
      </c>
      <c r="V5061" t="str">
        <v>x</v>
      </c>
      <c r="W5061">
        <f>W5057</f>
        <v>9</v>
      </c>
      <c r="X5061" t="str">
        <v>x</v>
      </c>
      <c r="Y5061">
        <f>D5045</f>
        <v>4</v>
      </c>
      <c r="Z5061" t="str">
        <v>=</v>
      </c>
      <c r="AA5061">
        <f>N5061*U5061*W5061*Y5061</f>
        <v>0</v>
      </c>
    </row>
    <row r="5065">
      <c r="A5065" t="str">
        <f>A5035</f>
        <v>Lantai 3</v>
      </c>
      <c r="B5065">
        <f>B5035+1</f>
        <v>27</v>
      </c>
      <c r="C5065" t="str">
        <f>CONCATENATE(A5065," no. ",B5065)</f>
        <v>Lantai 3 no. 27</v>
      </c>
      <c r="D5065" t="str">
        <f>VLOOKUP(C5065,'Data Panjang Balok'!$C$9:$N$254,2,FALSE)</f>
        <v>CL24-1</v>
      </c>
    </row>
    <row r="5066">
      <c r="C5066" t="str">
        <v>Dimensi</v>
      </c>
      <c r="D5066">
        <f>VLOOKUP(D5065,'Detail Balok'!$C$10:$AU$140,2,FALSE)</f>
        <v>200</v>
      </c>
      <c r="F5066" t="str">
        <v>x</v>
      </c>
      <c r="G5066">
        <f>VLOOKUP(D5065,'Detail Balok'!$C$10:$AU$140,3,FALSE)</f>
        <v>400</v>
      </c>
    </row>
    <row r="5067">
      <c r="C5067" t="str">
        <v>Panjang as ke as</v>
      </c>
      <c r="D5067">
        <f>VLOOKUP(C5065,'Data Panjang Balok'!$C$9:$N$254,4,FALSE)</f>
        <v>5000</v>
      </c>
    </row>
    <row r="5068">
      <c r="C5068" t="str">
        <v>Panjang netto</v>
      </c>
      <c r="D5068">
        <f>VLOOKUP(C5065,'Data Panjang Balok'!$C$9:$N$254,7,FALSE)</f>
        <v>5000</v>
      </c>
    </row>
    <row r="5069">
      <c r="C5069" t="str">
        <v>Kolom / balok kiri</v>
      </c>
      <c r="D5069">
        <f>VLOOKUP(C5065,'Data Panjang Balok'!$C$9:$N$254,9,FALSE)</f>
        <v>0</v>
      </c>
    </row>
    <row r="5070">
      <c r="C5070" t="str">
        <v>Kolom / balok kanan</v>
      </c>
      <c r="D5070">
        <f>VLOOKUP(C5065,'Data Panjang Balok'!$C$9:$N$254,10,FALSE)</f>
        <v>0</v>
      </c>
    </row>
    <row r="5071">
      <c r="C5071" t="str">
        <v>Jumlah</v>
      </c>
      <c r="D5071">
        <f>VLOOKUP(C5065,'Data Panjang Balok'!$C$9:$N$254,3,FALSE)</f>
        <v>1</v>
      </c>
    </row>
    <row r="5072">
      <c r="A5072" t="str">
        <f>A5065</f>
        <v>Lantai 3</v>
      </c>
      <c r="B5072">
        <f>B5065</f>
        <v>27</v>
      </c>
      <c r="C5072" t="str">
        <v>Tul Atas Tumpuan</v>
      </c>
      <c r="D5072">
        <f>VLOOKUP(D5065,'Detail Balok'!$C$10:$AU$140,4,FALSE)</f>
        <v>3</v>
      </c>
      <c r="E5072" t="str">
        <v>D</v>
      </c>
      <c r="F5072">
        <f>VLOOKUP(D5065,'Detail Balok'!$C$10:$AU$140,6,FALSE)</f>
        <v>16</v>
      </c>
      <c r="I5072" t="str">
        <v>(</v>
      </c>
      <c r="J5072">
        <f>+D5067/4/1000</f>
        <v>1.25</v>
      </c>
      <c r="K5072" t="str">
        <v>+</v>
      </c>
      <c r="L5072">
        <f>MAX(VLOOKUP(F5072,N$6:P$15,3,FALSE)/1000,2/3*D5069/1000)+F$16*F5072/1000</f>
        <v>0.192</v>
      </c>
      <c r="M5072" t="str">
        <v>=</v>
      </c>
      <c r="N5072">
        <f>J5072+L5072</f>
        <v>1.442</v>
      </c>
      <c r="O5072" t="str">
        <v>+</v>
      </c>
      <c r="P5072">
        <f>D5072-D5073</f>
        <v>0</v>
      </c>
      <c r="Q5072" t="str">
        <v>x</v>
      </c>
      <c r="R5072">
        <f>IF(P5072&gt;0,$F$18*F5072/1000,0)</f>
        <v>0</v>
      </c>
      <c r="S5072" t="str">
        <v>)</v>
      </c>
      <c r="T5072" t="str">
        <v>x</v>
      </c>
      <c r="U5072">
        <f>0.006165*F5072^2</f>
        <v>1.57824</v>
      </c>
      <c r="X5072" t="str">
        <v>x</v>
      </c>
      <c r="Y5072">
        <f>D5071</f>
        <v>1</v>
      </c>
      <c r="Z5072" t="str">
        <v>=</v>
      </c>
      <c r="AA5072">
        <f>IF(AA5075=0,(D5072*N5072+P5072*R5072)*U5072*Y5072,0)</f>
        <v>0</v>
      </c>
    </row>
    <row r="5073">
      <c r="A5073" t="str">
        <f>A5065</f>
        <v>Lantai 3</v>
      </c>
      <c r="B5073">
        <f>B5065</f>
        <v>27</v>
      </c>
      <c r="C5073" t="str">
        <v>Tul Atas Lapangan</v>
      </c>
      <c r="D5073">
        <f>VLOOKUP(D5065,'Detail Balok'!$C$10:$AU$140,7,FALSE)</f>
        <v>3</v>
      </c>
      <c r="E5073" t="str">
        <v>D</v>
      </c>
      <c r="F5073">
        <f>VLOOKUP(D5065,'Detail Balok'!$C$10:$AU$140,9,FALSE)</f>
        <v>16</v>
      </c>
      <c r="I5073" t="str">
        <v>(</v>
      </c>
      <c r="J5073">
        <f>+D5067/2/1000</f>
        <v>2.5</v>
      </c>
      <c r="K5073" t="str">
        <v>+</v>
      </c>
      <c r="M5073" t="str">
        <v>=</v>
      </c>
      <c r="N5073">
        <f>J5073+L5073</f>
        <v>2.5</v>
      </c>
      <c r="O5073" t="str">
        <v>+</v>
      </c>
      <c r="P5073">
        <f>MAX(D5073-D5072,D5073-D5074)</f>
        <v>0</v>
      </c>
      <c r="Q5073" t="str">
        <v>x</v>
      </c>
      <c r="R5073">
        <f>IF(P5073&gt;0,2*(1-2*$F$19-1/2)*D5068/1000,0)</f>
        <v>0</v>
      </c>
      <c r="S5073" t="str">
        <v>)</v>
      </c>
      <c r="T5073" t="str">
        <v>x</v>
      </c>
      <c r="U5073">
        <f>0.006165*F5073^2</f>
        <v>1.57824</v>
      </c>
      <c r="X5073" t="str">
        <v>x</v>
      </c>
      <c r="Y5073">
        <f>D5071</f>
        <v>1</v>
      </c>
      <c r="Z5073" t="str">
        <v>=</v>
      </c>
      <c r="AA5073">
        <f>IF(AA5075=0,(D5073*N5073+P5073*R5073)*U5073*Y5073,0)</f>
        <v>0</v>
      </c>
    </row>
    <row r="5074">
      <c r="A5074" t="str">
        <f>A5065</f>
        <v>Lantai 3</v>
      </c>
      <c r="B5074">
        <f>B5065</f>
        <v>27</v>
      </c>
      <c r="C5074" t="str">
        <v>Tul Atas Tumpuan</v>
      </c>
      <c r="D5074">
        <f>VLOOKUP(D5065,'Detail Balok'!$C$10:$AU$140,10,FALSE)</f>
        <v>3</v>
      </c>
      <c r="E5074" t="str">
        <v>D</v>
      </c>
      <c r="F5074">
        <f>VLOOKUP(D5065,'Detail Balok'!$C$10:$AU$140,12,FALSE)</f>
        <v>16</v>
      </c>
      <c r="I5074" t="str">
        <v>(</v>
      </c>
      <c r="J5074">
        <f>+D5067/4/1000</f>
        <v>1.25</v>
      </c>
      <c r="K5074" t="str">
        <v>+</v>
      </c>
      <c r="L5074">
        <f>MAX(VLOOKUP(F5074,N$6:P$15,3,FALSE)/1000,2/3*D5069/1000)+F$16*F5074/1000</f>
        <v>0.192</v>
      </c>
      <c r="M5074" t="str">
        <v>=</v>
      </c>
      <c r="N5074">
        <f>J5074+L5074</f>
        <v>1.442</v>
      </c>
      <c r="O5074" t="str">
        <v>+</v>
      </c>
      <c r="P5074">
        <f>D5074-D5073</f>
        <v>0</v>
      </c>
      <c r="Q5074" t="str">
        <v>x</v>
      </c>
      <c r="R5074">
        <f>IF(P5074&gt;0,$F$18*F5074/1000,0)</f>
        <v>0</v>
      </c>
      <c r="S5074" t="str">
        <v>)</v>
      </c>
      <c r="T5074" t="str">
        <v>x</v>
      </c>
      <c r="U5074">
        <f>0.006165*F5074^2</f>
        <v>1.57824</v>
      </c>
      <c r="X5074" t="str">
        <v>x</v>
      </c>
      <c r="Y5074">
        <f>D5071</f>
        <v>1</v>
      </c>
      <c r="Z5074" t="str">
        <v>=</v>
      </c>
      <c r="AA5074">
        <f>IF(AA5075=0,(D5074*N5074+P5074*R5074)*U5074*Y5074,0)</f>
        <v>0</v>
      </c>
    </row>
    <row r="5075">
      <c r="A5075" t="str">
        <f>A5065</f>
        <v>Lantai 3</v>
      </c>
      <c r="B5075">
        <f>B5065</f>
        <v>27</v>
      </c>
      <c r="D5075">
        <f>IF(AND(D5072=D5073,D5073=D5074,D5072=D5074),D5072,0)</f>
        <v>3</v>
      </c>
      <c r="E5075" t="str">
        <v>D</v>
      </c>
      <c r="F5075">
        <f>IF(AND(F5072=F5073,F5072=F5074,F5073=F5074),F5072,0)</f>
        <v>16</v>
      </c>
      <c r="L5075" t="str">
        <v>Total panjang per balok</v>
      </c>
      <c r="M5075" t="str">
        <v>=</v>
      </c>
      <c r="N5075">
        <f>IF(AND(D5072=D5073,D5072=D5074,D5073=D5074,F5072=F5073,F5072=F5074,F5073=F5074),SUM(N5072:N5074),0)</f>
        <v>5.384</v>
      </c>
      <c r="O5075" t="str">
        <v>+</v>
      </c>
      <c r="P5075">
        <f>IF(N5075&gt;12,ROUNDDOWN(N5075/12,0),0)</f>
        <v>0</v>
      </c>
      <c r="Q5075" t="str">
        <v>x</v>
      </c>
      <c r="R5075">
        <f>IF(P5075&gt;0,MAX(VLOOKUP(F5075,$D$6:$G$15,3,FALSE),600),0)/1000</f>
        <v>0</v>
      </c>
      <c r="T5075" t="str">
        <v>x</v>
      </c>
      <c r="U5075">
        <f>U5074</f>
        <v>1.57824</v>
      </c>
      <c r="V5075" t="str">
        <v>x</v>
      </c>
      <c r="W5075">
        <f>D5075</f>
        <v>3</v>
      </c>
      <c r="X5075" t="str">
        <v>x</v>
      </c>
      <c r="Y5075">
        <f>Y5074</f>
        <v>1</v>
      </c>
      <c r="Z5075" t="str">
        <v>=</v>
      </c>
      <c r="AA5075">
        <f>(N5075+P5075*R5075/1000)*U5075*W5075*Y5075</f>
        <v>25.491732480000003</v>
      </c>
    </row>
    <row r="5077">
      <c r="A5077" t="str">
        <f>A5065</f>
        <v>Lantai 3</v>
      </c>
      <c r="B5077">
        <f>B5065</f>
        <v>27</v>
      </c>
      <c r="C5077" t="str">
        <v>Tul Peminggang</v>
      </c>
      <c r="D5077">
        <f>VLOOKUP(D5065,'Detail Balok'!$C$10:$AU$140,13,FALSE)</f>
        <v>0</v>
      </c>
      <c r="E5077" t="str">
        <v>D</v>
      </c>
      <c r="F5077">
        <f>VLOOKUP(D5065,'Detail Balok'!$C$10:$AU$140,15,FALSE)</f>
        <v>8</v>
      </c>
      <c r="J5077">
        <f>+D5067/1000</f>
        <v>5</v>
      </c>
      <c r="K5077" t="str">
        <v>+</v>
      </c>
      <c r="L5077">
        <f>2*$F$16*F5077/1000</f>
        <v>0.192</v>
      </c>
      <c r="M5077" t="str">
        <v>=</v>
      </c>
      <c r="N5077">
        <f>J5077+L5077</f>
        <v>5.192</v>
      </c>
      <c r="O5077" t="str">
        <v>+</v>
      </c>
      <c r="P5077">
        <f>IF(N5077&gt;12,ROUNDDOWN(N5077/12,0),0)</f>
        <v>0</v>
      </c>
      <c r="Q5077" t="str">
        <v>x</v>
      </c>
      <c r="R5077">
        <f>IF(P5077&gt;0,MAX(VLOOKUP(F5077,$D$6:$G$15,3,FALSE),600),0)/1000</f>
        <v>0</v>
      </c>
      <c r="T5077" t="str">
        <v>x</v>
      </c>
      <c r="U5077">
        <f>0.006165*F5077^2</f>
        <v>0.39456</v>
      </c>
      <c r="V5077" t="str">
        <v>x</v>
      </c>
      <c r="W5077">
        <f>+D5077</f>
        <v>0</v>
      </c>
      <c r="X5077" t="str">
        <v>x</v>
      </c>
      <c r="Y5077">
        <f>D5071</f>
        <v>1</v>
      </c>
      <c r="Z5077" t="str">
        <v>=</v>
      </c>
      <c r="AA5077">
        <f>(N5077+P5077*R5077/1000)*U5077*W5077*Y5077</f>
        <v>0</v>
      </c>
    </row>
    <row r="5080">
      <c r="A5080" t="str">
        <f>A5065</f>
        <v>Lantai 3</v>
      </c>
      <c r="B5080">
        <f>B5065</f>
        <v>27</v>
      </c>
      <c r="C5080" t="str">
        <v>Tul Bawah Tumpuan</v>
      </c>
      <c r="D5080">
        <f>VLOOKUP(D5065,'Detail Balok'!$C$10:$AU$140,22,FALSE)</f>
        <v>3</v>
      </c>
      <c r="E5080" t="str">
        <v>D</v>
      </c>
      <c r="F5080">
        <f>VLOOKUP(D5065,'Detail Balok'!$C$10:$AU$140,24,FALSE)</f>
        <v>16</v>
      </c>
      <c r="I5080" t="str">
        <v>(</v>
      </c>
      <c r="J5080">
        <f>+J5072</f>
        <v>1.25</v>
      </c>
      <c r="K5080" t="str">
        <v>+</v>
      </c>
      <c r="L5080">
        <f>MAX(VLOOKUP(F5080,N$6:P$15,3,FALSE)/1000,2/3*D5070/1000)+F$16*F5080/1000</f>
        <v>0.192</v>
      </c>
      <c r="M5080" t="str">
        <v>=</v>
      </c>
      <c r="N5080">
        <f>J5080+L5080</f>
        <v>1.442</v>
      </c>
      <c r="O5080" t="str">
        <v>+</v>
      </c>
      <c r="P5080">
        <f>D5080-D5081</f>
        <v>0</v>
      </c>
      <c r="Q5080" t="str">
        <v>x</v>
      </c>
      <c r="R5080">
        <f>IF(P5080&gt;0,$F$18*F5080/1000,0)</f>
        <v>0</v>
      </c>
      <c r="S5080" t="str">
        <v>)</v>
      </c>
      <c r="T5080" t="str">
        <v>x</v>
      </c>
      <c r="U5080">
        <f>0.006165*F5080^2</f>
        <v>1.57824</v>
      </c>
      <c r="X5080" t="str">
        <v>x</v>
      </c>
      <c r="Y5080">
        <f>D5071</f>
        <v>1</v>
      </c>
      <c r="Z5080" t="str">
        <v>=</v>
      </c>
      <c r="AA5080">
        <f>IF(AA5083=0,(D5080*N5080+P5080*R5080)*U5080*Y5080,0)</f>
        <v>0</v>
      </c>
    </row>
    <row r="5081">
      <c r="A5081" t="str">
        <f>A5065</f>
        <v>Lantai 3</v>
      </c>
      <c r="B5081">
        <f>B5065</f>
        <v>27</v>
      </c>
      <c r="C5081" t="str">
        <v>Tul Bawah Lapangan</v>
      </c>
      <c r="D5081">
        <f>VLOOKUP(D5065,'Detail Balok'!$C$10:$AU$140,25,FALSE)</f>
        <v>3</v>
      </c>
      <c r="E5081" t="str">
        <v>D</v>
      </c>
      <c r="F5081">
        <f>VLOOKUP(D5065,'Detail Balok'!$C$10:$AU$140,27,FALSE)</f>
        <v>16</v>
      </c>
      <c r="I5081" t="str">
        <v>(</v>
      </c>
      <c r="J5081">
        <f>+J5073</f>
        <v>2.5</v>
      </c>
      <c r="K5081" t="str">
        <v>+</v>
      </c>
      <c r="M5081" t="str">
        <v>=</v>
      </c>
      <c r="N5081">
        <f>J5081+L5081</f>
        <v>2.5</v>
      </c>
      <c r="O5081" t="str">
        <v>+</v>
      </c>
      <c r="P5081">
        <f>MAX(D5081-D5080,D5081-D5082)</f>
        <v>0</v>
      </c>
      <c r="Q5081" t="str">
        <v>x</v>
      </c>
      <c r="R5081">
        <f>IF(P5081&gt;0,2*(1-2*$F$19-1/2)*D5068/1000,0)</f>
        <v>0</v>
      </c>
      <c r="S5081" t="str">
        <v>)</v>
      </c>
      <c r="T5081" t="str">
        <v>x</v>
      </c>
      <c r="U5081">
        <f>0.006165*F5081^2</f>
        <v>1.57824</v>
      </c>
      <c r="X5081" t="str">
        <v>x</v>
      </c>
      <c r="Y5081">
        <f>D5071</f>
        <v>1</v>
      </c>
      <c r="Z5081" t="str">
        <v>=</v>
      </c>
      <c r="AA5081">
        <f>IF(AA5083=0,(D5081*N5081+P5081*R5081)*U5081*Y5081,0)</f>
        <v>0</v>
      </c>
    </row>
    <row r="5082">
      <c r="A5082" t="str">
        <f>A5065</f>
        <v>Lantai 3</v>
      </c>
      <c r="B5082">
        <f>B5065</f>
        <v>27</v>
      </c>
      <c r="C5082" t="str">
        <v>Tul Bawah Tumpuan</v>
      </c>
      <c r="D5082">
        <f>VLOOKUP(D5065,'Detail Balok'!$C$10:$AU$140,28,FALSE)</f>
        <v>3</v>
      </c>
      <c r="E5082" t="str">
        <v>D</v>
      </c>
      <c r="F5082">
        <f>VLOOKUP(D5065,'Detail Balok'!$C$10:$AU$140,30,FALSE)</f>
        <v>16</v>
      </c>
      <c r="I5082" t="str">
        <v>(</v>
      </c>
      <c r="J5082">
        <f>+J5074</f>
        <v>1.25</v>
      </c>
      <c r="K5082" t="str">
        <v>+</v>
      </c>
      <c r="L5082">
        <f>MAX(VLOOKUP(F5082,N$6:P$15,3,FALSE)/1000,2/3*D5070/1000)+F$16*F5082/1000</f>
        <v>0.192</v>
      </c>
      <c r="M5082" t="str">
        <v>=</v>
      </c>
      <c r="N5082">
        <f>J5082+L5082</f>
        <v>1.442</v>
      </c>
      <c r="O5082" t="str">
        <v>+</v>
      </c>
      <c r="P5082">
        <f>D5082-D5081</f>
        <v>0</v>
      </c>
      <c r="Q5082" t="str">
        <v>x</v>
      </c>
      <c r="R5082">
        <f>IF(P5082&gt;0,$F$18*F5082/1000,0)</f>
        <v>0</v>
      </c>
      <c r="S5082" t="str">
        <v>)</v>
      </c>
      <c r="T5082" t="str">
        <v>x</v>
      </c>
      <c r="U5082">
        <f>0.006165*F5082^2</f>
        <v>1.57824</v>
      </c>
      <c r="X5082" t="str">
        <v>x</v>
      </c>
      <c r="Y5082">
        <f>D5071</f>
        <v>1</v>
      </c>
      <c r="Z5082" t="str">
        <v>=</v>
      </c>
      <c r="AA5082">
        <f>IF(AA5083=0,(D5082*N5082+P5082*R5082)*U5082*Y5082,0)</f>
        <v>0</v>
      </c>
    </row>
    <row r="5083">
      <c r="A5083" t="str">
        <f>A5065</f>
        <v>Lantai 3</v>
      </c>
      <c r="B5083">
        <f>B5065</f>
        <v>27</v>
      </c>
      <c r="D5083">
        <f>IF(AND(D5080=D5081,D5081=D5082,D5080=D5082),D5080,0)</f>
        <v>3</v>
      </c>
      <c r="E5083" t="str">
        <v>D</v>
      </c>
      <c r="F5083">
        <f>IF(AND(F5080=F5081,F5080=F5082,F5081=F5082),F5080,0)</f>
        <v>16</v>
      </c>
      <c r="L5083" t="str">
        <v>Total panjang per balok</v>
      </c>
      <c r="M5083" t="str">
        <v>=</v>
      </c>
      <c r="N5083">
        <f>IF(AND(D5080=D5081,D5080=D5082,D5081=D5082,F5080=F5081,F5080=F5082,F5081=F5082),SUM(N5080:N5082),0)</f>
        <v>5.384</v>
      </c>
      <c r="O5083" t="str">
        <v>+</v>
      </c>
      <c r="P5083">
        <f>IF(N5083&gt;12,ROUNDDOWN(N5083/12,0),0)</f>
        <v>0</v>
      </c>
      <c r="Q5083" t="str">
        <v>x</v>
      </c>
      <c r="R5083">
        <f>IF(P5083&gt;0,MAX(VLOOKUP(F5083,$D$6:$G$15,3,FALSE),600),0)/1000</f>
        <v>0</v>
      </c>
      <c r="T5083" t="str">
        <v>x</v>
      </c>
      <c r="U5083">
        <f>U5082</f>
        <v>1.57824</v>
      </c>
      <c r="V5083" t="str">
        <v>x</v>
      </c>
      <c r="W5083">
        <f>D5083</f>
        <v>3</v>
      </c>
      <c r="X5083" t="str">
        <v>x</v>
      </c>
      <c r="Y5083">
        <f>Y5082</f>
        <v>1</v>
      </c>
      <c r="Z5083" t="str">
        <v>=</v>
      </c>
      <c r="AA5083">
        <f>(N5083+P5083*R5083/1000)*U5083*W5083*Y5083</f>
        <v>25.491732480000003</v>
      </c>
    </row>
    <row r="5085">
      <c r="A5085" t="str">
        <f>A5065</f>
        <v>Lantai 3</v>
      </c>
      <c r="B5085">
        <f>B5065</f>
        <v>27</v>
      </c>
      <c r="C5085" t="str">
        <v>Sengkang Tumpuan</v>
      </c>
      <c r="D5085">
        <f>VLOOKUP(D5065,'Detail Balok'!$C$10:$AU$140,31,FALSE)</f>
        <v>0</v>
      </c>
      <c r="E5085" t="str">
        <v>D</v>
      </c>
      <c r="F5085">
        <f>VLOOKUP(D5065,'Detail Balok'!$C$10:$AU$140,33,FALSE)</f>
        <v>10</v>
      </c>
      <c r="G5085" t="str">
        <v>-</v>
      </c>
      <c r="H5085">
        <f>VLOOKUP(D5065,'Detail Balok'!$C$10:$AU$140,35,FALSE)</f>
        <v>100</v>
      </c>
      <c r="J5085">
        <f>(IF(D5085=0,(2*(D5066+G5066))-(F$5*8),IF(D5085=3,(2*(D5066+G5066))-(F$5*8)+(G5066-2*F$5),IF(D5085=4,(2*(D5066+G5066))-(F$5*8)+2*(G5066-2*F$5)))))/1000</f>
        <v>0.88</v>
      </c>
      <c r="K5085" t="str">
        <v>+</v>
      </c>
      <c r="L5085">
        <f>IF(D5085=0,2*MAX(6*F5085,75),(D5085-1)*2*MAX(6*F5085,75))/1000</f>
        <v>0.15</v>
      </c>
      <c r="M5085" t="str">
        <v>=</v>
      </c>
      <c r="N5085">
        <f>J5085+L5085</f>
        <v>1.03</v>
      </c>
      <c r="T5085" t="str">
        <v>x</v>
      </c>
      <c r="U5085">
        <f>0.006165*F5085^2</f>
        <v>0.6165</v>
      </c>
      <c r="V5085" t="str">
        <v>x</v>
      </c>
      <c r="W5085">
        <f>IF(D5068&gt;4*G5066,ROUND(MAX(D5068/4,2*G5066)/H5085,0)+1,ROUND(D5068/H5085,0)+1)</f>
        <v>14</v>
      </c>
      <c r="X5085" t="str">
        <v>x</v>
      </c>
      <c r="Y5085">
        <f>D5071</f>
        <v>1</v>
      </c>
      <c r="Z5085" t="str">
        <v>=</v>
      </c>
      <c r="AA5085">
        <f>N5085*U5085*W5085*Y5085</f>
        <v>8.889930000000001</v>
      </c>
    </row>
    <row r="5086">
      <c r="A5086" t="str">
        <f>A5065</f>
        <v>Lantai 3</v>
      </c>
      <c r="B5086">
        <f>B5065</f>
        <v>27</v>
      </c>
      <c r="C5086" t="str">
        <v>Sengkang Lapangan</v>
      </c>
      <c r="D5086">
        <f>VLOOKUP(D5065,'Detail Balok'!$C$10:$AU$140,36,FALSE)</f>
        <v>0</v>
      </c>
      <c r="E5086" t="str">
        <v>D</v>
      </c>
      <c r="F5086">
        <f>VLOOKUP(D5065,'Detail Balok'!$C$10:$AU$140,38,FALSE)</f>
        <v>10</v>
      </c>
      <c r="G5086" t="str">
        <v>-</v>
      </c>
      <c r="H5086">
        <f>VLOOKUP(D5065,'Detail Balok'!$C$10:$AU$140,40,FALSE)</f>
        <v>100</v>
      </c>
      <c r="J5086">
        <f>(IF(D5086=0,(2*(D5066+G5066))-(F$5*8),IF(D5086=3,(2*(D5066+G5066))-(F$5*8)+(G5066-2*F$5),IF(D5086=4,(2*(D5066+G5066))-(F$5*8)+2*(G5066-2*F$5)))))/1000</f>
        <v>0.88</v>
      </c>
      <c r="K5086" t="str">
        <v>+</v>
      </c>
      <c r="L5086">
        <f>IF(D5086=0,2*MAX(6*F5086,75),(D5086-1)*2*MAX(6*F5086,75))/1000</f>
        <v>0.15</v>
      </c>
      <c r="M5086" t="str">
        <v>=</v>
      </c>
      <c r="N5086">
        <f>J5086+L5086</f>
        <v>1.03</v>
      </c>
      <c r="T5086" t="str">
        <v>x</v>
      </c>
      <c r="U5086">
        <f>0.006165*F5086^2</f>
        <v>0.6165</v>
      </c>
      <c r="V5086" t="str">
        <v>x</v>
      </c>
      <c r="W5086">
        <f>IF(D5068-MAX(D5068/4,2*G5066)*2&gt;0,ROUND((D5068-MAX(D5068/4,2*G5066)*2)/H5086,0),0)</f>
        <v>25</v>
      </c>
      <c r="X5086" t="str">
        <v>x</v>
      </c>
      <c r="Y5086">
        <f>D5071</f>
        <v>1</v>
      </c>
      <c r="Z5086" t="str">
        <v>=</v>
      </c>
      <c r="AA5086">
        <f>N5086*U5086*W5086*Y5086</f>
        <v>15.874875000000003</v>
      </c>
    </row>
    <row r="5087">
      <c r="A5087" t="str">
        <f>A5065</f>
        <v>Lantai 3</v>
      </c>
      <c r="B5087">
        <f>B5065</f>
        <v>27</v>
      </c>
      <c r="C5087" t="str">
        <v>Sengkang Tumpuan</v>
      </c>
      <c r="D5087">
        <f>VLOOKUP(D5065,'Detail Balok'!$C$10:$AU$140,41,FALSE)</f>
        <v>0</v>
      </c>
      <c r="E5087" t="str">
        <v>D</v>
      </c>
      <c r="F5087">
        <f>VLOOKUP(D5065,'Detail Balok'!$C$10:$AU$140,43,FALSE)</f>
        <v>10</v>
      </c>
      <c r="G5087" t="str">
        <v>-</v>
      </c>
      <c r="H5087">
        <f>VLOOKUP(D5065,'Detail Balok'!$C$10:$AU$140,45,FALSE)</f>
        <v>100</v>
      </c>
      <c r="J5087">
        <f>(IF(D5087=0,(2*(D5066+G5066))-(F$5*8),IF(D5087=3,(2*(D5066+G5066))-(F$5*8)+(G5066-2*F$5),IF(D5087=4,(2*(D5066+G5066))-(F$5*8)+2*(G5066-2*F$5)))))/1000</f>
        <v>0.88</v>
      </c>
      <c r="K5087" t="str">
        <v>+</v>
      </c>
      <c r="L5087">
        <f>IF(D5087=0,2*MAX(6*F5087,75),(D5087-1)*2*MAX(6*F5087,75))/1000</f>
        <v>0.15</v>
      </c>
      <c r="M5087" t="str">
        <v>=</v>
      </c>
      <c r="N5087">
        <f>J5087+L5087</f>
        <v>1.03</v>
      </c>
      <c r="T5087" t="str">
        <v>x</v>
      </c>
      <c r="U5087">
        <f>0.006165*F5087^2</f>
        <v>0.6165</v>
      </c>
      <c r="V5087" t="str">
        <v>x</v>
      </c>
      <c r="W5087">
        <f>IF(D5068&gt;4*G5066,ROUND(MAX(D5068/4,2*G5066)/H5087,0)+1,0)</f>
        <v>14</v>
      </c>
      <c r="X5087" t="str">
        <v>x</v>
      </c>
      <c r="Y5087">
        <f>D5071</f>
        <v>1</v>
      </c>
      <c r="Z5087" t="str">
        <v>=</v>
      </c>
      <c r="AA5087">
        <f>N5087*U5087*W5087*Y5087</f>
        <v>8.889930000000001</v>
      </c>
    </row>
    <row r="5089">
      <c r="A5089" t="str">
        <f>A5065</f>
        <v>Lantai 3</v>
      </c>
      <c r="B5089">
        <f>B5065</f>
        <v>27</v>
      </c>
      <c r="C5089" t="str">
        <v>Kait Horizontal Tump.</v>
      </c>
      <c r="D5089">
        <f>VLOOKUP(D5065,'Detail Balok'!$C$10:$BJ$140,46,FALSE)</f>
        <v>0</v>
      </c>
      <c r="E5089" t="str">
        <v>D</v>
      </c>
      <c r="F5089">
        <f>VLOOKUP(D5065,'Detail Balok'!$C$10:$BJ$140,48,FALSE)</f>
        <v>0</v>
      </c>
      <c r="G5089" t="str">
        <v>-</v>
      </c>
      <c r="H5089">
        <f>VLOOKUP(D5065,'Detail Balok'!$C$10:$BJ$140,50,FALSE)</f>
        <v>100</v>
      </c>
      <c r="J5089">
        <f>(D5066-2*F$5)/1000</f>
        <v>0.12</v>
      </c>
      <c r="K5089" t="str">
        <v>+</v>
      </c>
      <c r="L5089">
        <f>IF(D5089=0,2*MAX(6*F5089,75),(D5089-1)*2*MAX(6*F5089,75))/1000</f>
        <v>0.15</v>
      </c>
      <c r="M5089" t="str">
        <v>=</v>
      </c>
      <c r="N5089">
        <f>J5089+L5089</f>
        <v>0.27</v>
      </c>
      <c r="T5089" t="str">
        <v>x</v>
      </c>
      <c r="U5089">
        <f>0.006165*F5089^2</f>
        <v>0</v>
      </c>
      <c r="V5089" t="str">
        <v>x</v>
      </c>
      <c r="W5089">
        <f>W5085</f>
        <v>14</v>
      </c>
      <c r="X5089" t="str">
        <v>x</v>
      </c>
      <c r="Y5089">
        <f>D5075</f>
        <v>3</v>
      </c>
      <c r="Z5089" t="str">
        <v>=</v>
      </c>
      <c r="AA5089">
        <f>N5089*U5089*W5089*Y5089</f>
        <v>0</v>
      </c>
    </row>
    <row r="5090">
      <c r="A5090" t="str">
        <f>A5065</f>
        <v>Lantai 3</v>
      </c>
      <c r="B5090">
        <f>B5065</f>
        <v>27</v>
      </c>
      <c r="C5090" t="str">
        <v>Kait Horizontal Lap.</v>
      </c>
      <c r="D5090">
        <f>VLOOKUP(D5065,'Detail Balok'!$C$10:$BJ$140,51,FALSE)</f>
        <v>0</v>
      </c>
      <c r="E5090" t="str">
        <v>D</v>
      </c>
      <c r="F5090">
        <f>VLOOKUP(D5065,'Detail Balok'!$C$10:$BJ$140,53,FALSE)</f>
        <v>0</v>
      </c>
      <c r="G5090" t="str">
        <v>-</v>
      </c>
      <c r="H5090">
        <f>VLOOKUP(D5065,'Detail Balok'!$C$10:$BJ$140,55,FALSE)</f>
        <v>100</v>
      </c>
      <c r="J5090">
        <f>(D5066-2*F$5)/1000</f>
        <v>0.12</v>
      </c>
      <c r="K5090" t="str">
        <v>+</v>
      </c>
      <c r="L5090">
        <f>IF(D5090=0,2*MAX(6*F5090,75),(D5090-1)*2*MAX(6*F5090,75))/1000</f>
        <v>0.15</v>
      </c>
      <c r="M5090" t="str">
        <v>=</v>
      </c>
      <c r="N5090">
        <f>J5090+L5090</f>
        <v>0.27</v>
      </c>
      <c r="T5090" t="str">
        <v>x</v>
      </c>
      <c r="U5090">
        <f>0.006165*F5090^2</f>
        <v>0</v>
      </c>
      <c r="V5090" t="str">
        <v>x</v>
      </c>
      <c r="W5090">
        <f>W5086</f>
        <v>25</v>
      </c>
      <c r="X5090" t="str">
        <v>x</v>
      </c>
      <c r="Y5090">
        <f>D5075</f>
        <v>3</v>
      </c>
      <c r="Z5090" t="str">
        <v>=</v>
      </c>
      <c r="AA5090">
        <f>N5090*U5090*W5090*Y5090</f>
        <v>0</v>
      </c>
    </row>
    <row r="5091">
      <c r="A5091" t="str">
        <f>A5065</f>
        <v>Lantai 3</v>
      </c>
      <c r="B5091">
        <f>B5065</f>
        <v>27</v>
      </c>
      <c r="C5091" t="str">
        <v>Kait Horizontal Tump.</v>
      </c>
      <c r="D5091">
        <f>VLOOKUP(D5065,'Detail Balok'!$C$10:$BJ$140,56,FALSE)</f>
        <v>0</v>
      </c>
      <c r="E5091" t="str">
        <v>D</v>
      </c>
      <c r="F5091">
        <f>VLOOKUP(D5065,'Detail Balok'!$C$10:$BJ$140,58,FALSE)</f>
        <v>0</v>
      </c>
      <c r="G5091" t="str">
        <v>-</v>
      </c>
      <c r="H5091">
        <f>VLOOKUP(D5065,'Detail Balok'!$C$10:$BJ$140,60,FALSE)</f>
        <v>100</v>
      </c>
      <c r="J5091">
        <f>(D5066-2*F$5)/1000</f>
        <v>0.12</v>
      </c>
      <c r="K5091" t="str">
        <v>+</v>
      </c>
      <c r="L5091">
        <f>IF(D5091=0,2*MAX(6*F5091,75),(D5091-1)*2*MAX(6*F5091,75))/1000</f>
        <v>0.15</v>
      </c>
      <c r="M5091" t="str">
        <v>=</v>
      </c>
      <c r="N5091">
        <f>J5091+L5091</f>
        <v>0.27</v>
      </c>
      <c r="T5091" t="str">
        <v>x</v>
      </c>
      <c r="U5091">
        <f>0.006165*F5091^2</f>
        <v>0</v>
      </c>
      <c r="V5091" t="str">
        <v>x</v>
      </c>
      <c r="W5091">
        <f>W5087</f>
        <v>14</v>
      </c>
      <c r="X5091" t="str">
        <v>x</v>
      </c>
      <c r="Y5091">
        <f>D5075</f>
        <v>3</v>
      </c>
      <c r="Z5091" t="str">
        <v>=</v>
      </c>
      <c r="AA5091">
        <f>N5091*U5091*W5091*Y5091</f>
        <v>0</v>
      </c>
    </row>
    <row r="5095">
      <c r="A5095" t="str">
        <f>A5065</f>
        <v>Lantai 3</v>
      </c>
      <c r="B5095">
        <f>B5065+1</f>
        <v>28</v>
      </c>
      <c r="C5095" t="str">
        <f>CONCATENATE(A5095," no. ",B5095)</f>
        <v>Lantai 3 no. 28</v>
      </c>
      <c r="D5095" t="str">
        <f>VLOOKUP(C5095,'Data Panjang Balok'!$C$9:$N$254,2,FALSE)</f>
        <v>B25-1</v>
      </c>
    </row>
    <row r="5096">
      <c r="C5096" t="str">
        <v>Dimensi</v>
      </c>
      <c r="D5096">
        <f>VLOOKUP(D5095,'Detail Balok'!$C$10:$AU$140,2,FALSE)</f>
        <v>200</v>
      </c>
      <c r="F5096" t="str">
        <v>x</v>
      </c>
      <c r="G5096">
        <f>VLOOKUP(D5095,'Detail Balok'!$C$10:$AU$140,3,FALSE)</f>
        <v>500</v>
      </c>
    </row>
    <row r="5097">
      <c r="C5097" t="str">
        <v>Panjang as ke as</v>
      </c>
      <c r="D5097">
        <f>VLOOKUP(C5095,'Data Panjang Balok'!$C$9:$N$254,4,FALSE)</f>
        <v>7250</v>
      </c>
    </row>
    <row r="5098">
      <c r="C5098" t="str">
        <v>Panjang netto</v>
      </c>
      <c r="D5098">
        <f>VLOOKUP(C5095,'Data Panjang Balok'!$C$9:$N$254,7,FALSE)</f>
        <v>7250</v>
      </c>
    </row>
    <row r="5099">
      <c r="C5099" t="str">
        <v>Kolom / balok kiri</v>
      </c>
      <c r="D5099">
        <f>VLOOKUP(C5095,'Data Panjang Balok'!$C$9:$N$254,9,FALSE)</f>
        <v>0</v>
      </c>
    </row>
    <row r="5100">
      <c r="C5100" t="str">
        <v>Kolom / balok kanan</v>
      </c>
      <c r="D5100">
        <f>VLOOKUP(C5095,'Data Panjang Balok'!$C$9:$N$254,10,FALSE)</f>
        <v>0</v>
      </c>
    </row>
    <row r="5101">
      <c r="C5101" t="str">
        <v>Jumlah</v>
      </c>
      <c r="D5101">
        <f>VLOOKUP(C5095,'Data Panjang Balok'!$C$9:$N$254,3,FALSE)</f>
        <v>1</v>
      </c>
    </row>
    <row r="5102">
      <c r="A5102" t="str">
        <f>A5095</f>
        <v>Lantai 3</v>
      </c>
      <c r="B5102">
        <f>B5095</f>
        <v>28</v>
      </c>
      <c r="C5102" t="str">
        <v>Tul Atas Tumpuan</v>
      </c>
      <c r="D5102">
        <f>VLOOKUP(D5095,'Detail Balok'!$C$10:$AU$140,4,FALSE)</f>
        <v>4</v>
      </c>
      <c r="E5102" t="str">
        <v>D</v>
      </c>
      <c r="F5102">
        <f>VLOOKUP(D5095,'Detail Balok'!$C$10:$AU$140,6,FALSE)</f>
        <v>16</v>
      </c>
      <c r="I5102" t="str">
        <v>(</v>
      </c>
      <c r="J5102">
        <f>+D5097/4/1000</f>
        <v>1.8125</v>
      </c>
      <c r="K5102" t="str">
        <v>+</v>
      </c>
      <c r="L5102">
        <f>MAX(VLOOKUP(F5102,N$6:P$15,3,FALSE)/1000,2/3*D5099/1000)+F$16*F5102/1000</f>
        <v>0.192</v>
      </c>
      <c r="M5102" t="str">
        <v>=</v>
      </c>
      <c r="N5102">
        <f>J5102+L5102</f>
        <v>2.0045</v>
      </c>
      <c r="O5102" t="str">
        <v>+</v>
      </c>
      <c r="P5102">
        <f>D5102-D5103</f>
        <v>0</v>
      </c>
      <c r="Q5102" t="str">
        <v>x</v>
      </c>
      <c r="R5102">
        <f>IF(P5102&gt;0,$F$18*F5102/1000,0)</f>
        <v>0</v>
      </c>
      <c r="S5102" t="str">
        <v>)</v>
      </c>
      <c r="T5102" t="str">
        <v>x</v>
      </c>
      <c r="U5102">
        <f>0.006165*F5102^2</f>
        <v>1.57824</v>
      </c>
      <c r="X5102" t="str">
        <v>x</v>
      </c>
      <c r="Y5102">
        <f>D5101</f>
        <v>1</v>
      </c>
      <c r="Z5102" t="str">
        <v>=</v>
      </c>
      <c r="AA5102">
        <f>IF(AA5105=0,(D5102*N5102+P5102*R5102)*U5102*Y5102,0)</f>
        <v>0</v>
      </c>
    </row>
    <row r="5103">
      <c r="A5103" t="str">
        <f>A5095</f>
        <v>Lantai 3</v>
      </c>
      <c r="B5103">
        <f>B5095</f>
        <v>28</v>
      </c>
      <c r="C5103" t="str">
        <v>Tul Atas Lapangan</v>
      </c>
      <c r="D5103">
        <f>VLOOKUP(D5095,'Detail Balok'!$C$10:$AU$140,7,FALSE)</f>
        <v>4</v>
      </c>
      <c r="E5103" t="str">
        <v>D</v>
      </c>
      <c r="F5103">
        <f>VLOOKUP(D5095,'Detail Balok'!$C$10:$AU$140,9,FALSE)</f>
        <v>16</v>
      </c>
      <c r="I5103" t="str">
        <v>(</v>
      </c>
      <c r="J5103">
        <f>+D5097/2/1000</f>
        <v>3.625</v>
      </c>
      <c r="K5103" t="str">
        <v>+</v>
      </c>
      <c r="M5103" t="str">
        <v>=</v>
      </c>
      <c r="N5103">
        <f>J5103+L5103</f>
        <v>3.625</v>
      </c>
      <c r="O5103" t="str">
        <v>+</v>
      </c>
      <c r="P5103">
        <f>MAX(D5103-D5102,D5103-D5104)</f>
        <v>0</v>
      </c>
      <c r="Q5103" t="str">
        <v>x</v>
      </c>
      <c r="R5103">
        <f>IF(P5103&gt;0,2*(1-2*$F$19-1/2)*D5098/1000,0)</f>
        <v>0</v>
      </c>
      <c r="S5103" t="str">
        <v>)</v>
      </c>
      <c r="T5103" t="str">
        <v>x</v>
      </c>
      <c r="U5103">
        <f>0.006165*F5103^2</f>
        <v>1.57824</v>
      </c>
      <c r="X5103" t="str">
        <v>x</v>
      </c>
      <c r="Y5103">
        <f>D5101</f>
        <v>1</v>
      </c>
      <c r="Z5103" t="str">
        <v>=</v>
      </c>
      <c r="AA5103">
        <f>IF(AA5105=0,(D5103*N5103+P5103*R5103)*U5103*Y5103,0)</f>
        <v>0</v>
      </c>
    </row>
    <row r="5104">
      <c r="A5104" t="str">
        <f>A5095</f>
        <v>Lantai 3</v>
      </c>
      <c r="B5104">
        <f>B5095</f>
        <v>28</v>
      </c>
      <c r="C5104" t="str">
        <v>Tul Atas Tumpuan</v>
      </c>
      <c r="D5104">
        <f>VLOOKUP(D5095,'Detail Balok'!$C$10:$AU$140,10,FALSE)</f>
        <v>4</v>
      </c>
      <c r="E5104" t="str">
        <v>D</v>
      </c>
      <c r="F5104">
        <f>VLOOKUP(D5095,'Detail Balok'!$C$10:$AU$140,12,FALSE)</f>
        <v>16</v>
      </c>
      <c r="I5104" t="str">
        <v>(</v>
      </c>
      <c r="J5104">
        <f>+D5097/4/1000</f>
        <v>1.8125</v>
      </c>
      <c r="K5104" t="str">
        <v>+</v>
      </c>
      <c r="L5104">
        <f>MAX(VLOOKUP(F5104,N$6:P$15,3,FALSE)/1000,2/3*D5099/1000)+F$16*F5104/1000</f>
        <v>0.192</v>
      </c>
      <c r="M5104" t="str">
        <v>=</v>
      </c>
      <c r="N5104">
        <f>J5104+L5104</f>
        <v>2.0045</v>
      </c>
      <c r="O5104" t="str">
        <v>+</v>
      </c>
      <c r="P5104">
        <f>D5104-D5103</f>
        <v>0</v>
      </c>
      <c r="Q5104" t="str">
        <v>x</v>
      </c>
      <c r="R5104">
        <f>IF(P5104&gt;0,$F$18*F5104/1000,0)</f>
        <v>0</v>
      </c>
      <c r="S5104" t="str">
        <v>)</v>
      </c>
      <c r="T5104" t="str">
        <v>x</v>
      </c>
      <c r="U5104">
        <f>0.006165*F5104^2</f>
        <v>1.57824</v>
      </c>
      <c r="X5104" t="str">
        <v>x</v>
      </c>
      <c r="Y5104">
        <f>D5101</f>
        <v>1</v>
      </c>
      <c r="Z5104" t="str">
        <v>=</v>
      </c>
      <c r="AA5104">
        <f>IF(AA5105=0,(D5104*N5104+P5104*R5104)*U5104*Y5104,0)</f>
        <v>0</v>
      </c>
    </row>
    <row r="5105">
      <c r="A5105" t="str">
        <f>A5095</f>
        <v>Lantai 3</v>
      </c>
      <c r="B5105">
        <f>B5095</f>
        <v>28</v>
      </c>
      <c r="D5105">
        <f>IF(AND(D5102=D5103,D5103=D5104,D5102=D5104),D5102,0)</f>
        <v>4</v>
      </c>
      <c r="E5105" t="str">
        <v>D</v>
      </c>
      <c r="F5105">
        <f>IF(AND(F5102=F5103,F5102=F5104,F5103=F5104),F5102,0)</f>
        <v>16</v>
      </c>
      <c r="L5105" t="str">
        <v>Total panjang per balok</v>
      </c>
      <c r="M5105" t="str">
        <v>=</v>
      </c>
      <c r="N5105">
        <f>IF(AND(D5102=D5103,D5102=D5104,D5103=D5104,F5102=F5103,F5102=F5104,F5103=F5104),SUM(N5102:N5104),0)</f>
        <v>7.634</v>
      </c>
      <c r="O5105" t="str">
        <v>+</v>
      </c>
      <c r="P5105">
        <f>IF(N5105&gt;12,ROUNDDOWN(N5105/12,0),0)</f>
        <v>0</v>
      </c>
      <c r="Q5105" t="str">
        <v>x</v>
      </c>
      <c r="R5105">
        <f>IF(P5105&gt;0,MAX(VLOOKUP(F5105,$D$6:$G$15,3,FALSE),600),0)/1000</f>
        <v>0</v>
      </c>
      <c r="T5105" t="str">
        <v>x</v>
      </c>
      <c r="U5105">
        <f>U5104</f>
        <v>1.57824</v>
      </c>
      <c r="V5105" t="str">
        <v>x</v>
      </c>
      <c r="W5105">
        <f>D5105</f>
        <v>4</v>
      </c>
      <c r="X5105" t="str">
        <v>x</v>
      </c>
      <c r="Y5105">
        <f>Y5104</f>
        <v>1</v>
      </c>
      <c r="Z5105" t="str">
        <v>=</v>
      </c>
      <c r="AA5105">
        <f>(N5105+P5105*R5105/1000)*U5105*W5105*Y5105</f>
        <v>48.193136640000006</v>
      </c>
    </row>
    <row r="5107">
      <c r="A5107" t="str">
        <f>A5095</f>
        <v>Lantai 3</v>
      </c>
      <c r="B5107">
        <f>B5095</f>
        <v>28</v>
      </c>
      <c r="C5107" t="str">
        <v>Tul Peminggang</v>
      </c>
      <c r="D5107">
        <f>VLOOKUP(D5095,'Detail Balok'!$C$10:$AU$140,13,FALSE)</f>
        <v>2</v>
      </c>
      <c r="E5107" t="str">
        <v>D</v>
      </c>
      <c r="F5107">
        <f>VLOOKUP(D5095,'Detail Balok'!$C$10:$AU$140,15,FALSE)</f>
        <v>10</v>
      </c>
      <c r="J5107">
        <f>+D5097/1000</f>
        <v>7.25</v>
      </c>
      <c r="K5107" t="str">
        <v>+</v>
      </c>
      <c r="L5107">
        <f>2*$F$16*F5107/1000</f>
        <v>0.24</v>
      </c>
      <c r="M5107" t="str">
        <v>=</v>
      </c>
      <c r="N5107">
        <f>J5107+L5107</f>
        <v>7.49</v>
      </c>
      <c r="O5107" t="str">
        <v>+</v>
      </c>
      <c r="P5107">
        <f>IF(N5107&gt;12,ROUNDDOWN(N5107/12,0),0)</f>
        <v>0</v>
      </c>
      <c r="Q5107" t="str">
        <v>x</v>
      </c>
      <c r="R5107">
        <f>IF(P5107&gt;0,MAX(VLOOKUP(F5107,$D$6:$G$15,3,FALSE),600),0)/1000</f>
        <v>0</v>
      </c>
      <c r="T5107" t="str">
        <v>x</v>
      </c>
      <c r="U5107">
        <f>0.006165*F5107^2</f>
        <v>0.6165</v>
      </c>
      <c r="V5107" t="str">
        <v>x</v>
      </c>
      <c r="W5107">
        <f>+D5107</f>
        <v>2</v>
      </c>
      <c r="X5107" t="str">
        <v>x</v>
      </c>
      <c r="Y5107">
        <f>D5101</f>
        <v>1</v>
      </c>
      <c r="Z5107" t="str">
        <v>=</v>
      </c>
      <c r="AA5107">
        <f>(N5107+P5107*R5107/1000)*U5107*W5107*Y5107</f>
        <v>9.23517</v>
      </c>
    </row>
    <row r="5110">
      <c r="A5110" t="str">
        <f>A5095</f>
        <v>Lantai 3</v>
      </c>
      <c r="B5110">
        <f>B5095</f>
        <v>28</v>
      </c>
      <c r="C5110" t="str">
        <v>Tul Bawah Tumpuan</v>
      </c>
      <c r="D5110">
        <f>VLOOKUP(D5095,'Detail Balok'!$C$10:$AU$140,22,FALSE)</f>
        <v>4</v>
      </c>
      <c r="E5110" t="str">
        <v>D</v>
      </c>
      <c r="F5110">
        <f>VLOOKUP(D5095,'Detail Balok'!$C$10:$AU$140,24,FALSE)</f>
        <v>16</v>
      </c>
      <c r="I5110" t="str">
        <v>(</v>
      </c>
      <c r="J5110">
        <f>+J5102</f>
        <v>1.8125</v>
      </c>
      <c r="K5110" t="str">
        <v>+</v>
      </c>
      <c r="L5110">
        <f>MAX(VLOOKUP(F5110,N$6:P$15,3,FALSE)/1000,2/3*D5100/1000)+F$16*F5110/1000</f>
        <v>0.192</v>
      </c>
      <c r="M5110" t="str">
        <v>=</v>
      </c>
      <c r="N5110">
        <f>J5110+L5110</f>
        <v>2.0045</v>
      </c>
      <c r="O5110" t="str">
        <v>+</v>
      </c>
      <c r="P5110">
        <f>D5110-D5111</f>
        <v>0</v>
      </c>
      <c r="Q5110" t="str">
        <v>x</v>
      </c>
      <c r="R5110">
        <f>IF(P5110&gt;0,$F$18*F5110/1000,0)</f>
        <v>0</v>
      </c>
      <c r="S5110" t="str">
        <v>)</v>
      </c>
      <c r="T5110" t="str">
        <v>x</v>
      </c>
      <c r="U5110">
        <f>0.006165*F5110^2</f>
        <v>1.57824</v>
      </c>
      <c r="X5110" t="str">
        <v>x</v>
      </c>
      <c r="Y5110">
        <f>D5101</f>
        <v>1</v>
      </c>
      <c r="Z5110" t="str">
        <v>=</v>
      </c>
      <c r="AA5110">
        <f>IF(AA5113=0,(D5110*N5110+P5110*R5110)*U5110*Y5110,0)</f>
        <v>0</v>
      </c>
    </row>
    <row r="5111">
      <c r="A5111" t="str">
        <f>A5095</f>
        <v>Lantai 3</v>
      </c>
      <c r="B5111">
        <f>B5095</f>
        <v>28</v>
      </c>
      <c r="C5111" t="str">
        <v>Tul Bawah Lapangan</v>
      </c>
      <c r="D5111">
        <f>VLOOKUP(D5095,'Detail Balok'!$C$10:$AU$140,25,FALSE)</f>
        <v>4</v>
      </c>
      <c r="E5111" t="str">
        <v>D</v>
      </c>
      <c r="F5111">
        <f>VLOOKUP(D5095,'Detail Balok'!$C$10:$AU$140,27,FALSE)</f>
        <v>16</v>
      </c>
      <c r="I5111" t="str">
        <v>(</v>
      </c>
      <c r="J5111">
        <f>+J5103</f>
        <v>3.625</v>
      </c>
      <c r="K5111" t="str">
        <v>+</v>
      </c>
      <c r="M5111" t="str">
        <v>=</v>
      </c>
      <c r="N5111">
        <f>J5111+L5111</f>
        <v>3.625</v>
      </c>
      <c r="O5111" t="str">
        <v>+</v>
      </c>
      <c r="P5111">
        <f>MAX(D5111-D5110,D5111-D5112)</f>
        <v>0</v>
      </c>
      <c r="Q5111" t="str">
        <v>x</v>
      </c>
      <c r="R5111">
        <f>IF(P5111&gt;0,2*(1-2*$F$19-1/2)*D5098/1000,0)</f>
        <v>0</v>
      </c>
      <c r="S5111" t="str">
        <v>)</v>
      </c>
      <c r="T5111" t="str">
        <v>x</v>
      </c>
      <c r="U5111">
        <f>0.006165*F5111^2</f>
        <v>1.57824</v>
      </c>
      <c r="X5111" t="str">
        <v>x</v>
      </c>
      <c r="Y5111">
        <f>D5101</f>
        <v>1</v>
      </c>
      <c r="Z5111" t="str">
        <v>=</v>
      </c>
      <c r="AA5111">
        <f>IF(AA5113=0,(D5111*N5111+P5111*R5111)*U5111*Y5111,0)</f>
        <v>0</v>
      </c>
    </row>
    <row r="5112">
      <c r="A5112" t="str">
        <f>A5095</f>
        <v>Lantai 3</v>
      </c>
      <c r="B5112">
        <f>B5095</f>
        <v>28</v>
      </c>
      <c r="C5112" t="str">
        <v>Tul Bawah Tumpuan</v>
      </c>
      <c r="D5112">
        <f>VLOOKUP(D5095,'Detail Balok'!$C$10:$AU$140,28,FALSE)</f>
        <v>4</v>
      </c>
      <c r="E5112" t="str">
        <v>D</v>
      </c>
      <c r="F5112">
        <f>VLOOKUP(D5095,'Detail Balok'!$C$10:$AU$140,30,FALSE)</f>
        <v>16</v>
      </c>
      <c r="I5112" t="str">
        <v>(</v>
      </c>
      <c r="J5112">
        <f>+J5104</f>
        <v>1.8125</v>
      </c>
      <c r="K5112" t="str">
        <v>+</v>
      </c>
      <c r="L5112">
        <f>MAX(VLOOKUP(F5112,N$6:P$15,3,FALSE)/1000,2/3*D5100/1000)+F$16*F5112/1000</f>
        <v>0.192</v>
      </c>
      <c r="M5112" t="str">
        <v>=</v>
      </c>
      <c r="N5112">
        <f>J5112+L5112</f>
        <v>2.0045</v>
      </c>
      <c r="O5112" t="str">
        <v>+</v>
      </c>
      <c r="P5112">
        <f>D5112-D5111</f>
        <v>0</v>
      </c>
      <c r="Q5112" t="str">
        <v>x</v>
      </c>
      <c r="R5112">
        <f>IF(P5112&gt;0,$F$18*F5112/1000,0)</f>
        <v>0</v>
      </c>
      <c r="S5112" t="str">
        <v>)</v>
      </c>
      <c r="T5112" t="str">
        <v>x</v>
      </c>
      <c r="U5112">
        <f>0.006165*F5112^2</f>
        <v>1.57824</v>
      </c>
      <c r="X5112" t="str">
        <v>x</v>
      </c>
      <c r="Y5112">
        <f>D5101</f>
        <v>1</v>
      </c>
      <c r="Z5112" t="str">
        <v>=</v>
      </c>
      <c r="AA5112">
        <f>IF(AA5113=0,(D5112*N5112+P5112*R5112)*U5112*Y5112,0)</f>
        <v>0</v>
      </c>
    </row>
    <row r="5113">
      <c r="A5113" t="str">
        <f>A5095</f>
        <v>Lantai 3</v>
      </c>
      <c r="B5113">
        <f>B5095</f>
        <v>28</v>
      </c>
      <c r="D5113">
        <f>IF(AND(D5110=D5111,D5111=D5112,D5110=D5112),D5110,0)</f>
        <v>4</v>
      </c>
      <c r="E5113" t="str">
        <v>D</v>
      </c>
      <c r="F5113">
        <f>IF(AND(F5110=F5111,F5110=F5112,F5111=F5112),F5110,0)</f>
        <v>16</v>
      </c>
      <c r="L5113" t="str">
        <v>Total panjang per balok</v>
      </c>
      <c r="M5113" t="str">
        <v>=</v>
      </c>
      <c r="N5113">
        <f>IF(AND(D5110=D5111,D5110=D5112,D5111=D5112,F5110=F5111,F5110=F5112,F5111=F5112),SUM(N5110:N5112),0)</f>
        <v>7.634</v>
      </c>
      <c r="O5113" t="str">
        <v>+</v>
      </c>
      <c r="P5113">
        <f>IF(N5113&gt;12,ROUNDDOWN(N5113/12,0),0)</f>
        <v>0</v>
      </c>
      <c r="Q5113" t="str">
        <v>x</v>
      </c>
      <c r="R5113">
        <f>IF(P5113&gt;0,MAX(VLOOKUP(F5113,$D$6:$G$15,3,FALSE),600),0)/1000</f>
        <v>0</v>
      </c>
      <c r="T5113" t="str">
        <v>x</v>
      </c>
      <c r="U5113">
        <f>U5112</f>
        <v>1.57824</v>
      </c>
      <c r="V5113" t="str">
        <v>x</v>
      </c>
      <c r="W5113">
        <f>D5113</f>
        <v>4</v>
      </c>
      <c r="X5113" t="str">
        <v>x</v>
      </c>
      <c r="Y5113">
        <f>Y5112</f>
        <v>1</v>
      </c>
      <c r="Z5113" t="str">
        <v>=</v>
      </c>
      <c r="AA5113">
        <f>(N5113+P5113*R5113/1000)*U5113*W5113*Y5113</f>
        <v>48.193136640000006</v>
      </c>
    </row>
    <row r="5115">
      <c r="A5115" t="str">
        <f>A5095</f>
        <v>Lantai 3</v>
      </c>
      <c r="B5115">
        <f>B5095</f>
        <v>28</v>
      </c>
      <c r="C5115" t="str">
        <v>Sengkang Tumpuan</v>
      </c>
      <c r="D5115">
        <f>VLOOKUP(D5095,'Detail Balok'!$C$10:$AU$140,31,FALSE)</f>
        <v>0</v>
      </c>
      <c r="E5115" t="str">
        <v>D</v>
      </c>
      <c r="F5115">
        <f>VLOOKUP(D5095,'Detail Balok'!$C$10:$AU$140,33,FALSE)</f>
        <v>10</v>
      </c>
      <c r="G5115" t="str">
        <v>-</v>
      </c>
      <c r="H5115">
        <f>VLOOKUP(D5095,'Detail Balok'!$C$10:$AU$140,35,FALSE)</f>
        <v>150</v>
      </c>
      <c r="J5115">
        <f>(IF(D5115=0,(2*(D5096+G5096))-(F$5*8),IF(D5115=3,(2*(D5096+G5096))-(F$5*8)+(G5096-2*F$5),IF(D5115=4,(2*(D5096+G5096))-(F$5*8)+2*(G5096-2*F$5)))))/1000</f>
        <v>1.08</v>
      </c>
      <c r="K5115" t="str">
        <v>+</v>
      </c>
      <c r="L5115">
        <f>IF(D5115=0,2*MAX(6*F5115,75),(D5115-1)*2*MAX(6*F5115,75))/1000</f>
        <v>0.15</v>
      </c>
      <c r="M5115" t="str">
        <v>=</v>
      </c>
      <c r="N5115">
        <f>J5115+L5115</f>
        <v>1.23</v>
      </c>
      <c r="T5115" t="str">
        <v>x</v>
      </c>
      <c r="U5115">
        <f>0.006165*F5115^2</f>
        <v>0.6165</v>
      </c>
      <c r="V5115" t="str">
        <v>x</v>
      </c>
      <c r="W5115">
        <f>IF(D5098&gt;4*G5096,ROUND(MAX(D5098/4,2*G5096)/H5115,0)+1,ROUND(D5098/H5115,0)+1)</f>
        <v>13</v>
      </c>
      <c r="X5115" t="str">
        <v>x</v>
      </c>
      <c r="Y5115">
        <f>D5101</f>
        <v>1</v>
      </c>
      <c r="Z5115" t="str">
        <v>=</v>
      </c>
      <c r="AA5115">
        <f>N5115*U5115*W5115*Y5115</f>
        <v>9.857835000000001</v>
      </c>
    </row>
    <row r="5116">
      <c r="A5116" t="str">
        <f>A5095</f>
        <v>Lantai 3</v>
      </c>
      <c r="B5116">
        <f>B5095</f>
        <v>28</v>
      </c>
      <c r="C5116" t="str">
        <v>Sengkang Lapangan</v>
      </c>
      <c r="D5116">
        <f>VLOOKUP(D5095,'Detail Balok'!$C$10:$AU$140,36,FALSE)</f>
        <v>0</v>
      </c>
      <c r="E5116" t="str">
        <v>D</v>
      </c>
      <c r="F5116">
        <f>VLOOKUP(D5095,'Detail Balok'!$C$10:$AU$140,38,FALSE)</f>
        <v>10</v>
      </c>
      <c r="G5116" t="str">
        <v>-</v>
      </c>
      <c r="H5116">
        <f>VLOOKUP(D5095,'Detail Balok'!$C$10:$AU$140,40,FALSE)</f>
        <v>200</v>
      </c>
      <c r="J5116">
        <f>(IF(D5116=0,(2*(D5096+G5096))-(F$5*8),IF(D5116=3,(2*(D5096+G5096))-(F$5*8)+(G5096-2*F$5),IF(D5116=4,(2*(D5096+G5096))-(F$5*8)+2*(G5096-2*F$5)))))/1000</f>
        <v>1.08</v>
      </c>
      <c r="K5116" t="str">
        <v>+</v>
      </c>
      <c r="L5116">
        <f>IF(D5116=0,2*MAX(6*F5116,75),(D5116-1)*2*MAX(6*F5116,75))/1000</f>
        <v>0.15</v>
      </c>
      <c r="M5116" t="str">
        <v>=</v>
      </c>
      <c r="N5116">
        <f>J5116+L5116</f>
        <v>1.23</v>
      </c>
      <c r="T5116" t="str">
        <v>x</v>
      </c>
      <c r="U5116">
        <f>0.006165*F5116^2</f>
        <v>0.6165</v>
      </c>
      <c r="V5116" t="str">
        <v>x</v>
      </c>
      <c r="W5116">
        <f>IF(D5098-MAX(D5098/4,2*G5096)*2&gt;0,ROUND((D5098-MAX(D5098/4,2*G5096)*2)/H5116,0),0)</f>
        <v>18</v>
      </c>
      <c r="X5116" t="str">
        <v>x</v>
      </c>
      <c r="Y5116">
        <f>D5101</f>
        <v>1</v>
      </c>
      <c r="Z5116" t="str">
        <v>=</v>
      </c>
      <c r="AA5116">
        <f>N5116*U5116*W5116*Y5116</f>
        <v>13.649310000000002</v>
      </c>
    </row>
    <row r="5117">
      <c r="A5117" t="str">
        <f>A5095</f>
        <v>Lantai 3</v>
      </c>
      <c r="B5117">
        <f>B5095</f>
        <v>28</v>
      </c>
      <c r="C5117" t="str">
        <v>Sengkang Tumpuan</v>
      </c>
      <c r="D5117">
        <f>VLOOKUP(D5095,'Detail Balok'!$C$10:$AU$140,41,FALSE)</f>
        <v>0</v>
      </c>
      <c r="E5117" t="str">
        <v>D</v>
      </c>
      <c r="F5117">
        <f>VLOOKUP(D5095,'Detail Balok'!$C$10:$AU$140,43,FALSE)</f>
        <v>10</v>
      </c>
      <c r="G5117" t="str">
        <v>-</v>
      </c>
      <c r="H5117">
        <f>VLOOKUP(D5095,'Detail Balok'!$C$10:$AU$140,45,FALSE)</f>
        <v>150</v>
      </c>
      <c r="J5117">
        <f>(IF(D5117=0,(2*(D5096+G5096))-(F$5*8),IF(D5117=3,(2*(D5096+G5096))-(F$5*8)+(G5096-2*F$5),IF(D5117=4,(2*(D5096+G5096))-(F$5*8)+2*(G5096-2*F$5)))))/1000</f>
        <v>1.08</v>
      </c>
      <c r="K5117" t="str">
        <v>+</v>
      </c>
      <c r="L5117">
        <f>IF(D5117=0,2*MAX(6*F5117,75),(D5117-1)*2*MAX(6*F5117,75))/1000</f>
        <v>0.15</v>
      </c>
      <c r="M5117" t="str">
        <v>=</v>
      </c>
      <c r="N5117">
        <f>J5117+L5117</f>
        <v>1.23</v>
      </c>
      <c r="T5117" t="str">
        <v>x</v>
      </c>
      <c r="U5117">
        <f>0.006165*F5117^2</f>
        <v>0.6165</v>
      </c>
      <c r="V5117" t="str">
        <v>x</v>
      </c>
      <c r="W5117">
        <f>IF(D5098&gt;4*G5096,ROUND(MAX(D5098/4,2*G5096)/H5117,0)+1,0)</f>
        <v>13</v>
      </c>
      <c r="X5117" t="str">
        <v>x</v>
      </c>
      <c r="Y5117">
        <f>D5101</f>
        <v>1</v>
      </c>
      <c r="Z5117" t="str">
        <v>=</v>
      </c>
      <c r="AA5117">
        <f>N5117*U5117*W5117*Y5117</f>
        <v>9.857835000000001</v>
      </c>
    </row>
    <row r="5119">
      <c r="A5119" t="str">
        <f>A5095</f>
        <v>Lantai 3</v>
      </c>
      <c r="B5119">
        <f>B5095</f>
        <v>28</v>
      </c>
      <c r="C5119" t="str">
        <v>Kait Horizontal Tump.</v>
      </c>
      <c r="D5119">
        <f>VLOOKUP(D5095,'Detail Balok'!$C$10:$BJ$140,46,FALSE)</f>
        <v>0</v>
      </c>
      <c r="E5119" t="str">
        <v>D</v>
      </c>
      <c r="F5119">
        <f>VLOOKUP(D5095,'Detail Balok'!$C$10:$BJ$140,48,FALSE)</f>
        <v>0</v>
      </c>
      <c r="G5119" t="str">
        <v>-</v>
      </c>
      <c r="H5119">
        <f>VLOOKUP(D5095,'Detail Balok'!$C$10:$BJ$140,50,FALSE)</f>
        <v>100</v>
      </c>
      <c r="J5119">
        <f>(D5096-2*F$5)/1000</f>
        <v>0.12</v>
      </c>
      <c r="K5119" t="str">
        <v>+</v>
      </c>
      <c r="L5119">
        <f>IF(D5119=0,2*MAX(6*F5119,75),(D5119-1)*2*MAX(6*F5119,75))/1000</f>
        <v>0.15</v>
      </c>
      <c r="M5119" t="str">
        <v>=</v>
      </c>
      <c r="N5119">
        <f>J5119+L5119</f>
        <v>0.27</v>
      </c>
      <c r="T5119" t="str">
        <v>x</v>
      </c>
      <c r="U5119">
        <f>0.006165*F5119^2</f>
        <v>0</v>
      </c>
      <c r="V5119" t="str">
        <v>x</v>
      </c>
      <c r="W5119">
        <f>W5115</f>
        <v>13</v>
      </c>
      <c r="X5119" t="str">
        <v>x</v>
      </c>
      <c r="Y5119">
        <f>D5105</f>
        <v>4</v>
      </c>
      <c r="Z5119" t="str">
        <v>=</v>
      </c>
      <c r="AA5119">
        <f>N5119*U5119*W5119*Y5119</f>
        <v>0</v>
      </c>
    </row>
    <row r="5120">
      <c r="A5120" t="str">
        <f>A5095</f>
        <v>Lantai 3</v>
      </c>
      <c r="B5120">
        <f>B5095</f>
        <v>28</v>
      </c>
      <c r="C5120" t="str">
        <v>Kait Horizontal Lap.</v>
      </c>
      <c r="D5120">
        <f>VLOOKUP(D5095,'Detail Balok'!$C$10:$BJ$140,51,FALSE)</f>
        <v>0</v>
      </c>
      <c r="E5120" t="str">
        <v>D</v>
      </c>
      <c r="F5120">
        <f>VLOOKUP(D5095,'Detail Balok'!$C$10:$BJ$140,53,FALSE)</f>
        <v>0</v>
      </c>
      <c r="G5120" t="str">
        <v>-</v>
      </c>
      <c r="H5120">
        <f>VLOOKUP(D5095,'Detail Balok'!$C$10:$BJ$140,55,FALSE)</f>
        <v>100</v>
      </c>
      <c r="J5120">
        <f>(D5096-2*F$5)/1000</f>
        <v>0.12</v>
      </c>
      <c r="K5120" t="str">
        <v>+</v>
      </c>
      <c r="L5120">
        <f>IF(D5120=0,2*MAX(6*F5120,75),(D5120-1)*2*MAX(6*F5120,75))/1000</f>
        <v>0.15</v>
      </c>
      <c r="M5120" t="str">
        <v>=</v>
      </c>
      <c r="N5120">
        <f>J5120+L5120</f>
        <v>0.27</v>
      </c>
      <c r="T5120" t="str">
        <v>x</v>
      </c>
      <c r="U5120">
        <f>0.006165*F5120^2</f>
        <v>0</v>
      </c>
      <c r="V5120" t="str">
        <v>x</v>
      </c>
      <c r="W5120">
        <f>W5116</f>
        <v>18</v>
      </c>
      <c r="X5120" t="str">
        <v>x</v>
      </c>
      <c r="Y5120">
        <f>D5105</f>
        <v>4</v>
      </c>
      <c r="Z5120" t="str">
        <v>=</v>
      </c>
      <c r="AA5120">
        <f>N5120*U5120*W5120*Y5120</f>
        <v>0</v>
      </c>
    </row>
    <row r="5121">
      <c r="A5121" t="str">
        <f>A5095</f>
        <v>Lantai 3</v>
      </c>
      <c r="B5121">
        <f>B5095</f>
        <v>28</v>
      </c>
      <c r="C5121" t="str">
        <v>Kait Horizontal Tump.</v>
      </c>
      <c r="D5121">
        <f>VLOOKUP(D5095,'Detail Balok'!$C$10:$BJ$140,56,FALSE)</f>
        <v>0</v>
      </c>
      <c r="E5121" t="str">
        <v>D</v>
      </c>
      <c r="F5121">
        <f>VLOOKUP(D5095,'Detail Balok'!$C$10:$BJ$140,58,FALSE)</f>
        <v>0</v>
      </c>
      <c r="G5121" t="str">
        <v>-</v>
      </c>
      <c r="H5121">
        <f>VLOOKUP(D5095,'Detail Balok'!$C$10:$BJ$140,60,FALSE)</f>
        <v>100</v>
      </c>
      <c r="J5121">
        <f>(D5096-2*F$5)/1000</f>
        <v>0.12</v>
      </c>
      <c r="K5121" t="str">
        <v>+</v>
      </c>
      <c r="L5121">
        <f>IF(D5121=0,2*MAX(6*F5121,75),(D5121-1)*2*MAX(6*F5121,75))/1000</f>
        <v>0.15</v>
      </c>
      <c r="M5121" t="str">
        <v>=</v>
      </c>
      <c r="N5121">
        <f>J5121+L5121</f>
        <v>0.27</v>
      </c>
      <c r="T5121" t="str">
        <v>x</v>
      </c>
      <c r="U5121">
        <f>0.006165*F5121^2</f>
        <v>0</v>
      </c>
      <c r="V5121" t="str">
        <v>x</v>
      </c>
      <c r="W5121">
        <f>W5117</f>
        <v>13</v>
      </c>
      <c r="X5121" t="str">
        <v>x</v>
      </c>
      <c r="Y5121">
        <f>D5105</f>
        <v>4</v>
      </c>
      <c r="Z5121" t="str">
        <v>=</v>
      </c>
      <c r="AA5121">
        <f>N5121*U5121*W5121*Y5121</f>
        <v>0</v>
      </c>
    </row>
    <row r="5125">
      <c r="A5125" t="str">
        <f>A5095</f>
        <v>Lantai 3</v>
      </c>
      <c r="B5125">
        <f>B5095+1</f>
        <v>29</v>
      </c>
      <c r="C5125" t="str">
        <f>CONCATENATE(A5125," no. ",B5125)</f>
        <v>Lantai 3 no. 29</v>
      </c>
      <c r="D5125" t="str">
        <f>VLOOKUP(C5125,'Data Panjang Balok'!$C$9:$N$254,2,FALSE)</f>
        <v>B26-1</v>
      </c>
    </row>
    <row r="5126">
      <c r="C5126" t="str">
        <v>Dimensi</v>
      </c>
      <c r="D5126">
        <f>VLOOKUP(D5125,'Detail Balok'!$C$10:$AU$140,2,FALSE)</f>
        <v>200</v>
      </c>
      <c r="F5126" t="str">
        <v>x</v>
      </c>
      <c r="G5126">
        <f>VLOOKUP(D5125,'Detail Balok'!$C$10:$AU$140,3,FALSE)</f>
        <v>600</v>
      </c>
    </row>
    <row r="5127">
      <c r="C5127" t="str">
        <v>Panjang as ke as</v>
      </c>
      <c r="D5127">
        <f>VLOOKUP(C5125,'Data Panjang Balok'!$C$9:$N$254,4,FALSE)</f>
        <v>6075</v>
      </c>
    </row>
    <row r="5128">
      <c r="C5128" t="str">
        <v>Panjang netto</v>
      </c>
      <c r="D5128">
        <f>VLOOKUP(C5125,'Data Panjang Balok'!$C$9:$N$254,7,FALSE)</f>
        <v>6075</v>
      </c>
    </row>
    <row r="5129">
      <c r="C5129" t="str">
        <v>Kolom / balok kiri</v>
      </c>
      <c r="D5129">
        <f>VLOOKUP(C5125,'Data Panjang Balok'!$C$9:$N$254,9,FALSE)</f>
        <v>0</v>
      </c>
    </row>
    <row r="5130">
      <c r="C5130" t="str">
        <v>Kolom / balok kanan</v>
      </c>
      <c r="D5130">
        <f>VLOOKUP(C5125,'Data Panjang Balok'!$C$9:$N$254,10,FALSE)</f>
        <v>0</v>
      </c>
    </row>
    <row r="5131">
      <c r="C5131" t="str">
        <v>Jumlah</v>
      </c>
      <c r="D5131">
        <f>VLOOKUP(C5125,'Data Panjang Balok'!$C$9:$N$254,3,FALSE)</f>
        <v>1</v>
      </c>
    </row>
    <row r="5132">
      <c r="A5132" t="str">
        <f>A5125</f>
        <v>Lantai 3</v>
      </c>
      <c r="B5132">
        <f>B5125</f>
        <v>29</v>
      </c>
      <c r="C5132" t="str">
        <v>Tul Atas Tumpuan</v>
      </c>
      <c r="D5132">
        <f>VLOOKUP(D5125,'Detail Balok'!$C$10:$AU$140,4,FALSE)</f>
        <v>4</v>
      </c>
      <c r="E5132" t="str">
        <v>D</v>
      </c>
      <c r="F5132">
        <f>VLOOKUP(D5125,'Detail Balok'!$C$10:$AU$140,6,FALSE)</f>
        <v>16</v>
      </c>
      <c r="I5132" t="str">
        <v>(</v>
      </c>
      <c r="J5132">
        <f>+D5127/4/1000</f>
        <v>1.51875</v>
      </c>
      <c r="K5132" t="str">
        <v>+</v>
      </c>
      <c r="L5132">
        <f>MAX(VLOOKUP(F5132,N$6:P$15,3,FALSE)/1000,2/3*D5129/1000)+F$16*F5132/1000</f>
        <v>0.192</v>
      </c>
      <c r="M5132" t="str">
        <v>=</v>
      </c>
      <c r="N5132">
        <f>J5132+L5132</f>
        <v>1.71075</v>
      </c>
      <c r="O5132" t="str">
        <v>+</v>
      </c>
      <c r="P5132">
        <f>D5132-D5133</f>
        <v>1</v>
      </c>
      <c r="Q5132" t="str">
        <v>x</v>
      </c>
      <c r="R5132">
        <f>IF(P5132&gt;0,$F$18*F5132/1000,0)</f>
        <v>0.24</v>
      </c>
      <c r="S5132" t="str">
        <v>)</v>
      </c>
      <c r="T5132" t="str">
        <v>x</v>
      </c>
      <c r="U5132">
        <f>0.006165*F5132^2</f>
        <v>1.57824</v>
      </c>
      <c r="X5132" t="str">
        <v>x</v>
      </c>
      <c r="Y5132">
        <f>D5131</f>
        <v>1</v>
      </c>
      <c r="Z5132" t="str">
        <v>=</v>
      </c>
      <c r="AA5132">
        <f>IF(AA5135=0,(D5132*N5132+P5132*R5132)*U5132*Y5132,0)</f>
        <v>11.178673920000001</v>
      </c>
    </row>
    <row r="5133">
      <c r="A5133" t="str">
        <f>A5125</f>
        <v>Lantai 3</v>
      </c>
      <c r="B5133">
        <f>B5125</f>
        <v>29</v>
      </c>
      <c r="C5133" t="str">
        <v>Tul Atas Lapangan</v>
      </c>
      <c r="D5133">
        <f>VLOOKUP(D5125,'Detail Balok'!$C$10:$AU$140,7,FALSE)</f>
        <v>3</v>
      </c>
      <c r="E5133" t="str">
        <v>D</v>
      </c>
      <c r="F5133">
        <f>VLOOKUP(D5125,'Detail Balok'!$C$10:$AU$140,9,FALSE)</f>
        <v>16</v>
      </c>
      <c r="I5133" t="str">
        <v>(</v>
      </c>
      <c r="J5133">
        <f>+D5127/2/1000</f>
        <v>3.0375</v>
      </c>
      <c r="K5133" t="str">
        <v>+</v>
      </c>
      <c r="M5133" t="str">
        <v>=</v>
      </c>
      <c r="N5133">
        <f>J5133+L5133</f>
        <v>3.0375</v>
      </c>
      <c r="O5133" t="str">
        <v>+</v>
      </c>
      <c r="P5133">
        <f>MAX(D5133-D5132,D5133-D5134)</f>
        <v>-1</v>
      </c>
      <c r="Q5133" t="str">
        <v>x</v>
      </c>
      <c r="R5133">
        <f>IF(P5133&gt;0,2*(1-2*$F$19-1/2)*D5128/1000,0)</f>
        <v>0</v>
      </c>
      <c r="S5133" t="str">
        <v>)</v>
      </c>
      <c r="T5133" t="str">
        <v>x</v>
      </c>
      <c r="U5133">
        <f>0.006165*F5133^2</f>
        <v>1.57824</v>
      </c>
      <c r="X5133" t="str">
        <v>x</v>
      </c>
      <c r="Y5133">
        <f>D5131</f>
        <v>1</v>
      </c>
      <c r="Z5133" t="str">
        <v>=</v>
      </c>
      <c r="AA5133">
        <f>IF(AA5135=0,(D5133*N5133+P5133*R5133)*U5133*Y5133,0)</f>
        <v>14.381712000000002</v>
      </c>
    </row>
    <row r="5134">
      <c r="A5134" t="str">
        <f>A5125</f>
        <v>Lantai 3</v>
      </c>
      <c r="B5134">
        <f>B5125</f>
        <v>29</v>
      </c>
      <c r="C5134" t="str">
        <v>Tul Atas Tumpuan</v>
      </c>
      <c r="D5134">
        <f>VLOOKUP(D5125,'Detail Balok'!$C$10:$AU$140,10,FALSE)</f>
        <v>4</v>
      </c>
      <c r="E5134" t="str">
        <v>D</v>
      </c>
      <c r="F5134">
        <f>VLOOKUP(D5125,'Detail Balok'!$C$10:$AU$140,12,FALSE)</f>
        <v>16</v>
      </c>
      <c r="I5134" t="str">
        <v>(</v>
      </c>
      <c r="J5134">
        <f>+D5127/4/1000</f>
        <v>1.51875</v>
      </c>
      <c r="K5134" t="str">
        <v>+</v>
      </c>
      <c r="L5134">
        <f>MAX(VLOOKUP(F5134,N$6:P$15,3,FALSE)/1000,2/3*D5129/1000)+F$16*F5134/1000</f>
        <v>0.192</v>
      </c>
      <c r="M5134" t="str">
        <v>=</v>
      </c>
      <c r="N5134">
        <f>J5134+L5134</f>
        <v>1.71075</v>
      </c>
      <c r="O5134" t="str">
        <v>+</v>
      </c>
      <c r="P5134">
        <f>D5134-D5133</f>
        <v>1</v>
      </c>
      <c r="Q5134" t="str">
        <v>x</v>
      </c>
      <c r="R5134">
        <f>IF(P5134&gt;0,$F$18*F5134/1000,0)</f>
        <v>0.24</v>
      </c>
      <c r="S5134" t="str">
        <v>)</v>
      </c>
      <c r="T5134" t="str">
        <v>x</v>
      </c>
      <c r="U5134">
        <f>0.006165*F5134^2</f>
        <v>1.57824</v>
      </c>
      <c r="X5134" t="str">
        <v>x</v>
      </c>
      <c r="Y5134">
        <f>D5131</f>
        <v>1</v>
      </c>
      <c r="Z5134" t="str">
        <v>=</v>
      </c>
      <c r="AA5134">
        <f>IF(AA5135=0,(D5134*N5134+P5134*R5134)*U5134*Y5134,0)</f>
        <v>11.178673920000001</v>
      </c>
    </row>
    <row r="5135">
      <c r="A5135" t="str">
        <f>A5125</f>
        <v>Lantai 3</v>
      </c>
      <c r="B5135">
        <f>B5125</f>
        <v>29</v>
      </c>
      <c r="D5135">
        <f>IF(AND(D5132=D5133,D5133=D5134,D5132=D5134),D5132,0)</f>
        <v>0</v>
      </c>
      <c r="E5135" t="str">
        <v>D</v>
      </c>
      <c r="F5135">
        <f>IF(AND(F5132=F5133,F5132=F5134,F5133=F5134),F5132,0)</f>
        <v>16</v>
      </c>
      <c r="L5135" t="str">
        <v>Total panjang per balok</v>
      </c>
      <c r="M5135" t="str">
        <v>=</v>
      </c>
      <c r="N5135">
        <f>IF(AND(D5132=D5133,D5132=D5134,D5133=D5134,F5132=F5133,F5132=F5134,F5133=F5134),SUM(N5132:N5134),0)</f>
        <v>0</v>
      </c>
      <c r="O5135" t="str">
        <v>+</v>
      </c>
      <c r="P5135">
        <f>IF(N5135&gt;12,ROUNDDOWN(N5135/12,0),0)</f>
        <v>0</v>
      </c>
      <c r="Q5135" t="str">
        <v>x</v>
      </c>
      <c r="R5135">
        <f>IF(P5135&gt;0,MAX(VLOOKUP(F5135,$D$6:$G$15,3,FALSE),600),0)/1000</f>
        <v>0</v>
      </c>
      <c r="T5135" t="str">
        <v>x</v>
      </c>
      <c r="U5135">
        <f>U5134</f>
        <v>1.57824</v>
      </c>
      <c r="V5135" t="str">
        <v>x</v>
      </c>
      <c r="W5135">
        <f>D5135</f>
        <v>0</v>
      </c>
      <c r="X5135" t="str">
        <v>x</v>
      </c>
      <c r="Y5135">
        <f>Y5134</f>
        <v>1</v>
      </c>
      <c r="Z5135" t="str">
        <v>=</v>
      </c>
      <c r="AA5135">
        <f>(N5135+P5135*R5135/1000)*U5135*W5135*Y5135</f>
        <v>0</v>
      </c>
    </row>
    <row r="5137">
      <c r="A5137" t="str">
        <f>A5125</f>
        <v>Lantai 3</v>
      </c>
      <c r="B5137">
        <f>B5125</f>
        <v>29</v>
      </c>
      <c r="C5137" t="str">
        <v>Tul Peminggang</v>
      </c>
      <c r="D5137">
        <f>VLOOKUP(D5125,'Detail Balok'!$C$10:$AU$140,13,FALSE)</f>
        <v>2</v>
      </c>
      <c r="E5137" t="str">
        <v>D</v>
      </c>
      <c r="F5137">
        <f>VLOOKUP(D5125,'Detail Balok'!$C$10:$AU$140,15,FALSE)</f>
        <v>10</v>
      </c>
      <c r="J5137">
        <f>+D5127/1000</f>
        <v>6.075</v>
      </c>
      <c r="K5137" t="str">
        <v>+</v>
      </c>
      <c r="L5137">
        <f>2*$F$16*F5137/1000</f>
        <v>0.24</v>
      </c>
      <c r="M5137" t="str">
        <v>=</v>
      </c>
      <c r="N5137">
        <f>J5137+L5137</f>
        <v>6.315</v>
      </c>
      <c r="O5137" t="str">
        <v>+</v>
      </c>
      <c r="P5137">
        <f>IF(N5137&gt;12,ROUNDDOWN(N5137/12,0),0)</f>
        <v>0</v>
      </c>
      <c r="Q5137" t="str">
        <v>x</v>
      </c>
      <c r="R5137">
        <f>IF(P5137&gt;0,MAX(VLOOKUP(F5137,$D$6:$G$15,3,FALSE),600),0)/1000</f>
        <v>0</v>
      </c>
      <c r="T5137" t="str">
        <v>x</v>
      </c>
      <c r="U5137">
        <f>0.006165*F5137^2</f>
        <v>0.6165</v>
      </c>
      <c r="V5137" t="str">
        <v>x</v>
      </c>
      <c r="W5137">
        <f>+D5137</f>
        <v>2</v>
      </c>
      <c r="X5137" t="str">
        <v>x</v>
      </c>
      <c r="Y5137">
        <f>D5131</f>
        <v>1</v>
      </c>
      <c r="Z5137" t="str">
        <v>=</v>
      </c>
      <c r="AA5137">
        <f>(N5137+P5137*R5137/1000)*U5137*W5137*Y5137</f>
        <v>7.7863950000000015</v>
      </c>
    </row>
    <row r="5140">
      <c r="A5140" t="str">
        <f>A5125</f>
        <v>Lantai 3</v>
      </c>
      <c r="B5140">
        <f>B5125</f>
        <v>29</v>
      </c>
      <c r="C5140" t="str">
        <v>Tul Bawah Tumpuan</v>
      </c>
      <c r="D5140">
        <f>VLOOKUP(D5125,'Detail Balok'!$C$10:$AU$140,22,FALSE)</f>
        <v>3</v>
      </c>
      <c r="E5140" t="str">
        <v>D</v>
      </c>
      <c r="F5140">
        <f>VLOOKUP(D5125,'Detail Balok'!$C$10:$AU$140,24,FALSE)</f>
        <v>16</v>
      </c>
      <c r="I5140" t="str">
        <v>(</v>
      </c>
      <c r="J5140">
        <f>+J5132</f>
        <v>1.51875</v>
      </c>
      <c r="K5140" t="str">
        <v>+</v>
      </c>
      <c r="L5140">
        <f>MAX(VLOOKUP(F5140,N$6:P$15,3,FALSE)/1000,2/3*D5130/1000)+F$16*F5140/1000</f>
        <v>0.192</v>
      </c>
      <c r="M5140" t="str">
        <v>=</v>
      </c>
      <c r="N5140">
        <f>J5140+L5140</f>
        <v>1.71075</v>
      </c>
      <c r="O5140" t="str">
        <v>+</v>
      </c>
      <c r="P5140">
        <f>D5140-D5141</f>
        <v>-1</v>
      </c>
      <c r="Q5140" t="str">
        <v>x</v>
      </c>
      <c r="R5140">
        <f>IF(P5140&gt;0,$F$18*F5140/1000,0)</f>
        <v>0</v>
      </c>
      <c r="S5140" t="str">
        <v>)</v>
      </c>
      <c r="T5140" t="str">
        <v>x</v>
      </c>
      <c r="U5140">
        <f>0.006165*F5140^2</f>
        <v>1.57824</v>
      </c>
      <c r="X5140" t="str">
        <v>x</v>
      </c>
      <c r="Y5140">
        <f>D5131</f>
        <v>1</v>
      </c>
      <c r="Z5140" t="str">
        <v>=</v>
      </c>
      <c r="AA5140">
        <f>IF(AA5143=0,(D5140*N5140+P5140*R5140)*U5140*Y5140,0)</f>
        <v>8.09992224</v>
      </c>
    </row>
    <row r="5141">
      <c r="A5141" t="str">
        <f>A5125</f>
        <v>Lantai 3</v>
      </c>
      <c r="B5141">
        <f>B5125</f>
        <v>29</v>
      </c>
      <c r="C5141" t="str">
        <v>Tul Bawah Lapangan</v>
      </c>
      <c r="D5141">
        <f>VLOOKUP(D5125,'Detail Balok'!$C$10:$AU$140,25,FALSE)</f>
        <v>4</v>
      </c>
      <c r="E5141" t="str">
        <v>D</v>
      </c>
      <c r="F5141">
        <f>VLOOKUP(D5125,'Detail Balok'!$C$10:$AU$140,27,FALSE)</f>
        <v>16</v>
      </c>
      <c r="I5141" t="str">
        <v>(</v>
      </c>
      <c r="J5141">
        <f>+J5133</f>
        <v>3.0375</v>
      </c>
      <c r="K5141" t="str">
        <v>+</v>
      </c>
      <c r="M5141" t="str">
        <v>=</v>
      </c>
      <c r="N5141">
        <f>J5141+L5141</f>
        <v>3.0375</v>
      </c>
      <c r="O5141" t="str">
        <v>+</v>
      </c>
      <c r="P5141">
        <f>MAX(D5141-D5140,D5141-D5142)</f>
        <v>1</v>
      </c>
      <c r="Q5141" t="str">
        <v>x</v>
      </c>
      <c r="R5141">
        <f>IF(P5141&gt;0,2*(1-2*$F$19-1/2)*D5128/1000,0)</f>
        <v>1.2149999999999999</v>
      </c>
      <c r="S5141" t="str">
        <v>)</v>
      </c>
      <c r="T5141" t="str">
        <v>x</v>
      </c>
      <c r="U5141">
        <f>0.006165*F5141^2</f>
        <v>1.57824</v>
      </c>
      <c r="X5141" t="str">
        <v>x</v>
      </c>
      <c r="Y5141">
        <f>D5131</f>
        <v>1</v>
      </c>
      <c r="Z5141" t="str">
        <v>=</v>
      </c>
      <c r="AA5141">
        <f>IF(AA5143=0,(D5141*N5141+P5141*R5141)*U5141*Y5141,0)</f>
        <v>21.0931776</v>
      </c>
    </row>
    <row r="5142">
      <c r="A5142" t="str">
        <f>A5125</f>
        <v>Lantai 3</v>
      </c>
      <c r="B5142">
        <f>B5125</f>
        <v>29</v>
      </c>
      <c r="C5142" t="str">
        <v>Tul Bawah Tumpuan</v>
      </c>
      <c r="D5142">
        <f>VLOOKUP(D5125,'Detail Balok'!$C$10:$AU$140,28,FALSE)</f>
        <v>3</v>
      </c>
      <c r="E5142" t="str">
        <v>D</v>
      </c>
      <c r="F5142">
        <f>VLOOKUP(D5125,'Detail Balok'!$C$10:$AU$140,30,FALSE)</f>
        <v>16</v>
      </c>
      <c r="I5142" t="str">
        <v>(</v>
      </c>
      <c r="J5142">
        <f>+J5134</f>
        <v>1.51875</v>
      </c>
      <c r="K5142" t="str">
        <v>+</v>
      </c>
      <c r="L5142">
        <f>MAX(VLOOKUP(F5142,N$6:P$15,3,FALSE)/1000,2/3*D5130/1000)+F$16*F5142/1000</f>
        <v>0.192</v>
      </c>
      <c r="M5142" t="str">
        <v>=</v>
      </c>
      <c r="N5142">
        <f>J5142+L5142</f>
        <v>1.71075</v>
      </c>
      <c r="O5142" t="str">
        <v>+</v>
      </c>
      <c r="P5142">
        <f>D5142-D5141</f>
        <v>-1</v>
      </c>
      <c r="Q5142" t="str">
        <v>x</v>
      </c>
      <c r="R5142">
        <f>IF(P5142&gt;0,$F$18*F5142/1000,0)</f>
        <v>0</v>
      </c>
      <c r="S5142" t="str">
        <v>)</v>
      </c>
      <c r="T5142" t="str">
        <v>x</v>
      </c>
      <c r="U5142">
        <f>0.006165*F5142^2</f>
        <v>1.57824</v>
      </c>
      <c r="X5142" t="str">
        <v>x</v>
      </c>
      <c r="Y5142">
        <f>D5131</f>
        <v>1</v>
      </c>
      <c r="Z5142" t="str">
        <v>=</v>
      </c>
      <c r="AA5142">
        <f>IF(AA5143=0,(D5142*N5142+P5142*R5142)*U5142*Y5142,0)</f>
        <v>8.09992224</v>
      </c>
    </row>
    <row r="5143">
      <c r="A5143" t="str">
        <f>A5125</f>
        <v>Lantai 3</v>
      </c>
      <c r="B5143">
        <f>B5125</f>
        <v>29</v>
      </c>
      <c r="D5143">
        <f>IF(AND(D5140=D5141,D5141=D5142,D5140=D5142),D5140,0)</f>
        <v>0</v>
      </c>
      <c r="E5143" t="str">
        <v>D</v>
      </c>
      <c r="F5143">
        <f>IF(AND(F5140=F5141,F5140=F5142,F5141=F5142),F5140,0)</f>
        <v>16</v>
      </c>
      <c r="L5143" t="str">
        <v>Total panjang per balok</v>
      </c>
      <c r="M5143" t="str">
        <v>=</v>
      </c>
      <c r="N5143">
        <f>IF(AND(D5140=D5141,D5140=D5142,D5141=D5142,F5140=F5141,F5140=F5142,F5141=F5142),SUM(N5140:N5142),0)</f>
        <v>0</v>
      </c>
      <c r="O5143" t="str">
        <v>+</v>
      </c>
      <c r="P5143">
        <f>IF(N5143&gt;12,ROUNDDOWN(N5143/12,0),0)</f>
        <v>0</v>
      </c>
      <c r="Q5143" t="str">
        <v>x</v>
      </c>
      <c r="R5143">
        <f>IF(P5143&gt;0,MAX(VLOOKUP(F5143,$D$6:$G$15,3,FALSE),600),0)/1000</f>
        <v>0</v>
      </c>
      <c r="T5143" t="str">
        <v>x</v>
      </c>
      <c r="U5143">
        <f>U5142</f>
        <v>1.57824</v>
      </c>
      <c r="V5143" t="str">
        <v>x</v>
      </c>
      <c r="W5143">
        <f>D5143</f>
        <v>0</v>
      </c>
      <c r="X5143" t="str">
        <v>x</v>
      </c>
      <c r="Y5143">
        <f>Y5142</f>
        <v>1</v>
      </c>
      <c r="Z5143" t="str">
        <v>=</v>
      </c>
      <c r="AA5143">
        <f>(N5143+P5143*R5143/1000)*U5143*W5143*Y5143</f>
        <v>0</v>
      </c>
    </row>
    <row r="5145">
      <c r="A5145" t="str">
        <f>A5125</f>
        <v>Lantai 3</v>
      </c>
      <c r="B5145">
        <f>B5125</f>
        <v>29</v>
      </c>
      <c r="C5145" t="str">
        <v>Sengkang Tumpuan</v>
      </c>
      <c r="D5145">
        <f>VLOOKUP(D5125,'Detail Balok'!$C$10:$AU$140,31,FALSE)</f>
        <v>0</v>
      </c>
      <c r="E5145" t="str">
        <v>D</v>
      </c>
      <c r="F5145">
        <f>VLOOKUP(D5125,'Detail Balok'!$C$10:$AU$140,33,FALSE)</f>
        <v>10</v>
      </c>
      <c r="G5145" t="str">
        <v>-</v>
      </c>
      <c r="H5145">
        <f>VLOOKUP(D5125,'Detail Balok'!$C$10:$AU$140,35,FALSE)</f>
        <v>100</v>
      </c>
      <c r="J5145">
        <f>(IF(D5145=0,(2*(D5126+G5126))-(F$5*8),IF(D5145=3,(2*(D5126+G5126))-(F$5*8)+(G5126-2*F$5),IF(D5145=4,(2*(D5126+G5126))-(F$5*8)+2*(G5126-2*F$5)))))/1000</f>
        <v>1.28</v>
      </c>
      <c r="K5145" t="str">
        <v>+</v>
      </c>
      <c r="L5145">
        <f>IF(D5145=0,2*MAX(6*F5145,75),(D5145-1)*2*MAX(6*F5145,75))/1000</f>
        <v>0.15</v>
      </c>
      <c r="M5145" t="str">
        <v>=</v>
      </c>
      <c r="N5145">
        <f>J5145+L5145</f>
        <v>1.43</v>
      </c>
      <c r="T5145" t="str">
        <v>x</v>
      </c>
      <c r="U5145">
        <f>0.006165*F5145^2</f>
        <v>0.6165</v>
      </c>
      <c r="V5145" t="str">
        <v>x</v>
      </c>
      <c r="W5145">
        <f>IF(D5128&gt;4*G5126,ROUND(MAX(D5128/4,2*G5126)/H5145,0)+1,ROUND(D5128/H5145,0)+1)</f>
        <v>16</v>
      </c>
      <c r="X5145" t="str">
        <v>x</v>
      </c>
      <c r="Y5145">
        <f>D5131</f>
        <v>1</v>
      </c>
      <c r="Z5145" t="str">
        <v>=</v>
      </c>
      <c r="AA5145">
        <f>N5145*U5145*W5145*Y5145</f>
        <v>14.10552</v>
      </c>
    </row>
    <row r="5146">
      <c r="A5146" t="str">
        <f>A5125</f>
        <v>Lantai 3</v>
      </c>
      <c r="B5146">
        <f>B5125</f>
        <v>29</v>
      </c>
      <c r="C5146" t="str">
        <v>Sengkang Lapangan</v>
      </c>
      <c r="D5146">
        <f>VLOOKUP(D5125,'Detail Balok'!$C$10:$AU$140,36,FALSE)</f>
        <v>0</v>
      </c>
      <c r="E5146" t="str">
        <v>D</v>
      </c>
      <c r="F5146">
        <f>VLOOKUP(D5125,'Detail Balok'!$C$10:$AU$140,38,FALSE)</f>
        <v>10</v>
      </c>
      <c r="G5146" t="str">
        <v>-</v>
      </c>
      <c r="H5146">
        <f>VLOOKUP(D5125,'Detail Balok'!$C$10:$AU$140,40,FALSE)</f>
        <v>150</v>
      </c>
      <c r="J5146">
        <f>(IF(D5146=0,(2*(D5126+G5126))-(F$5*8),IF(D5146=3,(2*(D5126+G5126))-(F$5*8)+(G5126-2*F$5),IF(D5146=4,(2*(D5126+G5126))-(F$5*8)+2*(G5126-2*F$5)))))/1000</f>
        <v>1.28</v>
      </c>
      <c r="K5146" t="str">
        <v>+</v>
      </c>
      <c r="L5146">
        <f>IF(D5146=0,2*MAX(6*F5146,75),(D5146-1)*2*MAX(6*F5146,75))/1000</f>
        <v>0.15</v>
      </c>
      <c r="M5146" t="str">
        <v>=</v>
      </c>
      <c r="N5146">
        <f>J5146+L5146</f>
        <v>1.43</v>
      </c>
      <c r="T5146" t="str">
        <v>x</v>
      </c>
      <c r="U5146">
        <f>0.006165*F5146^2</f>
        <v>0.6165</v>
      </c>
      <c r="V5146" t="str">
        <v>x</v>
      </c>
      <c r="W5146">
        <f>IF(D5128-MAX(D5128/4,2*G5126)*2&gt;0,ROUND((D5128-MAX(D5128/4,2*G5126)*2)/H5146,0),0)</f>
        <v>20</v>
      </c>
      <c r="X5146" t="str">
        <v>x</v>
      </c>
      <c r="Y5146">
        <f>D5131</f>
        <v>1</v>
      </c>
      <c r="Z5146" t="str">
        <v>=</v>
      </c>
      <c r="AA5146">
        <f>N5146*U5146*W5146*Y5146</f>
        <v>17.6319</v>
      </c>
    </row>
    <row r="5147">
      <c r="A5147" t="str">
        <f>A5125</f>
        <v>Lantai 3</v>
      </c>
      <c r="B5147">
        <f>B5125</f>
        <v>29</v>
      </c>
      <c r="C5147" t="str">
        <v>Sengkang Tumpuan</v>
      </c>
      <c r="D5147">
        <f>VLOOKUP(D5125,'Detail Balok'!$C$10:$AU$140,41,FALSE)</f>
        <v>0</v>
      </c>
      <c r="E5147" t="str">
        <v>D</v>
      </c>
      <c r="F5147">
        <f>VLOOKUP(D5125,'Detail Balok'!$C$10:$AU$140,43,FALSE)</f>
        <v>10</v>
      </c>
      <c r="G5147" t="str">
        <v>-</v>
      </c>
      <c r="H5147">
        <f>VLOOKUP(D5125,'Detail Balok'!$C$10:$AU$140,45,FALSE)</f>
        <v>100</v>
      </c>
      <c r="J5147">
        <f>(IF(D5147=0,(2*(D5126+G5126))-(F$5*8),IF(D5147=3,(2*(D5126+G5126))-(F$5*8)+(G5126-2*F$5),IF(D5147=4,(2*(D5126+G5126))-(F$5*8)+2*(G5126-2*F$5)))))/1000</f>
        <v>1.28</v>
      </c>
      <c r="K5147" t="str">
        <v>+</v>
      </c>
      <c r="L5147">
        <f>IF(D5147=0,2*MAX(6*F5147,75),(D5147-1)*2*MAX(6*F5147,75))/1000</f>
        <v>0.15</v>
      </c>
      <c r="M5147" t="str">
        <v>=</v>
      </c>
      <c r="N5147">
        <f>J5147+L5147</f>
        <v>1.43</v>
      </c>
      <c r="T5147" t="str">
        <v>x</v>
      </c>
      <c r="U5147">
        <f>0.006165*F5147^2</f>
        <v>0.6165</v>
      </c>
      <c r="V5147" t="str">
        <v>x</v>
      </c>
      <c r="W5147">
        <f>IF(D5128&gt;4*G5126,ROUND(MAX(D5128/4,2*G5126)/H5147,0)+1,0)</f>
        <v>16</v>
      </c>
      <c r="X5147" t="str">
        <v>x</v>
      </c>
      <c r="Y5147">
        <f>D5131</f>
        <v>1</v>
      </c>
      <c r="Z5147" t="str">
        <v>=</v>
      </c>
      <c r="AA5147">
        <f>N5147*U5147*W5147*Y5147</f>
        <v>14.10552</v>
      </c>
    </row>
    <row r="5149">
      <c r="A5149" t="str">
        <f>A5125</f>
        <v>Lantai 3</v>
      </c>
      <c r="B5149">
        <f>B5125</f>
        <v>29</v>
      </c>
      <c r="C5149" t="str">
        <v>Kait Horizontal Tump.</v>
      </c>
      <c r="D5149">
        <f>VLOOKUP(D5125,'Detail Balok'!$C$10:$BJ$140,46,FALSE)</f>
        <v>0</v>
      </c>
      <c r="E5149" t="str">
        <v>D</v>
      </c>
      <c r="F5149">
        <f>VLOOKUP(D5125,'Detail Balok'!$C$10:$BJ$140,48,FALSE)</f>
        <v>0</v>
      </c>
      <c r="G5149" t="str">
        <v>-</v>
      </c>
      <c r="H5149">
        <f>VLOOKUP(D5125,'Detail Balok'!$C$10:$BJ$140,50,FALSE)</f>
        <v>100</v>
      </c>
      <c r="J5149">
        <f>(D5126-2*F$5)/1000</f>
        <v>0.12</v>
      </c>
      <c r="K5149" t="str">
        <v>+</v>
      </c>
      <c r="L5149">
        <f>IF(D5149=0,2*MAX(6*F5149,75),(D5149-1)*2*MAX(6*F5149,75))/1000</f>
        <v>0.15</v>
      </c>
      <c r="M5149" t="str">
        <v>=</v>
      </c>
      <c r="N5149">
        <f>J5149+L5149</f>
        <v>0.27</v>
      </c>
      <c r="T5149" t="str">
        <v>x</v>
      </c>
      <c r="U5149">
        <f>0.006165*F5149^2</f>
        <v>0</v>
      </c>
      <c r="V5149" t="str">
        <v>x</v>
      </c>
      <c r="W5149">
        <f>W5145</f>
        <v>16</v>
      </c>
      <c r="X5149" t="str">
        <v>x</v>
      </c>
      <c r="Y5149">
        <f>D5135</f>
        <v>0</v>
      </c>
      <c r="Z5149" t="str">
        <v>=</v>
      </c>
      <c r="AA5149">
        <f>N5149*U5149*W5149*Y5149</f>
        <v>0</v>
      </c>
    </row>
    <row r="5150">
      <c r="A5150" t="str">
        <f>A5125</f>
        <v>Lantai 3</v>
      </c>
      <c r="B5150">
        <f>B5125</f>
        <v>29</v>
      </c>
      <c r="C5150" t="str">
        <v>Kait Horizontal Lap.</v>
      </c>
      <c r="D5150">
        <f>VLOOKUP(D5125,'Detail Balok'!$C$10:$BJ$140,51,FALSE)</f>
        <v>0</v>
      </c>
      <c r="E5150" t="str">
        <v>D</v>
      </c>
      <c r="F5150">
        <f>VLOOKUP(D5125,'Detail Balok'!$C$10:$BJ$140,53,FALSE)</f>
        <v>0</v>
      </c>
      <c r="G5150" t="str">
        <v>-</v>
      </c>
      <c r="H5150">
        <f>VLOOKUP(D5125,'Detail Balok'!$C$10:$BJ$140,55,FALSE)</f>
        <v>100</v>
      </c>
      <c r="J5150">
        <f>(D5126-2*F$5)/1000</f>
        <v>0.12</v>
      </c>
      <c r="K5150" t="str">
        <v>+</v>
      </c>
      <c r="L5150">
        <f>IF(D5150=0,2*MAX(6*F5150,75),(D5150-1)*2*MAX(6*F5150,75))/1000</f>
        <v>0.15</v>
      </c>
      <c r="M5150" t="str">
        <v>=</v>
      </c>
      <c r="N5150">
        <f>J5150+L5150</f>
        <v>0.27</v>
      </c>
      <c r="T5150" t="str">
        <v>x</v>
      </c>
      <c r="U5150">
        <f>0.006165*F5150^2</f>
        <v>0</v>
      </c>
      <c r="V5150" t="str">
        <v>x</v>
      </c>
      <c r="W5150">
        <f>W5146</f>
        <v>20</v>
      </c>
      <c r="X5150" t="str">
        <v>x</v>
      </c>
      <c r="Y5150">
        <f>D5135</f>
        <v>0</v>
      </c>
      <c r="Z5150" t="str">
        <v>=</v>
      </c>
      <c r="AA5150">
        <f>N5150*U5150*W5150*Y5150</f>
        <v>0</v>
      </c>
    </row>
    <row r="5151">
      <c r="A5151" t="str">
        <f>A5125</f>
        <v>Lantai 3</v>
      </c>
      <c r="B5151">
        <f>B5125</f>
        <v>29</v>
      </c>
      <c r="C5151" t="str">
        <v>Kait Horizontal Tump.</v>
      </c>
      <c r="D5151">
        <f>VLOOKUP(D5125,'Detail Balok'!$C$10:$BJ$140,56,FALSE)</f>
        <v>0</v>
      </c>
      <c r="E5151" t="str">
        <v>D</v>
      </c>
      <c r="F5151">
        <f>VLOOKUP(D5125,'Detail Balok'!$C$10:$BJ$140,58,FALSE)</f>
        <v>0</v>
      </c>
      <c r="G5151" t="str">
        <v>-</v>
      </c>
      <c r="H5151">
        <f>VLOOKUP(D5125,'Detail Balok'!$C$10:$BJ$140,60,FALSE)</f>
        <v>100</v>
      </c>
      <c r="J5151">
        <f>(D5126-2*F$5)/1000</f>
        <v>0.12</v>
      </c>
      <c r="K5151" t="str">
        <v>+</v>
      </c>
      <c r="L5151">
        <f>IF(D5151=0,2*MAX(6*F5151,75),(D5151-1)*2*MAX(6*F5151,75))/1000</f>
        <v>0.15</v>
      </c>
      <c r="M5151" t="str">
        <v>=</v>
      </c>
      <c r="N5151">
        <f>J5151+L5151</f>
        <v>0.27</v>
      </c>
      <c r="T5151" t="str">
        <v>x</v>
      </c>
      <c r="U5151">
        <f>0.006165*F5151^2</f>
        <v>0</v>
      </c>
      <c r="V5151" t="str">
        <v>x</v>
      </c>
      <c r="W5151">
        <f>W5147</f>
        <v>16</v>
      </c>
      <c r="X5151" t="str">
        <v>x</v>
      </c>
      <c r="Y5151">
        <f>D5135</f>
        <v>0</v>
      </c>
      <c r="Z5151" t="str">
        <v>=</v>
      </c>
      <c r="AA5151">
        <f>N5151*U5151*W5151*Y5151</f>
        <v>0</v>
      </c>
    </row>
    <row r="5155">
      <c r="A5155" t="str">
        <f>A5125</f>
        <v>Lantai 3</v>
      </c>
      <c r="B5155">
        <f>B5125+1</f>
        <v>30</v>
      </c>
      <c r="C5155" t="str">
        <f>CONCATENATE(A5155," no. ",B5155)</f>
        <v>Lantai 3 no. 30</v>
      </c>
      <c r="D5155" t="str">
        <f>VLOOKUP(C5155,'Data Panjang Balok'!$C$9:$N$254,2,FALSE)</f>
        <v>CL24-1</v>
      </c>
    </row>
    <row r="5156">
      <c r="C5156" t="str">
        <v>Dimensi</v>
      </c>
      <c r="D5156">
        <f>VLOOKUP(D5155,'Detail Balok'!$C$10:$AU$140,2,FALSE)</f>
        <v>200</v>
      </c>
      <c r="F5156" t="str">
        <v>x</v>
      </c>
      <c r="G5156">
        <f>VLOOKUP(D5155,'Detail Balok'!$C$10:$AU$140,3,FALSE)</f>
        <v>400</v>
      </c>
    </row>
    <row r="5157">
      <c r="C5157" t="str">
        <v>Panjang as ke as</v>
      </c>
      <c r="D5157">
        <f>VLOOKUP(C5155,'Data Panjang Balok'!$C$9:$N$254,4,FALSE)</f>
        <v>1075</v>
      </c>
    </row>
    <row r="5158">
      <c r="C5158" t="str">
        <v>Panjang netto</v>
      </c>
      <c r="D5158">
        <f>VLOOKUP(C5155,'Data Panjang Balok'!$C$9:$N$254,7,FALSE)</f>
        <v>1075</v>
      </c>
    </row>
    <row r="5159">
      <c r="C5159" t="str">
        <v>Kolom / balok kiri</v>
      </c>
      <c r="D5159">
        <f>VLOOKUP(C5155,'Data Panjang Balok'!$C$9:$N$254,9,FALSE)</f>
        <v>0</v>
      </c>
    </row>
    <row r="5160">
      <c r="C5160" t="str">
        <v>Kolom / balok kanan</v>
      </c>
      <c r="D5160">
        <f>VLOOKUP(C5155,'Data Panjang Balok'!$C$9:$N$254,10,FALSE)</f>
        <v>0</v>
      </c>
    </row>
    <row r="5161">
      <c r="C5161" t="str">
        <v>Jumlah</v>
      </c>
      <c r="D5161">
        <f>VLOOKUP(C5155,'Data Panjang Balok'!$C$9:$N$254,3,FALSE)</f>
        <v>1</v>
      </c>
    </row>
    <row r="5162">
      <c r="A5162" t="str">
        <f>A5155</f>
        <v>Lantai 3</v>
      </c>
      <c r="B5162">
        <f>B5155</f>
        <v>30</v>
      </c>
      <c r="C5162" t="str">
        <v>Tul Atas Tumpuan</v>
      </c>
      <c r="D5162">
        <f>VLOOKUP(D5155,'Detail Balok'!$C$10:$AU$140,4,FALSE)</f>
        <v>3</v>
      </c>
      <c r="E5162" t="str">
        <v>D</v>
      </c>
      <c r="F5162">
        <f>VLOOKUP(D5155,'Detail Balok'!$C$10:$AU$140,6,FALSE)</f>
        <v>16</v>
      </c>
      <c r="I5162" t="str">
        <v>(</v>
      </c>
      <c r="J5162">
        <f>+D5157/4/1000</f>
        <v>0.26875</v>
      </c>
      <c r="K5162" t="str">
        <v>+</v>
      </c>
      <c r="L5162">
        <f>MAX(VLOOKUP(F5162,N$6:P$15,3,FALSE)/1000,2/3*D5159/1000)+F$16*F5162/1000</f>
        <v>0.192</v>
      </c>
      <c r="M5162" t="str">
        <v>=</v>
      </c>
      <c r="N5162">
        <f>J5162+L5162</f>
        <v>0.46075</v>
      </c>
      <c r="O5162" t="str">
        <v>+</v>
      </c>
      <c r="P5162">
        <f>D5162-D5163</f>
        <v>0</v>
      </c>
      <c r="Q5162" t="str">
        <v>x</v>
      </c>
      <c r="R5162">
        <f>IF(P5162&gt;0,$F$18*F5162/1000,0)</f>
        <v>0</v>
      </c>
      <c r="S5162" t="str">
        <v>)</v>
      </c>
      <c r="T5162" t="str">
        <v>x</v>
      </c>
      <c r="U5162">
        <f>0.006165*F5162^2</f>
        <v>1.57824</v>
      </c>
      <c r="X5162" t="str">
        <v>x</v>
      </c>
      <c r="Y5162">
        <f>D5161</f>
        <v>1</v>
      </c>
      <c r="Z5162" t="str">
        <v>=</v>
      </c>
      <c r="AA5162">
        <f>IF(AA5165=0,(D5162*N5162+P5162*R5162)*U5162*Y5162,0)</f>
        <v>0</v>
      </c>
    </row>
    <row r="5163">
      <c r="A5163" t="str">
        <f>A5155</f>
        <v>Lantai 3</v>
      </c>
      <c r="B5163">
        <f>B5155</f>
        <v>30</v>
      </c>
      <c r="C5163" t="str">
        <v>Tul Atas Lapangan</v>
      </c>
      <c r="D5163">
        <f>VLOOKUP(D5155,'Detail Balok'!$C$10:$AU$140,7,FALSE)</f>
        <v>3</v>
      </c>
      <c r="E5163" t="str">
        <v>D</v>
      </c>
      <c r="F5163">
        <f>VLOOKUP(D5155,'Detail Balok'!$C$10:$AU$140,9,FALSE)</f>
        <v>16</v>
      </c>
      <c r="I5163" t="str">
        <v>(</v>
      </c>
      <c r="J5163">
        <f>+D5157/2/1000</f>
        <v>0.5375</v>
      </c>
      <c r="K5163" t="str">
        <v>+</v>
      </c>
      <c r="M5163" t="str">
        <v>=</v>
      </c>
      <c r="N5163">
        <f>J5163+L5163</f>
        <v>0.5375</v>
      </c>
      <c r="O5163" t="str">
        <v>+</v>
      </c>
      <c r="P5163">
        <f>MAX(D5163-D5162,D5163-D5164)</f>
        <v>0</v>
      </c>
      <c r="Q5163" t="str">
        <v>x</v>
      </c>
      <c r="R5163">
        <f>IF(P5163&gt;0,2*(1-2*$F$19-1/2)*D5158/1000,0)</f>
        <v>0</v>
      </c>
      <c r="S5163" t="str">
        <v>)</v>
      </c>
      <c r="T5163" t="str">
        <v>x</v>
      </c>
      <c r="U5163">
        <f>0.006165*F5163^2</f>
        <v>1.57824</v>
      </c>
      <c r="X5163" t="str">
        <v>x</v>
      </c>
      <c r="Y5163">
        <f>D5161</f>
        <v>1</v>
      </c>
      <c r="Z5163" t="str">
        <v>=</v>
      </c>
      <c r="AA5163">
        <f>IF(AA5165=0,(D5163*N5163+P5163*R5163)*U5163*Y5163,0)</f>
        <v>0</v>
      </c>
    </row>
    <row r="5164">
      <c r="A5164" t="str">
        <f>A5155</f>
        <v>Lantai 3</v>
      </c>
      <c r="B5164">
        <f>B5155</f>
        <v>30</v>
      </c>
      <c r="C5164" t="str">
        <v>Tul Atas Tumpuan</v>
      </c>
      <c r="D5164">
        <f>VLOOKUP(D5155,'Detail Balok'!$C$10:$AU$140,10,FALSE)</f>
        <v>3</v>
      </c>
      <c r="E5164" t="str">
        <v>D</v>
      </c>
      <c r="F5164">
        <f>VLOOKUP(D5155,'Detail Balok'!$C$10:$AU$140,12,FALSE)</f>
        <v>16</v>
      </c>
      <c r="I5164" t="str">
        <v>(</v>
      </c>
      <c r="J5164">
        <f>+D5157/4/1000</f>
        <v>0.26875</v>
      </c>
      <c r="K5164" t="str">
        <v>+</v>
      </c>
      <c r="L5164">
        <f>MAX(VLOOKUP(F5164,N$6:P$15,3,FALSE)/1000,2/3*D5159/1000)+F$16*F5164/1000</f>
        <v>0.192</v>
      </c>
      <c r="M5164" t="str">
        <v>=</v>
      </c>
      <c r="N5164">
        <f>J5164+L5164</f>
        <v>0.46075</v>
      </c>
      <c r="O5164" t="str">
        <v>+</v>
      </c>
      <c r="P5164">
        <f>D5164-D5163</f>
        <v>0</v>
      </c>
      <c r="Q5164" t="str">
        <v>x</v>
      </c>
      <c r="R5164">
        <f>IF(P5164&gt;0,$F$18*F5164/1000,0)</f>
        <v>0</v>
      </c>
      <c r="S5164" t="str">
        <v>)</v>
      </c>
      <c r="T5164" t="str">
        <v>x</v>
      </c>
      <c r="U5164">
        <f>0.006165*F5164^2</f>
        <v>1.57824</v>
      </c>
      <c r="X5164" t="str">
        <v>x</v>
      </c>
      <c r="Y5164">
        <f>D5161</f>
        <v>1</v>
      </c>
      <c r="Z5164" t="str">
        <v>=</v>
      </c>
      <c r="AA5164">
        <f>IF(AA5165=0,(D5164*N5164+P5164*R5164)*U5164*Y5164,0)</f>
        <v>0</v>
      </c>
    </row>
    <row r="5165">
      <c r="A5165" t="str">
        <f>A5155</f>
        <v>Lantai 3</v>
      </c>
      <c r="B5165">
        <f>B5155</f>
        <v>30</v>
      </c>
      <c r="D5165">
        <f>IF(AND(D5162=D5163,D5163=D5164,D5162=D5164),D5162,0)</f>
        <v>3</v>
      </c>
      <c r="E5165" t="str">
        <v>D</v>
      </c>
      <c r="F5165">
        <f>IF(AND(F5162=F5163,F5162=F5164,F5163=F5164),F5162,0)</f>
        <v>16</v>
      </c>
      <c r="L5165" t="str">
        <v>Total panjang per balok</v>
      </c>
      <c r="M5165" t="str">
        <v>=</v>
      </c>
      <c r="N5165">
        <f>IF(AND(D5162=D5163,D5162=D5164,D5163=D5164,F5162=F5163,F5162=F5164,F5163=F5164),SUM(N5162:N5164),0)</f>
        <v>1.459</v>
      </c>
      <c r="O5165" t="str">
        <v>+</v>
      </c>
      <c r="P5165">
        <f>IF(N5165&gt;12,ROUNDDOWN(N5165/12,0),0)</f>
        <v>0</v>
      </c>
      <c r="Q5165" t="str">
        <v>x</v>
      </c>
      <c r="R5165">
        <f>IF(P5165&gt;0,MAX(VLOOKUP(F5165,$D$6:$G$15,3,FALSE),600),0)/1000</f>
        <v>0</v>
      </c>
      <c r="T5165" t="str">
        <v>x</v>
      </c>
      <c r="U5165">
        <f>U5164</f>
        <v>1.57824</v>
      </c>
      <c r="V5165" t="str">
        <v>x</v>
      </c>
      <c r="W5165">
        <f>D5165</f>
        <v>3</v>
      </c>
      <c r="X5165" t="str">
        <v>x</v>
      </c>
      <c r="Y5165">
        <f>Y5164</f>
        <v>1</v>
      </c>
      <c r="Z5165" t="str">
        <v>=</v>
      </c>
      <c r="AA5165">
        <f>(N5165+P5165*R5165/1000)*U5165*W5165*Y5165</f>
        <v>6.90795648</v>
      </c>
    </row>
    <row r="5167">
      <c r="A5167" t="str">
        <f>A5155</f>
        <v>Lantai 3</v>
      </c>
      <c r="B5167">
        <f>B5155</f>
        <v>30</v>
      </c>
      <c r="C5167" t="str">
        <v>Tul Peminggang</v>
      </c>
      <c r="D5167">
        <f>VLOOKUP(D5155,'Detail Balok'!$C$10:$AU$140,13,FALSE)</f>
        <v>0</v>
      </c>
      <c r="E5167" t="str">
        <v>D</v>
      </c>
      <c r="F5167">
        <f>VLOOKUP(D5155,'Detail Balok'!$C$10:$AU$140,15,FALSE)</f>
        <v>8</v>
      </c>
      <c r="J5167">
        <f>+D5157/1000</f>
        <v>1.075</v>
      </c>
      <c r="K5167" t="str">
        <v>+</v>
      </c>
      <c r="L5167">
        <f>2*$F$16*F5167/1000</f>
        <v>0.192</v>
      </c>
      <c r="M5167" t="str">
        <v>=</v>
      </c>
      <c r="N5167">
        <f>J5167+L5167</f>
        <v>1.267</v>
      </c>
      <c r="O5167" t="str">
        <v>+</v>
      </c>
      <c r="P5167">
        <f>IF(N5167&gt;12,ROUNDDOWN(N5167/12,0),0)</f>
        <v>0</v>
      </c>
      <c r="Q5167" t="str">
        <v>x</v>
      </c>
      <c r="R5167">
        <f>IF(P5167&gt;0,MAX(VLOOKUP(F5167,$D$6:$G$15,3,FALSE),600),0)/1000</f>
        <v>0</v>
      </c>
      <c r="T5167" t="str">
        <v>x</v>
      </c>
      <c r="U5167">
        <f>0.006165*F5167^2</f>
        <v>0.39456</v>
      </c>
      <c r="V5167" t="str">
        <v>x</v>
      </c>
      <c r="W5167">
        <f>+D5167</f>
        <v>0</v>
      </c>
      <c r="X5167" t="str">
        <v>x</v>
      </c>
      <c r="Y5167">
        <f>D5161</f>
        <v>1</v>
      </c>
      <c r="Z5167" t="str">
        <v>=</v>
      </c>
      <c r="AA5167">
        <f>(N5167+P5167*R5167/1000)*U5167*W5167*Y5167</f>
        <v>0</v>
      </c>
    </row>
    <row r="5170">
      <c r="A5170" t="str">
        <f>A5155</f>
        <v>Lantai 3</v>
      </c>
      <c r="B5170">
        <f>B5155</f>
        <v>30</v>
      </c>
      <c r="C5170" t="str">
        <v>Tul Bawah Tumpuan</v>
      </c>
      <c r="D5170">
        <f>VLOOKUP(D5155,'Detail Balok'!$C$10:$AU$140,22,FALSE)</f>
        <v>3</v>
      </c>
      <c r="E5170" t="str">
        <v>D</v>
      </c>
      <c r="F5170">
        <f>VLOOKUP(D5155,'Detail Balok'!$C$10:$AU$140,24,FALSE)</f>
        <v>16</v>
      </c>
      <c r="I5170" t="str">
        <v>(</v>
      </c>
      <c r="J5170">
        <f>+J5162</f>
        <v>0.26875</v>
      </c>
      <c r="K5170" t="str">
        <v>+</v>
      </c>
      <c r="L5170">
        <f>MAX(VLOOKUP(F5170,N$6:P$15,3,FALSE)/1000,2/3*D5160/1000)+F$16*F5170/1000</f>
        <v>0.192</v>
      </c>
      <c r="M5170" t="str">
        <v>=</v>
      </c>
      <c r="N5170">
        <f>J5170+L5170</f>
        <v>0.46075</v>
      </c>
      <c r="O5170" t="str">
        <v>+</v>
      </c>
      <c r="P5170">
        <f>D5170-D5171</f>
        <v>0</v>
      </c>
      <c r="Q5170" t="str">
        <v>x</v>
      </c>
      <c r="R5170">
        <f>IF(P5170&gt;0,$F$18*F5170/1000,0)</f>
        <v>0</v>
      </c>
      <c r="S5170" t="str">
        <v>)</v>
      </c>
      <c r="T5170" t="str">
        <v>x</v>
      </c>
      <c r="U5170">
        <f>0.006165*F5170^2</f>
        <v>1.57824</v>
      </c>
      <c r="X5170" t="str">
        <v>x</v>
      </c>
      <c r="Y5170">
        <f>D5161</f>
        <v>1</v>
      </c>
      <c r="Z5170" t="str">
        <v>=</v>
      </c>
      <c r="AA5170">
        <f>IF(AA5173=0,(D5170*N5170+P5170*R5170)*U5170*Y5170,0)</f>
        <v>0</v>
      </c>
    </row>
    <row r="5171">
      <c r="A5171" t="str">
        <f>A5155</f>
        <v>Lantai 3</v>
      </c>
      <c r="B5171">
        <f>B5155</f>
        <v>30</v>
      </c>
      <c r="C5171" t="str">
        <v>Tul Bawah Lapangan</v>
      </c>
      <c r="D5171">
        <f>VLOOKUP(D5155,'Detail Balok'!$C$10:$AU$140,25,FALSE)</f>
        <v>3</v>
      </c>
      <c r="E5171" t="str">
        <v>D</v>
      </c>
      <c r="F5171">
        <f>VLOOKUP(D5155,'Detail Balok'!$C$10:$AU$140,27,FALSE)</f>
        <v>16</v>
      </c>
      <c r="I5171" t="str">
        <v>(</v>
      </c>
      <c r="J5171">
        <f>+J5163</f>
        <v>0.5375</v>
      </c>
      <c r="K5171" t="str">
        <v>+</v>
      </c>
      <c r="M5171" t="str">
        <v>=</v>
      </c>
      <c r="N5171">
        <f>J5171+L5171</f>
        <v>0.5375</v>
      </c>
      <c r="O5171" t="str">
        <v>+</v>
      </c>
      <c r="P5171">
        <f>MAX(D5171-D5170,D5171-D5172)</f>
        <v>0</v>
      </c>
      <c r="Q5171" t="str">
        <v>x</v>
      </c>
      <c r="R5171">
        <f>IF(P5171&gt;0,2*(1-2*$F$19-1/2)*D5158/1000,0)</f>
        <v>0</v>
      </c>
      <c r="S5171" t="str">
        <v>)</v>
      </c>
      <c r="T5171" t="str">
        <v>x</v>
      </c>
      <c r="U5171">
        <f>0.006165*F5171^2</f>
        <v>1.57824</v>
      </c>
      <c r="X5171" t="str">
        <v>x</v>
      </c>
      <c r="Y5171">
        <f>D5161</f>
        <v>1</v>
      </c>
      <c r="Z5171" t="str">
        <v>=</v>
      </c>
      <c r="AA5171">
        <f>IF(AA5173=0,(D5171*N5171+P5171*R5171)*U5171*Y5171,0)</f>
        <v>0</v>
      </c>
    </row>
    <row r="5172">
      <c r="A5172" t="str">
        <f>A5155</f>
        <v>Lantai 3</v>
      </c>
      <c r="B5172">
        <f>B5155</f>
        <v>30</v>
      </c>
      <c r="C5172" t="str">
        <v>Tul Bawah Tumpuan</v>
      </c>
      <c r="D5172">
        <f>VLOOKUP(D5155,'Detail Balok'!$C$10:$AU$140,28,FALSE)</f>
        <v>3</v>
      </c>
      <c r="E5172" t="str">
        <v>D</v>
      </c>
      <c r="F5172">
        <f>VLOOKUP(D5155,'Detail Balok'!$C$10:$AU$140,30,FALSE)</f>
        <v>16</v>
      </c>
      <c r="I5172" t="str">
        <v>(</v>
      </c>
      <c r="J5172">
        <f>+J5164</f>
        <v>0.26875</v>
      </c>
      <c r="K5172" t="str">
        <v>+</v>
      </c>
      <c r="L5172">
        <f>MAX(VLOOKUP(F5172,N$6:P$15,3,FALSE)/1000,2/3*D5160/1000)+F$16*F5172/1000</f>
        <v>0.192</v>
      </c>
      <c r="M5172" t="str">
        <v>=</v>
      </c>
      <c r="N5172">
        <f>J5172+L5172</f>
        <v>0.46075</v>
      </c>
      <c r="O5172" t="str">
        <v>+</v>
      </c>
      <c r="P5172">
        <f>D5172-D5171</f>
        <v>0</v>
      </c>
      <c r="Q5172" t="str">
        <v>x</v>
      </c>
      <c r="R5172">
        <f>IF(P5172&gt;0,$F$18*F5172/1000,0)</f>
        <v>0</v>
      </c>
      <c r="S5172" t="str">
        <v>)</v>
      </c>
      <c r="T5172" t="str">
        <v>x</v>
      </c>
      <c r="U5172">
        <f>0.006165*F5172^2</f>
        <v>1.57824</v>
      </c>
      <c r="X5172" t="str">
        <v>x</v>
      </c>
      <c r="Y5172">
        <f>D5161</f>
        <v>1</v>
      </c>
      <c r="Z5172" t="str">
        <v>=</v>
      </c>
      <c r="AA5172">
        <f>IF(AA5173=0,(D5172*N5172+P5172*R5172)*U5172*Y5172,0)</f>
        <v>0</v>
      </c>
    </row>
    <row r="5173">
      <c r="A5173" t="str">
        <f>A5155</f>
        <v>Lantai 3</v>
      </c>
      <c r="B5173">
        <f>B5155</f>
        <v>30</v>
      </c>
      <c r="D5173">
        <f>IF(AND(D5170=D5171,D5171=D5172,D5170=D5172),D5170,0)</f>
        <v>3</v>
      </c>
      <c r="E5173" t="str">
        <v>D</v>
      </c>
      <c r="F5173">
        <f>IF(AND(F5170=F5171,F5170=F5172,F5171=F5172),F5170,0)</f>
        <v>16</v>
      </c>
      <c r="L5173" t="str">
        <v>Total panjang per balok</v>
      </c>
      <c r="M5173" t="str">
        <v>=</v>
      </c>
      <c r="N5173">
        <f>IF(AND(D5170=D5171,D5170=D5172,D5171=D5172,F5170=F5171,F5170=F5172,F5171=F5172),SUM(N5170:N5172),0)</f>
        <v>1.459</v>
      </c>
      <c r="O5173" t="str">
        <v>+</v>
      </c>
      <c r="P5173">
        <f>IF(N5173&gt;12,ROUNDDOWN(N5173/12,0),0)</f>
        <v>0</v>
      </c>
      <c r="Q5173" t="str">
        <v>x</v>
      </c>
      <c r="R5173">
        <f>IF(P5173&gt;0,MAX(VLOOKUP(F5173,$D$6:$G$15,3,FALSE),600),0)/1000</f>
        <v>0</v>
      </c>
      <c r="T5173" t="str">
        <v>x</v>
      </c>
      <c r="U5173">
        <f>U5172</f>
        <v>1.57824</v>
      </c>
      <c r="V5173" t="str">
        <v>x</v>
      </c>
      <c r="W5173">
        <f>D5173</f>
        <v>3</v>
      </c>
      <c r="X5173" t="str">
        <v>x</v>
      </c>
      <c r="Y5173">
        <f>Y5172</f>
        <v>1</v>
      </c>
      <c r="Z5173" t="str">
        <v>=</v>
      </c>
      <c r="AA5173">
        <f>(N5173+P5173*R5173/1000)*U5173*W5173*Y5173</f>
        <v>6.90795648</v>
      </c>
    </row>
    <row r="5175">
      <c r="A5175" t="str">
        <f>A5155</f>
        <v>Lantai 3</v>
      </c>
      <c r="B5175">
        <f>B5155</f>
        <v>30</v>
      </c>
      <c r="C5175" t="str">
        <v>Sengkang Tumpuan</v>
      </c>
      <c r="D5175">
        <f>VLOOKUP(D5155,'Detail Balok'!$C$10:$AU$140,31,FALSE)</f>
        <v>0</v>
      </c>
      <c r="E5175" t="str">
        <v>D</v>
      </c>
      <c r="F5175">
        <f>VLOOKUP(D5155,'Detail Balok'!$C$10:$AU$140,33,FALSE)</f>
        <v>10</v>
      </c>
      <c r="G5175" t="str">
        <v>-</v>
      </c>
      <c r="H5175">
        <f>VLOOKUP(D5155,'Detail Balok'!$C$10:$AU$140,35,FALSE)</f>
        <v>100</v>
      </c>
      <c r="J5175">
        <f>(IF(D5175=0,(2*(D5156+G5156))-(F$5*8),IF(D5175=3,(2*(D5156+G5156))-(F$5*8)+(G5156-2*F$5),IF(D5175=4,(2*(D5156+G5156))-(F$5*8)+2*(G5156-2*F$5)))))/1000</f>
        <v>0.88</v>
      </c>
      <c r="K5175" t="str">
        <v>+</v>
      </c>
      <c r="L5175">
        <f>IF(D5175=0,2*MAX(6*F5175,75),(D5175-1)*2*MAX(6*F5175,75))/1000</f>
        <v>0.15</v>
      </c>
      <c r="M5175" t="str">
        <v>=</v>
      </c>
      <c r="N5175">
        <f>J5175+L5175</f>
        <v>1.03</v>
      </c>
      <c r="T5175" t="str">
        <v>x</v>
      </c>
      <c r="U5175">
        <f>0.006165*F5175^2</f>
        <v>0.6165</v>
      </c>
      <c r="V5175" t="str">
        <v>x</v>
      </c>
      <c r="W5175">
        <f>IF(D5158&gt;4*G5156,ROUND(MAX(D5158/4,2*G5156)/H5175,0)+1,ROUND(D5158/H5175,0)+1)</f>
        <v>12</v>
      </c>
      <c r="X5175" t="str">
        <v>x</v>
      </c>
      <c r="Y5175">
        <f>D5161</f>
        <v>1</v>
      </c>
      <c r="Z5175" t="str">
        <v>=</v>
      </c>
      <c r="AA5175">
        <f>N5175*U5175*W5175*Y5175</f>
        <v>7.6199400000000015</v>
      </c>
    </row>
    <row r="5176">
      <c r="A5176" t="str">
        <f>A5155</f>
        <v>Lantai 3</v>
      </c>
      <c r="B5176">
        <f>B5155</f>
        <v>30</v>
      </c>
      <c r="C5176" t="str">
        <v>Sengkang Lapangan</v>
      </c>
      <c r="D5176">
        <f>VLOOKUP(D5155,'Detail Balok'!$C$10:$AU$140,36,FALSE)</f>
        <v>0</v>
      </c>
      <c r="E5176" t="str">
        <v>D</v>
      </c>
      <c r="F5176">
        <f>VLOOKUP(D5155,'Detail Balok'!$C$10:$AU$140,38,FALSE)</f>
        <v>10</v>
      </c>
      <c r="G5176" t="str">
        <v>-</v>
      </c>
      <c r="H5176">
        <f>VLOOKUP(D5155,'Detail Balok'!$C$10:$AU$140,40,FALSE)</f>
        <v>100</v>
      </c>
      <c r="J5176">
        <f>(IF(D5176=0,(2*(D5156+G5156))-(F$5*8),IF(D5176=3,(2*(D5156+G5156))-(F$5*8)+(G5156-2*F$5),IF(D5176=4,(2*(D5156+G5156))-(F$5*8)+2*(G5156-2*F$5)))))/1000</f>
        <v>0.88</v>
      </c>
      <c r="K5176" t="str">
        <v>+</v>
      </c>
      <c r="L5176">
        <f>IF(D5176=0,2*MAX(6*F5176,75),(D5176-1)*2*MAX(6*F5176,75))/1000</f>
        <v>0.15</v>
      </c>
      <c r="M5176" t="str">
        <v>=</v>
      </c>
      <c r="N5176">
        <f>J5176+L5176</f>
        <v>1.03</v>
      </c>
      <c r="T5176" t="str">
        <v>x</v>
      </c>
      <c r="U5176">
        <f>0.006165*F5176^2</f>
        <v>0.6165</v>
      </c>
      <c r="V5176" t="str">
        <v>x</v>
      </c>
      <c r="W5176">
        <f>IF(D5158-MAX(D5158/4,2*G5156)*2&gt;0,ROUND((D5158-MAX(D5158/4,2*G5156)*2)/H5176,0),0)</f>
        <v>0</v>
      </c>
      <c r="X5176" t="str">
        <v>x</v>
      </c>
      <c r="Y5176">
        <f>D5161</f>
        <v>1</v>
      </c>
      <c r="Z5176" t="str">
        <v>=</v>
      </c>
      <c r="AA5176">
        <f>N5176*U5176*W5176*Y5176</f>
        <v>0</v>
      </c>
    </row>
    <row r="5177">
      <c r="A5177" t="str">
        <f>A5155</f>
        <v>Lantai 3</v>
      </c>
      <c r="B5177">
        <f>B5155</f>
        <v>30</v>
      </c>
      <c r="C5177" t="str">
        <v>Sengkang Tumpuan</v>
      </c>
      <c r="D5177">
        <f>VLOOKUP(D5155,'Detail Balok'!$C$10:$AU$140,41,FALSE)</f>
        <v>0</v>
      </c>
      <c r="E5177" t="str">
        <v>D</v>
      </c>
      <c r="F5177">
        <f>VLOOKUP(D5155,'Detail Balok'!$C$10:$AU$140,43,FALSE)</f>
        <v>10</v>
      </c>
      <c r="G5177" t="str">
        <v>-</v>
      </c>
      <c r="H5177">
        <f>VLOOKUP(D5155,'Detail Balok'!$C$10:$AU$140,45,FALSE)</f>
        <v>100</v>
      </c>
      <c r="J5177">
        <f>(IF(D5177=0,(2*(D5156+G5156))-(F$5*8),IF(D5177=3,(2*(D5156+G5156))-(F$5*8)+(G5156-2*F$5),IF(D5177=4,(2*(D5156+G5156))-(F$5*8)+2*(G5156-2*F$5)))))/1000</f>
        <v>0.88</v>
      </c>
      <c r="K5177" t="str">
        <v>+</v>
      </c>
      <c r="L5177">
        <f>IF(D5177=0,2*MAX(6*F5177,75),(D5177-1)*2*MAX(6*F5177,75))/1000</f>
        <v>0.15</v>
      </c>
      <c r="M5177" t="str">
        <v>=</v>
      </c>
      <c r="N5177">
        <f>J5177+L5177</f>
        <v>1.03</v>
      </c>
      <c r="T5177" t="str">
        <v>x</v>
      </c>
      <c r="U5177">
        <f>0.006165*F5177^2</f>
        <v>0.6165</v>
      </c>
      <c r="V5177" t="str">
        <v>x</v>
      </c>
      <c r="W5177">
        <f>IF(D5158&gt;4*G5156,ROUND(MAX(D5158/4,2*G5156)/H5177,0)+1,0)</f>
        <v>0</v>
      </c>
      <c r="X5177" t="str">
        <v>x</v>
      </c>
      <c r="Y5177">
        <f>D5161</f>
        <v>1</v>
      </c>
      <c r="Z5177" t="str">
        <v>=</v>
      </c>
      <c r="AA5177">
        <f>N5177*U5177*W5177*Y5177</f>
        <v>0</v>
      </c>
    </row>
    <row r="5179">
      <c r="A5179" t="str">
        <f>A5155</f>
        <v>Lantai 3</v>
      </c>
      <c r="B5179">
        <f>B5155</f>
        <v>30</v>
      </c>
      <c r="C5179" t="str">
        <v>Kait Horizontal Tump.</v>
      </c>
      <c r="D5179">
        <f>VLOOKUP(D5155,'Detail Balok'!$C$10:$BJ$140,46,FALSE)</f>
        <v>0</v>
      </c>
      <c r="E5179" t="str">
        <v>D</v>
      </c>
      <c r="F5179">
        <f>VLOOKUP(D5155,'Detail Balok'!$C$10:$BJ$140,48,FALSE)</f>
        <v>0</v>
      </c>
      <c r="G5179" t="str">
        <v>-</v>
      </c>
      <c r="H5179">
        <f>VLOOKUP(D5155,'Detail Balok'!$C$10:$BJ$140,50,FALSE)</f>
        <v>100</v>
      </c>
      <c r="J5179">
        <f>(D5156-2*F$5)/1000</f>
        <v>0.12</v>
      </c>
      <c r="K5179" t="str">
        <v>+</v>
      </c>
      <c r="L5179">
        <f>IF(D5179=0,2*MAX(6*F5179,75),(D5179-1)*2*MAX(6*F5179,75))/1000</f>
        <v>0.15</v>
      </c>
      <c r="M5179" t="str">
        <v>=</v>
      </c>
      <c r="N5179">
        <f>J5179+L5179</f>
        <v>0.27</v>
      </c>
      <c r="T5179" t="str">
        <v>x</v>
      </c>
      <c r="U5179">
        <f>0.006165*F5179^2</f>
        <v>0</v>
      </c>
      <c r="V5179" t="str">
        <v>x</v>
      </c>
      <c r="W5179">
        <f>W5175</f>
        <v>12</v>
      </c>
      <c r="X5179" t="str">
        <v>x</v>
      </c>
      <c r="Y5179">
        <f>D5165</f>
        <v>3</v>
      </c>
      <c r="Z5179" t="str">
        <v>=</v>
      </c>
      <c r="AA5179">
        <f>N5179*U5179*W5179*Y5179</f>
        <v>0</v>
      </c>
    </row>
    <row r="5180">
      <c r="A5180" t="str">
        <f>A5155</f>
        <v>Lantai 3</v>
      </c>
      <c r="B5180">
        <f>B5155</f>
        <v>30</v>
      </c>
      <c r="C5180" t="str">
        <v>Kait Horizontal Lap.</v>
      </c>
      <c r="D5180">
        <f>VLOOKUP(D5155,'Detail Balok'!$C$10:$BJ$140,51,FALSE)</f>
        <v>0</v>
      </c>
      <c r="E5180" t="str">
        <v>D</v>
      </c>
      <c r="F5180">
        <f>VLOOKUP(D5155,'Detail Balok'!$C$10:$BJ$140,53,FALSE)</f>
        <v>0</v>
      </c>
      <c r="G5180" t="str">
        <v>-</v>
      </c>
      <c r="H5180">
        <f>VLOOKUP(D5155,'Detail Balok'!$C$10:$BJ$140,55,FALSE)</f>
        <v>100</v>
      </c>
      <c r="J5180">
        <f>(D5156-2*F$5)/1000</f>
        <v>0.12</v>
      </c>
      <c r="K5180" t="str">
        <v>+</v>
      </c>
      <c r="L5180">
        <f>IF(D5180=0,2*MAX(6*F5180,75),(D5180-1)*2*MAX(6*F5180,75))/1000</f>
        <v>0.15</v>
      </c>
      <c r="M5180" t="str">
        <v>=</v>
      </c>
      <c r="N5180">
        <f>J5180+L5180</f>
        <v>0.27</v>
      </c>
      <c r="T5180" t="str">
        <v>x</v>
      </c>
      <c r="U5180">
        <f>0.006165*F5180^2</f>
        <v>0</v>
      </c>
      <c r="V5180" t="str">
        <v>x</v>
      </c>
      <c r="W5180">
        <f>W5176</f>
        <v>0</v>
      </c>
      <c r="X5180" t="str">
        <v>x</v>
      </c>
      <c r="Y5180">
        <f>D5165</f>
        <v>3</v>
      </c>
      <c r="Z5180" t="str">
        <v>=</v>
      </c>
      <c r="AA5180">
        <f>N5180*U5180*W5180*Y5180</f>
        <v>0</v>
      </c>
    </row>
    <row r="5181">
      <c r="A5181" t="str">
        <f>A5155</f>
        <v>Lantai 3</v>
      </c>
      <c r="B5181">
        <f>B5155</f>
        <v>30</v>
      </c>
      <c r="C5181" t="str">
        <v>Kait Horizontal Tump.</v>
      </c>
      <c r="D5181">
        <f>VLOOKUP(D5155,'Detail Balok'!$C$10:$BJ$140,56,FALSE)</f>
        <v>0</v>
      </c>
      <c r="E5181" t="str">
        <v>D</v>
      </c>
      <c r="F5181">
        <f>VLOOKUP(D5155,'Detail Balok'!$C$10:$BJ$140,58,FALSE)</f>
        <v>0</v>
      </c>
      <c r="G5181" t="str">
        <v>-</v>
      </c>
      <c r="H5181">
        <f>VLOOKUP(D5155,'Detail Balok'!$C$10:$BJ$140,60,FALSE)</f>
        <v>100</v>
      </c>
      <c r="J5181">
        <f>(D5156-2*F$5)/1000</f>
        <v>0.12</v>
      </c>
      <c r="K5181" t="str">
        <v>+</v>
      </c>
      <c r="L5181">
        <f>IF(D5181=0,2*MAX(6*F5181,75),(D5181-1)*2*MAX(6*F5181,75))/1000</f>
        <v>0.15</v>
      </c>
      <c r="M5181" t="str">
        <v>=</v>
      </c>
      <c r="N5181">
        <f>J5181+L5181</f>
        <v>0.27</v>
      </c>
      <c r="T5181" t="str">
        <v>x</v>
      </c>
      <c r="U5181">
        <f>0.006165*F5181^2</f>
        <v>0</v>
      </c>
      <c r="V5181" t="str">
        <v>x</v>
      </c>
      <c r="W5181">
        <f>W5177</f>
        <v>0</v>
      </c>
      <c r="X5181" t="str">
        <v>x</v>
      </c>
      <c r="Y5181">
        <f>D5165</f>
        <v>3</v>
      </c>
      <c r="Z5181" t="str">
        <v>=</v>
      </c>
      <c r="AA5181">
        <f>N5181*U5181*W5181*Y5181</f>
        <v>0</v>
      </c>
    </row>
    <row r="5185">
      <c r="A5185" t="str">
        <f>A5155</f>
        <v>Lantai 3</v>
      </c>
      <c r="B5185">
        <f>B5155+1</f>
        <v>31</v>
      </c>
      <c r="C5185" t="str">
        <f>CONCATENATE(A5185," no. ",B5185)</f>
        <v>Lantai 3 no. 31</v>
      </c>
      <c r="D5185" t="str">
        <f>VLOOKUP(C5185,'Data Panjang Balok'!$C$9:$N$254,2,FALSE)</f>
        <v>CL24-1</v>
      </c>
    </row>
    <row r="5186">
      <c r="C5186" t="str">
        <v>Dimensi</v>
      </c>
      <c r="D5186">
        <f>VLOOKUP(D5185,'Detail Balok'!$C$10:$AU$140,2,FALSE)</f>
        <v>200</v>
      </c>
      <c r="F5186" t="str">
        <v>x</v>
      </c>
      <c r="G5186">
        <f>VLOOKUP(D5185,'Detail Balok'!$C$10:$AU$140,3,FALSE)</f>
        <v>400</v>
      </c>
    </row>
    <row r="5187">
      <c r="C5187" t="str">
        <v>Panjang as ke as</v>
      </c>
      <c r="D5187">
        <f>VLOOKUP(C5185,'Data Panjang Balok'!$C$9:$N$254,4,FALSE)</f>
        <v>8150</v>
      </c>
    </row>
    <row r="5188">
      <c r="C5188" t="str">
        <v>Panjang netto</v>
      </c>
      <c r="D5188">
        <f>VLOOKUP(C5185,'Data Panjang Balok'!$C$9:$N$254,7,FALSE)</f>
        <v>8150</v>
      </c>
    </row>
    <row r="5189">
      <c r="C5189" t="str">
        <v>Kolom / balok kiri</v>
      </c>
      <c r="D5189">
        <f>VLOOKUP(C5185,'Data Panjang Balok'!$C$9:$N$254,9,FALSE)</f>
        <v>0</v>
      </c>
    </row>
    <row r="5190">
      <c r="C5190" t="str">
        <v>Kolom / balok kanan</v>
      </c>
      <c r="D5190">
        <f>VLOOKUP(C5185,'Data Panjang Balok'!$C$9:$N$254,10,FALSE)</f>
        <v>0</v>
      </c>
    </row>
    <row r="5191">
      <c r="C5191" t="str">
        <v>Jumlah</v>
      </c>
      <c r="D5191">
        <f>VLOOKUP(C5185,'Data Panjang Balok'!$C$9:$N$254,3,FALSE)</f>
        <v>1</v>
      </c>
    </row>
    <row r="5192">
      <c r="A5192" t="str">
        <f>A5185</f>
        <v>Lantai 3</v>
      </c>
      <c r="B5192">
        <f>B5185</f>
        <v>31</v>
      </c>
      <c r="C5192" t="str">
        <v>Tul Atas Tumpuan</v>
      </c>
      <c r="D5192">
        <f>VLOOKUP(D5185,'Detail Balok'!$C$10:$AU$140,4,FALSE)</f>
        <v>3</v>
      </c>
      <c r="E5192" t="str">
        <v>D</v>
      </c>
      <c r="F5192">
        <f>VLOOKUP(D5185,'Detail Balok'!$C$10:$AU$140,6,FALSE)</f>
        <v>16</v>
      </c>
      <c r="I5192" t="str">
        <v>(</v>
      </c>
      <c r="J5192">
        <f>+D5187/4/1000</f>
        <v>2.0375</v>
      </c>
      <c r="K5192" t="str">
        <v>+</v>
      </c>
      <c r="L5192">
        <f>MAX(VLOOKUP(F5192,N$6:P$15,3,FALSE)/1000,2/3*D5189/1000)+F$16*F5192/1000</f>
        <v>0.192</v>
      </c>
      <c r="M5192" t="str">
        <v>=</v>
      </c>
      <c r="N5192">
        <f>J5192+L5192</f>
        <v>2.2295000000000003</v>
      </c>
      <c r="O5192" t="str">
        <v>+</v>
      </c>
      <c r="P5192">
        <f>D5192-D5193</f>
        <v>0</v>
      </c>
      <c r="Q5192" t="str">
        <v>x</v>
      </c>
      <c r="R5192">
        <f>IF(P5192&gt;0,$F$18*F5192/1000,0)</f>
        <v>0</v>
      </c>
      <c r="S5192" t="str">
        <v>)</v>
      </c>
      <c r="T5192" t="str">
        <v>x</v>
      </c>
      <c r="U5192">
        <f>0.006165*F5192^2</f>
        <v>1.57824</v>
      </c>
      <c r="X5192" t="str">
        <v>x</v>
      </c>
      <c r="Y5192">
        <f>D5191</f>
        <v>1</v>
      </c>
      <c r="Z5192" t="str">
        <v>=</v>
      </c>
      <c r="AA5192">
        <f>IF(AA5195=0,(D5192*N5192+P5192*R5192)*U5192*Y5192,0)</f>
        <v>0</v>
      </c>
    </row>
    <row r="5193">
      <c r="A5193" t="str">
        <f>A5185</f>
        <v>Lantai 3</v>
      </c>
      <c r="B5193">
        <f>B5185</f>
        <v>31</v>
      </c>
      <c r="C5193" t="str">
        <v>Tul Atas Lapangan</v>
      </c>
      <c r="D5193">
        <f>VLOOKUP(D5185,'Detail Balok'!$C$10:$AU$140,7,FALSE)</f>
        <v>3</v>
      </c>
      <c r="E5193" t="str">
        <v>D</v>
      </c>
      <c r="F5193">
        <f>VLOOKUP(D5185,'Detail Balok'!$C$10:$AU$140,9,FALSE)</f>
        <v>16</v>
      </c>
      <c r="I5193" t="str">
        <v>(</v>
      </c>
      <c r="J5193">
        <f>+D5187/2/1000</f>
        <v>4.075</v>
      </c>
      <c r="K5193" t="str">
        <v>+</v>
      </c>
      <c r="M5193" t="str">
        <v>=</v>
      </c>
      <c r="N5193">
        <f>J5193+L5193</f>
        <v>4.075</v>
      </c>
      <c r="O5193" t="str">
        <v>+</v>
      </c>
      <c r="P5193">
        <f>MAX(D5193-D5192,D5193-D5194)</f>
        <v>0</v>
      </c>
      <c r="Q5193" t="str">
        <v>x</v>
      </c>
      <c r="R5193">
        <f>IF(P5193&gt;0,2*(1-2*$F$19-1/2)*D5188/1000,0)</f>
        <v>0</v>
      </c>
      <c r="S5193" t="str">
        <v>)</v>
      </c>
      <c r="T5193" t="str">
        <v>x</v>
      </c>
      <c r="U5193">
        <f>0.006165*F5193^2</f>
        <v>1.57824</v>
      </c>
      <c r="X5193" t="str">
        <v>x</v>
      </c>
      <c r="Y5193">
        <f>D5191</f>
        <v>1</v>
      </c>
      <c r="Z5193" t="str">
        <v>=</v>
      </c>
      <c r="AA5193">
        <f>IF(AA5195=0,(D5193*N5193+P5193*R5193)*U5193*Y5193,0)</f>
        <v>0</v>
      </c>
    </row>
    <row r="5194">
      <c r="A5194" t="str">
        <f>A5185</f>
        <v>Lantai 3</v>
      </c>
      <c r="B5194">
        <f>B5185</f>
        <v>31</v>
      </c>
      <c r="C5194" t="str">
        <v>Tul Atas Tumpuan</v>
      </c>
      <c r="D5194">
        <f>VLOOKUP(D5185,'Detail Balok'!$C$10:$AU$140,10,FALSE)</f>
        <v>3</v>
      </c>
      <c r="E5194" t="str">
        <v>D</v>
      </c>
      <c r="F5194">
        <f>VLOOKUP(D5185,'Detail Balok'!$C$10:$AU$140,12,FALSE)</f>
        <v>16</v>
      </c>
      <c r="I5194" t="str">
        <v>(</v>
      </c>
      <c r="J5194">
        <f>+D5187/4/1000</f>
        <v>2.0375</v>
      </c>
      <c r="K5194" t="str">
        <v>+</v>
      </c>
      <c r="L5194">
        <f>MAX(VLOOKUP(F5194,N$6:P$15,3,FALSE)/1000,2/3*D5189/1000)+F$16*F5194/1000</f>
        <v>0.192</v>
      </c>
      <c r="M5194" t="str">
        <v>=</v>
      </c>
      <c r="N5194">
        <f>J5194+L5194</f>
        <v>2.2295000000000003</v>
      </c>
      <c r="O5194" t="str">
        <v>+</v>
      </c>
      <c r="P5194">
        <f>D5194-D5193</f>
        <v>0</v>
      </c>
      <c r="Q5194" t="str">
        <v>x</v>
      </c>
      <c r="R5194">
        <f>IF(P5194&gt;0,$F$18*F5194/1000,0)</f>
        <v>0</v>
      </c>
      <c r="S5194" t="str">
        <v>)</v>
      </c>
      <c r="T5194" t="str">
        <v>x</v>
      </c>
      <c r="U5194">
        <f>0.006165*F5194^2</f>
        <v>1.57824</v>
      </c>
      <c r="X5194" t="str">
        <v>x</v>
      </c>
      <c r="Y5194">
        <f>D5191</f>
        <v>1</v>
      </c>
      <c r="Z5194" t="str">
        <v>=</v>
      </c>
      <c r="AA5194">
        <f>IF(AA5195=0,(D5194*N5194+P5194*R5194)*U5194*Y5194,0)</f>
        <v>0</v>
      </c>
    </row>
    <row r="5195">
      <c r="A5195" t="str">
        <f>A5185</f>
        <v>Lantai 3</v>
      </c>
      <c r="B5195">
        <f>B5185</f>
        <v>31</v>
      </c>
      <c r="D5195">
        <f>IF(AND(D5192=D5193,D5193=D5194,D5192=D5194),D5192,0)</f>
        <v>3</v>
      </c>
      <c r="E5195" t="str">
        <v>D</v>
      </c>
      <c r="F5195">
        <f>IF(AND(F5192=F5193,F5192=F5194,F5193=F5194),F5192,0)</f>
        <v>16</v>
      </c>
      <c r="L5195" t="str">
        <v>Total panjang per balok</v>
      </c>
      <c r="M5195" t="str">
        <v>=</v>
      </c>
      <c r="N5195">
        <f>IF(AND(D5192=D5193,D5192=D5194,D5193=D5194,F5192=F5193,F5192=F5194,F5193=F5194),SUM(N5192:N5194),0)</f>
        <v>8.534</v>
      </c>
      <c r="O5195" t="str">
        <v>+</v>
      </c>
      <c r="P5195">
        <f>IF(N5195&gt;12,ROUNDDOWN(N5195/12,0),0)</f>
        <v>0</v>
      </c>
      <c r="Q5195" t="str">
        <v>x</v>
      </c>
      <c r="R5195">
        <f>IF(P5195&gt;0,MAX(VLOOKUP(F5195,$D$6:$G$15,3,FALSE),600),0)/1000</f>
        <v>0</v>
      </c>
      <c r="T5195" t="str">
        <v>x</v>
      </c>
      <c r="U5195">
        <f>U5194</f>
        <v>1.57824</v>
      </c>
      <c r="V5195" t="str">
        <v>x</v>
      </c>
      <c r="W5195">
        <f>D5195</f>
        <v>3</v>
      </c>
      <c r="X5195" t="str">
        <v>x</v>
      </c>
      <c r="Y5195">
        <f>Y5194</f>
        <v>1</v>
      </c>
      <c r="Z5195" t="str">
        <v>=</v>
      </c>
      <c r="AA5195">
        <f>(N5195+P5195*R5195/1000)*U5195*W5195*Y5195</f>
        <v>40.406100480000006</v>
      </c>
    </row>
    <row r="5197">
      <c r="A5197" t="str">
        <f>A5185</f>
        <v>Lantai 3</v>
      </c>
      <c r="B5197">
        <f>B5185</f>
        <v>31</v>
      </c>
      <c r="C5197" t="str">
        <v>Tul Peminggang</v>
      </c>
      <c r="D5197">
        <f>VLOOKUP(D5185,'Detail Balok'!$C$10:$AU$140,13,FALSE)</f>
        <v>0</v>
      </c>
      <c r="E5197" t="str">
        <v>D</v>
      </c>
      <c r="F5197">
        <f>VLOOKUP(D5185,'Detail Balok'!$C$10:$AU$140,15,FALSE)</f>
        <v>8</v>
      </c>
      <c r="J5197">
        <f>+D5187/1000</f>
        <v>8.15</v>
      </c>
      <c r="K5197" t="str">
        <v>+</v>
      </c>
      <c r="L5197">
        <f>2*$F$16*F5197/1000</f>
        <v>0.192</v>
      </c>
      <c r="M5197" t="str">
        <v>=</v>
      </c>
      <c r="N5197">
        <f>J5197+L5197</f>
        <v>8.342</v>
      </c>
      <c r="O5197" t="str">
        <v>+</v>
      </c>
      <c r="P5197">
        <f>IF(N5197&gt;12,ROUNDDOWN(N5197/12,0),0)</f>
        <v>0</v>
      </c>
      <c r="Q5197" t="str">
        <v>x</v>
      </c>
      <c r="R5197">
        <f>IF(P5197&gt;0,MAX(VLOOKUP(F5197,$D$6:$G$15,3,FALSE),600),0)/1000</f>
        <v>0</v>
      </c>
      <c r="T5197" t="str">
        <v>x</v>
      </c>
      <c r="U5197">
        <f>0.006165*F5197^2</f>
        <v>0.39456</v>
      </c>
      <c r="V5197" t="str">
        <v>x</v>
      </c>
      <c r="W5197">
        <f>+D5197</f>
        <v>0</v>
      </c>
      <c r="X5197" t="str">
        <v>x</v>
      </c>
      <c r="Y5197">
        <f>D5191</f>
        <v>1</v>
      </c>
      <c r="Z5197" t="str">
        <v>=</v>
      </c>
      <c r="AA5197">
        <f>(N5197+P5197*R5197/1000)*U5197*W5197*Y5197</f>
        <v>0</v>
      </c>
    </row>
    <row r="5200">
      <c r="A5200" t="str">
        <f>A5185</f>
        <v>Lantai 3</v>
      </c>
      <c r="B5200">
        <f>B5185</f>
        <v>31</v>
      </c>
      <c r="C5200" t="str">
        <v>Tul Bawah Tumpuan</v>
      </c>
      <c r="D5200">
        <f>VLOOKUP(D5185,'Detail Balok'!$C$10:$AU$140,22,FALSE)</f>
        <v>3</v>
      </c>
      <c r="E5200" t="str">
        <v>D</v>
      </c>
      <c r="F5200">
        <f>VLOOKUP(D5185,'Detail Balok'!$C$10:$AU$140,24,FALSE)</f>
        <v>16</v>
      </c>
      <c r="I5200" t="str">
        <v>(</v>
      </c>
      <c r="J5200">
        <f>+J5192</f>
        <v>2.0375</v>
      </c>
      <c r="K5200" t="str">
        <v>+</v>
      </c>
      <c r="L5200">
        <f>MAX(VLOOKUP(F5200,N$6:P$15,3,FALSE)/1000,2/3*D5190/1000)+F$16*F5200/1000</f>
        <v>0.192</v>
      </c>
      <c r="M5200" t="str">
        <v>=</v>
      </c>
      <c r="N5200">
        <f>J5200+L5200</f>
        <v>2.2295000000000003</v>
      </c>
      <c r="O5200" t="str">
        <v>+</v>
      </c>
      <c r="P5200">
        <f>D5200-D5201</f>
        <v>0</v>
      </c>
      <c r="Q5200" t="str">
        <v>x</v>
      </c>
      <c r="R5200">
        <f>IF(P5200&gt;0,$F$18*F5200/1000,0)</f>
        <v>0</v>
      </c>
      <c r="S5200" t="str">
        <v>)</v>
      </c>
      <c r="T5200" t="str">
        <v>x</v>
      </c>
      <c r="U5200">
        <f>0.006165*F5200^2</f>
        <v>1.57824</v>
      </c>
      <c r="X5200" t="str">
        <v>x</v>
      </c>
      <c r="Y5200">
        <f>D5191</f>
        <v>1</v>
      </c>
      <c r="Z5200" t="str">
        <v>=</v>
      </c>
      <c r="AA5200">
        <f>IF(AA5203=0,(D5200*N5200+P5200*R5200)*U5200*Y5200,0)</f>
        <v>0</v>
      </c>
    </row>
    <row r="5201">
      <c r="A5201" t="str">
        <f>A5185</f>
        <v>Lantai 3</v>
      </c>
      <c r="B5201">
        <f>B5185</f>
        <v>31</v>
      </c>
      <c r="C5201" t="str">
        <v>Tul Bawah Lapangan</v>
      </c>
      <c r="D5201">
        <f>VLOOKUP(D5185,'Detail Balok'!$C$10:$AU$140,25,FALSE)</f>
        <v>3</v>
      </c>
      <c r="E5201" t="str">
        <v>D</v>
      </c>
      <c r="F5201">
        <f>VLOOKUP(D5185,'Detail Balok'!$C$10:$AU$140,27,FALSE)</f>
        <v>16</v>
      </c>
      <c r="I5201" t="str">
        <v>(</v>
      </c>
      <c r="J5201">
        <f>+J5193</f>
        <v>4.075</v>
      </c>
      <c r="K5201" t="str">
        <v>+</v>
      </c>
      <c r="M5201" t="str">
        <v>=</v>
      </c>
      <c r="N5201">
        <f>J5201+L5201</f>
        <v>4.075</v>
      </c>
      <c r="O5201" t="str">
        <v>+</v>
      </c>
      <c r="P5201">
        <f>MAX(D5201-D5200,D5201-D5202)</f>
        <v>0</v>
      </c>
      <c r="Q5201" t="str">
        <v>x</v>
      </c>
      <c r="R5201">
        <f>IF(P5201&gt;0,2*(1-2*$F$19-1/2)*D5188/1000,0)</f>
        <v>0</v>
      </c>
      <c r="S5201" t="str">
        <v>)</v>
      </c>
      <c r="T5201" t="str">
        <v>x</v>
      </c>
      <c r="U5201">
        <f>0.006165*F5201^2</f>
        <v>1.57824</v>
      </c>
      <c r="X5201" t="str">
        <v>x</v>
      </c>
      <c r="Y5201">
        <f>D5191</f>
        <v>1</v>
      </c>
      <c r="Z5201" t="str">
        <v>=</v>
      </c>
      <c r="AA5201">
        <f>IF(AA5203=0,(D5201*N5201+P5201*R5201)*U5201*Y5201,0)</f>
        <v>0</v>
      </c>
    </row>
    <row r="5202">
      <c r="A5202" t="str">
        <f>A5185</f>
        <v>Lantai 3</v>
      </c>
      <c r="B5202">
        <f>B5185</f>
        <v>31</v>
      </c>
      <c r="C5202" t="str">
        <v>Tul Bawah Tumpuan</v>
      </c>
      <c r="D5202">
        <f>VLOOKUP(D5185,'Detail Balok'!$C$10:$AU$140,28,FALSE)</f>
        <v>3</v>
      </c>
      <c r="E5202" t="str">
        <v>D</v>
      </c>
      <c r="F5202">
        <f>VLOOKUP(D5185,'Detail Balok'!$C$10:$AU$140,30,FALSE)</f>
        <v>16</v>
      </c>
      <c r="I5202" t="str">
        <v>(</v>
      </c>
      <c r="J5202">
        <f>+J5194</f>
        <v>2.0375</v>
      </c>
      <c r="K5202" t="str">
        <v>+</v>
      </c>
      <c r="L5202">
        <f>MAX(VLOOKUP(F5202,N$6:P$15,3,FALSE)/1000,2/3*D5190/1000)+F$16*F5202/1000</f>
        <v>0.192</v>
      </c>
      <c r="M5202" t="str">
        <v>=</v>
      </c>
      <c r="N5202">
        <f>J5202+L5202</f>
        <v>2.2295000000000003</v>
      </c>
      <c r="O5202" t="str">
        <v>+</v>
      </c>
      <c r="P5202">
        <f>D5202-D5201</f>
        <v>0</v>
      </c>
      <c r="Q5202" t="str">
        <v>x</v>
      </c>
      <c r="R5202">
        <f>IF(P5202&gt;0,$F$18*F5202/1000,0)</f>
        <v>0</v>
      </c>
      <c r="S5202" t="str">
        <v>)</v>
      </c>
      <c r="T5202" t="str">
        <v>x</v>
      </c>
      <c r="U5202">
        <f>0.006165*F5202^2</f>
        <v>1.57824</v>
      </c>
      <c r="X5202" t="str">
        <v>x</v>
      </c>
      <c r="Y5202">
        <f>D5191</f>
        <v>1</v>
      </c>
      <c r="Z5202" t="str">
        <v>=</v>
      </c>
      <c r="AA5202">
        <f>IF(AA5203=0,(D5202*N5202+P5202*R5202)*U5202*Y5202,0)</f>
        <v>0</v>
      </c>
    </row>
    <row r="5203">
      <c r="A5203" t="str">
        <f>A5185</f>
        <v>Lantai 3</v>
      </c>
      <c r="B5203">
        <f>B5185</f>
        <v>31</v>
      </c>
      <c r="D5203">
        <f>IF(AND(D5200=D5201,D5201=D5202,D5200=D5202),D5200,0)</f>
        <v>3</v>
      </c>
      <c r="E5203" t="str">
        <v>D</v>
      </c>
      <c r="F5203">
        <f>IF(AND(F5200=F5201,F5200=F5202,F5201=F5202),F5200,0)</f>
        <v>16</v>
      </c>
      <c r="L5203" t="str">
        <v>Total panjang per balok</v>
      </c>
      <c r="M5203" t="str">
        <v>=</v>
      </c>
      <c r="N5203">
        <f>IF(AND(D5200=D5201,D5200=D5202,D5201=D5202,F5200=F5201,F5200=F5202,F5201=F5202),SUM(N5200:N5202),0)</f>
        <v>8.534</v>
      </c>
      <c r="O5203" t="str">
        <v>+</v>
      </c>
      <c r="P5203">
        <f>IF(N5203&gt;12,ROUNDDOWN(N5203/12,0),0)</f>
        <v>0</v>
      </c>
      <c r="Q5203" t="str">
        <v>x</v>
      </c>
      <c r="R5203">
        <f>IF(P5203&gt;0,MAX(VLOOKUP(F5203,$D$6:$G$15,3,FALSE),600),0)/1000</f>
        <v>0</v>
      </c>
      <c r="T5203" t="str">
        <v>x</v>
      </c>
      <c r="U5203">
        <f>U5202</f>
        <v>1.57824</v>
      </c>
      <c r="V5203" t="str">
        <v>x</v>
      </c>
      <c r="W5203">
        <f>D5203</f>
        <v>3</v>
      </c>
      <c r="X5203" t="str">
        <v>x</v>
      </c>
      <c r="Y5203">
        <f>Y5202</f>
        <v>1</v>
      </c>
      <c r="Z5203" t="str">
        <v>=</v>
      </c>
      <c r="AA5203">
        <f>(N5203+P5203*R5203/1000)*U5203*W5203*Y5203</f>
        <v>40.406100480000006</v>
      </c>
    </row>
    <row r="5205">
      <c r="A5205" t="str">
        <f>A5185</f>
        <v>Lantai 3</v>
      </c>
      <c r="B5205">
        <f>B5185</f>
        <v>31</v>
      </c>
      <c r="C5205" t="str">
        <v>Sengkang Tumpuan</v>
      </c>
      <c r="D5205">
        <f>VLOOKUP(D5185,'Detail Balok'!$C$10:$AU$140,31,FALSE)</f>
        <v>0</v>
      </c>
      <c r="E5205" t="str">
        <v>D</v>
      </c>
      <c r="F5205">
        <f>VLOOKUP(D5185,'Detail Balok'!$C$10:$AU$140,33,FALSE)</f>
        <v>10</v>
      </c>
      <c r="G5205" t="str">
        <v>-</v>
      </c>
      <c r="H5205">
        <f>VLOOKUP(D5185,'Detail Balok'!$C$10:$AU$140,35,FALSE)</f>
        <v>100</v>
      </c>
      <c r="J5205">
        <f>(IF(D5205=0,(2*(D5186+G5186))-(F$5*8),IF(D5205=3,(2*(D5186+G5186))-(F$5*8)+(G5186-2*F$5),IF(D5205=4,(2*(D5186+G5186))-(F$5*8)+2*(G5186-2*F$5)))))/1000</f>
        <v>0.88</v>
      </c>
      <c r="K5205" t="str">
        <v>+</v>
      </c>
      <c r="L5205">
        <f>IF(D5205=0,2*MAX(6*F5205,75),(D5205-1)*2*MAX(6*F5205,75))/1000</f>
        <v>0.15</v>
      </c>
      <c r="M5205" t="str">
        <v>=</v>
      </c>
      <c r="N5205">
        <f>J5205+L5205</f>
        <v>1.03</v>
      </c>
      <c r="T5205" t="str">
        <v>x</v>
      </c>
      <c r="U5205">
        <f>0.006165*F5205^2</f>
        <v>0.6165</v>
      </c>
      <c r="V5205" t="str">
        <v>x</v>
      </c>
      <c r="W5205">
        <f>IF(D5188&gt;4*G5186,ROUND(MAX(D5188/4,2*G5186)/H5205,0)+1,ROUND(D5188/H5205,0)+1)</f>
        <v>21</v>
      </c>
      <c r="X5205" t="str">
        <v>x</v>
      </c>
      <c r="Y5205">
        <f>D5191</f>
        <v>1</v>
      </c>
      <c r="Z5205" t="str">
        <v>=</v>
      </c>
      <c r="AA5205">
        <f>N5205*U5205*W5205*Y5205</f>
        <v>13.334895000000001</v>
      </c>
    </row>
    <row r="5206">
      <c r="A5206" t="str">
        <f>A5185</f>
        <v>Lantai 3</v>
      </c>
      <c r="B5206">
        <f>B5185</f>
        <v>31</v>
      </c>
      <c r="C5206" t="str">
        <v>Sengkang Lapangan</v>
      </c>
      <c r="D5206">
        <f>VLOOKUP(D5185,'Detail Balok'!$C$10:$AU$140,36,FALSE)</f>
        <v>0</v>
      </c>
      <c r="E5206" t="str">
        <v>D</v>
      </c>
      <c r="F5206">
        <f>VLOOKUP(D5185,'Detail Balok'!$C$10:$AU$140,38,FALSE)</f>
        <v>10</v>
      </c>
      <c r="G5206" t="str">
        <v>-</v>
      </c>
      <c r="H5206">
        <f>VLOOKUP(D5185,'Detail Balok'!$C$10:$AU$140,40,FALSE)</f>
        <v>100</v>
      </c>
      <c r="J5206">
        <f>(IF(D5206=0,(2*(D5186+G5186))-(F$5*8),IF(D5206=3,(2*(D5186+G5186))-(F$5*8)+(G5186-2*F$5),IF(D5206=4,(2*(D5186+G5186))-(F$5*8)+2*(G5186-2*F$5)))))/1000</f>
        <v>0.88</v>
      </c>
      <c r="K5206" t="str">
        <v>+</v>
      </c>
      <c r="L5206">
        <f>IF(D5206=0,2*MAX(6*F5206,75),(D5206-1)*2*MAX(6*F5206,75))/1000</f>
        <v>0.15</v>
      </c>
      <c r="M5206" t="str">
        <v>=</v>
      </c>
      <c r="N5206">
        <f>J5206+L5206</f>
        <v>1.03</v>
      </c>
      <c r="T5206" t="str">
        <v>x</v>
      </c>
      <c r="U5206">
        <f>0.006165*F5206^2</f>
        <v>0.6165</v>
      </c>
      <c r="V5206" t="str">
        <v>x</v>
      </c>
      <c r="W5206">
        <f>IF(D5188-MAX(D5188/4,2*G5186)*2&gt;0,ROUND((D5188-MAX(D5188/4,2*G5186)*2)/H5206,0),0)</f>
        <v>41</v>
      </c>
      <c r="X5206" t="str">
        <v>x</v>
      </c>
      <c r="Y5206">
        <f>D5191</f>
        <v>1</v>
      </c>
      <c r="Z5206" t="str">
        <v>=</v>
      </c>
      <c r="AA5206">
        <f>N5206*U5206*W5206*Y5206</f>
        <v>26.034795000000003</v>
      </c>
    </row>
    <row r="5207">
      <c r="A5207" t="str">
        <f>A5185</f>
        <v>Lantai 3</v>
      </c>
      <c r="B5207">
        <f>B5185</f>
        <v>31</v>
      </c>
      <c r="C5207" t="str">
        <v>Sengkang Tumpuan</v>
      </c>
      <c r="D5207">
        <f>VLOOKUP(D5185,'Detail Balok'!$C$10:$AU$140,41,FALSE)</f>
        <v>0</v>
      </c>
      <c r="E5207" t="str">
        <v>D</v>
      </c>
      <c r="F5207">
        <f>VLOOKUP(D5185,'Detail Balok'!$C$10:$AU$140,43,FALSE)</f>
        <v>10</v>
      </c>
      <c r="G5207" t="str">
        <v>-</v>
      </c>
      <c r="H5207">
        <f>VLOOKUP(D5185,'Detail Balok'!$C$10:$AU$140,45,FALSE)</f>
        <v>100</v>
      </c>
      <c r="J5207">
        <f>(IF(D5207=0,(2*(D5186+G5186))-(F$5*8),IF(D5207=3,(2*(D5186+G5186))-(F$5*8)+(G5186-2*F$5),IF(D5207=4,(2*(D5186+G5186))-(F$5*8)+2*(G5186-2*F$5)))))/1000</f>
        <v>0.88</v>
      </c>
      <c r="K5207" t="str">
        <v>+</v>
      </c>
      <c r="L5207">
        <f>IF(D5207=0,2*MAX(6*F5207,75),(D5207-1)*2*MAX(6*F5207,75))/1000</f>
        <v>0.15</v>
      </c>
      <c r="M5207" t="str">
        <v>=</v>
      </c>
      <c r="N5207">
        <f>J5207+L5207</f>
        <v>1.03</v>
      </c>
      <c r="T5207" t="str">
        <v>x</v>
      </c>
      <c r="U5207">
        <f>0.006165*F5207^2</f>
        <v>0.6165</v>
      </c>
      <c r="V5207" t="str">
        <v>x</v>
      </c>
      <c r="W5207">
        <f>IF(D5188&gt;4*G5186,ROUND(MAX(D5188/4,2*G5186)/H5207,0)+1,0)</f>
        <v>21</v>
      </c>
      <c r="X5207" t="str">
        <v>x</v>
      </c>
      <c r="Y5207">
        <f>D5191</f>
        <v>1</v>
      </c>
      <c r="Z5207" t="str">
        <v>=</v>
      </c>
      <c r="AA5207">
        <f>N5207*U5207*W5207*Y5207</f>
        <v>13.334895000000001</v>
      </c>
    </row>
    <row r="5209">
      <c r="A5209" t="str">
        <f>A5185</f>
        <v>Lantai 3</v>
      </c>
      <c r="B5209">
        <f>B5185</f>
        <v>31</v>
      </c>
      <c r="C5209" t="str">
        <v>Kait Horizontal Tump.</v>
      </c>
      <c r="D5209">
        <f>VLOOKUP(D5185,'Detail Balok'!$C$10:$BJ$140,46,FALSE)</f>
        <v>0</v>
      </c>
      <c r="E5209" t="str">
        <v>D</v>
      </c>
      <c r="F5209">
        <f>VLOOKUP(D5185,'Detail Balok'!$C$10:$BJ$140,48,FALSE)</f>
        <v>0</v>
      </c>
      <c r="G5209" t="str">
        <v>-</v>
      </c>
      <c r="H5209">
        <f>VLOOKUP(D5185,'Detail Balok'!$C$10:$BJ$140,50,FALSE)</f>
        <v>100</v>
      </c>
      <c r="J5209">
        <f>(D5186-2*F$5)/1000</f>
        <v>0.12</v>
      </c>
      <c r="K5209" t="str">
        <v>+</v>
      </c>
      <c r="L5209">
        <f>IF(D5209=0,2*MAX(6*F5209,75),(D5209-1)*2*MAX(6*F5209,75))/1000</f>
        <v>0.15</v>
      </c>
      <c r="M5209" t="str">
        <v>=</v>
      </c>
      <c r="N5209">
        <f>J5209+L5209</f>
        <v>0.27</v>
      </c>
      <c r="T5209" t="str">
        <v>x</v>
      </c>
      <c r="U5209">
        <f>0.006165*F5209^2</f>
        <v>0</v>
      </c>
      <c r="V5209" t="str">
        <v>x</v>
      </c>
      <c r="W5209">
        <f>W5205</f>
        <v>21</v>
      </c>
      <c r="X5209" t="str">
        <v>x</v>
      </c>
      <c r="Y5209">
        <f>D5195</f>
        <v>3</v>
      </c>
      <c r="Z5209" t="str">
        <v>=</v>
      </c>
      <c r="AA5209">
        <f>N5209*U5209*W5209*Y5209</f>
        <v>0</v>
      </c>
    </row>
    <row r="5210">
      <c r="A5210" t="str">
        <f>A5185</f>
        <v>Lantai 3</v>
      </c>
      <c r="B5210">
        <f>B5185</f>
        <v>31</v>
      </c>
      <c r="C5210" t="str">
        <v>Kait Horizontal Lap.</v>
      </c>
      <c r="D5210">
        <f>VLOOKUP(D5185,'Detail Balok'!$C$10:$BJ$140,51,FALSE)</f>
        <v>0</v>
      </c>
      <c r="E5210" t="str">
        <v>D</v>
      </c>
      <c r="F5210">
        <f>VLOOKUP(D5185,'Detail Balok'!$C$10:$BJ$140,53,FALSE)</f>
        <v>0</v>
      </c>
      <c r="G5210" t="str">
        <v>-</v>
      </c>
      <c r="H5210">
        <f>VLOOKUP(D5185,'Detail Balok'!$C$10:$BJ$140,55,FALSE)</f>
        <v>100</v>
      </c>
      <c r="J5210">
        <f>(D5186-2*F$5)/1000</f>
        <v>0.12</v>
      </c>
      <c r="K5210" t="str">
        <v>+</v>
      </c>
      <c r="L5210">
        <f>IF(D5210=0,2*MAX(6*F5210,75),(D5210-1)*2*MAX(6*F5210,75))/1000</f>
        <v>0.15</v>
      </c>
      <c r="M5210" t="str">
        <v>=</v>
      </c>
      <c r="N5210">
        <f>J5210+L5210</f>
        <v>0.27</v>
      </c>
      <c r="T5210" t="str">
        <v>x</v>
      </c>
      <c r="U5210">
        <f>0.006165*F5210^2</f>
        <v>0</v>
      </c>
      <c r="V5210" t="str">
        <v>x</v>
      </c>
      <c r="W5210">
        <f>W5206</f>
        <v>41</v>
      </c>
      <c r="X5210" t="str">
        <v>x</v>
      </c>
      <c r="Y5210">
        <f>D5195</f>
        <v>3</v>
      </c>
      <c r="Z5210" t="str">
        <v>=</v>
      </c>
      <c r="AA5210">
        <f>N5210*U5210*W5210*Y5210</f>
        <v>0</v>
      </c>
    </row>
    <row r="5211">
      <c r="A5211" t="str">
        <f>A5185</f>
        <v>Lantai 3</v>
      </c>
      <c r="B5211">
        <f>B5185</f>
        <v>31</v>
      </c>
      <c r="C5211" t="str">
        <v>Kait Horizontal Tump.</v>
      </c>
      <c r="D5211">
        <f>VLOOKUP(D5185,'Detail Balok'!$C$10:$BJ$140,56,FALSE)</f>
        <v>0</v>
      </c>
      <c r="E5211" t="str">
        <v>D</v>
      </c>
      <c r="F5211">
        <f>VLOOKUP(D5185,'Detail Balok'!$C$10:$BJ$140,58,FALSE)</f>
        <v>0</v>
      </c>
      <c r="G5211" t="str">
        <v>-</v>
      </c>
      <c r="H5211">
        <f>VLOOKUP(D5185,'Detail Balok'!$C$10:$BJ$140,60,FALSE)</f>
        <v>100</v>
      </c>
      <c r="J5211">
        <f>(D5186-2*F$5)/1000</f>
        <v>0.12</v>
      </c>
      <c r="K5211" t="str">
        <v>+</v>
      </c>
      <c r="L5211">
        <f>IF(D5211=0,2*MAX(6*F5211,75),(D5211-1)*2*MAX(6*F5211,75))/1000</f>
        <v>0.15</v>
      </c>
      <c r="M5211" t="str">
        <v>=</v>
      </c>
      <c r="N5211">
        <f>J5211+L5211</f>
        <v>0.27</v>
      </c>
      <c r="T5211" t="str">
        <v>x</v>
      </c>
      <c r="U5211">
        <f>0.006165*F5211^2</f>
        <v>0</v>
      </c>
      <c r="V5211" t="str">
        <v>x</v>
      </c>
      <c r="W5211">
        <f>W5207</f>
        <v>21</v>
      </c>
      <c r="X5211" t="str">
        <v>x</v>
      </c>
      <c r="Y5211">
        <f>D5195</f>
        <v>3</v>
      </c>
      <c r="Z5211" t="str">
        <v>=</v>
      </c>
      <c r="AA5211">
        <f>N5211*U5211*W5211*Y5211</f>
        <v>0</v>
      </c>
    </row>
    <row r="5215">
      <c r="A5215" t="str">
        <f>A5185</f>
        <v>Lantai 3</v>
      </c>
      <c r="B5215">
        <f>B5185+1</f>
        <v>32</v>
      </c>
      <c r="C5215" t="str">
        <f>CONCATENATE(A5215," no. ",B5215)</f>
        <v>Lantai 3 no. 32</v>
      </c>
      <c r="D5215" t="str">
        <f>VLOOKUP(C5215,'Data Panjang Balok'!$C$9:$N$254,2,FALSE)</f>
        <v>B25-1</v>
      </c>
    </row>
    <row r="5216">
      <c r="C5216" t="str">
        <v>Dimensi</v>
      </c>
      <c r="D5216">
        <f>VLOOKUP(D5215,'Detail Balok'!$C$10:$AU$140,2,FALSE)</f>
        <v>200</v>
      </c>
      <c r="F5216" t="str">
        <v>x</v>
      </c>
      <c r="G5216">
        <f>VLOOKUP(D5215,'Detail Balok'!$C$10:$AU$140,3,FALSE)</f>
        <v>500</v>
      </c>
    </row>
    <row r="5217">
      <c r="C5217" t="str">
        <v>Panjang as ke as</v>
      </c>
      <c r="D5217">
        <f>VLOOKUP(C5215,'Data Panjang Balok'!$C$9:$N$254,4,FALSE)</f>
        <v>5425</v>
      </c>
    </row>
    <row r="5218">
      <c r="C5218" t="str">
        <v>Panjang netto</v>
      </c>
      <c r="D5218">
        <f>VLOOKUP(C5215,'Data Panjang Balok'!$C$9:$N$254,7,FALSE)</f>
        <v>5425</v>
      </c>
    </row>
    <row r="5219">
      <c r="C5219" t="str">
        <v>Kolom / balok kiri</v>
      </c>
      <c r="D5219">
        <f>VLOOKUP(C5215,'Data Panjang Balok'!$C$9:$N$254,9,FALSE)</f>
        <v>0</v>
      </c>
    </row>
    <row r="5220">
      <c r="C5220" t="str">
        <v>Kolom / balok kanan</v>
      </c>
      <c r="D5220">
        <f>VLOOKUP(C5215,'Data Panjang Balok'!$C$9:$N$254,10,FALSE)</f>
        <v>0</v>
      </c>
    </row>
    <row r="5221">
      <c r="C5221" t="str">
        <v>Jumlah</v>
      </c>
      <c r="D5221">
        <f>VLOOKUP(C5215,'Data Panjang Balok'!$C$9:$N$254,3,FALSE)</f>
        <v>1</v>
      </c>
    </row>
    <row r="5222">
      <c r="A5222" t="str">
        <f>A5215</f>
        <v>Lantai 3</v>
      </c>
      <c r="B5222">
        <f>B5215</f>
        <v>32</v>
      </c>
      <c r="C5222" t="str">
        <v>Tul Atas Tumpuan</v>
      </c>
      <c r="D5222">
        <f>VLOOKUP(D5215,'Detail Balok'!$C$10:$AU$140,4,FALSE)</f>
        <v>4</v>
      </c>
      <c r="E5222" t="str">
        <v>D</v>
      </c>
      <c r="F5222">
        <f>VLOOKUP(D5215,'Detail Balok'!$C$10:$AU$140,6,FALSE)</f>
        <v>16</v>
      </c>
      <c r="I5222" t="str">
        <v>(</v>
      </c>
      <c r="J5222">
        <f>+D5217/4/1000</f>
        <v>1.35625</v>
      </c>
      <c r="K5222" t="str">
        <v>+</v>
      </c>
      <c r="L5222">
        <f>MAX(VLOOKUP(F5222,N$6:P$15,3,FALSE)/1000,2/3*D5219/1000)+F$16*F5222/1000</f>
        <v>0.192</v>
      </c>
      <c r="M5222" t="str">
        <v>=</v>
      </c>
      <c r="N5222">
        <f>J5222+L5222</f>
        <v>1.54825</v>
      </c>
      <c r="O5222" t="str">
        <v>+</v>
      </c>
      <c r="P5222">
        <f>D5222-D5223</f>
        <v>0</v>
      </c>
      <c r="Q5222" t="str">
        <v>x</v>
      </c>
      <c r="R5222">
        <f>IF(P5222&gt;0,$F$18*F5222/1000,0)</f>
        <v>0</v>
      </c>
      <c r="S5222" t="str">
        <v>)</v>
      </c>
      <c r="T5222" t="str">
        <v>x</v>
      </c>
      <c r="U5222">
        <f>0.006165*F5222^2</f>
        <v>1.57824</v>
      </c>
      <c r="X5222" t="str">
        <v>x</v>
      </c>
      <c r="Y5222">
        <f>D5221</f>
        <v>1</v>
      </c>
      <c r="Z5222" t="str">
        <v>=</v>
      </c>
      <c r="AA5222">
        <f>IF(AA5225=0,(D5222*N5222+P5222*R5222)*U5222*Y5222,0)</f>
        <v>0</v>
      </c>
    </row>
    <row r="5223">
      <c r="A5223" t="str">
        <f>A5215</f>
        <v>Lantai 3</v>
      </c>
      <c r="B5223">
        <f>B5215</f>
        <v>32</v>
      </c>
      <c r="C5223" t="str">
        <v>Tul Atas Lapangan</v>
      </c>
      <c r="D5223">
        <f>VLOOKUP(D5215,'Detail Balok'!$C$10:$AU$140,7,FALSE)</f>
        <v>4</v>
      </c>
      <c r="E5223" t="str">
        <v>D</v>
      </c>
      <c r="F5223">
        <f>VLOOKUP(D5215,'Detail Balok'!$C$10:$AU$140,9,FALSE)</f>
        <v>16</v>
      </c>
      <c r="I5223" t="str">
        <v>(</v>
      </c>
      <c r="J5223">
        <f>+D5217/2/1000</f>
        <v>2.7125</v>
      </c>
      <c r="K5223" t="str">
        <v>+</v>
      </c>
      <c r="M5223" t="str">
        <v>=</v>
      </c>
      <c r="N5223">
        <f>J5223+L5223</f>
        <v>2.7125</v>
      </c>
      <c r="O5223" t="str">
        <v>+</v>
      </c>
      <c r="P5223">
        <f>MAX(D5223-D5222,D5223-D5224)</f>
        <v>0</v>
      </c>
      <c r="Q5223" t="str">
        <v>x</v>
      </c>
      <c r="R5223">
        <f>IF(P5223&gt;0,2*(1-2*$F$19-1/2)*D5218/1000,0)</f>
        <v>0</v>
      </c>
      <c r="S5223" t="str">
        <v>)</v>
      </c>
      <c r="T5223" t="str">
        <v>x</v>
      </c>
      <c r="U5223">
        <f>0.006165*F5223^2</f>
        <v>1.57824</v>
      </c>
      <c r="X5223" t="str">
        <v>x</v>
      </c>
      <c r="Y5223">
        <f>D5221</f>
        <v>1</v>
      </c>
      <c r="Z5223" t="str">
        <v>=</v>
      </c>
      <c r="AA5223">
        <f>IF(AA5225=0,(D5223*N5223+P5223*R5223)*U5223*Y5223,0)</f>
        <v>0</v>
      </c>
    </row>
    <row r="5224">
      <c r="A5224" t="str">
        <f>A5215</f>
        <v>Lantai 3</v>
      </c>
      <c r="B5224">
        <f>B5215</f>
        <v>32</v>
      </c>
      <c r="C5224" t="str">
        <v>Tul Atas Tumpuan</v>
      </c>
      <c r="D5224">
        <f>VLOOKUP(D5215,'Detail Balok'!$C$10:$AU$140,10,FALSE)</f>
        <v>4</v>
      </c>
      <c r="E5224" t="str">
        <v>D</v>
      </c>
      <c r="F5224">
        <f>VLOOKUP(D5215,'Detail Balok'!$C$10:$AU$140,12,FALSE)</f>
        <v>16</v>
      </c>
      <c r="I5224" t="str">
        <v>(</v>
      </c>
      <c r="J5224">
        <f>+D5217/4/1000</f>
        <v>1.35625</v>
      </c>
      <c r="K5224" t="str">
        <v>+</v>
      </c>
      <c r="L5224">
        <f>MAX(VLOOKUP(F5224,N$6:P$15,3,FALSE)/1000,2/3*D5219/1000)+F$16*F5224/1000</f>
        <v>0.192</v>
      </c>
      <c r="M5224" t="str">
        <v>=</v>
      </c>
      <c r="N5224">
        <f>J5224+L5224</f>
        <v>1.54825</v>
      </c>
      <c r="O5224" t="str">
        <v>+</v>
      </c>
      <c r="P5224">
        <f>D5224-D5223</f>
        <v>0</v>
      </c>
      <c r="Q5224" t="str">
        <v>x</v>
      </c>
      <c r="R5224">
        <f>IF(P5224&gt;0,$F$18*F5224/1000,0)</f>
        <v>0</v>
      </c>
      <c r="S5224" t="str">
        <v>)</v>
      </c>
      <c r="T5224" t="str">
        <v>x</v>
      </c>
      <c r="U5224">
        <f>0.006165*F5224^2</f>
        <v>1.57824</v>
      </c>
      <c r="X5224" t="str">
        <v>x</v>
      </c>
      <c r="Y5224">
        <f>D5221</f>
        <v>1</v>
      </c>
      <c r="Z5224" t="str">
        <v>=</v>
      </c>
      <c r="AA5224">
        <f>IF(AA5225=0,(D5224*N5224+P5224*R5224)*U5224*Y5224,0)</f>
        <v>0</v>
      </c>
    </row>
    <row r="5225">
      <c r="A5225" t="str">
        <f>A5215</f>
        <v>Lantai 3</v>
      </c>
      <c r="B5225">
        <f>B5215</f>
        <v>32</v>
      </c>
      <c r="D5225">
        <f>IF(AND(D5222=D5223,D5223=D5224,D5222=D5224),D5222,0)</f>
        <v>4</v>
      </c>
      <c r="E5225" t="str">
        <v>D</v>
      </c>
      <c r="F5225">
        <f>IF(AND(F5222=F5223,F5222=F5224,F5223=F5224),F5222,0)</f>
        <v>16</v>
      </c>
      <c r="L5225" t="str">
        <v>Total panjang per balok</v>
      </c>
      <c r="M5225" t="str">
        <v>=</v>
      </c>
      <c r="N5225">
        <f>IF(AND(D5222=D5223,D5222=D5224,D5223=D5224,F5222=F5223,F5222=F5224,F5223=F5224),SUM(N5222:N5224),0)</f>
        <v>5.808999999999999</v>
      </c>
      <c r="O5225" t="str">
        <v>+</v>
      </c>
      <c r="P5225">
        <f>IF(N5225&gt;12,ROUNDDOWN(N5225/12,0),0)</f>
        <v>0</v>
      </c>
      <c r="Q5225" t="str">
        <v>x</v>
      </c>
      <c r="R5225">
        <f>IF(P5225&gt;0,MAX(VLOOKUP(F5225,$D$6:$G$15,3,FALSE),600),0)/1000</f>
        <v>0</v>
      </c>
      <c r="T5225" t="str">
        <v>x</v>
      </c>
      <c r="U5225">
        <f>U5224</f>
        <v>1.57824</v>
      </c>
      <c r="V5225" t="str">
        <v>x</v>
      </c>
      <c r="W5225">
        <f>D5225</f>
        <v>4</v>
      </c>
      <c r="X5225" t="str">
        <v>x</v>
      </c>
      <c r="Y5225">
        <f>Y5224</f>
        <v>1</v>
      </c>
      <c r="Z5225" t="str">
        <v>=</v>
      </c>
      <c r="AA5225">
        <f>(N5225+P5225*R5225/1000)*U5225*W5225*Y5225</f>
        <v>36.67198464</v>
      </c>
    </row>
    <row r="5227">
      <c r="A5227" t="str">
        <f>A5215</f>
        <v>Lantai 3</v>
      </c>
      <c r="B5227">
        <f>B5215</f>
        <v>32</v>
      </c>
      <c r="C5227" t="str">
        <v>Tul Peminggang</v>
      </c>
      <c r="D5227">
        <f>VLOOKUP(D5215,'Detail Balok'!$C$10:$AU$140,13,FALSE)</f>
        <v>2</v>
      </c>
      <c r="E5227" t="str">
        <v>D</v>
      </c>
      <c r="F5227">
        <f>VLOOKUP(D5215,'Detail Balok'!$C$10:$AU$140,15,FALSE)</f>
        <v>10</v>
      </c>
      <c r="J5227">
        <f>+D5217/1000</f>
        <v>5.425</v>
      </c>
      <c r="K5227" t="str">
        <v>+</v>
      </c>
      <c r="L5227">
        <f>2*$F$16*F5227/1000</f>
        <v>0.24</v>
      </c>
      <c r="M5227" t="str">
        <v>=</v>
      </c>
      <c r="N5227">
        <f>J5227+L5227</f>
        <v>5.665</v>
      </c>
      <c r="O5227" t="str">
        <v>+</v>
      </c>
      <c r="P5227">
        <f>IF(N5227&gt;12,ROUNDDOWN(N5227/12,0),0)</f>
        <v>0</v>
      </c>
      <c r="Q5227" t="str">
        <v>x</v>
      </c>
      <c r="R5227">
        <f>IF(P5227&gt;0,MAX(VLOOKUP(F5227,$D$6:$G$15,3,FALSE),600),0)/1000</f>
        <v>0</v>
      </c>
      <c r="T5227" t="str">
        <v>x</v>
      </c>
      <c r="U5227">
        <f>0.006165*F5227^2</f>
        <v>0.6165</v>
      </c>
      <c r="V5227" t="str">
        <v>x</v>
      </c>
      <c r="W5227">
        <f>+D5227</f>
        <v>2</v>
      </c>
      <c r="X5227" t="str">
        <v>x</v>
      </c>
      <c r="Y5227">
        <f>D5221</f>
        <v>1</v>
      </c>
      <c r="Z5227" t="str">
        <v>=</v>
      </c>
      <c r="AA5227">
        <f>(N5227+P5227*R5227/1000)*U5227*W5227*Y5227</f>
        <v>6.984945000000001</v>
      </c>
    </row>
    <row r="5230">
      <c r="A5230" t="str">
        <f>A5215</f>
        <v>Lantai 3</v>
      </c>
      <c r="B5230">
        <f>B5215</f>
        <v>32</v>
      </c>
      <c r="C5230" t="str">
        <v>Tul Bawah Tumpuan</v>
      </c>
      <c r="D5230">
        <f>VLOOKUP(D5215,'Detail Balok'!$C$10:$AU$140,22,FALSE)</f>
        <v>4</v>
      </c>
      <c r="E5230" t="str">
        <v>D</v>
      </c>
      <c r="F5230">
        <f>VLOOKUP(D5215,'Detail Balok'!$C$10:$AU$140,24,FALSE)</f>
        <v>16</v>
      </c>
      <c r="I5230" t="str">
        <v>(</v>
      </c>
      <c r="J5230">
        <f>+J5222</f>
        <v>1.35625</v>
      </c>
      <c r="K5230" t="str">
        <v>+</v>
      </c>
      <c r="L5230">
        <f>MAX(VLOOKUP(F5230,N$6:P$15,3,FALSE)/1000,2/3*D5220/1000)+F$16*F5230/1000</f>
        <v>0.192</v>
      </c>
      <c r="M5230" t="str">
        <v>=</v>
      </c>
      <c r="N5230">
        <f>J5230+L5230</f>
        <v>1.54825</v>
      </c>
      <c r="O5230" t="str">
        <v>+</v>
      </c>
      <c r="P5230">
        <f>D5230-D5231</f>
        <v>0</v>
      </c>
      <c r="Q5230" t="str">
        <v>x</v>
      </c>
      <c r="R5230">
        <f>IF(P5230&gt;0,$F$18*F5230/1000,0)</f>
        <v>0</v>
      </c>
      <c r="S5230" t="str">
        <v>)</v>
      </c>
      <c r="T5230" t="str">
        <v>x</v>
      </c>
      <c r="U5230">
        <f>0.006165*F5230^2</f>
        <v>1.57824</v>
      </c>
      <c r="X5230" t="str">
        <v>x</v>
      </c>
      <c r="Y5230">
        <f>D5221</f>
        <v>1</v>
      </c>
      <c r="Z5230" t="str">
        <v>=</v>
      </c>
      <c r="AA5230">
        <f>IF(AA5233=0,(D5230*N5230+P5230*R5230)*U5230*Y5230,0)</f>
        <v>0</v>
      </c>
    </row>
    <row r="5231">
      <c r="A5231" t="str">
        <f>A5215</f>
        <v>Lantai 3</v>
      </c>
      <c r="B5231">
        <f>B5215</f>
        <v>32</v>
      </c>
      <c r="C5231" t="str">
        <v>Tul Bawah Lapangan</v>
      </c>
      <c r="D5231">
        <f>VLOOKUP(D5215,'Detail Balok'!$C$10:$AU$140,25,FALSE)</f>
        <v>4</v>
      </c>
      <c r="E5231" t="str">
        <v>D</v>
      </c>
      <c r="F5231">
        <f>VLOOKUP(D5215,'Detail Balok'!$C$10:$AU$140,27,FALSE)</f>
        <v>16</v>
      </c>
      <c r="I5231" t="str">
        <v>(</v>
      </c>
      <c r="J5231">
        <f>+J5223</f>
        <v>2.7125</v>
      </c>
      <c r="K5231" t="str">
        <v>+</v>
      </c>
      <c r="M5231" t="str">
        <v>=</v>
      </c>
      <c r="N5231">
        <f>J5231+L5231</f>
        <v>2.7125</v>
      </c>
      <c r="O5231" t="str">
        <v>+</v>
      </c>
      <c r="P5231">
        <f>MAX(D5231-D5230,D5231-D5232)</f>
        <v>0</v>
      </c>
      <c r="Q5231" t="str">
        <v>x</v>
      </c>
      <c r="R5231">
        <f>IF(P5231&gt;0,2*(1-2*$F$19-1/2)*D5218/1000,0)</f>
        <v>0</v>
      </c>
      <c r="S5231" t="str">
        <v>)</v>
      </c>
      <c r="T5231" t="str">
        <v>x</v>
      </c>
      <c r="U5231">
        <f>0.006165*F5231^2</f>
        <v>1.57824</v>
      </c>
      <c r="X5231" t="str">
        <v>x</v>
      </c>
      <c r="Y5231">
        <f>D5221</f>
        <v>1</v>
      </c>
      <c r="Z5231" t="str">
        <v>=</v>
      </c>
      <c r="AA5231">
        <f>IF(AA5233=0,(D5231*N5231+P5231*R5231)*U5231*Y5231,0)</f>
        <v>0</v>
      </c>
    </row>
    <row r="5232">
      <c r="A5232" t="str">
        <f>A5215</f>
        <v>Lantai 3</v>
      </c>
      <c r="B5232">
        <f>B5215</f>
        <v>32</v>
      </c>
      <c r="C5232" t="str">
        <v>Tul Bawah Tumpuan</v>
      </c>
      <c r="D5232">
        <f>VLOOKUP(D5215,'Detail Balok'!$C$10:$AU$140,28,FALSE)</f>
        <v>4</v>
      </c>
      <c r="E5232" t="str">
        <v>D</v>
      </c>
      <c r="F5232">
        <f>VLOOKUP(D5215,'Detail Balok'!$C$10:$AU$140,30,FALSE)</f>
        <v>16</v>
      </c>
      <c r="I5232" t="str">
        <v>(</v>
      </c>
      <c r="J5232">
        <f>+J5224</f>
        <v>1.35625</v>
      </c>
      <c r="K5232" t="str">
        <v>+</v>
      </c>
      <c r="L5232">
        <f>MAX(VLOOKUP(F5232,N$6:P$15,3,FALSE)/1000,2/3*D5220/1000)+F$16*F5232/1000</f>
        <v>0.192</v>
      </c>
      <c r="M5232" t="str">
        <v>=</v>
      </c>
      <c r="N5232">
        <f>J5232+L5232</f>
        <v>1.54825</v>
      </c>
      <c r="O5232" t="str">
        <v>+</v>
      </c>
      <c r="P5232">
        <f>D5232-D5231</f>
        <v>0</v>
      </c>
      <c r="Q5232" t="str">
        <v>x</v>
      </c>
      <c r="R5232">
        <f>IF(P5232&gt;0,$F$18*F5232/1000,0)</f>
        <v>0</v>
      </c>
      <c r="S5232" t="str">
        <v>)</v>
      </c>
      <c r="T5232" t="str">
        <v>x</v>
      </c>
      <c r="U5232">
        <f>0.006165*F5232^2</f>
        <v>1.57824</v>
      </c>
      <c r="X5232" t="str">
        <v>x</v>
      </c>
      <c r="Y5232">
        <f>D5221</f>
        <v>1</v>
      </c>
      <c r="Z5232" t="str">
        <v>=</v>
      </c>
      <c r="AA5232">
        <f>IF(AA5233=0,(D5232*N5232+P5232*R5232)*U5232*Y5232,0)</f>
        <v>0</v>
      </c>
    </row>
    <row r="5233">
      <c r="A5233" t="str">
        <f>A5215</f>
        <v>Lantai 3</v>
      </c>
      <c r="B5233">
        <f>B5215</f>
        <v>32</v>
      </c>
      <c r="D5233">
        <f>IF(AND(D5230=D5231,D5231=D5232,D5230=D5232),D5230,0)</f>
        <v>4</v>
      </c>
      <c r="E5233" t="str">
        <v>D</v>
      </c>
      <c r="F5233">
        <f>IF(AND(F5230=F5231,F5230=F5232,F5231=F5232),F5230,0)</f>
        <v>16</v>
      </c>
      <c r="L5233" t="str">
        <v>Total panjang per balok</v>
      </c>
      <c r="M5233" t="str">
        <v>=</v>
      </c>
      <c r="N5233">
        <f>IF(AND(D5230=D5231,D5230=D5232,D5231=D5232,F5230=F5231,F5230=F5232,F5231=F5232),SUM(N5230:N5232),0)</f>
        <v>5.808999999999999</v>
      </c>
      <c r="O5233" t="str">
        <v>+</v>
      </c>
      <c r="P5233">
        <f>IF(N5233&gt;12,ROUNDDOWN(N5233/12,0),0)</f>
        <v>0</v>
      </c>
      <c r="Q5233" t="str">
        <v>x</v>
      </c>
      <c r="R5233">
        <f>IF(P5233&gt;0,MAX(VLOOKUP(F5233,$D$6:$G$15,3,FALSE),600),0)/1000</f>
        <v>0</v>
      </c>
      <c r="T5233" t="str">
        <v>x</v>
      </c>
      <c r="U5233">
        <f>U5232</f>
        <v>1.57824</v>
      </c>
      <c r="V5233" t="str">
        <v>x</v>
      </c>
      <c r="W5233">
        <f>D5233</f>
        <v>4</v>
      </c>
      <c r="X5233" t="str">
        <v>x</v>
      </c>
      <c r="Y5233">
        <f>Y5232</f>
        <v>1</v>
      </c>
      <c r="Z5233" t="str">
        <v>=</v>
      </c>
      <c r="AA5233">
        <f>(N5233+P5233*R5233/1000)*U5233*W5233*Y5233</f>
        <v>36.67198464</v>
      </c>
    </row>
    <row r="5235">
      <c r="A5235" t="str">
        <f>A5215</f>
        <v>Lantai 3</v>
      </c>
      <c r="B5235">
        <f>B5215</f>
        <v>32</v>
      </c>
      <c r="C5235" t="str">
        <v>Sengkang Tumpuan</v>
      </c>
      <c r="D5235">
        <f>VLOOKUP(D5215,'Detail Balok'!$C$10:$AU$140,31,FALSE)</f>
        <v>0</v>
      </c>
      <c r="E5235" t="str">
        <v>D</v>
      </c>
      <c r="F5235">
        <f>VLOOKUP(D5215,'Detail Balok'!$C$10:$AU$140,33,FALSE)</f>
        <v>10</v>
      </c>
      <c r="G5235" t="str">
        <v>-</v>
      </c>
      <c r="H5235">
        <f>VLOOKUP(D5215,'Detail Balok'!$C$10:$AU$140,35,FALSE)</f>
        <v>150</v>
      </c>
      <c r="J5235">
        <f>(IF(D5235=0,(2*(D5216+G5216))-(F$5*8),IF(D5235=3,(2*(D5216+G5216))-(F$5*8)+(G5216-2*F$5),IF(D5235=4,(2*(D5216+G5216))-(F$5*8)+2*(G5216-2*F$5)))))/1000</f>
        <v>1.08</v>
      </c>
      <c r="K5235" t="str">
        <v>+</v>
      </c>
      <c r="L5235">
        <f>IF(D5235=0,2*MAX(6*F5235,75),(D5235-1)*2*MAX(6*F5235,75))/1000</f>
        <v>0.15</v>
      </c>
      <c r="M5235" t="str">
        <v>=</v>
      </c>
      <c r="N5235">
        <f>J5235+L5235</f>
        <v>1.23</v>
      </c>
      <c r="T5235" t="str">
        <v>x</v>
      </c>
      <c r="U5235">
        <f>0.006165*F5235^2</f>
        <v>0.6165</v>
      </c>
      <c r="V5235" t="str">
        <v>x</v>
      </c>
      <c r="W5235">
        <f>IF(D5218&gt;4*G5216,ROUND(MAX(D5218/4,2*G5216)/H5235,0)+1,ROUND(D5218/H5235,0)+1)</f>
        <v>10</v>
      </c>
      <c r="X5235" t="str">
        <v>x</v>
      </c>
      <c r="Y5235">
        <f>D5221</f>
        <v>1</v>
      </c>
      <c r="Z5235" t="str">
        <v>=</v>
      </c>
      <c r="AA5235">
        <f>N5235*U5235*W5235*Y5235</f>
        <v>7.58295</v>
      </c>
    </row>
    <row r="5236">
      <c r="A5236" t="str">
        <f>A5215</f>
        <v>Lantai 3</v>
      </c>
      <c r="B5236">
        <f>B5215</f>
        <v>32</v>
      </c>
      <c r="C5236" t="str">
        <v>Sengkang Lapangan</v>
      </c>
      <c r="D5236">
        <f>VLOOKUP(D5215,'Detail Balok'!$C$10:$AU$140,36,FALSE)</f>
        <v>0</v>
      </c>
      <c r="E5236" t="str">
        <v>D</v>
      </c>
      <c r="F5236">
        <f>VLOOKUP(D5215,'Detail Balok'!$C$10:$AU$140,38,FALSE)</f>
        <v>10</v>
      </c>
      <c r="G5236" t="str">
        <v>-</v>
      </c>
      <c r="H5236">
        <f>VLOOKUP(D5215,'Detail Balok'!$C$10:$AU$140,40,FALSE)</f>
        <v>200</v>
      </c>
      <c r="J5236">
        <f>(IF(D5236=0,(2*(D5216+G5216))-(F$5*8),IF(D5236=3,(2*(D5216+G5216))-(F$5*8)+(G5216-2*F$5),IF(D5236=4,(2*(D5216+G5216))-(F$5*8)+2*(G5216-2*F$5)))))/1000</f>
        <v>1.08</v>
      </c>
      <c r="K5236" t="str">
        <v>+</v>
      </c>
      <c r="L5236">
        <f>IF(D5236=0,2*MAX(6*F5236,75),(D5236-1)*2*MAX(6*F5236,75))/1000</f>
        <v>0.15</v>
      </c>
      <c r="M5236" t="str">
        <v>=</v>
      </c>
      <c r="N5236">
        <f>J5236+L5236</f>
        <v>1.23</v>
      </c>
      <c r="T5236" t="str">
        <v>x</v>
      </c>
      <c r="U5236">
        <f>0.006165*F5236^2</f>
        <v>0.6165</v>
      </c>
      <c r="V5236" t="str">
        <v>x</v>
      </c>
      <c r="W5236">
        <f>IF(D5218-MAX(D5218/4,2*G5216)*2&gt;0,ROUND((D5218-MAX(D5218/4,2*G5216)*2)/H5236,0),0)</f>
        <v>14</v>
      </c>
      <c r="X5236" t="str">
        <v>x</v>
      </c>
      <c r="Y5236">
        <f>D5221</f>
        <v>1</v>
      </c>
      <c r="Z5236" t="str">
        <v>=</v>
      </c>
      <c r="AA5236">
        <f>N5236*U5236*W5236*Y5236</f>
        <v>10.61613</v>
      </c>
    </row>
    <row r="5237">
      <c r="A5237" t="str">
        <f>A5215</f>
        <v>Lantai 3</v>
      </c>
      <c r="B5237">
        <f>B5215</f>
        <v>32</v>
      </c>
      <c r="C5237" t="str">
        <v>Sengkang Tumpuan</v>
      </c>
      <c r="D5237">
        <f>VLOOKUP(D5215,'Detail Balok'!$C$10:$AU$140,41,FALSE)</f>
        <v>0</v>
      </c>
      <c r="E5237" t="str">
        <v>D</v>
      </c>
      <c r="F5237">
        <f>VLOOKUP(D5215,'Detail Balok'!$C$10:$AU$140,43,FALSE)</f>
        <v>10</v>
      </c>
      <c r="G5237" t="str">
        <v>-</v>
      </c>
      <c r="H5237">
        <f>VLOOKUP(D5215,'Detail Balok'!$C$10:$AU$140,45,FALSE)</f>
        <v>150</v>
      </c>
      <c r="J5237">
        <f>(IF(D5237=0,(2*(D5216+G5216))-(F$5*8),IF(D5237=3,(2*(D5216+G5216))-(F$5*8)+(G5216-2*F$5),IF(D5237=4,(2*(D5216+G5216))-(F$5*8)+2*(G5216-2*F$5)))))/1000</f>
        <v>1.08</v>
      </c>
      <c r="K5237" t="str">
        <v>+</v>
      </c>
      <c r="L5237">
        <f>IF(D5237=0,2*MAX(6*F5237,75),(D5237-1)*2*MAX(6*F5237,75))/1000</f>
        <v>0.15</v>
      </c>
      <c r="M5237" t="str">
        <v>=</v>
      </c>
      <c r="N5237">
        <f>J5237+L5237</f>
        <v>1.23</v>
      </c>
      <c r="T5237" t="str">
        <v>x</v>
      </c>
      <c r="U5237">
        <f>0.006165*F5237^2</f>
        <v>0.6165</v>
      </c>
      <c r="V5237" t="str">
        <v>x</v>
      </c>
      <c r="W5237">
        <f>IF(D5218&gt;4*G5216,ROUND(MAX(D5218/4,2*G5216)/H5237,0)+1,0)</f>
        <v>10</v>
      </c>
      <c r="X5237" t="str">
        <v>x</v>
      </c>
      <c r="Y5237">
        <f>D5221</f>
        <v>1</v>
      </c>
      <c r="Z5237" t="str">
        <v>=</v>
      </c>
      <c r="AA5237">
        <f>N5237*U5237*W5237*Y5237</f>
        <v>7.58295</v>
      </c>
    </row>
    <row r="5239">
      <c r="A5239" t="str">
        <f>A5215</f>
        <v>Lantai 3</v>
      </c>
      <c r="B5239">
        <f>B5215</f>
        <v>32</v>
      </c>
      <c r="C5239" t="str">
        <v>Kait Horizontal Tump.</v>
      </c>
      <c r="D5239">
        <f>VLOOKUP(D5215,'Detail Balok'!$C$10:$BJ$140,46,FALSE)</f>
        <v>0</v>
      </c>
      <c r="E5239" t="str">
        <v>D</v>
      </c>
      <c r="F5239">
        <f>VLOOKUP(D5215,'Detail Balok'!$C$10:$BJ$140,48,FALSE)</f>
        <v>0</v>
      </c>
      <c r="G5239" t="str">
        <v>-</v>
      </c>
      <c r="H5239">
        <f>VLOOKUP(D5215,'Detail Balok'!$C$10:$BJ$140,50,FALSE)</f>
        <v>100</v>
      </c>
      <c r="J5239">
        <f>(D5216-2*F$5)/1000</f>
        <v>0.12</v>
      </c>
      <c r="K5239" t="str">
        <v>+</v>
      </c>
      <c r="L5239">
        <f>IF(D5239=0,2*MAX(6*F5239,75),(D5239-1)*2*MAX(6*F5239,75))/1000</f>
        <v>0.15</v>
      </c>
      <c r="M5239" t="str">
        <v>=</v>
      </c>
      <c r="N5239">
        <f>J5239+L5239</f>
        <v>0.27</v>
      </c>
      <c r="T5239" t="str">
        <v>x</v>
      </c>
      <c r="U5239">
        <f>0.006165*F5239^2</f>
        <v>0</v>
      </c>
      <c r="V5239" t="str">
        <v>x</v>
      </c>
      <c r="W5239">
        <f>W5235</f>
        <v>10</v>
      </c>
      <c r="X5239" t="str">
        <v>x</v>
      </c>
      <c r="Y5239">
        <f>D5225</f>
        <v>4</v>
      </c>
      <c r="Z5239" t="str">
        <v>=</v>
      </c>
      <c r="AA5239">
        <f>N5239*U5239*W5239*Y5239</f>
        <v>0</v>
      </c>
    </row>
    <row r="5240">
      <c r="A5240" t="str">
        <f>A5215</f>
        <v>Lantai 3</v>
      </c>
      <c r="B5240">
        <f>B5215</f>
        <v>32</v>
      </c>
      <c r="C5240" t="str">
        <v>Kait Horizontal Lap.</v>
      </c>
      <c r="D5240">
        <f>VLOOKUP(D5215,'Detail Balok'!$C$10:$BJ$140,51,FALSE)</f>
        <v>0</v>
      </c>
      <c r="E5240" t="str">
        <v>D</v>
      </c>
      <c r="F5240">
        <f>VLOOKUP(D5215,'Detail Balok'!$C$10:$BJ$140,53,FALSE)</f>
        <v>0</v>
      </c>
      <c r="G5240" t="str">
        <v>-</v>
      </c>
      <c r="H5240">
        <f>VLOOKUP(D5215,'Detail Balok'!$C$10:$BJ$140,55,FALSE)</f>
        <v>100</v>
      </c>
      <c r="J5240">
        <f>(D5216-2*F$5)/1000</f>
        <v>0.12</v>
      </c>
      <c r="K5240" t="str">
        <v>+</v>
      </c>
      <c r="L5240">
        <f>IF(D5240=0,2*MAX(6*F5240,75),(D5240-1)*2*MAX(6*F5240,75))/1000</f>
        <v>0.15</v>
      </c>
      <c r="M5240" t="str">
        <v>=</v>
      </c>
      <c r="N5240">
        <f>J5240+L5240</f>
        <v>0.27</v>
      </c>
      <c r="T5240" t="str">
        <v>x</v>
      </c>
      <c r="U5240">
        <f>0.006165*F5240^2</f>
        <v>0</v>
      </c>
      <c r="V5240" t="str">
        <v>x</v>
      </c>
      <c r="W5240">
        <f>W5236</f>
        <v>14</v>
      </c>
      <c r="X5240" t="str">
        <v>x</v>
      </c>
      <c r="Y5240">
        <f>D5225</f>
        <v>4</v>
      </c>
      <c r="Z5240" t="str">
        <v>=</v>
      </c>
      <c r="AA5240">
        <f>N5240*U5240*W5240*Y5240</f>
        <v>0</v>
      </c>
    </row>
    <row r="5241">
      <c r="A5241" t="str">
        <f>A5215</f>
        <v>Lantai 3</v>
      </c>
      <c r="B5241">
        <f>B5215</f>
        <v>32</v>
      </c>
      <c r="C5241" t="str">
        <v>Kait Horizontal Tump.</v>
      </c>
      <c r="D5241">
        <f>VLOOKUP(D5215,'Detail Balok'!$C$10:$BJ$140,56,FALSE)</f>
        <v>0</v>
      </c>
      <c r="E5241" t="str">
        <v>D</v>
      </c>
      <c r="F5241">
        <f>VLOOKUP(D5215,'Detail Balok'!$C$10:$BJ$140,58,FALSE)</f>
        <v>0</v>
      </c>
      <c r="G5241" t="str">
        <v>-</v>
      </c>
      <c r="H5241">
        <f>VLOOKUP(D5215,'Detail Balok'!$C$10:$BJ$140,60,FALSE)</f>
        <v>100</v>
      </c>
      <c r="J5241">
        <f>(D5216-2*F$5)/1000</f>
        <v>0.12</v>
      </c>
      <c r="K5241" t="str">
        <v>+</v>
      </c>
      <c r="L5241">
        <f>IF(D5241=0,2*MAX(6*F5241,75),(D5241-1)*2*MAX(6*F5241,75))/1000</f>
        <v>0.15</v>
      </c>
      <c r="M5241" t="str">
        <v>=</v>
      </c>
      <c r="N5241">
        <f>J5241+L5241</f>
        <v>0.27</v>
      </c>
      <c r="T5241" t="str">
        <v>x</v>
      </c>
      <c r="U5241">
        <f>0.006165*F5241^2</f>
        <v>0</v>
      </c>
      <c r="V5241" t="str">
        <v>x</v>
      </c>
      <c r="W5241">
        <f>W5237</f>
        <v>10</v>
      </c>
      <c r="X5241" t="str">
        <v>x</v>
      </c>
      <c r="Y5241">
        <f>D5225</f>
        <v>4</v>
      </c>
      <c r="Z5241" t="str">
        <v>=</v>
      </c>
      <c r="AA5241">
        <f>N5241*U5241*W5241*Y5241</f>
        <v>0</v>
      </c>
    </row>
    <row r="5245">
      <c r="A5245" t="str">
        <f>A5215</f>
        <v>Lantai 3</v>
      </c>
      <c r="B5245">
        <f>B5215+1</f>
        <v>33</v>
      </c>
      <c r="C5245" t="str">
        <f>CONCATENATE(A5245," no. ",B5245)</f>
        <v>Lantai 3 no. 33</v>
      </c>
      <c r="D5245" t="str">
        <f>VLOOKUP(C5245,'Data Panjang Balok'!$C$9:$N$254,2,FALSE)</f>
        <v>B26-1</v>
      </c>
    </row>
    <row r="5246">
      <c r="C5246" t="str">
        <v>Dimensi</v>
      </c>
      <c r="D5246">
        <f>VLOOKUP(D5245,'Detail Balok'!$C$10:$AU$140,2,FALSE)</f>
        <v>200</v>
      </c>
      <c r="F5246" t="str">
        <v>x</v>
      </c>
      <c r="G5246">
        <f>VLOOKUP(D5245,'Detail Balok'!$C$10:$AU$140,3,FALSE)</f>
        <v>600</v>
      </c>
    </row>
    <row r="5247">
      <c r="C5247" t="str">
        <v>Panjang as ke as</v>
      </c>
      <c r="D5247">
        <f>VLOOKUP(C5245,'Data Panjang Balok'!$C$9:$N$254,4,FALSE)</f>
        <v>5585</v>
      </c>
    </row>
    <row r="5248">
      <c r="C5248" t="str">
        <v>Panjang netto</v>
      </c>
      <c r="D5248">
        <f>VLOOKUP(C5245,'Data Panjang Balok'!$C$9:$N$254,7,FALSE)</f>
        <v>5585</v>
      </c>
    </row>
    <row r="5249">
      <c r="C5249" t="str">
        <v>Kolom / balok kiri</v>
      </c>
      <c r="D5249">
        <f>VLOOKUP(C5245,'Data Panjang Balok'!$C$9:$N$254,9,FALSE)</f>
        <v>0</v>
      </c>
    </row>
    <row r="5250">
      <c r="C5250" t="str">
        <v>Kolom / balok kanan</v>
      </c>
      <c r="D5250">
        <f>VLOOKUP(C5245,'Data Panjang Balok'!$C$9:$N$254,10,FALSE)</f>
        <v>0</v>
      </c>
    </row>
    <row r="5251">
      <c r="C5251" t="str">
        <v>Jumlah</v>
      </c>
      <c r="D5251">
        <f>VLOOKUP(C5245,'Data Panjang Balok'!$C$9:$N$254,3,FALSE)</f>
        <v>1</v>
      </c>
    </row>
    <row r="5252">
      <c r="A5252" t="str">
        <f>A5245</f>
        <v>Lantai 3</v>
      </c>
      <c r="B5252">
        <f>B5245</f>
        <v>33</v>
      </c>
      <c r="C5252" t="str">
        <v>Tul Atas Tumpuan</v>
      </c>
      <c r="D5252">
        <f>VLOOKUP(D5245,'Detail Balok'!$C$10:$AU$140,4,FALSE)</f>
        <v>4</v>
      </c>
      <c r="E5252" t="str">
        <v>D</v>
      </c>
      <c r="F5252">
        <f>VLOOKUP(D5245,'Detail Balok'!$C$10:$AU$140,6,FALSE)</f>
        <v>16</v>
      </c>
      <c r="I5252" t="str">
        <v>(</v>
      </c>
      <c r="J5252">
        <f>+D5247/4/1000</f>
        <v>1.39625</v>
      </c>
      <c r="K5252" t="str">
        <v>+</v>
      </c>
      <c r="L5252">
        <f>MAX(VLOOKUP(F5252,N$6:P$15,3,FALSE)/1000,2/3*D5249/1000)+F$16*F5252/1000</f>
        <v>0.192</v>
      </c>
      <c r="M5252" t="str">
        <v>=</v>
      </c>
      <c r="N5252">
        <f>J5252+L5252</f>
        <v>1.58825</v>
      </c>
      <c r="O5252" t="str">
        <v>+</v>
      </c>
      <c r="P5252">
        <f>D5252-D5253</f>
        <v>1</v>
      </c>
      <c r="Q5252" t="str">
        <v>x</v>
      </c>
      <c r="R5252">
        <f>IF(P5252&gt;0,$F$18*F5252/1000,0)</f>
        <v>0.24</v>
      </c>
      <c r="S5252" t="str">
        <v>)</v>
      </c>
      <c r="T5252" t="str">
        <v>x</v>
      </c>
      <c r="U5252">
        <f>0.006165*F5252^2</f>
        <v>1.57824</v>
      </c>
      <c r="X5252" t="str">
        <v>x</v>
      </c>
      <c r="Y5252">
        <f>D5251</f>
        <v>1</v>
      </c>
      <c r="Z5252" t="str">
        <v>=</v>
      </c>
      <c r="AA5252">
        <f>IF(AA5255=0,(D5252*N5252+P5252*R5252)*U5252*Y5252,0)</f>
        <v>10.40533632</v>
      </c>
    </row>
    <row r="5253">
      <c r="A5253" t="str">
        <f>A5245</f>
        <v>Lantai 3</v>
      </c>
      <c r="B5253">
        <f>B5245</f>
        <v>33</v>
      </c>
      <c r="C5253" t="str">
        <v>Tul Atas Lapangan</v>
      </c>
      <c r="D5253">
        <f>VLOOKUP(D5245,'Detail Balok'!$C$10:$AU$140,7,FALSE)</f>
        <v>3</v>
      </c>
      <c r="E5253" t="str">
        <v>D</v>
      </c>
      <c r="F5253">
        <f>VLOOKUP(D5245,'Detail Balok'!$C$10:$AU$140,9,FALSE)</f>
        <v>16</v>
      </c>
      <c r="I5253" t="str">
        <v>(</v>
      </c>
      <c r="J5253">
        <f>+D5247/2/1000</f>
        <v>2.7925</v>
      </c>
      <c r="K5253" t="str">
        <v>+</v>
      </c>
      <c r="M5253" t="str">
        <v>=</v>
      </c>
      <c r="N5253">
        <f>J5253+L5253</f>
        <v>2.7925</v>
      </c>
      <c r="O5253" t="str">
        <v>+</v>
      </c>
      <c r="P5253">
        <f>MAX(D5253-D5252,D5253-D5254)</f>
        <v>-1</v>
      </c>
      <c r="Q5253" t="str">
        <v>x</v>
      </c>
      <c r="R5253">
        <f>IF(P5253&gt;0,2*(1-2*$F$19-1/2)*D5248/1000,0)</f>
        <v>0</v>
      </c>
      <c r="S5253" t="str">
        <v>)</v>
      </c>
      <c r="T5253" t="str">
        <v>x</v>
      </c>
      <c r="U5253">
        <f>0.006165*F5253^2</f>
        <v>1.57824</v>
      </c>
      <c r="X5253" t="str">
        <v>x</v>
      </c>
      <c r="Y5253">
        <f>D5251</f>
        <v>1</v>
      </c>
      <c r="Z5253" t="str">
        <v>=</v>
      </c>
      <c r="AA5253">
        <f>IF(AA5255=0,(D5253*N5253+P5253*R5253)*U5253*Y5253,0)</f>
        <v>13.2217056</v>
      </c>
    </row>
    <row r="5254">
      <c r="A5254" t="str">
        <f>A5245</f>
        <v>Lantai 3</v>
      </c>
      <c r="B5254">
        <f>B5245</f>
        <v>33</v>
      </c>
      <c r="C5254" t="str">
        <v>Tul Atas Tumpuan</v>
      </c>
      <c r="D5254">
        <f>VLOOKUP(D5245,'Detail Balok'!$C$10:$AU$140,10,FALSE)</f>
        <v>4</v>
      </c>
      <c r="E5254" t="str">
        <v>D</v>
      </c>
      <c r="F5254">
        <f>VLOOKUP(D5245,'Detail Balok'!$C$10:$AU$140,12,FALSE)</f>
        <v>16</v>
      </c>
      <c r="I5254" t="str">
        <v>(</v>
      </c>
      <c r="J5254">
        <f>+D5247/4/1000</f>
        <v>1.39625</v>
      </c>
      <c r="K5254" t="str">
        <v>+</v>
      </c>
      <c r="L5254">
        <f>MAX(VLOOKUP(F5254,N$6:P$15,3,FALSE)/1000,2/3*D5249/1000)+F$16*F5254/1000</f>
        <v>0.192</v>
      </c>
      <c r="M5254" t="str">
        <v>=</v>
      </c>
      <c r="N5254">
        <f>J5254+L5254</f>
        <v>1.58825</v>
      </c>
      <c r="O5254" t="str">
        <v>+</v>
      </c>
      <c r="P5254">
        <f>D5254-D5253</f>
        <v>1</v>
      </c>
      <c r="Q5254" t="str">
        <v>x</v>
      </c>
      <c r="R5254">
        <f>IF(P5254&gt;0,$F$18*F5254/1000,0)</f>
        <v>0.24</v>
      </c>
      <c r="S5254" t="str">
        <v>)</v>
      </c>
      <c r="T5254" t="str">
        <v>x</v>
      </c>
      <c r="U5254">
        <f>0.006165*F5254^2</f>
        <v>1.57824</v>
      </c>
      <c r="X5254" t="str">
        <v>x</v>
      </c>
      <c r="Y5254">
        <f>D5251</f>
        <v>1</v>
      </c>
      <c r="Z5254" t="str">
        <v>=</v>
      </c>
      <c r="AA5254">
        <f>IF(AA5255=0,(D5254*N5254+P5254*R5254)*U5254*Y5254,0)</f>
        <v>10.40533632</v>
      </c>
    </row>
    <row r="5255">
      <c r="A5255" t="str">
        <f>A5245</f>
        <v>Lantai 3</v>
      </c>
      <c r="B5255">
        <f>B5245</f>
        <v>33</v>
      </c>
      <c r="D5255">
        <f>IF(AND(D5252=D5253,D5253=D5254,D5252=D5254),D5252,0)</f>
        <v>0</v>
      </c>
      <c r="E5255" t="str">
        <v>D</v>
      </c>
      <c r="F5255">
        <f>IF(AND(F5252=F5253,F5252=F5254,F5253=F5254),F5252,0)</f>
        <v>16</v>
      </c>
      <c r="L5255" t="str">
        <v>Total panjang per balok</v>
      </c>
      <c r="M5255" t="str">
        <v>=</v>
      </c>
      <c r="N5255">
        <f>IF(AND(D5252=D5253,D5252=D5254,D5253=D5254,F5252=F5253,F5252=F5254,F5253=F5254),SUM(N5252:N5254),0)</f>
        <v>0</v>
      </c>
      <c r="O5255" t="str">
        <v>+</v>
      </c>
      <c r="P5255">
        <f>IF(N5255&gt;12,ROUNDDOWN(N5255/12,0),0)</f>
        <v>0</v>
      </c>
      <c r="Q5255" t="str">
        <v>x</v>
      </c>
      <c r="R5255">
        <f>IF(P5255&gt;0,MAX(VLOOKUP(F5255,$D$6:$G$15,3,FALSE),600),0)/1000</f>
        <v>0</v>
      </c>
      <c r="T5255" t="str">
        <v>x</v>
      </c>
      <c r="U5255">
        <f>U5254</f>
        <v>1.57824</v>
      </c>
      <c r="V5255" t="str">
        <v>x</v>
      </c>
      <c r="W5255">
        <f>D5255</f>
        <v>0</v>
      </c>
      <c r="X5255" t="str">
        <v>x</v>
      </c>
      <c r="Y5255">
        <f>Y5254</f>
        <v>1</v>
      </c>
      <c r="Z5255" t="str">
        <v>=</v>
      </c>
      <c r="AA5255">
        <f>(N5255+P5255*R5255/1000)*U5255*W5255*Y5255</f>
        <v>0</v>
      </c>
    </row>
    <row r="5257">
      <c r="A5257" t="str">
        <f>A5245</f>
        <v>Lantai 3</v>
      </c>
      <c r="B5257">
        <f>B5245</f>
        <v>33</v>
      </c>
      <c r="C5257" t="str">
        <v>Tul Peminggang</v>
      </c>
      <c r="D5257">
        <f>VLOOKUP(D5245,'Detail Balok'!$C$10:$AU$140,13,FALSE)</f>
        <v>2</v>
      </c>
      <c r="E5257" t="str">
        <v>D</v>
      </c>
      <c r="F5257">
        <f>VLOOKUP(D5245,'Detail Balok'!$C$10:$AU$140,15,FALSE)</f>
        <v>10</v>
      </c>
      <c r="J5257">
        <f>+D5247/1000</f>
        <v>5.585</v>
      </c>
      <c r="K5257" t="str">
        <v>+</v>
      </c>
      <c r="L5257">
        <f>2*$F$16*F5257/1000</f>
        <v>0.24</v>
      </c>
      <c r="M5257" t="str">
        <v>=</v>
      </c>
      <c r="N5257">
        <f>J5257+L5257</f>
        <v>5.825</v>
      </c>
      <c r="O5257" t="str">
        <v>+</v>
      </c>
      <c r="P5257">
        <f>IF(N5257&gt;12,ROUNDDOWN(N5257/12,0),0)</f>
        <v>0</v>
      </c>
      <c r="Q5257" t="str">
        <v>x</v>
      </c>
      <c r="R5257">
        <f>IF(P5257&gt;0,MAX(VLOOKUP(F5257,$D$6:$G$15,3,FALSE),600),0)/1000</f>
        <v>0</v>
      </c>
      <c r="T5257" t="str">
        <v>x</v>
      </c>
      <c r="U5257">
        <f>0.006165*F5257^2</f>
        <v>0.6165</v>
      </c>
      <c r="V5257" t="str">
        <v>x</v>
      </c>
      <c r="W5257">
        <f>+D5257</f>
        <v>2</v>
      </c>
      <c r="X5257" t="str">
        <v>x</v>
      </c>
      <c r="Y5257">
        <f>D5251</f>
        <v>1</v>
      </c>
      <c r="Z5257" t="str">
        <v>=</v>
      </c>
      <c r="AA5257">
        <f>(N5257+P5257*R5257/1000)*U5257*W5257*Y5257</f>
        <v>7.182225000000001</v>
      </c>
    </row>
    <row r="5260">
      <c r="A5260" t="str">
        <f>A5245</f>
        <v>Lantai 3</v>
      </c>
      <c r="B5260">
        <f>B5245</f>
        <v>33</v>
      </c>
      <c r="C5260" t="str">
        <v>Tul Bawah Tumpuan</v>
      </c>
      <c r="D5260">
        <f>VLOOKUP(D5245,'Detail Balok'!$C$10:$AU$140,22,FALSE)</f>
        <v>3</v>
      </c>
      <c r="E5260" t="str">
        <v>D</v>
      </c>
      <c r="F5260">
        <f>VLOOKUP(D5245,'Detail Balok'!$C$10:$AU$140,24,FALSE)</f>
        <v>16</v>
      </c>
      <c r="I5260" t="str">
        <v>(</v>
      </c>
      <c r="J5260">
        <f>+J5252</f>
        <v>1.39625</v>
      </c>
      <c r="K5260" t="str">
        <v>+</v>
      </c>
      <c r="L5260">
        <f>MAX(VLOOKUP(F5260,N$6:P$15,3,FALSE)/1000,2/3*D5250/1000)+F$16*F5260/1000</f>
        <v>0.192</v>
      </c>
      <c r="M5260" t="str">
        <v>=</v>
      </c>
      <c r="N5260">
        <f>J5260+L5260</f>
        <v>1.58825</v>
      </c>
      <c r="O5260" t="str">
        <v>+</v>
      </c>
      <c r="P5260">
        <f>D5260-D5261</f>
        <v>-1</v>
      </c>
      <c r="Q5260" t="str">
        <v>x</v>
      </c>
      <c r="R5260">
        <f>IF(P5260&gt;0,$F$18*F5260/1000,0)</f>
        <v>0</v>
      </c>
      <c r="S5260" t="str">
        <v>)</v>
      </c>
      <c r="T5260" t="str">
        <v>x</v>
      </c>
      <c r="U5260">
        <f>0.006165*F5260^2</f>
        <v>1.57824</v>
      </c>
      <c r="X5260" t="str">
        <v>x</v>
      </c>
      <c r="Y5260">
        <f>D5251</f>
        <v>1</v>
      </c>
      <c r="Z5260" t="str">
        <v>=</v>
      </c>
      <c r="AA5260">
        <f>IF(AA5263=0,(D5260*N5260+P5260*R5260)*U5260*Y5260,0)</f>
        <v>7.5199190399999996</v>
      </c>
    </row>
    <row r="5261">
      <c r="A5261" t="str">
        <f>A5245</f>
        <v>Lantai 3</v>
      </c>
      <c r="B5261">
        <f>B5245</f>
        <v>33</v>
      </c>
      <c r="C5261" t="str">
        <v>Tul Bawah Lapangan</v>
      </c>
      <c r="D5261">
        <f>VLOOKUP(D5245,'Detail Balok'!$C$10:$AU$140,25,FALSE)</f>
        <v>4</v>
      </c>
      <c r="E5261" t="str">
        <v>D</v>
      </c>
      <c r="F5261">
        <f>VLOOKUP(D5245,'Detail Balok'!$C$10:$AU$140,27,FALSE)</f>
        <v>16</v>
      </c>
      <c r="I5261" t="str">
        <v>(</v>
      </c>
      <c r="J5261">
        <f>+J5253</f>
        <v>2.7925</v>
      </c>
      <c r="K5261" t="str">
        <v>+</v>
      </c>
      <c r="M5261" t="str">
        <v>=</v>
      </c>
      <c r="N5261">
        <f>J5261+L5261</f>
        <v>2.7925</v>
      </c>
      <c r="O5261" t="str">
        <v>+</v>
      </c>
      <c r="P5261">
        <f>MAX(D5261-D5260,D5261-D5262)</f>
        <v>1</v>
      </c>
      <c r="Q5261" t="str">
        <v>x</v>
      </c>
      <c r="R5261">
        <f>IF(P5261&gt;0,2*(1-2*$F$19-1/2)*D5248/1000,0)</f>
        <v>1.1169999999999998</v>
      </c>
      <c r="S5261" t="str">
        <v>)</v>
      </c>
      <c r="T5261" t="str">
        <v>x</v>
      </c>
      <c r="U5261">
        <f>0.006165*F5261^2</f>
        <v>1.57824</v>
      </c>
      <c r="X5261" t="str">
        <v>x</v>
      </c>
      <c r="Y5261">
        <f>D5251</f>
        <v>1</v>
      </c>
      <c r="Z5261" t="str">
        <v>=</v>
      </c>
      <c r="AA5261">
        <f>IF(AA5263=0,(D5261*N5261+P5261*R5261)*U5261*Y5261,0)</f>
        <v>19.39183488</v>
      </c>
    </row>
    <row r="5262">
      <c r="A5262" t="str">
        <f>A5245</f>
        <v>Lantai 3</v>
      </c>
      <c r="B5262">
        <f>B5245</f>
        <v>33</v>
      </c>
      <c r="C5262" t="str">
        <v>Tul Bawah Tumpuan</v>
      </c>
      <c r="D5262">
        <f>VLOOKUP(D5245,'Detail Balok'!$C$10:$AU$140,28,FALSE)</f>
        <v>3</v>
      </c>
      <c r="E5262" t="str">
        <v>D</v>
      </c>
      <c r="F5262">
        <f>VLOOKUP(D5245,'Detail Balok'!$C$10:$AU$140,30,FALSE)</f>
        <v>16</v>
      </c>
      <c r="I5262" t="str">
        <v>(</v>
      </c>
      <c r="J5262">
        <f>+J5254</f>
        <v>1.39625</v>
      </c>
      <c r="K5262" t="str">
        <v>+</v>
      </c>
      <c r="L5262">
        <f>MAX(VLOOKUP(F5262,N$6:P$15,3,FALSE)/1000,2/3*D5250/1000)+F$16*F5262/1000</f>
        <v>0.192</v>
      </c>
      <c r="M5262" t="str">
        <v>=</v>
      </c>
      <c r="N5262">
        <f>J5262+L5262</f>
        <v>1.58825</v>
      </c>
      <c r="O5262" t="str">
        <v>+</v>
      </c>
      <c r="P5262">
        <f>D5262-D5261</f>
        <v>-1</v>
      </c>
      <c r="Q5262" t="str">
        <v>x</v>
      </c>
      <c r="R5262">
        <f>IF(P5262&gt;0,$F$18*F5262/1000,0)</f>
        <v>0</v>
      </c>
      <c r="S5262" t="str">
        <v>)</v>
      </c>
      <c r="T5262" t="str">
        <v>x</v>
      </c>
      <c r="U5262">
        <f>0.006165*F5262^2</f>
        <v>1.57824</v>
      </c>
      <c r="X5262" t="str">
        <v>x</v>
      </c>
      <c r="Y5262">
        <f>D5251</f>
        <v>1</v>
      </c>
      <c r="Z5262" t="str">
        <v>=</v>
      </c>
      <c r="AA5262">
        <f>IF(AA5263=0,(D5262*N5262+P5262*R5262)*U5262*Y5262,0)</f>
        <v>7.5199190399999996</v>
      </c>
    </row>
    <row r="5263">
      <c r="A5263" t="str">
        <f>A5245</f>
        <v>Lantai 3</v>
      </c>
      <c r="B5263">
        <f>B5245</f>
        <v>33</v>
      </c>
      <c r="D5263">
        <f>IF(AND(D5260=D5261,D5261=D5262,D5260=D5262),D5260,0)</f>
        <v>0</v>
      </c>
      <c r="E5263" t="str">
        <v>D</v>
      </c>
      <c r="F5263">
        <f>IF(AND(F5260=F5261,F5260=F5262,F5261=F5262),F5260,0)</f>
        <v>16</v>
      </c>
      <c r="L5263" t="str">
        <v>Total panjang per balok</v>
      </c>
      <c r="M5263" t="str">
        <v>=</v>
      </c>
      <c r="N5263">
        <f>IF(AND(D5260=D5261,D5260=D5262,D5261=D5262,F5260=F5261,F5260=F5262,F5261=F5262),SUM(N5260:N5262),0)</f>
        <v>0</v>
      </c>
      <c r="O5263" t="str">
        <v>+</v>
      </c>
      <c r="P5263">
        <f>IF(N5263&gt;12,ROUNDDOWN(N5263/12,0),0)</f>
        <v>0</v>
      </c>
      <c r="Q5263" t="str">
        <v>x</v>
      </c>
      <c r="R5263">
        <f>IF(P5263&gt;0,MAX(VLOOKUP(F5263,$D$6:$G$15,3,FALSE),600),0)/1000</f>
        <v>0</v>
      </c>
      <c r="T5263" t="str">
        <v>x</v>
      </c>
      <c r="U5263">
        <f>U5262</f>
        <v>1.57824</v>
      </c>
      <c r="V5263" t="str">
        <v>x</v>
      </c>
      <c r="W5263">
        <f>D5263</f>
        <v>0</v>
      </c>
      <c r="X5263" t="str">
        <v>x</v>
      </c>
      <c r="Y5263">
        <f>Y5262</f>
        <v>1</v>
      </c>
      <c r="Z5263" t="str">
        <v>=</v>
      </c>
      <c r="AA5263">
        <f>(N5263+P5263*R5263/1000)*U5263*W5263*Y5263</f>
        <v>0</v>
      </c>
    </row>
    <row r="5265">
      <c r="A5265" t="str">
        <f>A5245</f>
        <v>Lantai 3</v>
      </c>
      <c r="B5265">
        <f>B5245</f>
        <v>33</v>
      </c>
      <c r="C5265" t="str">
        <v>Sengkang Tumpuan</v>
      </c>
      <c r="D5265">
        <f>VLOOKUP(D5245,'Detail Balok'!$C$10:$AU$140,31,FALSE)</f>
        <v>0</v>
      </c>
      <c r="E5265" t="str">
        <v>D</v>
      </c>
      <c r="F5265">
        <f>VLOOKUP(D5245,'Detail Balok'!$C$10:$AU$140,33,FALSE)</f>
        <v>10</v>
      </c>
      <c r="G5265" t="str">
        <v>-</v>
      </c>
      <c r="H5265">
        <f>VLOOKUP(D5245,'Detail Balok'!$C$10:$AU$140,35,FALSE)</f>
        <v>100</v>
      </c>
      <c r="J5265">
        <f>(IF(D5265=0,(2*(D5246+G5246))-(F$5*8),IF(D5265=3,(2*(D5246+G5246))-(F$5*8)+(G5246-2*F$5),IF(D5265=4,(2*(D5246+G5246))-(F$5*8)+2*(G5246-2*F$5)))))/1000</f>
        <v>1.28</v>
      </c>
      <c r="K5265" t="str">
        <v>+</v>
      </c>
      <c r="L5265">
        <f>IF(D5265=0,2*MAX(6*F5265,75),(D5265-1)*2*MAX(6*F5265,75))/1000</f>
        <v>0.15</v>
      </c>
      <c r="M5265" t="str">
        <v>=</v>
      </c>
      <c r="N5265">
        <f>J5265+L5265</f>
        <v>1.43</v>
      </c>
      <c r="T5265" t="str">
        <v>x</v>
      </c>
      <c r="U5265">
        <f>0.006165*F5265^2</f>
        <v>0.6165</v>
      </c>
      <c r="V5265" t="str">
        <v>x</v>
      </c>
      <c r="W5265">
        <f>IF(D5248&gt;4*G5246,ROUND(MAX(D5248/4,2*G5246)/H5265,0)+1,ROUND(D5248/H5265,0)+1)</f>
        <v>15</v>
      </c>
      <c r="X5265" t="str">
        <v>x</v>
      </c>
      <c r="Y5265">
        <f>D5251</f>
        <v>1</v>
      </c>
      <c r="Z5265" t="str">
        <v>=</v>
      </c>
      <c r="AA5265">
        <f>N5265*U5265*W5265*Y5265</f>
        <v>13.223925</v>
      </c>
    </row>
    <row r="5266">
      <c r="A5266" t="str">
        <f>A5245</f>
        <v>Lantai 3</v>
      </c>
      <c r="B5266">
        <f>B5245</f>
        <v>33</v>
      </c>
      <c r="C5266" t="str">
        <v>Sengkang Lapangan</v>
      </c>
      <c r="D5266">
        <f>VLOOKUP(D5245,'Detail Balok'!$C$10:$AU$140,36,FALSE)</f>
        <v>0</v>
      </c>
      <c r="E5266" t="str">
        <v>D</v>
      </c>
      <c r="F5266">
        <f>VLOOKUP(D5245,'Detail Balok'!$C$10:$AU$140,38,FALSE)</f>
        <v>10</v>
      </c>
      <c r="G5266" t="str">
        <v>-</v>
      </c>
      <c r="H5266">
        <f>VLOOKUP(D5245,'Detail Balok'!$C$10:$AU$140,40,FALSE)</f>
        <v>150</v>
      </c>
      <c r="J5266">
        <f>(IF(D5266=0,(2*(D5246+G5246))-(F$5*8),IF(D5266=3,(2*(D5246+G5246))-(F$5*8)+(G5246-2*F$5),IF(D5266=4,(2*(D5246+G5246))-(F$5*8)+2*(G5246-2*F$5)))))/1000</f>
        <v>1.28</v>
      </c>
      <c r="K5266" t="str">
        <v>+</v>
      </c>
      <c r="L5266">
        <f>IF(D5266=0,2*MAX(6*F5266,75),(D5266-1)*2*MAX(6*F5266,75))/1000</f>
        <v>0.15</v>
      </c>
      <c r="M5266" t="str">
        <v>=</v>
      </c>
      <c r="N5266">
        <f>J5266+L5266</f>
        <v>1.43</v>
      </c>
      <c r="T5266" t="str">
        <v>x</v>
      </c>
      <c r="U5266">
        <f>0.006165*F5266^2</f>
        <v>0.6165</v>
      </c>
      <c r="V5266" t="str">
        <v>x</v>
      </c>
      <c r="W5266">
        <f>IF(D5248-MAX(D5248/4,2*G5246)*2&gt;0,ROUND((D5248-MAX(D5248/4,2*G5246)*2)/H5266,0),0)</f>
        <v>19</v>
      </c>
      <c r="X5266" t="str">
        <v>x</v>
      </c>
      <c r="Y5266">
        <f>D5251</f>
        <v>1</v>
      </c>
      <c r="Z5266" t="str">
        <v>=</v>
      </c>
      <c r="AA5266">
        <f>N5266*U5266*W5266*Y5266</f>
        <v>16.750305</v>
      </c>
    </row>
    <row r="5267">
      <c r="A5267" t="str">
        <f>A5245</f>
        <v>Lantai 3</v>
      </c>
      <c r="B5267">
        <f>B5245</f>
        <v>33</v>
      </c>
      <c r="C5267" t="str">
        <v>Sengkang Tumpuan</v>
      </c>
      <c r="D5267">
        <f>VLOOKUP(D5245,'Detail Balok'!$C$10:$AU$140,41,FALSE)</f>
        <v>0</v>
      </c>
      <c r="E5267" t="str">
        <v>D</v>
      </c>
      <c r="F5267">
        <f>VLOOKUP(D5245,'Detail Balok'!$C$10:$AU$140,43,FALSE)</f>
        <v>10</v>
      </c>
      <c r="G5267" t="str">
        <v>-</v>
      </c>
      <c r="H5267">
        <f>VLOOKUP(D5245,'Detail Balok'!$C$10:$AU$140,45,FALSE)</f>
        <v>100</v>
      </c>
      <c r="J5267">
        <f>(IF(D5267=0,(2*(D5246+G5246))-(F$5*8),IF(D5267=3,(2*(D5246+G5246))-(F$5*8)+(G5246-2*F$5),IF(D5267=4,(2*(D5246+G5246))-(F$5*8)+2*(G5246-2*F$5)))))/1000</f>
        <v>1.28</v>
      </c>
      <c r="K5267" t="str">
        <v>+</v>
      </c>
      <c r="L5267">
        <f>IF(D5267=0,2*MAX(6*F5267,75),(D5267-1)*2*MAX(6*F5267,75))/1000</f>
        <v>0.15</v>
      </c>
      <c r="M5267" t="str">
        <v>=</v>
      </c>
      <c r="N5267">
        <f>J5267+L5267</f>
        <v>1.43</v>
      </c>
      <c r="T5267" t="str">
        <v>x</v>
      </c>
      <c r="U5267">
        <f>0.006165*F5267^2</f>
        <v>0.6165</v>
      </c>
      <c r="V5267" t="str">
        <v>x</v>
      </c>
      <c r="W5267">
        <f>IF(D5248&gt;4*G5246,ROUND(MAX(D5248/4,2*G5246)/H5267,0)+1,0)</f>
        <v>15</v>
      </c>
      <c r="X5267" t="str">
        <v>x</v>
      </c>
      <c r="Y5267">
        <f>D5251</f>
        <v>1</v>
      </c>
      <c r="Z5267" t="str">
        <v>=</v>
      </c>
      <c r="AA5267">
        <f>N5267*U5267*W5267*Y5267</f>
        <v>13.223925</v>
      </c>
    </row>
    <row r="5269">
      <c r="A5269" t="str">
        <f>A5245</f>
        <v>Lantai 3</v>
      </c>
      <c r="B5269">
        <f>B5245</f>
        <v>33</v>
      </c>
      <c r="C5269" t="str">
        <v>Kait Horizontal Tump.</v>
      </c>
      <c r="D5269">
        <f>VLOOKUP(D5245,'Detail Balok'!$C$10:$BJ$140,46,FALSE)</f>
        <v>0</v>
      </c>
      <c r="E5269" t="str">
        <v>D</v>
      </c>
      <c r="F5269">
        <f>VLOOKUP(D5245,'Detail Balok'!$C$10:$BJ$140,48,FALSE)</f>
        <v>0</v>
      </c>
      <c r="G5269" t="str">
        <v>-</v>
      </c>
      <c r="H5269">
        <f>VLOOKUP(D5245,'Detail Balok'!$C$10:$BJ$140,50,FALSE)</f>
        <v>100</v>
      </c>
      <c r="J5269">
        <f>(D5246-2*F$5)/1000</f>
        <v>0.12</v>
      </c>
      <c r="K5269" t="str">
        <v>+</v>
      </c>
      <c r="L5269">
        <f>IF(D5269=0,2*MAX(6*F5269,75),(D5269-1)*2*MAX(6*F5269,75))/1000</f>
        <v>0.15</v>
      </c>
      <c r="M5269" t="str">
        <v>=</v>
      </c>
      <c r="N5269">
        <f>J5269+L5269</f>
        <v>0.27</v>
      </c>
      <c r="T5269" t="str">
        <v>x</v>
      </c>
      <c r="U5269">
        <f>0.006165*F5269^2</f>
        <v>0</v>
      </c>
      <c r="V5269" t="str">
        <v>x</v>
      </c>
      <c r="W5269">
        <f>W5265</f>
        <v>15</v>
      </c>
      <c r="X5269" t="str">
        <v>x</v>
      </c>
      <c r="Y5269">
        <f>D5255</f>
        <v>0</v>
      </c>
      <c r="Z5269" t="str">
        <v>=</v>
      </c>
      <c r="AA5269">
        <f>N5269*U5269*W5269*Y5269</f>
        <v>0</v>
      </c>
    </row>
    <row r="5270">
      <c r="A5270" t="str">
        <f>A5245</f>
        <v>Lantai 3</v>
      </c>
      <c r="B5270">
        <f>B5245</f>
        <v>33</v>
      </c>
      <c r="C5270" t="str">
        <v>Kait Horizontal Lap.</v>
      </c>
      <c r="D5270">
        <f>VLOOKUP(D5245,'Detail Balok'!$C$10:$BJ$140,51,FALSE)</f>
        <v>0</v>
      </c>
      <c r="E5270" t="str">
        <v>D</v>
      </c>
      <c r="F5270">
        <f>VLOOKUP(D5245,'Detail Balok'!$C$10:$BJ$140,53,FALSE)</f>
        <v>0</v>
      </c>
      <c r="G5270" t="str">
        <v>-</v>
      </c>
      <c r="H5270">
        <f>VLOOKUP(D5245,'Detail Balok'!$C$10:$BJ$140,55,FALSE)</f>
        <v>100</v>
      </c>
      <c r="J5270">
        <f>(D5246-2*F$5)/1000</f>
        <v>0.12</v>
      </c>
      <c r="K5270" t="str">
        <v>+</v>
      </c>
      <c r="L5270">
        <f>IF(D5270=0,2*MAX(6*F5270,75),(D5270-1)*2*MAX(6*F5270,75))/1000</f>
        <v>0.15</v>
      </c>
      <c r="M5270" t="str">
        <v>=</v>
      </c>
      <c r="N5270">
        <f>J5270+L5270</f>
        <v>0.27</v>
      </c>
      <c r="T5270" t="str">
        <v>x</v>
      </c>
      <c r="U5270">
        <f>0.006165*F5270^2</f>
        <v>0</v>
      </c>
      <c r="V5270" t="str">
        <v>x</v>
      </c>
      <c r="W5270">
        <f>W5266</f>
        <v>19</v>
      </c>
      <c r="X5270" t="str">
        <v>x</v>
      </c>
      <c r="Y5270">
        <f>D5255</f>
        <v>0</v>
      </c>
      <c r="Z5270" t="str">
        <v>=</v>
      </c>
      <c r="AA5270">
        <f>N5270*U5270*W5270*Y5270</f>
        <v>0</v>
      </c>
    </row>
    <row r="5271">
      <c r="A5271" t="str">
        <f>A5245</f>
        <v>Lantai 3</v>
      </c>
      <c r="B5271">
        <f>B5245</f>
        <v>33</v>
      </c>
      <c r="C5271" t="str">
        <v>Kait Horizontal Tump.</v>
      </c>
      <c r="D5271">
        <f>VLOOKUP(D5245,'Detail Balok'!$C$10:$BJ$140,56,FALSE)</f>
        <v>0</v>
      </c>
      <c r="E5271" t="str">
        <v>D</v>
      </c>
      <c r="F5271">
        <f>VLOOKUP(D5245,'Detail Balok'!$C$10:$BJ$140,58,FALSE)</f>
        <v>0</v>
      </c>
      <c r="G5271" t="str">
        <v>-</v>
      </c>
      <c r="H5271">
        <f>VLOOKUP(D5245,'Detail Balok'!$C$10:$BJ$140,60,FALSE)</f>
        <v>100</v>
      </c>
      <c r="J5271">
        <f>(D5246-2*F$5)/1000</f>
        <v>0.12</v>
      </c>
      <c r="K5271" t="str">
        <v>+</v>
      </c>
      <c r="L5271">
        <f>IF(D5271=0,2*MAX(6*F5271,75),(D5271-1)*2*MAX(6*F5271,75))/1000</f>
        <v>0.15</v>
      </c>
      <c r="M5271" t="str">
        <v>=</v>
      </c>
      <c r="N5271">
        <f>J5271+L5271</f>
        <v>0.27</v>
      </c>
      <c r="T5271" t="str">
        <v>x</v>
      </c>
      <c r="U5271">
        <f>0.006165*F5271^2</f>
        <v>0</v>
      </c>
      <c r="V5271" t="str">
        <v>x</v>
      </c>
      <c r="W5271">
        <f>W5267</f>
        <v>15</v>
      </c>
      <c r="X5271" t="str">
        <v>x</v>
      </c>
      <c r="Y5271">
        <f>D5255</f>
        <v>0</v>
      </c>
      <c r="Z5271" t="str">
        <v>=</v>
      </c>
      <c r="AA5271">
        <f>N5271*U5271*W5271*Y5271</f>
        <v>0</v>
      </c>
    </row>
    <row r="5275">
      <c r="A5275" t="str">
        <f>A5245</f>
        <v>Lantai 3</v>
      </c>
      <c r="B5275">
        <f>B5245+1</f>
        <v>34</v>
      </c>
      <c r="C5275" t="str">
        <f>CONCATENATE(A5275," no. ",B5275)</f>
        <v>Lantai 3 no. 34</v>
      </c>
      <c r="D5275" t="str">
        <f>VLOOKUP(C5275,'Data Panjang Balok'!$C$9:$N$254,2,FALSE)</f>
        <v>B26-1</v>
      </c>
    </row>
    <row r="5276">
      <c r="C5276" t="str">
        <v>Dimensi</v>
      </c>
      <c r="D5276">
        <f>VLOOKUP(D5275,'Detail Balok'!$C$10:$AU$140,2,FALSE)</f>
        <v>200</v>
      </c>
      <c r="F5276" t="str">
        <v>x</v>
      </c>
      <c r="G5276">
        <f>VLOOKUP(D5275,'Detail Balok'!$C$10:$AU$140,3,FALSE)</f>
        <v>600</v>
      </c>
    </row>
    <row r="5277">
      <c r="C5277" t="str">
        <v>Panjang as ke as</v>
      </c>
      <c r="D5277">
        <f>VLOOKUP(C5275,'Data Panjang Balok'!$C$9:$N$254,4,FALSE)</f>
        <v>5325</v>
      </c>
    </row>
    <row r="5278">
      <c r="C5278" t="str">
        <v>Panjang netto</v>
      </c>
      <c r="D5278">
        <f>VLOOKUP(C5275,'Data Panjang Balok'!$C$9:$N$254,7,FALSE)</f>
        <v>5325</v>
      </c>
    </row>
    <row r="5279">
      <c r="C5279" t="str">
        <v>Kolom / balok kiri</v>
      </c>
      <c r="D5279">
        <f>VLOOKUP(C5275,'Data Panjang Balok'!$C$9:$N$254,9,FALSE)</f>
        <v>0</v>
      </c>
    </row>
    <row r="5280">
      <c r="C5280" t="str">
        <v>Kolom / balok kanan</v>
      </c>
      <c r="D5280">
        <f>VLOOKUP(C5275,'Data Panjang Balok'!$C$9:$N$254,10,FALSE)</f>
        <v>0</v>
      </c>
    </row>
    <row r="5281">
      <c r="C5281" t="str">
        <v>Jumlah</v>
      </c>
      <c r="D5281">
        <f>VLOOKUP(C5275,'Data Panjang Balok'!$C$9:$N$254,3,FALSE)</f>
        <v>1</v>
      </c>
    </row>
    <row r="5282">
      <c r="A5282" t="str">
        <f>A5275</f>
        <v>Lantai 3</v>
      </c>
      <c r="B5282">
        <f>B5275</f>
        <v>34</v>
      </c>
      <c r="C5282" t="str">
        <v>Tul Atas Tumpuan</v>
      </c>
      <c r="D5282">
        <f>VLOOKUP(D5275,'Detail Balok'!$C$10:$AU$140,4,FALSE)</f>
        <v>4</v>
      </c>
      <c r="E5282" t="str">
        <v>D</v>
      </c>
      <c r="F5282">
        <f>VLOOKUP(D5275,'Detail Balok'!$C$10:$AU$140,6,FALSE)</f>
        <v>16</v>
      </c>
      <c r="I5282" t="str">
        <v>(</v>
      </c>
      <c r="J5282">
        <f>+D5277/4/1000</f>
        <v>1.33125</v>
      </c>
      <c r="K5282" t="str">
        <v>+</v>
      </c>
      <c r="L5282">
        <f>MAX(VLOOKUP(F5282,N$6:P$15,3,FALSE)/1000,2/3*D5279/1000)+F$16*F5282/1000</f>
        <v>0.192</v>
      </c>
      <c r="M5282" t="str">
        <v>=</v>
      </c>
      <c r="N5282">
        <f>J5282+L5282</f>
        <v>1.52325</v>
      </c>
      <c r="O5282" t="str">
        <v>+</v>
      </c>
      <c r="P5282">
        <f>D5282-D5283</f>
        <v>1</v>
      </c>
      <c r="Q5282" t="str">
        <v>x</v>
      </c>
      <c r="R5282">
        <f>IF(P5282&gt;0,$F$18*F5282/1000,0)</f>
        <v>0.24</v>
      </c>
      <c r="S5282" t="str">
        <v>)</v>
      </c>
      <c r="T5282" t="str">
        <v>x</v>
      </c>
      <c r="U5282">
        <f>0.006165*F5282^2</f>
        <v>1.57824</v>
      </c>
      <c r="X5282" t="str">
        <v>x</v>
      </c>
      <c r="Y5282">
        <f>D5281</f>
        <v>1</v>
      </c>
      <c r="Z5282" t="str">
        <v>=</v>
      </c>
      <c r="AA5282">
        <f>IF(AA5285=0,(D5282*N5282+P5282*R5282)*U5282*Y5282,0)</f>
        <v>9.99499392</v>
      </c>
    </row>
    <row r="5283">
      <c r="A5283" t="str">
        <f>A5275</f>
        <v>Lantai 3</v>
      </c>
      <c r="B5283">
        <f>B5275</f>
        <v>34</v>
      </c>
      <c r="C5283" t="str">
        <v>Tul Atas Lapangan</v>
      </c>
      <c r="D5283">
        <f>VLOOKUP(D5275,'Detail Balok'!$C$10:$AU$140,7,FALSE)</f>
        <v>3</v>
      </c>
      <c r="E5283" t="str">
        <v>D</v>
      </c>
      <c r="F5283">
        <f>VLOOKUP(D5275,'Detail Balok'!$C$10:$AU$140,9,FALSE)</f>
        <v>16</v>
      </c>
      <c r="I5283" t="str">
        <v>(</v>
      </c>
      <c r="J5283">
        <f>+D5277/2/1000</f>
        <v>2.6625</v>
      </c>
      <c r="K5283" t="str">
        <v>+</v>
      </c>
      <c r="M5283" t="str">
        <v>=</v>
      </c>
      <c r="N5283">
        <f>J5283+L5283</f>
        <v>2.6625</v>
      </c>
      <c r="O5283" t="str">
        <v>+</v>
      </c>
      <c r="P5283">
        <f>MAX(D5283-D5282,D5283-D5284)</f>
        <v>-1</v>
      </c>
      <c r="Q5283" t="str">
        <v>x</v>
      </c>
      <c r="R5283">
        <f>IF(P5283&gt;0,2*(1-2*$F$19-1/2)*D5278/1000,0)</f>
        <v>0</v>
      </c>
      <c r="S5283" t="str">
        <v>)</v>
      </c>
      <c r="T5283" t="str">
        <v>x</v>
      </c>
      <c r="U5283">
        <f>0.006165*F5283^2</f>
        <v>1.57824</v>
      </c>
      <c r="X5283" t="str">
        <v>x</v>
      </c>
      <c r="Y5283">
        <f>D5281</f>
        <v>1</v>
      </c>
      <c r="Z5283" t="str">
        <v>=</v>
      </c>
      <c r="AA5283">
        <f>IF(AA5285=0,(D5283*N5283+P5283*R5283)*U5283*Y5283,0)</f>
        <v>12.606192000000002</v>
      </c>
    </row>
    <row r="5284">
      <c r="A5284" t="str">
        <f>A5275</f>
        <v>Lantai 3</v>
      </c>
      <c r="B5284">
        <f>B5275</f>
        <v>34</v>
      </c>
      <c r="C5284" t="str">
        <v>Tul Atas Tumpuan</v>
      </c>
      <c r="D5284">
        <f>VLOOKUP(D5275,'Detail Balok'!$C$10:$AU$140,10,FALSE)</f>
        <v>4</v>
      </c>
      <c r="E5284" t="str">
        <v>D</v>
      </c>
      <c r="F5284">
        <f>VLOOKUP(D5275,'Detail Balok'!$C$10:$AU$140,12,FALSE)</f>
        <v>16</v>
      </c>
      <c r="I5284" t="str">
        <v>(</v>
      </c>
      <c r="J5284">
        <f>+D5277/4/1000</f>
        <v>1.33125</v>
      </c>
      <c r="K5284" t="str">
        <v>+</v>
      </c>
      <c r="L5284">
        <f>MAX(VLOOKUP(F5284,N$6:P$15,3,FALSE)/1000,2/3*D5279/1000)+F$16*F5284/1000</f>
        <v>0.192</v>
      </c>
      <c r="M5284" t="str">
        <v>=</v>
      </c>
      <c r="N5284">
        <f>J5284+L5284</f>
        <v>1.52325</v>
      </c>
      <c r="O5284" t="str">
        <v>+</v>
      </c>
      <c r="P5284">
        <f>D5284-D5283</f>
        <v>1</v>
      </c>
      <c r="Q5284" t="str">
        <v>x</v>
      </c>
      <c r="R5284">
        <f>IF(P5284&gt;0,$F$18*F5284/1000,0)</f>
        <v>0.24</v>
      </c>
      <c r="S5284" t="str">
        <v>)</v>
      </c>
      <c r="T5284" t="str">
        <v>x</v>
      </c>
      <c r="U5284">
        <f>0.006165*F5284^2</f>
        <v>1.57824</v>
      </c>
      <c r="X5284" t="str">
        <v>x</v>
      </c>
      <c r="Y5284">
        <f>D5281</f>
        <v>1</v>
      </c>
      <c r="Z5284" t="str">
        <v>=</v>
      </c>
      <c r="AA5284">
        <f>IF(AA5285=0,(D5284*N5284+P5284*R5284)*U5284*Y5284,0)</f>
        <v>9.99499392</v>
      </c>
    </row>
    <row r="5285">
      <c r="A5285" t="str">
        <f>A5275</f>
        <v>Lantai 3</v>
      </c>
      <c r="B5285">
        <f>B5275</f>
        <v>34</v>
      </c>
      <c r="D5285">
        <f>IF(AND(D5282=D5283,D5283=D5284,D5282=D5284),D5282,0)</f>
        <v>0</v>
      </c>
      <c r="E5285" t="str">
        <v>D</v>
      </c>
      <c r="F5285">
        <f>IF(AND(F5282=F5283,F5282=F5284,F5283=F5284),F5282,0)</f>
        <v>16</v>
      </c>
      <c r="L5285" t="str">
        <v>Total panjang per balok</v>
      </c>
      <c r="M5285" t="str">
        <v>=</v>
      </c>
      <c r="N5285">
        <f>IF(AND(D5282=D5283,D5282=D5284,D5283=D5284,F5282=F5283,F5282=F5284,F5283=F5284),SUM(N5282:N5284),0)</f>
        <v>0</v>
      </c>
      <c r="O5285" t="str">
        <v>+</v>
      </c>
      <c r="P5285">
        <f>IF(N5285&gt;12,ROUNDDOWN(N5285/12,0),0)</f>
        <v>0</v>
      </c>
      <c r="Q5285" t="str">
        <v>x</v>
      </c>
      <c r="R5285">
        <f>IF(P5285&gt;0,MAX(VLOOKUP(F5285,$D$6:$G$15,3,FALSE),600),0)/1000</f>
        <v>0</v>
      </c>
      <c r="T5285" t="str">
        <v>x</v>
      </c>
      <c r="U5285">
        <f>U5284</f>
        <v>1.57824</v>
      </c>
      <c r="V5285" t="str">
        <v>x</v>
      </c>
      <c r="W5285">
        <f>D5285</f>
        <v>0</v>
      </c>
      <c r="X5285" t="str">
        <v>x</v>
      </c>
      <c r="Y5285">
        <f>Y5284</f>
        <v>1</v>
      </c>
      <c r="Z5285" t="str">
        <v>=</v>
      </c>
      <c r="AA5285">
        <f>(N5285+P5285*R5285/1000)*U5285*W5285*Y5285</f>
        <v>0</v>
      </c>
    </row>
    <row r="5287">
      <c r="A5287" t="str">
        <f>A5275</f>
        <v>Lantai 3</v>
      </c>
      <c r="B5287">
        <f>B5275</f>
        <v>34</v>
      </c>
      <c r="C5287" t="str">
        <v>Tul Peminggang</v>
      </c>
      <c r="D5287">
        <f>VLOOKUP(D5275,'Detail Balok'!$C$10:$AU$140,13,FALSE)</f>
        <v>2</v>
      </c>
      <c r="E5287" t="str">
        <v>D</v>
      </c>
      <c r="F5287">
        <f>VLOOKUP(D5275,'Detail Balok'!$C$10:$AU$140,15,FALSE)</f>
        <v>10</v>
      </c>
      <c r="J5287">
        <f>+D5277/1000</f>
        <v>5.325</v>
      </c>
      <c r="K5287" t="str">
        <v>+</v>
      </c>
      <c r="L5287">
        <f>2*$F$16*F5287/1000</f>
        <v>0.24</v>
      </c>
      <c r="M5287" t="str">
        <v>=</v>
      </c>
      <c r="N5287">
        <f>J5287+L5287</f>
        <v>5.565</v>
      </c>
      <c r="O5287" t="str">
        <v>+</v>
      </c>
      <c r="P5287">
        <f>IF(N5287&gt;12,ROUNDDOWN(N5287/12,0),0)</f>
        <v>0</v>
      </c>
      <c r="Q5287" t="str">
        <v>x</v>
      </c>
      <c r="R5287">
        <f>IF(P5287&gt;0,MAX(VLOOKUP(F5287,$D$6:$G$15,3,FALSE),600),0)/1000</f>
        <v>0</v>
      </c>
      <c r="T5287" t="str">
        <v>x</v>
      </c>
      <c r="U5287">
        <f>0.006165*F5287^2</f>
        <v>0.6165</v>
      </c>
      <c r="V5287" t="str">
        <v>x</v>
      </c>
      <c r="W5287">
        <f>+D5287</f>
        <v>2</v>
      </c>
      <c r="X5287" t="str">
        <v>x</v>
      </c>
      <c r="Y5287">
        <f>D5281</f>
        <v>1</v>
      </c>
      <c r="Z5287" t="str">
        <v>=</v>
      </c>
      <c r="AA5287">
        <f>(N5287+P5287*R5287/1000)*U5287*W5287*Y5287</f>
        <v>6.861645000000001</v>
      </c>
    </row>
    <row r="5290">
      <c r="A5290" t="str">
        <f>A5275</f>
        <v>Lantai 3</v>
      </c>
      <c r="B5290">
        <f>B5275</f>
        <v>34</v>
      </c>
      <c r="C5290" t="str">
        <v>Tul Bawah Tumpuan</v>
      </c>
      <c r="D5290">
        <f>VLOOKUP(D5275,'Detail Balok'!$C$10:$AU$140,22,FALSE)</f>
        <v>3</v>
      </c>
      <c r="E5290" t="str">
        <v>D</v>
      </c>
      <c r="F5290">
        <f>VLOOKUP(D5275,'Detail Balok'!$C$10:$AU$140,24,FALSE)</f>
        <v>16</v>
      </c>
      <c r="I5290" t="str">
        <v>(</v>
      </c>
      <c r="J5290">
        <f>+J5282</f>
        <v>1.33125</v>
      </c>
      <c r="K5290" t="str">
        <v>+</v>
      </c>
      <c r="L5290">
        <f>MAX(VLOOKUP(F5290,N$6:P$15,3,FALSE)/1000,2/3*D5280/1000)+F$16*F5290/1000</f>
        <v>0.192</v>
      </c>
      <c r="M5290" t="str">
        <v>=</v>
      </c>
      <c r="N5290">
        <f>J5290+L5290</f>
        <v>1.52325</v>
      </c>
      <c r="O5290" t="str">
        <v>+</v>
      </c>
      <c r="P5290">
        <f>D5290-D5291</f>
        <v>-1</v>
      </c>
      <c r="Q5290" t="str">
        <v>x</v>
      </c>
      <c r="R5290">
        <f>IF(P5290&gt;0,$F$18*F5290/1000,0)</f>
        <v>0</v>
      </c>
      <c r="S5290" t="str">
        <v>)</v>
      </c>
      <c r="T5290" t="str">
        <v>x</v>
      </c>
      <c r="U5290">
        <f>0.006165*F5290^2</f>
        <v>1.57824</v>
      </c>
      <c r="X5290" t="str">
        <v>x</v>
      </c>
      <c r="Y5290">
        <f>D5281</f>
        <v>1</v>
      </c>
      <c r="Z5290" t="str">
        <v>=</v>
      </c>
      <c r="AA5290">
        <f>IF(AA5293=0,(D5290*N5290+P5290*R5290)*U5290*Y5290,0)</f>
        <v>7.2121622400000005</v>
      </c>
    </row>
    <row r="5291">
      <c r="A5291" t="str">
        <f>A5275</f>
        <v>Lantai 3</v>
      </c>
      <c r="B5291">
        <f>B5275</f>
        <v>34</v>
      </c>
      <c r="C5291" t="str">
        <v>Tul Bawah Lapangan</v>
      </c>
      <c r="D5291">
        <f>VLOOKUP(D5275,'Detail Balok'!$C$10:$AU$140,25,FALSE)</f>
        <v>4</v>
      </c>
      <c r="E5291" t="str">
        <v>D</v>
      </c>
      <c r="F5291">
        <f>VLOOKUP(D5275,'Detail Balok'!$C$10:$AU$140,27,FALSE)</f>
        <v>16</v>
      </c>
      <c r="I5291" t="str">
        <v>(</v>
      </c>
      <c r="J5291">
        <f>+J5283</f>
        <v>2.6625</v>
      </c>
      <c r="K5291" t="str">
        <v>+</v>
      </c>
      <c r="M5291" t="str">
        <v>=</v>
      </c>
      <c r="N5291">
        <f>J5291+L5291</f>
        <v>2.6625</v>
      </c>
      <c r="O5291" t="str">
        <v>+</v>
      </c>
      <c r="P5291">
        <f>MAX(D5291-D5290,D5291-D5292)</f>
        <v>1</v>
      </c>
      <c r="Q5291" t="str">
        <v>x</v>
      </c>
      <c r="R5291">
        <f>IF(P5291&gt;0,2*(1-2*$F$19-1/2)*D5278/1000,0)</f>
        <v>1.0649999999999997</v>
      </c>
      <c r="S5291" t="str">
        <v>)</v>
      </c>
      <c r="T5291" t="str">
        <v>x</v>
      </c>
      <c r="U5291">
        <f>0.006165*F5291^2</f>
        <v>1.57824</v>
      </c>
      <c r="X5291" t="str">
        <v>x</v>
      </c>
      <c r="Y5291">
        <f>D5281</f>
        <v>1</v>
      </c>
      <c r="Z5291" t="str">
        <v>=</v>
      </c>
      <c r="AA5291">
        <f>IF(AA5293=0,(D5291*N5291+P5291*R5291)*U5291*Y5291,0)</f>
        <v>18.489081600000002</v>
      </c>
    </row>
    <row r="5292">
      <c r="A5292" t="str">
        <f>A5275</f>
        <v>Lantai 3</v>
      </c>
      <c r="B5292">
        <f>B5275</f>
        <v>34</v>
      </c>
      <c r="C5292" t="str">
        <v>Tul Bawah Tumpuan</v>
      </c>
      <c r="D5292">
        <f>VLOOKUP(D5275,'Detail Balok'!$C$10:$AU$140,28,FALSE)</f>
        <v>3</v>
      </c>
      <c r="E5292" t="str">
        <v>D</v>
      </c>
      <c r="F5292">
        <f>VLOOKUP(D5275,'Detail Balok'!$C$10:$AU$140,30,FALSE)</f>
        <v>16</v>
      </c>
      <c r="I5292" t="str">
        <v>(</v>
      </c>
      <c r="J5292">
        <f>+J5284</f>
        <v>1.33125</v>
      </c>
      <c r="K5292" t="str">
        <v>+</v>
      </c>
      <c r="L5292">
        <f>MAX(VLOOKUP(F5292,N$6:P$15,3,FALSE)/1000,2/3*D5280/1000)+F$16*F5292/1000</f>
        <v>0.192</v>
      </c>
      <c r="M5292" t="str">
        <v>=</v>
      </c>
      <c r="N5292">
        <f>J5292+L5292</f>
        <v>1.52325</v>
      </c>
      <c r="O5292" t="str">
        <v>+</v>
      </c>
      <c r="P5292">
        <f>D5292-D5291</f>
        <v>-1</v>
      </c>
      <c r="Q5292" t="str">
        <v>x</v>
      </c>
      <c r="R5292">
        <f>IF(P5292&gt;0,$F$18*F5292/1000,0)</f>
        <v>0</v>
      </c>
      <c r="S5292" t="str">
        <v>)</v>
      </c>
      <c r="T5292" t="str">
        <v>x</v>
      </c>
      <c r="U5292">
        <f>0.006165*F5292^2</f>
        <v>1.57824</v>
      </c>
      <c r="X5292" t="str">
        <v>x</v>
      </c>
      <c r="Y5292">
        <f>D5281</f>
        <v>1</v>
      </c>
      <c r="Z5292" t="str">
        <v>=</v>
      </c>
      <c r="AA5292">
        <f>IF(AA5293=0,(D5292*N5292+P5292*R5292)*U5292*Y5292,0)</f>
        <v>7.2121622400000005</v>
      </c>
    </row>
    <row r="5293">
      <c r="A5293" t="str">
        <f>A5275</f>
        <v>Lantai 3</v>
      </c>
      <c r="B5293">
        <f>B5275</f>
        <v>34</v>
      </c>
      <c r="D5293">
        <f>IF(AND(D5290=D5291,D5291=D5292,D5290=D5292),D5290,0)</f>
        <v>0</v>
      </c>
      <c r="E5293" t="str">
        <v>D</v>
      </c>
      <c r="F5293">
        <f>IF(AND(F5290=F5291,F5290=F5292,F5291=F5292),F5290,0)</f>
        <v>16</v>
      </c>
      <c r="L5293" t="str">
        <v>Total panjang per balok</v>
      </c>
      <c r="M5293" t="str">
        <v>=</v>
      </c>
      <c r="N5293">
        <f>IF(AND(D5290=D5291,D5290=D5292,D5291=D5292,F5290=F5291,F5290=F5292,F5291=F5292),SUM(N5290:N5292),0)</f>
        <v>0</v>
      </c>
      <c r="O5293" t="str">
        <v>+</v>
      </c>
      <c r="P5293">
        <f>IF(N5293&gt;12,ROUNDDOWN(N5293/12,0),0)</f>
        <v>0</v>
      </c>
      <c r="Q5293" t="str">
        <v>x</v>
      </c>
      <c r="R5293">
        <f>IF(P5293&gt;0,MAX(VLOOKUP(F5293,$D$6:$G$15,3,FALSE),600),0)/1000</f>
        <v>0</v>
      </c>
      <c r="T5293" t="str">
        <v>x</v>
      </c>
      <c r="U5293">
        <f>U5292</f>
        <v>1.57824</v>
      </c>
      <c r="V5293" t="str">
        <v>x</v>
      </c>
      <c r="W5293">
        <f>D5293</f>
        <v>0</v>
      </c>
      <c r="X5293" t="str">
        <v>x</v>
      </c>
      <c r="Y5293">
        <f>Y5292</f>
        <v>1</v>
      </c>
      <c r="Z5293" t="str">
        <v>=</v>
      </c>
      <c r="AA5293">
        <f>(N5293+P5293*R5293/1000)*U5293*W5293*Y5293</f>
        <v>0</v>
      </c>
    </row>
    <row r="5295">
      <c r="A5295" t="str">
        <f>A5275</f>
        <v>Lantai 3</v>
      </c>
      <c r="B5295">
        <f>B5275</f>
        <v>34</v>
      </c>
      <c r="C5295" t="str">
        <v>Sengkang Tumpuan</v>
      </c>
      <c r="D5295">
        <f>VLOOKUP(D5275,'Detail Balok'!$C$10:$AU$140,31,FALSE)</f>
        <v>0</v>
      </c>
      <c r="E5295" t="str">
        <v>D</v>
      </c>
      <c r="F5295">
        <f>VLOOKUP(D5275,'Detail Balok'!$C$10:$AU$140,33,FALSE)</f>
        <v>10</v>
      </c>
      <c r="G5295" t="str">
        <v>-</v>
      </c>
      <c r="H5295">
        <f>VLOOKUP(D5275,'Detail Balok'!$C$10:$AU$140,35,FALSE)</f>
        <v>100</v>
      </c>
      <c r="J5295">
        <f>(IF(D5295=0,(2*(D5276+G5276))-(F$5*8),IF(D5295=3,(2*(D5276+G5276))-(F$5*8)+(G5276-2*F$5),IF(D5295=4,(2*(D5276+G5276))-(F$5*8)+2*(G5276-2*F$5)))))/1000</f>
        <v>1.28</v>
      </c>
      <c r="K5295" t="str">
        <v>+</v>
      </c>
      <c r="L5295">
        <f>IF(D5295=0,2*MAX(6*F5295,75),(D5295-1)*2*MAX(6*F5295,75))/1000</f>
        <v>0.15</v>
      </c>
      <c r="M5295" t="str">
        <v>=</v>
      </c>
      <c r="N5295">
        <f>J5295+L5295</f>
        <v>1.43</v>
      </c>
      <c r="T5295" t="str">
        <v>x</v>
      </c>
      <c r="U5295">
        <f>0.006165*F5295^2</f>
        <v>0.6165</v>
      </c>
      <c r="V5295" t="str">
        <v>x</v>
      </c>
      <c r="W5295">
        <f>IF(D5278&gt;4*G5276,ROUND(MAX(D5278/4,2*G5276)/H5295,0)+1,ROUND(D5278/H5295,0)+1)</f>
        <v>14</v>
      </c>
      <c r="X5295" t="str">
        <v>x</v>
      </c>
      <c r="Y5295">
        <f>D5281</f>
        <v>1</v>
      </c>
      <c r="Z5295" t="str">
        <v>=</v>
      </c>
      <c r="AA5295">
        <f>N5295*U5295*W5295*Y5295</f>
        <v>12.34233</v>
      </c>
    </row>
    <row r="5296">
      <c r="A5296" t="str">
        <f>A5275</f>
        <v>Lantai 3</v>
      </c>
      <c r="B5296">
        <f>B5275</f>
        <v>34</v>
      </c>
      <c r="C5296" t="str">
        <v>Sengkang Lapangan</v>
      </c>
      <c r="D5296">
        <f>VLOOKUP(D5275,'Detail Balok'!$C$10:$AU$140,36,FALSE)</f>
        <v>0</v>
      </c>
      <c r="E5296" t="str">
        <v>D</v>
      </c>
      <c r="F5296">
        <f>VLOOKUP(D5275,'Detail Balok'!$C$10:$AU$140,38,FALSE)</f>
        <v>10</v>
      </c>
      <c r="G5296" t="str">
        <v>-</v>
      </c>
      <c r="H5296">
        <f>VLOOKUP(D5275,'Detail Balok'!$C$10:$AU$140,40,FALSE)</f>
        <v>150</v>
      </c>
      <c r="J5296">
        <f>(IF(D5296=0,(2*(D5276+G5276))-(F$5*8),IF(D5296=3,(2*(D5276+G5276))-(F$5*8)+(G5276-2*F$5),IF(D5296=4,(2*(D5276+G5276))-(F$5*8)+2*(G5276-2*F$5)))))/1000</f>
        <v>1.28</v>
      </c>
      <c r="K5296" t="str">
        <v>+</v>
      </c>
      <c r="L5296">
        <f>IF(D5296=0,2*MAX(6*F5296,75),(D5296-1)*2*MAX(6*F5296,75))/1000</f>
        <v>0.15</v>
      </c>
      <c r="M5296" t="str">
        <v>=</v>
      </c>
      <c r="N5296">
        <f>J5296+L5296</f>
        <v>1.43</v>
      </c>
      <c r="T5296" t="str">
        <v>x</v>
      </c>
      <c r="U5296">
        <f>0.006165*F5296^2</f>
        <v>0.6165</v>
      </c>
      <c r="V5296" t="str">
        <v>x</v>
      </c>
      <c r="W5296">
        <f>IF(D5278-MAX(D5278/4,2*G5276)*2&gt;0,ROUND((D5278-MAX(D5278/4,2*G5276)*2)/H5296,0),0)</f>
        <v>18</v>
      </c>
      <c r="X5296" t="str">
        <v>x</v>
      </c>
      <c r="Y5296">
        <f>D5281</f>
        <v>1</v>
      </c>
      <c r="Z5296" t="str">
        <v>=</v>
      </c>
      <c r="AA5296">
        <f>N5296*U5296*W5296*Y5296</f>
        <v>15.86871</v>
      </c>
    </row>
    <row r="5297">
      <c r="A5297" t="str">
        <f>A5275</f>
        <v>Lantai 3</v>
      </c>
      <c r="B5297">
        <f>B5275</f>
        <v>34</v>
      </c>
      <c r="C5297" t="str">
        <v>Sengkang Tumpuan</v>
      </c>
      <c r="D5297">
        <f>VLOOKUP(D5275,'Detail Balok'!$C$10:$AU$140,41,FALSE)</f>
        <v>0</v>
      </c>
      <c r="E5297" t="str">
        <v>D</v>
      </c>
      <c r="F5297">
        <f>VLOOKUP(D5275,'Detail Balok'!$C$10:$AU$140,43,FALSE)</f>
        <v>10</v>
      </c>
      <c r="G5297" t="str">
        <v>-</v>
      </c>
      <c r="H5297">
        <f>VLOOKUP(D5275,'Detail Balok'!$C$10:$AU$140,45,FALSE)</f>
        <v>100</v>
      </c>
      <c r="J5297">
        <f>(IF(D5297=0,(2*(D5276+G5276))-(F$5*8),IF(D5297=3,(2*(D5276+G5276))-(F$5*8)+(G5276-2*F$5),IF(D5297=4,(2*(D5276+G5276))-(F$5*8)+2*(G5276-2*F$5)))))/1000</f>
        <v>1.28</v>
      </c>
      <c r="K5297" t="str">
        <v>+</v>
      </c>
      <c r="L5297">
        <f>IF(D5297=0,2*MAX(6*F5297,75),(D5297-1)*2*MAX(6*F5297,75))/1000</f>
        <v>0.15</v>
      </c>
      <c r="M5297" t="str">
        <v>=</v>
      </c>
      <c r="N5297">
        <f>J5297+L5297</f>
        <v>1.43</v>
      </c>
      <c r="T5297" t="str">
        <v>x</v>
      </c>
      <c r="U5297">
        <f>0.006165*F5297^2</f>
        <v>0.6165</v>
      </c>
      <c r="V5297" t="str">
        <v>x</v>
      </c>
      <c r="W5297">
        <f>IF(D5278&gt;4*G5276,ROUND(MAX(D5278/4,2*G5276)/H5297,0)+1,0)</f>
        <v>14</v>
      </c>
      <c r="X5297" t="str">
        <v>x</v>
      </c>
      <c r="Y5297">
        <f>D5281</f>
        <v>1</v>
      </c>
      <c r="Z5297" t="str">
        <v>=</v>
      </c>
      <c r="AA5297">
        <f>N5297*U5297*W5297*Y5297</f>
        <v>12.34233</v>
      </c>
    </row>
    <row r="5299">
      <c r="A5299" t="str">
        <f>A5275</f>
        <v>Lantai 3</v>
      </c>
      <c r="B5299">
        <f>B5275</f>
        <v>34</v>
      </c>
      <c r="C5299" t="str">
        <v>Kait Horizontal Tump.</v>
      </c>
      <c r="D5299">
        <f>VLOOKUP(D5275,'Detail Balok'!$C$10:$BJ$140,46,FALSE)</f>
        <v>0</v>
      </c>
      <c r="E5299" t="str">
        <v>D</v>
      </c>
      <c r="F5299">
        <f>VLOOKUP(D5275,'Detail Balok'!$C$10:$BJ$140,48,FALSE)</f>
        <v>0</v>
      </c>
      <c r="G5299" t="str">
        <v>-</v>
      </c>
      <c r="H5299">
        <f>VLOOKUP(D5275,'Detail Balok'!$C$10:$BJ$140,50,FALSE)</f>
        <v>100</v>
      </c>
      <c r="J5299">
        <f>(D5276-2*F$5)/1000</f>
        <v>0.12</v>
      </c>
      <c r="K5299" t="str">
        <v>+</v>
      </c>
      <c r="L5299">
        <f>IF(D5299=0,2*MAX(6*F5299,75),(D5299-1)*2*MAX(6*F5299,75))/1000</f>
        <v>0.15</v>
      </c>
      <c r="M5299" t="str">
        <v>=</v>
      </c>
      <c r="N5299">
        <f>J5299+L5299</f>
        <v>0.27</v>
      </c>
      <c r="T5299" t="str">
        <v>x</v>
      </c>
      <c r="U5299">
        <f>0.006165*F5299^2</f>
        <v>0</v>
      </c>
      <c r="V5299" t="str">
        <v>x</v>
      </c>
      <c r="W5299">
        <f>W5295</f>
        <v>14</v>
      </c>
      <c r="X5299" t="str">
        <v>x</v>
      </c>
      <c r="Y5299">
        <f>D5285</f>
        <v>0</v>
      </c>
      <c r="Z5299" t="str">
        <v>=</v>
      </c>
      <c r="AA5299">
        <f>N5299*U5299*W5299*Y5299</f>
        <v>0</v>
      </c>
    </row>
    <row r="5300">
      <c r="A5300" t="str">
        <f>A5275</f>
        <v>Lantai 3</v>
      </c>
      <c r="B5300">
        <f>B5275</f>
        <v>34</v>
      </c>
      <c r="C5300" t="str">
        <v>Kait Horizontal Lap.</v>
      </c>
      <c r="D5300">
        <f>VLOOKUP(D5275,'Detail Balok'!$C$10:$BJ$140,51,FALSE)</f>
        <v>0</v>
      </c>
      <c r="E5300" t="str">
        <v>D</v>
      </c>
      <c r="F5300">
        <f>VLOOKUP(D5275,'Detail Balok'!$C$10:$BJ$140,53,FALSE)</f>
        <v>0</v>
      </c>
      <c r="G5300" t="str">
        <v>-</v>
      </c>
      <c r="H5300">
        <f>VLOOKUP(D5275,'Detail Balok'!$C$10:$BJ$140,55,FALSE)</f>
        <v>100</v>
      </c>
      <c r="J5300">
        <f>(D5276-2*F$5)/1000</f>
        <v>0.12</v>
      </c>
      <c r="K5300" t="str">
        <v>+</v>
      </c>
      <c r="L5300">
        <f>IF(D5300=0,2*MAX(6*F5300,75),(D5300-1)*2*MAX(6*F5300,75))/1000</f>
        <v>0.15</v>
      </c>
      <c r="M5300" t="str">
        <v>=</v>
      </c>
      <c r="N5300">
        <f>J5300+L5300</f>
        <v>0.27</v>
      </c>
      <c r="T5300" t="str">
        <v>x</v>
      </c>
      <c r="U5300">
        <f>0.006165*F5300^2</f>
        <v>0</v>
      </c>
      <c r="V5300" t="str">
        <v>x</v>
      </c>
      <c r="W5300">
        <f>W5296</f>
        <v>18</v>
      </c>
      <c r="X5300" t="str">
        <v>x</v>
      </c>
      <c r="Y5300">
        <f>D5285</f>
        <v>0</v>
      </c>
      <c r="Z5300" t="str">
        <v>=</v>
      </c>
      <c r="AA5300">
        <f>N5300*U5300*W5300*Y5300</f>
        <v>0</v>
      </c>
    </row>
    <row r="5301">
      <c r="A5301" t="str">
        <f>A5275</f>
        <v>Lantai 3</v>
      </c>
      <c r="B5301">
        <f>B5275</f>
        <v>34</v>
      </c>
      <c r="C5301" t="str">
        <v>Kait Horizontal Tump.</v>
      </c>
      <c r="D5301">
        <f>VLOOKUP(D5275,'Detail Balok'!$C$10:$BJ$140,56,FALSE)</f>
        <v>0</v>
      </c>
      <c r="E5301" t="str">
        <v>D</v>
      </c>
      <c r="F5301">
        <f>VLOOKUP(D5275,'Detail Balok'!$C$10:$BJ$140,58,FALSE)</f>
        <v>0</v>
      </c>
      <c r="G5301" t="str">
        <v>-</v>
      </c>
      <c r="H5301">
        <f>VLOOKUP(D5275,'Detail Balok'!$C$10:$BJ$140,60,FALSE)</f>
        <v>100</v>
      </c>
      <c r="J5301">
        <f>(D5276-2*F$5)/1000</f>
        <v>0.12</v>
      </c>
      <c r="K5301" t="str">
        <v>+</v>
      </c>
      <c r="L5301">
        <f>IF(D5301=0,2*MAX(6*F5301,75),(D5301-1)*2*MAX(6*F5301,75))/1000</f>
        <v>0.15</v>
      </c>
      <c r="M5301" t="str">
        <v>=</v>
      </c>
      <c r="N5301">
        <f>J5301+L5301</f>
        <v>0.27</v>
      </c>
      <c r="T5301" t="str">
        <v>x</v>
      </c>
      <c r="U5301">
        <f>0.006165*F5301^2</f>
        <v>0</v>
      </c>
      <c r="V5301" t="str">
        <v>x</v>
      </c>
      <c r="W5301">
        <f>W5297</f>
        <v>14</v>
      </c>
      <c r="X5301" t="str">
        <v>x</v>
      </c>
      <c r="Y5301">
        <f>D5285</f>
        <v>0</v>
      </c>
      <c r="Z5301" t="str">
        <v>=</v>
      </c>
      <c r="AA5301">
        <f>N5301*U5301*W5301*Y5301</f>
        <v>0</v>
      </c>
    </row>
    <row r="5305">
      <c r="A5305" t="str">
        <f>A5275</f>
        <v>Lantai 3</v>
      </c>
      <c r="B5305">
        <f>B5275+1</f>
        <v>35</v>
      </c>
      <c r="C5305" t="str">
        <f>CONCATENATE(A5305," no. ",B5305)</f>
        <v>Lantai 3 no. 35</v>
      </c>
      <c r="D5305" t="str">
        <f>VLOOKUP(C5305,'Data Panjang Balok'!$C$9:$N$254,2,FALSE)</f>
        <v>B24-1</v>
      </c>
    </row>
    <row r="5306">
      <c r="C5306" t="str">
        <v>Dimensi</v>
      </c>
      <c r="D5306">
        <f>VLOOKUP(D5305,'Detail Balok'!$C$10:$AU$140,2,FALSE)</f>
        <v>200</v>
      </c>
      <c r="F5306" t="str">
        <v>x</v>
      </c>
      <c r="G5306">
        <f>VLOOKUP(D5305,'Detail Balok'!$C$10:$AU$140,3,FALSE)</f>
        <v>400</v>
      </c>
    </row>
    <row r="5307">
      <c r="C5307" t="str">
        <v>Panjang as ke as</v>
      </c>
      <c r="D5307">
        <f>VLOOKUP(C5305,'Data Panjang Balok'!$C$9:$N$254,4,FALSE)</f>
        <v>3500</v>
      </c>
    </row>
    <row r="5308">
      <c r="C5308" t="str">
        <v>Panjang netto</v>
      </c>
      <c r="D5308">
        <f>VLOOKUP(C5305,'Data Panjang Balok'!$C$9:$N$254,7,FALSE)</f>
        <v>3500</v>
      </c>
    </row>
    <row r="5309">
      <c r="C5309" t="str">
        <v>Kolom / balok kiri</v>
      </c>
      <c r="D5309">
        <f>VLOOKUP(C5305,'Data Panjang Balok'!$C$9:$N$254,9,FALSE)</f>
        <v>0</v>
      </c>
    </row>
    <row r="5310">
      <c r="C5310" t="str">
        <v>Kolom / balok kanan</v>
      </c>
      <c r="D5310">
        <f>VLOOKUP(C5305,'Data Panjang Balok'!$C$9:$N$254,10,FALSE)</f>
        <v>0</v>
      </c>
    </row>
    <row r="5311">
      <c r="C5311" t="str">
        <v>Jumlah</v>
      </c>
      <c r="D5311">
        <f>VLOOKUP(C5305,'Data Panjang Balok'!$C$9:$N$254,3,FALSE)</f>
        <v>1</v>
      </c>
    </row>
    <row r="5312">
      <c r="A5312" t="str">
        <f>A5305</f>
        <v>Lantai 3</v>
      </c>
      <c r="B5312">
        <f>B5305</f>
        <v>35</v>
      </c>
      <c r="C5312" t="str">
        <v>Tul Atas Tumpuan</v>
      </c>
      <c r="D5312">
        <f>VLOOKUP(D5305,'Detail Balok'!$C$10:$AU$140,4,FALSE)</f>
        <v>3</v>
      </c>
      <c r="E5312" t="str">
        <v>D</v>
      </c>
      <c r="F5312">
        <f>VLOOKUP(D5305,'Detail Balok'!$C$10:$AU$140,6,FALSE)</f>
        <v>13</v>
      </c>
      <c r="I5312" t="str">
        <v>(</v>
      </c>
      <c r="J5312">
        <f>+D5307/4/1000</f>
        <v>0.875</v>
      </c>
      <c r="K5312" t="str">
        <v>+</v>
      </c>
      <c r="L5312">
        <f>MAX(VLOOKUP(F5312,N$6:P$15,3,FALSE)/1000,2/3*D5309/1000)+F$16*F5312/1000</f>
        <v>0.156</v>
      </c>
      <c r="M5312" t="str">
        <v>=</v>
      </c>
      <c r="N5312">
        <f>J5312+L5312</f>
        <v>1.031</v>
      </c>
      <c r="O5312" t="str">
        <v>+</v>
      </c>
      <c r="P5312">
        <f>D5312-D5313</f>
        <v>0</v>
      </c>
      <c r="Q5312" t="str">
        <v>x</v>
      </c>
      <c r="R5312">
        <f>IF(P5312&gt;0,$F$18*F5312/1000,0)</f>
        <v>0</v>
      </c>
      <c r="S5312" t="str">
        <v>)</v>
      </c>
      <c r="T5312" t="str">
        <v>x</v>
      </c>
      <c r="U5312">
        <f>0.006165*F5312^2</f>
        <v>1.041885</v>
      </c>
      <c r="X5312" t="str">
        <v>x</v>
      </c>
      <c r="Y5312">
        <f>D5311</f>
        <v>1</v>
      </c>
      <c r="Z5312" t="str">
        <v>=</v>
      </c>
      <c r="AA5312">
        <f>IF(AA5315=0,(D5312*N5312+P5312*R5312)*U5312*Y5312,0)</f>
        <v>0</v>
      </c>
    </row>
    <row r="5313">
      <c r="A5313" t="str">
        <f>A5305</f>
        <v>Lantai 3</v>
      </c>
      <c r="B5313">
        <f>B5305</f>
        <v>35</v>
      </c>
      <c r="C5313" t="str">
        <v>Tul Atas Lapangan</v>
      </c>
      <c r="D5313">
        <f>VLOOKUP(D5305,'Detail Balok'!$C$10:$AU$140,7,FALSE)</f>
        <v>3</v>
      </c>
      <c r="E5313" t="str">
        <v>D</v>
      </c>
      <c r="F5313">
        <f>VLOOKUP(D5305,'Detail Balok'!$C$10:$AU$140,9,FALSE)</f>
        <v>13</v>
      </c>
      <c r="I5313" t="str">
        <v>(</v>
      </c>
      <c r="J5313">
        <f>+D5307/2/1000</f>
        <v>1.75</v>
      </c>
      <c r="K5313" t="str">
        <v>+</v>
      </c>
      <c r="M5313" t="str">
        <v>=</v>
      </c>
      <c r="N5313">
        <f>J5313+L5313</f>
        <v>1.75</v>
      </c>
      <c r="O5313" t="str">
        <v>+</v>
      </c>
      <c r="P5313">
        <f>MAX(D5313-D5312,D5313-D5314)</f>
        <v>0</v>
      </c>
      <c r="Q5313" t="str">
        <v>x</v>
      </c>
      <c r="R5313">
        <f>IF(P5313&gt;0,2*(1-2*$F$19-1/2)*D5308/1000,0)</f>
        <v>0</v>
      </c>
      <c r="S5313" t="str">
        <v>)</v>
      </c>
      <c r="T5313" t="str">
        <v>x</v>
      </c>
      <c r="U5313">
        <f>0.006165*F5313^2</f>
        <v>1.041885</v>
      </c>
      <c r="X5313" t="str">
        <v>x</v>
      </c>
      <c r="Y5313">
        <f>D5311</f>
        <v>1</v>
      </c>
      <c r="Z5313" t="str">
        <v>=</v>
      </c>
      <c r="AA5313">
        <f>IF(AA5315=0,(D5313*N5313+P5313*R5313)*U5313*Y5313,0)</f>
        <v>0</v>
      </c>
    </row>
    <row r="5314">
      <c r="A5314" t="str">
        <f>A5305</f>
        <v>Lantai 3</v>
      </c>
      <c r="B5314">
        <f>B5305</f>
        <v>35</v>
      </c>
      <c r="C5314" t="str">
        <v>Tul Atas Tumpuan</v>
      </c>
      <c r="D5314">
        <f>VLOOKUP(D5305,'Detail Balok'!$C$10:$AU$140,10,FALSE)</f>
        <v>3</v>
      </c>
      <c r="E5314" t="str">
        <v>D</v>
      </c>
      <c r="F5314">
        <f>VLOOKUP(D5305,'Detail Balok'!$C$10:$AU$140,12,FALSE)</f>
        <v>13</v>
      </c>
      <c r="I5314" t="str">
        <v>(</v>
      </c>
      <c r="J5314">
        <f>+D5307/4/1000</f>
        <v>0.875</v>
      </c>
      <c r="K5314" t="str">
        <v>+</v>
      </c>
      <c r="L5314">
        <f>MAX(VLOOKUP(F5314,N$6:P$15,3,FALSE)/1000,2/3*D5309/1000)+F$16*F5314/1000</f>
        <v>0.156</v>
      </c>
      <c r="M5314" t="str">
        <v>=</v>
      </c>
      <c r="N5314">
        <f>J5314+L5314</f>
        <v>1.031</v>
      </c>
      <c r="O5314" t="str">
        <v>+</v>
      </c>
      <c r="P5314">
        <f>D5314-D5313</f>
        <v>0</v>
      </c>
      <c r="Q5314" t="str">
        <v>x</v>
      </c>
      <c r="R5314">
        <f>IF(P5314&gt;0,$F$18*F5314/1000,0)</f>
        <v>0</v>
      </c>
      <c r="S5314" t="str">
        <v>)</v>
      </c>
      <c r="T5314" t="str">
        <v>x</v>
      </c>
      <c r="U5314">
        <f>0.006165*F5314^2</f>
        <v>1.041885</v>
      </c>
      <c r="X5314" t="str">
        <v>x</v>
      </c>
      <c r="Y5314">
        <f>D5311</f>
        <v>1</v>
      </c>
      <c r="Z5314" t="str">
        <v>=</v>
      </c>
      <c r="AA5314">
        <f>IF(AA5315=0,(D5314*N5314+P5314*R5314)*U5314*Y5314,0)</f>
        <v>0</v>
      </c>
    </row>
    <row r="5315">
      <c r="A5315" t="str">
        <f>A5305</f>
        <v>Lantai 3</v>
      </c>
      <c r="B5315">
        <f>B5305</f>
        <v>35</v>
      </c>
      <c r="D5315">
        <f>IF(AND(D5312=D5313,D5313=D5314,D5312=D5314),D5312,0)</f>
        <v>3</v>
      </c>
      <c r="E5315" t="str">
        <v>D</v>
      </c>
      <c r="F5315">
        <f>IF(AND(F5312=F5313,F5312=F5314,F5313=F5314),F5312,0)</f>
        <v>13</v>
      </c>
      <c r="L5315" t="str">
        <v>Total panjang per balok</v>
      </c>
      <c r="M5315" t="str">
        <v>=</v>
      </c>
      <c r="N5315">
        <f>IF(AND(D5312=D5313,D5312=D5314,D5313=D5314,F5312=F5313,F5312=F5314,F5313=F5314),SUM(N5312:N5314),0)</f>
        <v>3.8119999999999994</v>
      </c>
      <c r="O5315" t="str">
        <v>+</v>
      </c>
      <c r="P5315">
        <f>IF(N5315&gt;12,ROUNDDOWN(N5315/12,0),0)</f>
        <v>0</v>
      </c>
      <c r="Q5315" t="str">
        <v>x</v>
      </c>
      <c r="R5315">
        <f>IF(P5315&gt;0,MAX(VLOOKUP(F5315,$D$6:$G$15,3,FALSE),600),0)/1000</f>
        <v>0</v>
      </c>
      <c r="T5315" t="str">
        <v>x</v>
      </c>
      <c r="U5315">
        <f>U5314</f>
        <v>1.041885</v>
      </c>
      <c r="V5315" t="str">
        <v>x</v>
      </c>
      <c r="W5315">
        <f>D5315</f>
        <v>3</v>
      </c>
      <c r="X5315" t="str">
        <v>x</v>
      </c>
      <c r="Y5315">
        <f>Y5314</f>
        <v>1</v>
      </c>
      <c r="Z5315" t="str">
        <v>=</v>
      </c>
      <c r="AA5315">
        <f>(N5315+P5315*R5315/1000)*U5315*W5315*Y5315</f>
        <v>11.914996859999997</v>
      </c>
    </row>
    <row r="5317">
      <c r="A5317" t="str">
        <f>A5305</f>
        <v>Lantai 3</v>
      </c>
      <c r="B5317">
        <f>B5305</f>
        <v>35</v>
      </c>
      <c r="C5317" t="str">
        <v>Tul Peminggang</v>
      </c>
      <c r="D5317">
        <f>VLOOKUP(D5305,'Detail Balok'!$C$10:$AU$140,13,FALSE)</f>
        <v>0</v>
      </c>
      <c r="E5317" t="str">
        <v>D</v>
      </c>
      <c r="F5317">
        <f>VLOOKUP(D5305,'Detail Balok'!$C$10:$AU$140,15,FALSE)</f>
        <v>8</v>
      </c>
      <c r="J5317">
        <f>+D5307/1000</f>
        <v>3.5</v>
      </c>
      <c r="K5317" t="str">
        <v>+</v>
      </c>
      <c r="L5317">
        <f>2*$F$16*F5317/1000</f>
        <v>0.192</v>
      </c>
      <c r="M5317" t="str">
        <v>=</v>
      </c>
      <c r="N5317">
        <f>J5317+L5317</f>
        <v>3.692</v>
      </c>
      <c r="O5317" t="str">
        <v>+</v>
      </c>
      <c r="P5317">
        <f>IF(N5317&gt;12,ROUNDDOWN(N5317/12,0),0)</f>
        <v>0</v>
      </c>
      <c r="Q5317" t="str">
        <v>x</v>
      </c>
      <c r="R5317">
        <f>IF(P5317&gt;0,MAX(VLOOKUP(F5317,$D$6:$G$15,3,FALSE),600),0)/1000</f>
        <v>0</v>
      </c>
      <c r="T5317" t="str">
        <v>x</v>
      </c>
      <c r="U5317">
        <f>0.006165*F5317^2</f>
        <v>0.39456</v>
      </c>
      <c r="V5317" t="str">
        <v>x</v>
      </c>
      <c r="W5317">
        <f>+D5317</f>
        <v>0</v>
      </c>
      <c r="X5317" t="str">
        <v>x</v>
      </c>
      <c r="Y5317">
        <f>D5311</f>
        <v>1</v>
      </c>
      <c r="Z5317" t="str">
        <v>=</v>
      </c>
      <c r="AA5317">
        <f>(N5317+P5317*R5317/1000)*U5317*W5317*Y5317</f>
        <v>0</v>
      </c>
    </row>
    <row r="5320">
      <c r="A5320" t="str">
        <f>A5305</f>
        <v>Lantai 3</v>
      </c>
      <c r="B5320">
        <f>B5305</f>
        <v>35</v>
      </c>
      <c r="C5320" t="str">
        <v>Tul Bawah Tumpuan</v>
      </c>
      <c r="D5320">
        <f>VLOOKUP(D5305,'Detail Balok'!$C$10:$AU$140,22,FALSE)</f>
        <v>3</v>
      </c>
      <c r="E5320" t="str">
        <v>D</v>
      </c>
      <c r="F5320">
        <f>VLOOKUP(D5305,'Detail Balok'!$C$10:$AU$140,24,FALSE)</f>
        <v>13</v>
      </c>
      <c r="I5320" t="str">
        <v>(</v>
      </c>
      <c r="J5320">
        <f>+J5312</f>
        <v>0.875</v>
      </c>
      <c r="K5320" t="str">
        <v>+</v>
      </c>
      <c r="L5320">
        <f>MAX(VLOOKUP(F5320,N$6:P$15,3,FALSE)/1000,2/3*D5310/1000)+F$16*F5320/1000</f>
        <v>0.156</v>
      </c>
      <c r="M5320" t="str">
        <v>=</v>
      </c>
      <c r="N5320">
        <f>J5320+L5320</f>
        <v>1.031</v>
      </c>
      <c r="O5320" t="str">
        <v>+</v>
      </c>
      <c r="P5320">
        <f>D5320-D5321</f>
        <v>0</v>
      </c>
      <c r="Q5320" t="str">
        <v>x</v>
      </c>
      <c r="R5320">
        <f>IF(P5320&gt;0,$F$18*F5320/1000,0)</f>
        <v>0</v>
      </c>
      <c r="S5320" t="str">
        <v>)</v>
      </c>
      <c r="T5320" t="str">
        <v>x</v>
      </c>
      <c r="U5320">
        <f>0.006165*F5320^2</f>
        <v>1.041885</v>
      </c>
      <c r="X5320" t="str">
        <v>x</v>
      </c>
      <c r="Y5320">
        <f>D5311</f>
        <v>1</v>
      </c>
      <c r="Z5320" t="str">
        <v>=</v>
      </c>
      <c r="AA5320">
        <f>IF(AA5323=0,(D5320*N5320+P5320*R5320)*U5320*Y5320,0)</f>
        <v>0</v>
      </c>
    </row>
    <row r="5321">
      <c r="A5321" t="str">
        <f>A5305</f>
        <v>Lantai 3</v>
      </c>
      <c r="B5321">
        <f>B5305</f>
        <v>35</v>
      </c>
      <c r="C5321" t="str">
        <v>Tul Bawah Lapangan</v>
      </c>
      <c r="D5321">
        <f>VLOOKUP(D5305,'Detail Balok'!$C$10:$AU$140,25,FALSE)</f>
        <v>3</v>
      </c>
      <c r="E5321" t="str">
        <v>D</v>
      </c>
      <c r="F5321">
        <f>VLOOKUP(D5305,'Detail Balok'!$C$10:$AU$140,27,FALSE)</f>
        <v>13</v>
      </c>
      <c r="I5321" t="str">
        <v>(</v>
      </c>
      <c r="J5321">
        <f>+J5313</f>
        <v>1.75</v>
      </c>
      <c r="K5321" t="str">
        <v>+</v>
      </c>
      <c r="M5321" t="str">
        <v>=</v>
      </c>
      <c r="N5321">
        <f>J5321+L5321</f>
        <v>1.75</v>
      </c>
      <c r="O5321" t="str">
        <v>+</v>
      </c>
      <c r="P5321">
        <f>MAX(D5321-D5320,D5321-D5322)</f>
        <v>0</v>
      </c>
      <c r="Q5321" t="str">
        <v>x</v>
      </c>
      <c r="R5321">
        <f>IF(P5321&gt;0,2*(1-2*$F$19-1/2)*D5308/1000,0)</f>
        <v>0</v>
      </c>
      <c r="S5321" t="str">
        <v>)</v>
      </c>
      <c r="T5321" t="str">
        <v>x</v>
      </c>
      <c r="U5321">
        <f>0.006165*F5321^2</f>
        <v>1.041885</v>
      </c>
      <c r="X5321" t="str">
        <v>x</v>
      </c>
      <c r="Y5321">
        <f>D5311</f>
        <v>1</v>
      </c>
      <c r="Z5321" t="str">
        <v>=</v>
      </c>
      <c r="AA5321">
        <f>IF(AA5323=0,(D5321*N5321+P5321*R5321)*U5321*Y5321,0)</f>
        <v>0</v>
      </c>
    </row>
    <row r="5322">
      <c r="A5322" t="str">
        <f>A5305</f>
        <v>Lantai 3</v>
      </c>
      <c r="B5322">
        <f>B5305</f>
        <v>35</v>
      </c>
      <c r="C5322" t="str">
        <v>Tul Bawah Tumpuan</v>
      </c>
      <c r="D5322">
        <f>VLOOKUP(D5305,'Detail Balok'!$C$10:$AU$140,28,FALSE)</f>
        <v>3</v>
      </c>
      <c r="E5322" t="str">
        <v>D</v>
      </c>
      <c r="F5322">
        <f>VLOOKUP(D5305,'Detail Balok'!$C$10:$AU$140,30,FALSE)</f>
        <v>13</v>
      </c>
      <c r="I5322" t="str">
        <v>(</v>
      </c>
      <c r="J5322">
        <f>+J5314</f>
        <v>0.875</v>
      </c>
      <c r="K5322" t="str">
        <v>+</v>
      </c>
      <c r="L5322">
        <f>MAX(VLOOKUP(F5322,N$6:P$15,3,FALSE)/1000,2/3*D5310/1000)+F$16*F5322/1000</f>
        <v>0.156</v>
      </c>
      <c r="M5322" t="str">
        <v>=</v>
      </c>
      <c r="N5322">
        <f>J5322+L5322</f>
        <v>1.031</v>
      </c>
      <c r="O5322" t="str">
        <v>+</v>
      </c>
      <c r="P5322">
        <f>D5322-D5321</f>
        <v>0</v>
      </c>
      <c r="Q5322" t="str">
        <v>x</v>
      </c>
      <c r="R5322">
        <f>IF(P5322&gt;0,$F$18*F5322/1000,0)</f>
        <v>0</v>
      </c>
      <c r="S5322" t="str">
        <v>)</v>
      </c>
      <c r="T5322" t="str">
        <v>x</v>
      </c>
      <c r="U5322">
        <f>0.006165*F5322^2</f>
        <v>1.041885</v>
      </c>
      <c r="X5322" t="str">
        <v>x</v>
      </c>
      <c r="Y5322">
        <f>D5311</f>
        <v>1</v>
      </c>
      <c r="Z5322" t="str">
        <v>=</v>
      </c>
      <c r="AA5322">
        <f>IF(AA5323=0,(D5322*N5322+P5322*R5322)*U5322*Y5322,0)</f>
        <v>0</v>
      </c>
    </row>
    <row r="5323">
      <c r="A5323" t="str">
        <f>A5305</f>
        <v>Lantai 3</v>
      </c>
      <c r="B5323">
        <f>B5305</f>
        <v>35</v>
      </c>
      <c r="D5323">
        <f>IF(AND(D5320=D5321,D5321=D5322,D5320=D5322),D5320,0)</f>
        <v>3</v>
      </c>
      <c r="E5323" t="str">
        <v>D</v>
      </c>
      <c r="F5323">
        <f>IF(AND(F5320=F5321,F5320=F5322,F5321=F5322),F5320,0)</f>
        <v>13</v>
      </c>
      <c r="L5323" t="str">
        <v>Total panjang per balok</v>
      </c>
      <c r="M5323" t="str">
        <v>=</v>
      </c>
      <c r="N5323">
        <f>IF(AND(D5320=D5321,D5320=D5322,D5321=D5322,F5320=F5321,F5320=F5322,F5321=F5322),SUM(N5320:N5322),0)</f>
        <v>3.8119999999999994</v>
      </c>
      <c r="O5323" t="str">
        <v>+</v>
      </c>
      <c r="P5323">
        <f>IF(N5323&gt;12,ROUNDDOWN(N5323/12,0),0)</f>
        <v>0</v>
      </c>
      <c r="Q5323" t="str">
        <v>x</v>
      </c>
      <c r="R5323">
        <f>IF(P5323&gt;0,MAX(VLOOKUP(F5323,$D$6:$G$15,3,FALSE),600),0)/1000</f>
        <v>0</v>
      </c>
      <c r="T5323" t="str">
        <v>x</v>
      </c>
      <c r="U5323">
        <f>U5322</f>
        <v>1.041885</v>
      </c>
      <c r="V5323" t="str">
        <v>x</v>
      </c>
      <c r="W5323">
        <f>D5323</f>
        <v>3</v>
      </c>
      <c r="X5323" t="str">
        <v>x</v>
      </c>
      <c r="Y5323">
        <f>Y5322</f>
        <v>1</v>
      </c>
      <c r="Z5323" t="str">
        <v>=</v>
      </c>
      <c r="AA5323">
        <f>(N5323+P5323*R5323/1000)*U5323*W5323*Y5323</f>
        <v>11.914996859999997</v>
      </c>
    </row>
    <row r="5325">
      <c r="A5325" t="str">
        <f>A5305</f>
        <v>Lantai 3</v>
      </c>
      <c r="B5325">
        <f>B5305</f>
        <v>35</v>
      </c>
      <c r="C5325" t="str">
        <v>Sengkang Tumpuan</v>
      </c>
      <c r="D5325">
        <f>VLOOKUP(D5305,'Detail Balok'!$C$10:$AU$140,31,FALSE)</f>
        <v>0</v>
      </c>
      <c r="E5325" t="str">
        <v>D</v>
      </c>
      <c r="F5325">
        <f>VLOOKUP(D5305,'Detail Balok'!$C$10:$AU$140,33,FALSE)</f>
        <v>10</v>
      </c>
      <c r="G5325" t="str">
        <v>-</v>
      </c>
      <c r="H5325">
        <f>VLOOKUP(D5305,'Detail Balok'!$C$10:$AU$140,35,FALSE)</f>
        <v>100</v>
      </c>
      <c r="J5325">
        <f>(IF(D5325=0,(2*(D5306+G5306))-(F$5*8),IF(D5325=3,(2*(D5306+G5306))-(F$5*8)+(G5306-2*F$5),IF(D5325=4,(2*(D5306+G5306))-(F$5*8)+2*(G5306-2*F$5)))))/1000</f>
        <v>0.88</v>
      </c>
      <c r="K5325" t="str">
        <v>+</v>
      </c>
      <c r="L5325">
        <f>IF(D5325=0,2*MAX(6*F5325,75),(D5325-1)*2*MAX(6*F5325,75))/1000</f>
        <v>0.15</v>
      </c>
      <c r="M5325" t="str">
        <v>=</v>
      </c>
      <c r="N5325">
        <f>J5325+L5325</f>
        <v>1.03</v>
      </c>
      <c r="T5325" t="str">
        <v>x</v>
      </c>
      <c r="U5325">
        <f>0.006165*F5325^2</f>
        <v>0.6165</v>
      </c>
      <c r="V5325" t="str">
        <v>x</v>
      </c>
      <c r="W5325">
        <f>IF(D5308&gt;4*G5306,ROUND(MAX(D5308/4,2*G5306)/H5325,0)+1,ROUND(D5308/H5325,0)+1)</f>
        <v>10</v>
      </c>
      <c r="X5325" t="str">
        <v>x</v>
      </c>
      <c r="Y5325">
        <f>D5311</f>
        <v>1</v>
      </c>
      <c r="Z5325" t="str">
        <v>=</v>
      </c>
      <c r="AA5325">
        <f>N5325*U5325*W5325*Y5325</f>
        <v>6.349950000000001</v>
      </c>
    </row>
    <row r="5326">
      <c r="A5326" t="str">
        <f>A5305</f>
        <v>Lantai 3</v>
      </c>
      <c r="B5326">
        <f>B5305</f>
        <v>35</v>
      </c>
      <c r="C5326" t="str">
        <v>Sengkang Lapangan</v>
      </c>
      <c r="D5326">
        <f>VLOOKUP(D5305,'Detail Balok'!$C$10:$AU$140,36,FALSE)</f>
        <v>0</v>
      </c>
      <c r="E5326" t="str">
        <v>D</v>
      </c>
      <c r="F5326">
        <f>VLOOKUP(D5305,'Detail Balok'!$C$10:$AU$140,38,FALSE)</f>
        <v>10</v>
      </c>
      <c r="G5326" t="str">
        <v>-</v>
      </c>
      <c r="H5326">
        <f>VLOOKUP(D5305,'Detail Balok'!$C$10:$AU$140,40,FALSE)</f>
        <v>200</v>
      </c>
      <c r="J5326">
        <f>(IF(D5326=0,(2*(D5306+G5306))-(F$5*8),IF(D5326=3,(2*(D5306+G5306))-(F$5*8)+(G5306-2*F$5),IF(D5326=4,(2*(D5306+G5306))-(F$5*8)+2*(G5306-2*F$5)))))/1000</f>
        <v>0.88</v>
      </c>
      <c r="K5326" t="str">
        <v>+</v>
      </c>
      <c r="L5326">
        <f>IF(D5326=0,2*MAX(6*F5326,75),(D5326-1)*2*MAX(6*F5326,75))/1000</f>
        <v>0.15</v>
      </c>
      <c r="M5326" t="str">
        <v>=</v>
      </c>
      <c r="N5326">
        <f>J5326+L5326</f>
        <v>1.03</v>
      </c>
      <c r="T5326" t="str">
        <v>x</v>
      </c>
      <c r="U5326">
        <f>0.006165*F5326^2</f>
        <v>0.6165</v>
      </c>
      <c r="V5326" t="str">
        <v>x</v>
      </c>
      <c r="W5326">
        <f>IF(D5308-MAX(D5308/4,2*G5306)*2&gt;0,ROUND((D5308-MAX(D5308/4,2*G5306)*2)/H5326,0),0)</f>
        <v>9</v>
      </c>
      <c r="X5326" t="str">
        <v>x</v>
      </c>
      <c r="Y5326">
        <f>D5311</f>
        <v>1</v>
      </c>
      <c r="Z5326" t="str">
        <v>=</v>
      </c>
      <c r="AA5326">
        <f>N5326*U5326*W5326*Y5326</f>
        <v>5.714955000000001</v>
      </c>
    </row>
    <row r="5327">
      <c r="A5327" t="str">
        <f>A5305</f>
        <v>Lantai 3</v>
      </c>
      <c r="B5327">
        <f>B5305</f>
        <v>35</v>
      </c>
      <c r="C5327" t="str">
        <v>Sengkang Tumpuan</v>
      </c>
      <c r="D5327">
        <f>VLOOKUP(D5305,'Detail Balok'!$C$10:$AU$140,41,FALSE)</f>
        <v>0</v>
      </c>
      <c r="E5327" t="str">
        <v>D</v>
      </c>
      <c r="F5327">
        <f>VLOOKUP(D5305,'Detail Balok'!$C$10:$AU$140,43,FALSE)</f>
        <v>10</v>
      </c>
      <c r="G5327" t="str">
        <v>-</v>
      </c>
      <c r="H5327">
        <f>VLOOKUP(D5305,'Detail Balok'!$C$10:$AU$140,45,FALSE)</f>
        <v>100</v>
      </c>
      <c r="J5327">
        <f>(IF(D5327=0,(2*(D5306+G5306))-(F$5*8),IF(D5327=3,(2*(D5306+G5306))-(F$5*8)+(G5306-2*F$5),IF(D5327=4,(2*(D5306+G5306))-(F$5*8)+2*(G5306-2*F$5)))))/1000</f>
        <v>0.88</v>
      </c>
      <c r="K5327" t="str">
        <v>+</v>
      </c>
      <c r="L5327">
        <f>IF(D5327=0,2*MAX(6*F5327,75),(D5327-1)*2*MAX(6*F5327,75))/1000</f>
        <v>0.15</v>
      </c>
      <c r="M5327" t="str">
        <v>=</v>
      </c>
      <c r="N5327">
        <f>J5327+L5327</f>
        <v>1.03</v>
      </c>
      <c r="T5327" t="str">
        <v>x</v>
      </c>
      <c r="U5327">
        <f>0.006165*F5327^2</f>
        <v>0.6165</v>
      </c>
      <c r="V5327" t="str">
        <v>x</v>
      </c>
      <c r="W5327">
        <f>IF(D5308&gt;4*G5306,ROUND(MAX(D5308/4,2*G5306)/H5327,0)+1,0)</f>
        <v>10</v>
      </c>
      <c r="X5327" t="str">
        <v>x</v>
      </c>
      <c r="Y5327">
        <f>D5311</f>
        <v>1</v>
      </c>
      <c r="Z5327" t="str">
        <v>=</v>
      </c>
      <c r="AA5327">
        <f>N5327*U5327*W5327*Y5327</f>
        <v>6.349950000000001</v>
      </c>
    </row>
    <row r="5329">
      <c r="A5329" t="str">
        <f>A5305</f>
        <v>Lantai 3</v>
      </c>
      <c r="B5329">
        <f>B5305</f>
        <v>35</v>
      </c>
      <c r="C5329" t="str">
        <v>Kait Horizontal Tump.</v>
      </c>
      <c r="D5329">
        <f>VLOOKUP(D5305,'Detail Balok'!$C$10:$BJ$140,46,FALSE)</f>
        <v>0</v>
      </c>
      <c r="E5329" t="str">
        <v>D</v>
      </c>
      <c r="F5329">
        <f>VLOOKUP(D5305,'Detail Balok'!$C$10:$BJ$140,48,FALSE)</f>
        <v>0</v>
      </c>
      <c r="G5329" t="str">
        <v>-</v>
      </c>
      <c r="H5329">
        <f>VLOOKUP(D5305,'Detail Balok'!$C$10:$BJ$140,50,FALSE)</f>
        <v>100</v>
      </c>
      <c r="J5329">
        <f>(D5306-2*F$5)/1000</f>
        <v>0.12</v>
      </c>
      <c r="K5329" t="str">
        <v>+</v>
      </c>
      <c r="L5329">
        <f>IF(D5329=0,2*MAX(6*F5329,75),(D5329-1)*2*MAX(6*F5329,75))/1000</f>
        <v>0.15</v>
      </c>
      <c r="M5329" t="str">
        <v>=</v>
      </c>
      <c r="N5329">
        <f>J5329+L5329</f>
        <v>0.27</v>
      </c>
      <c r="T5329" t="str">
        <v>x</v>
      </c>
      <c r="U5329">
        <f>0.006165*F5329^2</f>
        <v>0</v>
      </c>
      <c r="V5329" t="str">
        <v>x</v>
      </c>
      <c r="W5329">
        <f>W5325</f>
        <v>10</v>
      </c>
      <c r="X5329" t="str">
        <v>x</v>
      </c>
      <c r="Y5329">
        <f>D5315</f>
        <v>3</v>
      </c>
      <c r="Z5329" t="str">
        <v>=</v>
      </c>
      <c r="AA5329">
        <f>N5329*U5329*W5329*Y5329</f>
        <v>0</v>
      </c>
    </row>
    <row r="5330">
      <c r="A5330" t="str">
        <f>A5305</f>
        <v>Lantai 3</v>
      </c>
      <c r="B5330">
        <f>B5305</f>
        <v>35</v>
      </c>
      <c r="C5330" t="str">
        <v>Kait Horizontal Lap.</v>
      </c>
      <c r="D5330">
        <f>VLOOKUP(D5305,'Detail Balok'!$C$10:$BJ$140,51,FALSE)</f>
        <v>0</v>
      </c>
      <c r="E5330" t="str">
        <v>D</v>
      </c>
      <c r="F5330">
        <f>VLOOKUP(D5305,'Detail Balok'!$C$10:$BJ$140,53,FALSE)</f>
        <v>0</v>
      </c>
      <c r="G5330" t="str">
        <v>-</v>
      </c>
      <c r="H5330">
        <f>VLOOKUP(D5305,'Detail Balok'!$C$10:$BJ$140,55,FALSE)</f>
        <v>100</v>
      </c>
      <c r="J5330">
        <f>(D5306-2*F$5)/1000</f>
        <v>0.12</v>
      </c>
      <c r="K5330" t="str">
        <v>+</v>
      </c>
      <c r="L5330">
        <f>IF(D5330=0,2*MAX(6*F5330,75),(D5330-1)*2*MAX(6*F5330,75))/1000</f>
        <v>0.15</v>
      </c>
      <c r="M5330" t="str">
        <v>=</v>
      </c>
      <c r="N5330">
        <f>J5330+L5330</f>
        <v>0.27</v>
      </c>
      <c r="T5330" t="str">
        <v>x</v>
      </c>
      <c r="U5330">
        <f>0.006165*F5330^2</f>
        <v>0</v>
      </c>
      <c r="V5330" t="str">
        <v>x</v>
      </c>
      <c r="W5330">
        <f>W5326</f>
        <v>9</v>
      </c>
      <c r="X5330" t="str">
        <v>x</v>
      </c>
      <c r="Y5330">
        <f>D5315</f>
        <v>3</v>
      </c>
      <c r="Z5330" t="str">
        <v>=</v>
      </c>
      <c r="AA5330">
        <f>N5330*U5330*W5330*Y5330</f>
        <v>0</v>
      </c>
    </row>
    <row r="5331">
      <c r="A5331" t="str">
        <f>A5305</f>
        <v>Lantai 3</v>
      </c>
      <c r="B5331">
        <f>B5305</f>
        <v>35</v>
      </c>
      <c r="C5331" t="str">
        <v>Kait Horizontal Tump.</v>
      </c>
      <c r="D5331">
        <f>VLOOKUP(D5305,'Detail Balok'!$C$10:$BJ$140,56,FALSE)</f>
        <v>0</v>
      </c>
      <c r="E5331" t="str">
        <v>D</v>
      </c>
      <c r="F5331">
        <f>VLOOKUP(D5305,'Detail Balok'!$C$10:$BJ$140,58,FALSE)</f>
        <v>0</v>
      </c>
      <c r="G5331" t="str">
        <v>-</v>
      </c>
      <c r="H5331">
        <f>VLOOKUP(D5305,'Detail Balok'!$C$10:$BJ$140,60,FALSE)</f>
        <v>100</v>
      </c>
      <c r="J5331">
        <f>(D5306-2*F$5)/1000</f>
        <v>0.12</v>
      </c>
      <c r="K5331" t="str">
        <v>+</v>
      </c>
      <c r="L5331">
        <f>IF(D5331=0,2*MAX(6*F5331,75),(D5331-1)*2*MAX(6*F5331,75))/1000</f>
        <v>0.15</v>
      </c>
      <c r="M5331" t="str">
        <v>=</v>
      </c>
      <c r="N5331">
        <f>J5331+L5331</f>
        <v>0.27</v>
      </c>
      <c r="T5331" t="str">
        <v>x</v>
      </c>
      <c r="U5331">
        <f>0.006165*F5331^2</f>
        <v>0</v>
      </c>
      <c r="V5331" t="str">
        <v>x</v>
      </c>
      <c r="W5331">
        <f>W5327</f>
        <v>10</v>
      </c>
      <c r="X5331" t="str">
        <v>x</v>
      </c>
      <c r="Y5331">
        <f>D5315</f>
        <v>3</v>
      </c>
      <c r="Z5331" t="str">
        <v>=</v>
      </c>
      <c r="AA5331">
        <f>N5331*U5331*W5331*Y5331</f>
        <v>0</v>
      </c>
    </row>
    <row r="5335">
      <c r="A5335" t="str">
        <f>A5305</f>
        <v>Lantai 3</v>
      </c>
      <c r="B5335">
        <f>B5305+1</f>
        <v>36</v>
      </c>
      <c r="C5335" t="str">
        <f>CONCATENATE(A5335," no. ",B5335)</f>
        <v>Lantai 3 no. 36</v>
      </c>
      <c r="D5335" t="str">
        <f>VLOOKUP(C5335,'Data Panjang Balok'!$C$9:$N$254,2,FALSE)</f>
        <v>CL24-1</v>
      </c>
    </row>
    <row r="5336">
      <c r="C5336" t="str">
        <v>Dimensi</v>
      </c>
      <c r="D5336">
        <f>VLOOKUP(D5335,'Detail Balok'!$C$10:$AU$140,2,FALSE)</f>
        <v>200</v>
      </c>
      <c r="F5336" t="str">
        <v>x</v>
      </c>
      <c r="G5336">
        <f>VLOOKUP(D5335,'Detail Balok'!$C$10:$AU$140,3,FALSE)</f>
        <v>400</v>
      </c>
    </row>
    <row r="5337">
      <c r="C5337" t="str">
        <v>Panjang as ke as</v>
      </c>
      <c r="D5337">
        <f>VLOOKUP(C5335,'Data Panjang Balok'!$C$9:$N$254,4,FALSE)</f>
        <v>1250</v>
      </c>
    </row>
    <row r="5338">
      <c r="C5338" t="str">
        <v>Panjang netto</v>
      </c>
      <c r="D5338">
        <f>VLOOKUP(C5335,'Data Panjang Balok'!$C$9:$N$254,7,FALSE)</f>
        <v>1250</v>
      </c>
    </row>
    <row r="5339">
      <c r="C5339" t="str">
        <v>Kolom / balok kiri</v>
      </c>
      <c r="D5339">
        <f>VLOOKUP(C5335,'Data Panjang Balok'!$C$9:$N$254,9,FALSE)</f>
        <v>0</v>
      </c>
    </row>
    <row r="5340">
      <c r="C5340" t="str">
        <v>Kolom / balok kanan</v>
      </c>
      <c r="D5340">
        <f>VLOOKUP(C5335,'Data Panjang Balok'!$C$9:$N$254,10,FALSE)</f>
        <v>0</v>
      </c>
    </row>
    <row r="5341">
      <c r="C5341" t="str">
        <v>Jumlah</v>
      </c>
      <c r="D5341">
        <f>VLOOKUP(C5335,'Data Panjang Balok'!$C$9:$N$254,3,FALSE)</f>
        <v>1</v>
      </c>
    </row>
    <row r="5342">
      <c r="A5342" t="str">
        <f>A5335</f>
        <v>Lantai 3</v>
      </c>
      <c r="B5342">
        <f>B5335</f>
        <v>36</v>
      </c>
      <c r="C5342" t="str">
        <v>Tul Atas Tumpuan</v>
      </c>
      <c r="D5342">
        <f>VLOOKUP(D5335,'Detail Balok'!$C$10:$AU$140,4,FALSE)</f>
        <v>3</v>
      </c>
      <c r="E5342" t="str">
        <v>D</v>
      </c>
      <c r="F5342">
        <f>VLOOKUP(D5335,'Detail Balok'!$C$10:$AU$140,6,FALSE)</f>
        <v>16</v>
      </c>
      <c r="I5342" t="str">
        <v>(</v>
      </c>
      <c r="J5342">
        <f>+D5337/4/1000</f>
        <v>0.3125</v>
      </c>
      <c r="K5342" t="str">
        <v>+</v>
      </c>
      <c r="L5342">
        <f>MAX(VLOOKUP(F5342,N$6:P$15,3,FALSE)/1000,2/3*D5339/1000)+F$16*F5342/1000</f>
        <v>0.192</v>
      </c>
      <c r="M5342" t="str">
        <v>=</v>
      </c>
      <c r="N5342">
        <f>J5342+L5342</f>
        <v>0.5045</v>
      </c>
      <c r="O5342" t="str">
        <v>+</v>
      </c>
      <c r="P5342">
        <f>D5342-D5343</f>
        <v>0</v>
      </c>
      <c r="Q5342" t="str">
        <v>x</v>
      </c>
      <c r="R5342">
        <f>IF(P5342&gt;0,$F$18*F5342/1000,0)</f>
        <v>0</v>
      </c>
      <c r="S5342" t="str">
        <v>)</v>
      </c>
      <c r="T5342" t="str">
        <v>x</v>
      </c>
      <c r="U5342">
        <f>0.006165*F5342^2</f>
        <v>1.57824</v>
      </c>
      <c r="X5342" t="str">
        <v>x</v>
      </c>
      <c r="Y5342">
        <f>D5341</f>
        <v>1</v>
      </c>
      <c r="Z5342" t="str">
        <v>=</v>
      </c>
      <c r="AA5342">
        <f>IF(AA5345=0,(D5342*N5342+P5342*R5342)*U5342*Y5342,0)</f>
        <v>0</v>
      </c>
    </row>
    <row r="5343">
      <c r="A5343" t="str">
        <f>A5335</f>
        <v>Lantai 3</v>
      </c>
      <c r="B5343">
        <f>B5335</f>
        <v>36</v>
      </c>
      <c r="C5343" t="str">
        <v>Tul Atas Lapangan</v>
      </c>
      <c r="D5343">
        <f>VLOOKUP(D5335,'Detail Balok'!$C$10:$AU$140,7,FALSE)</f>
        <v>3</v>
      </c>
      <c r="E5343" t="str">
        <v>D</v>
      </c>
      <c r="F5343">
        <f>VLOOKUP(D5335,'Detail Balok'!$C$10:$AU$140,9,FALSE)</f>
        <v>16</v>
      </c>
      <c r="I5343" t="str">
        <v>(</v>
      </c>
      <c r="J5343">
        <f>+D5337/2/1000</f>
        <v>0.625</v>
      </c>
      <c r="K5343" t="str">
        <v>+</v>
      </c>
      <c r="M5343" t="str">
        <v>=</v>
      </c>
      <c r="N5343">
        <f>J5343+L5343</f>
        <v>0.625</v>
      </c>
      <c r="O5343" t="str">
        <v>+</v>
      </c>
      <c r="P5343">
        <f>MAX(D5343-D5342,D5343-D5344)</f>
        <v>0</v>
      </c>
      <c r="Q5343" t="str">
        <v>x</v>
      </c>
      <c r="R5343">
        <f>IF(P5343&gt;0,2*(1-2*$F$19-1/2)*D5338/1000,0)</f>
        <v>0</v>
      </c>
      <c r="S5343" t="str">
        <v>)</v>
      </c>
      <c r="T5343" t="str">
        <v>x</v>
      </c>
      <c r="U5343">
        <f>0.006165*F5343^2</f>
        <v>1.57824</v>
      </c>
      <c r="X5343" t="str">
        <v>x</v>
      </c>
      <c r="Y5343">
        <f>D5341</f>
        <v>1</v>
      </c>
      <c r="Z5343" t="str">
        <v>=</v>
      </c>
      <c r="AA5343">
        <f>IF(AA5345=0,(D5343*N5343+P5343*R5343)*U5343*Y5343,0)</f>
        <v>0</v>
      </c>
    </row>
    <row r="5344">
      <c r="A5344" t="str">
        <f>A5335</f>
        <v>Lantai 3</v>
      </c>
      <c r="B5344">
        <f>B5335</f>
        <v>36</v>
      </c>
      <c r="C5344" t="str">
        <v>Tul Atas Tumpuan</v>
      </c>
      <c r="D5344">
        <f>VLOOKUP(D5335,'Detail Balok'!$C$10:$AU$140,10,FALSE)</f>
        <v>3</v>
      </c>
      <c r="E5344" t="str">
        <v>D</v>
      </c>
      <c r="F5344">
        <f>VLOOKUP(D5335,'Detail Balok'!$C$10:$AU$140,12,FALSE)</f>
        <v>16</v>
      </c>
      <c r="I5344" t="str">
        <v>(</v>
      </c>
      <c r="J5344">
        <f>+D5337/4/1000</f>
        <v>0.3125</v>
      </c>
      <c r="K5344" t="str">
        <v>+</v>
      </c>
      <c r="L5344">
        <f>MAX(VLOOKUP(F5344,N$6:P$15,3,FALSE)/1000,2/3*D5339/1000)+F$16*F5344/1000</f>
        <v>0.192</v>
      </c>
      <c r="M5344" t="str">
        <v>=</v>
      </c>
      <c r="N5344">
        <f>J5344+L5344</f>
        <v>0.5045</v>
      </c>
      <c r="O5344" t="str">
        <v>+</v>
      </c>
      <c r="P5344">
        <f>D5344-D5343</f>
        <v>0</v>
      </c>
      <c r="Q5344" t="str">
        <v>x</v>
      </c>
      <c r="R5344">
        <f>IF(P5344&gt;0,$F$18*F5344/1000,0)</f>
        <v>0</v>
      </c>
      <c r="S5344" t="str">
        <v>)</v>
      </c>
      <c r="T5344" t="str">
        <v>x</v>
      </c>
      <c r="U5344">
        <f>0.006165*F5344^2</f>
        <v>1.57824</v>
      </c>
      <c r="X5344" t="str">
        <v>x</v>
      </c>
      <c r="Y5344">
        <f>D5341</f>
        <v>1</v>
      </c>
      <c r="Z5344" t="str">
        <v>=</v>
      </c>
      <c r="AA5344">
        <f>IF(AA5345=0,(D5344*N5344+P5344*R5344)*U5344*Y5344,0)</f>
        <v>0</v>
      </c>
    </row>
    <row r="5345">
      <c r="A5345" t="str">
        <f>A5335</f>
        <v>Lantai 3</v>
      </c>
      <c r="B5345">
        <f>B5335</f>
        <v>36</v>
      </c>
      <c r="D5345">
        <f>IF(AND(D5342=D5343,D5343=D5344,D5342=D5344),D5342,0)</f>
        <v>3</v>
      </c>
      <c r="E5345" t="str">
        <v>D</v>
      </c>
      <c r="F5345">
        <f>IF(AND(F5342=F5343,F5342=F5344,F5343=F5344),F5342,0)</f>
        <v>16</v>
      </c>
      <c r="L5345" t="str">
        <v>Total panjang per balok</v>
      </c>
      <c r="M5345" t="str">
        <v>=</v>
      </c>
      <c r="N5345">
        <f>IF(AND(D5342=D5343,D5342=D5344,D5343=D5344,F5342=F5343,F5342=F5344,F5343=F5344),SUM(N5342:N5344),0)</f>
        <v>1.634</v>
      </c>
      <c r="O5345" t="str">
        <v>+</v>
      </c>
      <c r="P5345">
        <f>IF(N5345&gt;12,ROUNDDOWN(N5345/12,0),0)</f>
        <v>0</v>
      </c>
      <c r="Q5345" t="str">
        <v>x</v>
      </c>
      <c r="R5345">
        <f>IF(P5345&gt;0,MAX(VLOOKUP(F5345,$D$6:$G$15,3,FALSE),600),0)/1000</f>
        <v>0</v>
      </c>
      <c r="T5345" t="str">
        <v>x</v>
      </c>
      <c r="U5345">
        <f>U5344</f>
        <v>1.57824</v>
      </c>
      <c r="V5345" t="str">
        <v>x</v>
      </c>
      <c r="W5345">
        <f>D5345</f>
        <v>3</v>
      </c>
      <c r="X5345" t="str">
        <v>x</v>
      </c>
      <c r="Y5345">
        <f>Y5344</f>
        <v>1</v>
      </c>
      <c r="Z5345" t="str">
        <v>=</v>
      </c>
      <c r="AA5345">
        <f>(N5345+P5345*R5345/1000)*U5345*W5345*Y5345</f>
        <v>7.73653248</v>
      </c>
    </row>
    <row r="5347">
      <c r="A5347" t="str">
        <f>A5335</f>
        <v>Lantai 3</v>
      </c>
      <c r="B5347">
        <f>B5335</f>
        <v>36</v>
      </c>
      <c r="C5347" t="str">
        <v>Tul Peminggang</v>
      </c>
      <c r="D5347">
        <f>VLOOKUP(D5335,'Detail Balok'!$C$10:$AU$140,13,FALSE)</f>
        <v>0</v>
      </c>
      <c r="E5347" t="str">
        <v>D</v>
      </c>
      <c r="F5347">
        <f>VLOOKUP(D5335,'Detail Balok'!$C$10:$AU$140,15,FALSE)</f>
        <v>8</v>
      </c>
      <c r="J5347">
        <f>+D5337/1000</f>
        <v>1.25</v>
      </c>
      <c r="K5347" t="str">
        <v>+</v>
      </c>
      <c r="L5347">
        <f>2*$F$16*F5347/1000</f>
        <v>0.192</v>
      </c>
      <c r="M5347" t="str">
        <v>=</v>
      </c>
      <c r="N5347">
        <f>J5347+L5347</f>
        <v>1.442</v>
      </c>
      <c r="O5347" t="str">
        <v>+</v>
      </c>
      <c r="P5347">
        <f>IF(N5347&gt;12,ROUNDDOWN(N5347/12,0),0)</f>
        <v>0</v>
      </c>
      <c r="Q5347" t="str">
        <v>x</v>
      </c>
      <c r="R5347">
        <f>IF(P5347&gt;0,MAX(VLOOKUP(F5347,$D$6:$G$15,3,FALSE),600),0)/1000</f>
        <v>0</v>
      </c>
      <c r="T5347" t="str">
        <v>x</v>
      </c>
      <c r="U5347">
        <f>0.006165*F5347^2</f>
        <v>0.39456</v>
      </c>
      <c r="V5347" t="str">
        <v>x</v>
      </c>
      <c r="W5347">
        <f>+D5347</f>
        <v>0</v>
      </c>
      <c r="X5347" t="str">
        <v>x</v>
      </c>
      <c r="Y5347">
        <f>D5341</f>
        <v>1</v>
      </c>
      <c r="Z5347" t="str">
        <v>=</v>
      </c>
      <c r="AA5347">
        <f>(N5347+P5347*R5347/1000)*U5347*W5347*Y5347</f>
        <v>0</v>
      </c>
    </row>
    <row r="5350">
      <c r="A5350" t="str">
        <f>A5335</f>
        <v>Lantai 3</v>
      </c>
      <c r="B5350">
        <f>B5335</f>
        <v>36</v>
      </c>
      <c r="C5350" t="str">
        <v>Tul Bawah Tumpuan</v>
      </c>
      <c r="D5350">
        <f>VLOOKUP(D5335,'Detail Balok'!$C$10:$AU$140,22,FALSE)</f>
        <v>3</v>
      </c>
      <c r="E5350" t="str">
        <v>D</v>
      </c>
      <c r="F5350">
        <f>VLOOKUP(D5335,'Detail Balok'!$C$10:$AU$140,24,FALSE)</f>
        <v>16</v>
      </c>
      <c r="I5350" t="str">
        <v>(</v>
      </c>
      <c r="J5350">
        <f>+J5342</f>
        <v>0.3125</v>
      </c>
      <c r="K5350" t="str">
        <v>+</v>
      </c>
      <c r="L5350">
        <f>MAX(VLOOKUP(F5350,N$6:P$15,3,FALSE)/1000,2/3*D5340/1000)+F$16*F5350/1000</f>
        <v>0.192</v>
      </c>
      <c r="M5350" t="str">
        <v>=</v>
      </c>
      <c r="N5350">
        <f>J5350+L5350</f>
        <v>0.5045</v>
      </c>
      <c r="O5350" t="str">
        <v>+</v>
      </c>
      <c r="P5350">
        <f>D5350-D5351</f>
        <v>0</v>
      </c>
      <c r="Q5350" t="str">
        <v>x</v>
      </c>
      <c r="R5350">
        <f>IF(P5350&gt;0,$F$18*F5350/1000,0)</f>
        <v>0</v>
      </c>
      <c r="S5350" t="str">
        <v>)</v>
      </c>
      <c r="T5350" t="str">
        <v>x</v>
      </c>
      <c r="U5350">
        <f>0.006165*F5350^2</f>
        <v>1.57824</v>
      </c>
      <c r="X5350" t="str">
        <v>x</v>
      </c>
      <c r="Y5350">
        <f>D5341</f>
        <v>1</v>
      </c>
      <c r="Z5350" t="str">
        <v>=</v>
      </c>
      <c r="AA5350">
        <f>IF(AA5353=0,(D5350*N5350+P5350*R5350)*U5350*Y5350,0)</f>
        <v>0</v>
      </c>
    </row>
    <row r="5351">
      <c r="A5351" t="str">
        <f>A5335</f>
        <v>Lantai 3</v>
      </c>
      <c r="B5351">
        <f>B5335</f>
        <v>36</v>
      </c>
      <c r="C5351" t="str">
        <v>Tul Bawah Lapangan</v>
      </c>
      <c r="D5351">
        <f>VLOOKUP(D5335,'Detail Balok'!$C$10:$AU$140,25,FALSE)</f>
        <v>3</v>
      </c>
      <c r="E5351" t="str">
        <v>D</v>
      </c>
      <c r="F5351">
        <f>VLOOKUP(D5335,'Detail Balok'!$C$10:$AU$140,27,FALSE)</f>
        <v>16</v>
      </c>
      <c r="I5351" t="str">
        <v>(</v>
      </c>
      <c r="J5351">
        <f>+J5343</f>
        <v>0.625</v>
      </c>
      <c r="K5351" t="str">
        <v>+</v>
      </c>
      <c r="M5351" t="str">
        <v>=</v>
      </c>
      <c r="N5351">
        <f>J5351+L5351</f>
        <v>0.625</v>
      </c>
      <c r="O5351" t="str">
        <v>+</v>
      </c>
      <c r="P5351">
        <f>MAX(D5351-D5350,D5351-D5352)</f>
        <v>0</v>
      </c>
      <c r="Q5351" t="str">
        <v>x</v>
      </c>
      <c r="R5351">
        <f>IF(P5351&gt;0,2*(1-2*$F$19-1/2)*D5338/1000,0)</f>
        <v>0</v>
      </c>
      <c r="S5351" t="str">
        <v>)</v>
      </c>
      <c r="T5351" t="str">
        <v>x</v>
      </c>
      <c r="U5351">
        <f>0.006165*F5351^2</f>
        <v>1.57824</v>
      </c>
      <c r="X5351" t="str">
        <v>x</v>
      </c>
      <c r="Y5351">
        <f>D5341</f>
        <v>1</v>
      </c>
      <c r="Z5351" t="str">
        <v>=</v>
      </c>
      <c r="AA5351">
        <f>IF(AA5353=0,(D5351*N5351+P5351*R5351)*U5351*Y5351,0)</f>
        <v>0</v>
      </c>
    </row>
    <row r="5352">
      <c r="A5352" t="str">
        <f>A5335</f>
        <v>Lantai 3</v>
      </c>
      <c r="B5352">
        <f>B5335</f>
        <v>36</v>
      </c>
      <c r="C5352" t="str">
        <v>Tul Bawah Tumpuan</v>
      </c>
      <c r="D5352">
        <f>VLOOKUP(D5335,'Detail Balok'!$C$10:$AU$140,28,FALSE)</f>
        <v>3</v>
      </c>
      <c r="E5352" t="str">
        <v>D</v>
      </c>
      <c r="F5352">
        <f>VLOOKUP(D5335,'Detail Balok'!$C$10:$AU$140,30,FALSE)</f>
        <v>16</v>
      </c>
      <c r="I5352" t="str">
        <v>(</v>
      </c>
      <c r="J5352">
        <f>+J5344</f>
        <v>0.3125</v>
      </c>
      <c r="K5352" t="str">
        <v>+</v>
      </c>
      <c r="L5352">
        <f>MAX(VLOOKUP(F5352,N$6:P$15,3,FALSE)/1000,2/3*D5340/1000)+F$16*F5352/1000</f>
        <v>0.192</v>
      </c>
      <c r="M5352" t="str">
        <v>=</v>
      </c>
      <c r="N5352">
        <f>J5352+L5352</f>
        <v>0.5045</v>
      </c>
      <c r="O5352" t="str">
        <v>+</v>
      </c>
      <c r="P5352">
        <f>D5352-D5351</f>
        <v>0</v>
      </c>
      <c r="Q5352" t="str">
        <v>x</v>
      </c>
      <c r="R5352">
        <f>IF(P5352&gt;0,$F$18*F5352/1000,0)</f>
        <v>0</v>
      </c>
      <c r="S5352" t="str">
        <v>)</v>
      </c>
      <c r="T5352" t="str">
        <v>x</v>
      </c>
      <c r="U5352">
        <f>0.006165*F5352^2</f>
        <v>1.57824</v>
      </c>
      <c r="X5352" t="str">
        <v>x</v>
      </c>
      <c r="Y5352">
        <f>D5341</f>
        <v>1</v>
      </c>
      <c r="Z5352" t="str">
        <v>=</v>
      </c>
      <c r="AA5352">
        <f>IF(AA5353=0,(D5352*N5352+P5352*R5352)*U5352*Y5352,0)</f>
        <v>0</v>
      </c>
    </row>
    <row r="5353">
      <c r="A5353" t="str">
        <f>A5335</f>
        <v>Lantai 3</v>
      </c>
      <c r="B5353">
        <f>B5335</f>
        <v>36</v>
      </c>
      <c r="D5353">
        <f>IF(AND(D5350=D5351,D5351=D5352,D5350=D5352),D5350,0)</f>
        <v>3</v>
      </c>
      <c r="E5353" t="str">
        <v>D</v>
      </c>
      <c r="F5353">
        <f>IF(AND(F5350=F5351,F5350=F5352,F5351=F5352),F5350,0)</f>
        <v>16</v>
      </c>
      <c r="L5353" t="str">
        <v>Total panjang per balok</v>
      </c>
      <c r="M5353" t="str">
        <v>=</v>
      </c>
      <c r="N5353">
        <f>IF(AND(D5350=D5351,D5350=D5352,D5351=D5352,F5350=F5351,F5350=F5352,F5351=F5352),SUM(N5350:N5352),0)</f>
        <v>1.634</v>
      </c>
      <c r="O5353" t="str">
        <v>+</v>
      </c>
      <c r="P5353">
        <f>IF(N5353&gt;12,ROUNDDOWN(N5353/12,0),0)</f>
        <v>0</v>
      </c>
      <c r="Q5353" t="str">
        <v>x</v>
      </c>
      <c r="R5353">
        <f>IF(P5353&gt;0,MAX(VLOOKUP(F5353,$D$6:$G$15,3,FALSE),600),0)/1000</f>
        <v>0</v>
      </c>
      <c r="T5353" t="str">
        <v>x</v>
      </c>
      <c r="U5353">
        <f>U5352</f>
        <v>1.57824</v>
      </c>
      <c r="V5353" t="str">
        <v>x</v>
      </c>
      <c r="W5353">
        <f>D5353</f>
        <v>3</v>
      </c>
      <c r="X5353" t="str">
        <v>x</v>
      </c>
      <c r="Y5353">
        <f>Y5352</f>
        <v>1</v>
      </c>
      <c r="Z5353" t="str">
        <v>=</v>
      </c>
      <c r="AA5353">
        <f>(N5353+P5353*R5353/1000)*U5353*W5353*Y5353</f>
        <v>7.73653248</v>
      </c>
    </row>
    <row r="5355">
      <c r="A5355" t="str">
        <f>A5335</f>
        <v>Lantai 3</v>
      </c>
      <c r="B5355">
        <f>B5335</f>
        <v>36</v>
      </c>
      <c r="C5355" t="str">
        <v>Sengkang Tumpuan</v>
      </c>
      <c r="D5355">
        <f>VLOOKUP(D5335,'Detail Balok'!$C$10:$AU$140,31,FALSE)</f>
        <v>0</v>
      </c>
      <c r="E5355" t="str">
        <v>D</v>
      </c>
      <c r="F5355">
        <f>VLOOKUP(D5335,'Detail Balok'!$C$10:$AU$140,33,FALSE)</f>
        <v>10</v>
      </c>
      <c r="G5355" t="str">
        <v>-</v>
      </c>
      <c r="H5355">
        <f>VLOOKUP(D5335,'Detail Balok'!$C$10:$AU$140,35,FALSE)</f>
        <v>100</v>
      </c>
      <c r="J5355">
        <f>(IF(D5355=0,(2*(D5336+G5336))-(F$5*8),IF(D5355=3,(2*(D5336+G5336))-(F$5*8)+(G5336-2*F$5),IF(D5355=4,(2*(D5336+G5336))-(F$5*8)+2*(G5336-2*F$5)))))/1000</f>
        <v>0.88</v>
      </c>
      <c r="K5355" t="str">
        <v>+</v>
      </c>
      <c r="L5355">
        <f>IF(D5355=0,2*MAX(6*F5355,75),(D5355-1)*2*MAX(6*F5355,75))/1000</f>
        <v>0.15</v>
      </c>
      <c r="M5355" t="str">
        <v>=</v>
      </c>
      <c r="N5355">
        <f>J5355+L5355</f>
        <v>1.03</v>
      </c>
      <c r="T5355" t="str">
        <v>x</v>
      </c>
      <c r="U5355">
        <f>0.006165*F5355^2</f>
        <v>0.6165</v>
      </c>
      <c r="V5355" t="str">
        <v>x</v>
      </c>
      <c r="W5355">
        <f>IF(D5338&gt;4*G5336,ROUND(MAX(D5338/4,2*G5336)/H5355,0)+1,ROUND(D5338/H5355,0)+1)</f>
        <v>14</v>
      </c>
      <c r="X5355" t="str">
        <v>x</v>
      </c>
      <c r="Y5355">
        <f>D5341</f>
        <v>1</v>
      </c>
      <c r="Z5355" t="str">
        <v>=</v>
      </c>
      <c r="AA5355">
        <f>N5355*U5355*W5355*Y5355</f>
        <v>8.889930000000001</v>
      </c>
    </row>
    <row r="5356">
      <c r="A5356" t="str">
        <f>A5335</f>
        <v>Lantai 3</v>
      </c>
      <c r="B5356">
        <f>B5335</f>
        <v>36</v>
      </c>
      <c r="C5356" t="str">
        <v>Sengkang Lapangan</v>
      </c>
      <c r="D5356">
        <f>VLOOKUP(D5335,'Detail Balok'!$C$10:$AU$140,36,FALSE)</f>
        <v>0</v>
      </c>
      <c r="E5356" t="str">
        <v>D</v>
      </c>
      <c r="F5356">
        <f>VLOOKUP(D5335,'Detail Balok'!$C$10:$AU$140,38,FALSE)</f>
        <v>10</v>
      </c>
      <c r="G5356" t="str">
        <v>-</v>
      </c>
      <c r="H5356">
        <f>VLOOKUP(D5335,'Detail Balok'!$C$10:$AU$140,40,FALSE)</f>
        <v>100</v>
      </c>
      <c r="J5356">
        <f>(IF(D5356=0,(2*(D5336+G5336))-(F$5*8),IF(D5356=3,(2*(D5336+G5336))-(F$5*8)+(G5336-2*F$5),IF(D5356=4,(2*(D5336+G5336))-(F$5*8)+2*(G5336-2*F$5)))))/1000</f>
        <v>0.88</v>
      </c>
      <c r="K5356" t="str">
        <v>+</v>
      </c>
      <c r="L5356">
        <f>IF(D5356=0,2*MAX(6*F5356,75),(D5356-1)*2*MAX(6*F5356,75))/1000</f>
        <v>0.15</v>
      </c>
      <c r="M5356" t="str">
        <v>=</v>
      </c>
      <c r="N5356">
        <f>J5356+L5356</f>
        <v>1.03</v>
      </c>
      <c r="T5356" t="str">
        <v>x</v>
      </c>
      <c r="U5356">
        <f>0.006165*F5356^2</f>
        <v>0.6165</v>
      </c>
      <c r="V5356" t="str">
        <v>x</v>
      </c>
      <c r="W5356">
        <f>IF(D5338-MAX(D5338/4,2*G5336)*2&gt;0,ROUND((D5338-MAX(D5338/4,2*G5336)*2)/H5356,0),0)</f>
        <v>0</v>
      </c>
      <c r="X5356" t="str">
        <v>x</v>
      </c>
      <c r="Y5356">
        <f>D5341</f>
        <v>1</v>
      </c>
      <c r="Z5356" t="str">
        <v>=</v>
      </c>
      <c r="AA5356">
        <f>N5356*U5356*W5356*Y5356</f>
        <v>0</v>
      </c>
    </row>
    <row r="5357">
      <c r="A5357" t="str">
        <f>A5335</f>
        <v>Lantai 3</v>
      </c>
      <c r="B5357">
        <f>B5335</f>
        <v>36</v>
      </c>
      <c r="C5357" t="str">
        <v>Sengkang Tumpuan</v>
      </c>
      <c r="D5357">
        <f>VLOOKUP(D5335,'Detail Balok'!$C$10:$AU$140,41,FALSE)</f>
        <v>0</v>
      </c>
      <c r="E5357" t="str">
        <v>D</v>
      </c>
      <c r="F5357">
        <f>VLOOKUP(D5335,'Detail Balok'!$C$10:$AU$140,43,FALSE)</f>
        <v>10</v>
      </c>
      <c r="G5357" t="str">
        <v>-</v>
      </c>
      <c r="H5357">
        <f>VLOOKUP(D5335,'Detail Balok'!$C$10:$AU$140,45,FALSE)</f>
        <v>100</v>
      </c>
      <c r="J5357">
        <f>(IF(D5357=0,(2*(D5336+G5336))-(F$5*8),IF(D5357=3,(2*(D5336+G5336))-(F$5*8)+(G5336-2*F$5),IF(D5357=4,(2*(D5336+G5336))-(F$5*8)+2*(G5336-2*F$5)))))/1000</f>
        <v>0.88</v>
      </c>
      <c r="K5357" t="str">
        <v>+</v>
      </c>
      <c r="L5357">
        <f>IF(D5357=0,2*MAX(6*F5357,75),(D5357-1)*2*MAX(6*F5357,75))/1000</f>
        <v>0.15</v>
      </c>
      <c r="M5357" t="str">
        <v>=</v>
      </c>
      <c r="N5357">
        <f>J5357+L5357</f>
        <v>1.03</v>
      </c>
      <c r="T5357" t="str">
        <v>x</v>
      </c>
      <c r="U5357">
        <f>0.006165*F5357^2</f>
        <v>0.6165</v>
      </c>
      <c r="V5357" t="str">
        <v>x</v>
      </c>
      <c r="W5357">
        <f>IF(D5338&gt;4*G5336,ROUND(MAX(D5338/4,2*G5336)/H5357,0)+1,0)</f>
        <v>0</v>
      </c>
      <c r="X5357" t="str">
        <v>x</v>
      </c>
      <c r="Y5357">
        <f>D5341</f>
        <v>1</v>
      </c>
      <c r="Z5357" t="str">
        <v>=</v>
      </c>
      <c r="AA5357">
        <f>N5357*U5357*W5357*Y5357</f>
        <v>0</v>
      </c>
    </row>
    <row r="5359">
      <c r="A5359" t="str">
        <f>A5335</f>
        <v>Lantai 3</v>
      </c>
      <c r="B5359">
        <f>B5335</f>
        <v>36</v>
      </c>
      <c r="C5359" t="str">
        <v>Kait Horizontal Tump.</v>
      </c>
      <c r="D5359">
        <f>VLOOKUP(D5335,'Detail Balok'!$C$10:$BJ$140,46,FALSE)</f>
        <v>0</v>
      </c>
      <c r="E5359" t="str">
        <v>D</v>
      </c>
      <c r="F5359">
        <f>VLOOKUP(D5335,'Detail Balok'!$C$10:$BJ$140,48,FALSE)</f>
        <v>0</v>
      </c>
      <c r="G5359" t="str">
        <v>-</v>
      </c>
      <c r="H5359">
        <f>VLOOKUP(D5335,'Detail Balok'!$C$10:$BJ$140,50,FALSE)</f>
        <v>100</v>
      </c>
      <c r="J5359">
        <f>(D5336-2*F$5)/1000</f>
        <v>0.12</v>
      </c>
      <c r="K5359" t="str">
        <v>+</v>
      </c>
      <c r="L5359">
        <f>IF(D5359=0,2*MAX(6*F5359,75),(D5359-1)*2*MAX(6*F5359,75))/1000</f>
        <v>0.15</v>
      </c>
      <c r="M5359" t="str">
        <v>=</v>
      </c>
      <c r="N5359">
        <f>J5359+L5359</f>
        <v>0.27</v>
      </c>
      <c r="T5359" t="str">
        <v>x</v>
      </c>
      <c r="U5359">
        <f>0.006165*F5359^2</f>
        <v>0</v>
      </c>
      <c r="V5359" t="str">
        <v>x</v>
      </c>
      <c r="W5359">
        <f>W5355</f>
        <v>14</v>
      </c>
      <c r="X5359" t="str">
        <v>x</v>
      </c>
      <c r="Y5359">
        <f>D5345</f>
        <v>3</v>
      </c>
      <c r="Z5359" t="str">
        <v>=</v>
      </c>
      <c r="AA5359">
        <f>N5359*U5359*W5359*Y5359</f>
        <v>0</v>
      </c>
    </row>
    <row r="5360">
      <c r="A5360" t="str">
        <f>A5335</f>
        <v>Lantai 3</v>
      </c>
      <c r="B5360">
        <f>B5335</f>
        <v>36</v>
      </c>
      <c r="C5360" t="str">
        <v>Kait Horizontal Lap.</v>
      </c>
      <c r="D5360">
        <f>VLOOKUP(D5335,'Detail Balok'!$C$10:$BJ$140,51,FALSE)</f>
        <v>0</v>
      </c>
      <c r="E5360" t="str">
        <v>D</v>
      </c>
      <c r="F5360">
        <f>VLOOKUP(D5335,'Detail Balok'!$C$10:$BJ$140,53,FALSE)</f>
        <v>0</v>
      </c>
      <c r="G5360" t="str">
        <v>-</v>
      </c>
      <c r="H5360">
        <f>VLOOKUP(D5335,'Detail Balok'!$C$10:$BJ$140,55,FALSE)</f>
        <v>100</v>
      </c>
      <c r="J5360">
        <f>(D5336-2*F$5)/1000</f>
        <v>0.12</v>
      </c>
      <c r="K5360" t="str">
        <v>+</v>
      </c>
      <c r="L5360">
        <f>IF(D5360=0,2*MAX(6*F5360,75),(D5360-1)*2*MAX(6*F5360,75))/1000</f>
        <v>0.15</v>
      </c>
      <c r="M5360" t="str">
        <v>=</v>
      </c>
      <c r="N5360">
        <f>J5360+L5360</f>
        <v>0.27</v>
      </c>
      <c r="T5360" t="str">
        <v>x</v>
      </c>
      <c r="U5360">
        <f>0.006165*F5360^2</f>
        <v>0</v>
      </c>
      <c r="V5360" t="str">
        <v>x</v>
      </c>
      <c r="W5360">
        <f>W5356</f>
        <v>0</v>
      </c>
      <c r="X5360" t="str">
        <v>x</v>
      </c>
      <c r="Y5360">
        <f>D5345</f>
        <v>3</v>
      </c>
      <c r="Z5360" t="str">
        <v>=</v>
      </c>
      <c r="AA5360">
        <f>N5360*U5360*W5360*Y5360</f>
        <v>0</v>
      </c>
    </row>
    <row r="5361">
      <c r="A5361" t="str">
        <f>A5335</f>
        <v>Lantai 3</v>
      </c>
      <c r="B5361">
        <f>B5335</f>
        <v>36</v>
      </c>
      <c r="C5361" t="str">
        <v>Kait Horizontal Tump.</v>
      </c>
      <c r="D5361">
        <f>VLOOKUP(D5335,'Detail Balok'!$C$10:$BJ$140,56,FALSE)</f>
        <v>0</v>
      </c>
      <c r="E5361" t="str">
        <v>D</v>
      </c>
      <c r="F5361">
        <f>VLOOKUP(D5335,'Detail Balok'!$C$10:$BJ$140,58,FALSE)</f>
        <v>0</v>
      </c>
      <c r="G5361" t="str">
        <v>-</v>
      </c>
      <c r="H5361">
        <f>VLOOKUP(D5335,'Detail Balok'!$C$10:$BJ$140,60,FALSE)</f>
        <v>100</v>
      </c>
      <c r="J5361">
        <f>(D5336-2*F$5)/1000</f>
        <v>0.12</v>
      </c>
      <c r="K5361" t="str">
        <v>+</v>
      </c>
      <c r="L5361">
        <f>IF(D5361=0,2*MAX(6*F5361,75),(D5361-1)*2*MAX(6*F5361,75))/1000</f>
        <v>0.15</v>
      </c>
      <c r="M5361" t="str">
        <v>=</v>
      </c>
      <c r="N5361">
        <f>J5361+L5361</f>
        <v>0.27</v>
      </c>
      <c r="T5361" t="str">
        <v>x</v>
      </c>
      <c r="U5361">
        <f>0.006165*F5361^2</f>
        <v>0</v>
      </c>
      <c r="V5361" t="str">
        <v>x</v>
      </c>
      <c r="W5361">
        <f>W5357</f>
        <v>0</v>
      </c>
      <c r="X5361" t="str">
        <v>x</v>
      </c>
      <c r="Y5361">
        <f>D5345</f>
        <v>3</v>
      </c>
      <c r="Z5361" t="str">
        <v>=</v>
      </c>
      <c r="AA5361">
        <f>N5361*U5361*W5361*Y5361</f>
        <v>0</v>
      </c>
    </row>
    <row r="5365">
      <c r="A5365" t="str">
        <f>A5335</f>
        <v>Lantai 3</v>
      </c>
      <c r="B5365">
        <f>B5335+1</f>
        <v>37</v>
      </c>
      <c r="C5365" t="str">
        <f>CONCATENATE(A5365," no. ",B5365)</f>
        <v>Lantai 3 no. 37</v>
      </c>
      <c r="D5365" t="str">
        <f>VLOOKUP(C5365,'Data Panjang Balok'!$C$9:$N$254,2,FALSE)</f>
        <v>B25-1</v>
      </c>
    </row>
    <row r="5366">
      <c r="C5366" t="str">
        <v>Dimensi</v>
      </c>
      <c r="D5366">
        <f>VLOOKUP(D5365,'Detail Balok'!$C$10:$AU$140,2,FALSE)</f>
        <v>200</v>
      </c>
      <c r="F5366" t="str">
        <v>x</v>
      </c>
      <c r="G5366">
        <f>VLOOKUP(D5365,'Detail Balok'!$C$10:$AU$140,3,FALSE)</f>
        <v>500</v>
      </c>
    </row>
    <row r="5367">
      <c r="C5367" t="str">
        <v>Panjang as ke as</v>
      </c>
      <c r="D5367">
        <f>VLOOKUP(C5365,'Data Panjang Balok'!$C$9:$N$254,4,FALSE)</f>
        <v>4075</v>
      </c>
    </row>
    <row r="5368">
      <c r="C5368" t="str">
        <v>Panjang netto</v>
      </c>
      <c r="D5368">
        <f>VLOOKUP(C5365,'Data Panjang Balok'!$C$9:$N$254,7,FALSE)</f>
        <v>4075</v>
      </c>
    </row>
    <row r="5369">
      <c r="C5369" t="str">
        <v>Kolom / balok kiri</v>
      </c>
      <c r="D5369">
        <f>VLOOKUP(C5365,'Data Panjang Balok'!$C$9:$N$254,9,FALSE)</f>
        <v>0</v>
      </c>
    </row>
    <row r="5370">
      <c r="C5370" t="str">
        <v>Kolom / balok kanan</v>
      </c>
      <c r="D5370">
        <f>VLOOKUP(C5365,'Data Panjang Balok'!$C$9:$N$254,10,FALSE)</f>
        <v>0</v>
      </c>
    </row>
    <row r="5371">
      <c r="C5371" t="str">
        <v>Jumlah</v>
      </c>
      <c r="D5371">
        <f>VLOOKUP(C5365,'Data Panjang Balok'!$C$9:$N$254,3,FALSE)</f>
        <v>1</v>
      </c>
    </row>
    <row r="5372">
      <c r="A5372" t="str">
        <f>A5365</f>
        <v>Lantai 3</v>
      </c>
      <c r="B5372">
        <f>B5365</f>
        <v>37</v>
      </c>
      <c r="C5372" t="str">
        <v>Tul Atas Tumpuan</v>
      </c>
      <c r="D5372">
        <f>VLOOKUP(D5365,'Detail Balok'!$C$10:$AU$140,4,FALSE)</f>
        <v>4</v>
      </c>
      <c r="E5372" t="str">
        <v>D</v>
      </c>
      <c r="F5372">
        <f>VLOOKUP(D5365,'Detail Balok'!$C$10:$AU$140,6,FALSE)</f>
        <v>16</v>
      </c>
      <c r="I5372" t="str">
        <v>(</v>
      </c>
      <c r="J5372">
        <f>+D5367/4/1000</f>
        <v>1.01875</v>
      </c>
      <c r="K5372" t="str">
        <v>+</v>
      </c>
      <c r="L5372">
        <f>MAX(VLOOKUP(F5372,N$6:P$15,3,FALSE)/1000,2/3*D5369/1000)+F$16*F5372/1000</f>
        <v>0.192</v>
      </c>
      <c r="M5372" t="str">
        <v>=</v>
      </c>
      <c r="N5372">
        <f>J5372+L5372</f>
        <v>1.21075</v>
      </c>
      <c r="O5372" t="str">
        <v>+</v>
      </c>
      <c r="P5372">
        <f>D5372-D5373</f>
        <v>0</v>
      </c>
      <c r="Q5372" t="str">
        <v>x</v>
      </c>
      <c r="R5372">
        <f>IF(P5372&gt;0,$F$18*F5372/1000,0)</f>
        <v>0</v>
      </c>
      <c r="S5372" t="str">
        <v>)</v>
      </c>
      <c r="T5372" t="str">
        <v>x</v>
      </c>
      <c r="U5372">
        <f>0.006165*F5372^2</f>
        <v>1.57824</v>
      </c>
      <c r="X5372" t="str">
        <v>x</v>
      </c>
      <c r="Y5372">
        <f>D5371</f>
        <v>1</v>
      </c>
      <c r="Z5372" t="str">
        <v>=</v>
      </c>
      <c r="AA5372">
        <f>IF(AA5375=0,(D5372*N5372+P5372*R5372)*U5372*Y5372,0)</f>
        <v>0</v>
      </c>
    </row>
    <row r="5373">
      <c r="A5373" t="str">
        <f>A5365</f>
        <v>Lantai 3</v>
      </c>
      <c r="B5373">
        <f>B5365</f>
        <v>37</v>
      </c>
      <c r="C5373" t="str">
        <v>Tul Atas Lapangan</v>
      </c>
      <c r="D5373">
        <f>VLOOKUP(D5365,'Detail Balok'!$C$10:$AU$140,7,FALSE)</f>
        <v>4</v>
      </c>
      <c r="E5373" t="str">
        <v>D</v>
      </c>
      <c r="F5373">
        <f>VLOOKUP(D5365,'Detail Balok'!$C$10:$AU$140,9,FALSE)</f>
        <v>16</v>
      </c>
      <c r="I5373" t="str">
        <v>(</v>
      </c>
      <c r="J5373">
        <f>+D5367/2/1000</f>
        <v>2.0375</v>
      </c>
      <c r="K5373" t="str">
        <v>+</v>
      </c>
      <c r="M5373" t="str">
        <v>=</v>
      </c>
      <c r="N5373">
        <f>J5373+L5373</f>
        <v>2.0375</v>
      </c>
      <c r="O5373" t="str">
        <v>+</v>
      </c>
      <c r="P5373">
        <f>MAX(D5373-D5372,D5373-D5374)</f>
        <v>0</v>
      </c>
      <c r="Q5373" t="str">
        <v>x</v>
      </c>
      <c r="R5373">
        <f>IF(P5373&gt;0,2*(1-2*$F$19-1/2)*D5368/1000,0)</f>
        <v>0</v>
      </c>
      <c r="S5373" t="str">
        <v>)</v>
      </c>
      <c r="T5373" t="str">
        <v>x</v>
      </c>
      <c r="U5373">
        <f>0.006165*F5373^2</f>
        <v>1.57824</v>
      </c>
      <c r="X5373" t="str">
        <v>x</v>
      </c>
      <c r="Y5373">
        <f>D5371</f>
        <v>1</v>
      </c>
      <c r="Z5373" t="str">
        <v>=</v>
      </c>
      <c r="AA5373">
        <f>IF(AA5375=0,(D5373*N5373+P5373*R5373)*U5373*Y5373,0)</f>
        <v>0</v>
      </c>
    </row>
    <row r="5374">
      <c r="A5374" t="str">
        <f>A5365</f>
        <v>Lantai 3</v>
      </c>
      <c r="B5374">
        <f>B5365</f>
        <v>37</v>
      </c>
      <c r="C5374" t="str">
        <v>Tul Atas Tumpuan</v>
      </c>
      <c r="D5374">
        <f>VLOOKUP(D5365,'Detail Balok'!$C$10:$AU$140,10,FALSE)</f>
        <v>4</v>
      </c>
      <c r="E5374" t="str">
        <v>D</v>
      </c>
      <c r="F5374">
        <f>VLOOKUP(D5365,'Detail Balok'!$C$10:$AU$140,12,FALSE)</f>
        <v>16</v>
      </c>
      <c r="I5374" t="str">
        <v>(</v>
      </c>
      <c r="J5374">
        <f>+D5367/4/1000</f>
        <v>1.01875</v>
      </c>
      <c r="K5374" t="str">
        <v>+</v>
      </c>
      <c r="L5374">
        <f>MAX(VLOOKUP(F5374,N$6:P$15,3,FALSE)/1000,2/3*D5369/1000)+F$16*F5374/1000</f>
        <v>0.192</v>
      </c>
      <c r="M5374" t="str">
        <v>=</v>
      </c>
      <c r="N5374">
        <f>J5374+L5374</f>
        <v>1.21075</v>
      </c>
      <c r="O5374" t="str">
        <v>+</v>
      </c>
      <c r="P5374">
        <f>D5374-D5373</f>
        <v>0</v>
      </c>
      <c r="Q5374" t="str">
        <v>x</v>
      </c>
      <c r="R5374">
        <f>IF(P5374&gt;0,$F$18*F5374/1000,0)</f>
        <v>0</v>
      </c>
      <c r="S5374" t="str">
        <v>)</v>
      </c>
      <c r="T5374" t="str">
        <v>x</v>
      </c>
      <c r="U5374">
        <f>0.006165*F5374^2</f>
        <v>1.57824</v>
      </c>
      <c r="X5374" t="str">
        <v>x</v>
      </c>
      <c r="Y5374">
        <f>D5371</f>
        <v>1</v>
      </c>
      <c r="Z5374" t="str">
        <v>=</v>
      </c>
      <c r="AA5374">
        <f>IF(AA5375=0,(D5374*N5374+P5374*R5374)*U5374*Y5374,0)</f>
        <v>0</v>
      </c>
    </row>
    <row r="5375">
      <c r="A5375" t="str">
        <f>A5365</f>
        <v>Lantai 3</v>
      </c>
      <c r="B5375">
        <f>B5365</f>
        <v>37</v>
      </c>
      <c r="D5375">
        <f>IF(AND(D5372=D5373,D5373=D5374,D5372=D5374),D5372,0)</f>
        <v>4</v>
      </c>
      <c r="E5375" t="str">
        <v>D</v>
      </c>
      <c r="F5375">
        <f>IF(AND(F5372=F5373,F5372=F5374,F5373=F5374),F5372,0)</f>
        <v>16</v>
      </c>
      <c r="L5375" t="str">
        <v>Total panjang per balok</v>
      </c>
      <c r="M5375" t="str">
        <v>=</v>
      </c>
      <c r="N5375">
        <f>IF(AND(D5372=D5373,D5372=D5374,D5373=D5374,F5372=F5373,F5372=F5374,F5373=F5374),SUM(N5372:N5374),0)</f>
        <v>4.459</v>
      </c>
      <c r="O5375" t="str">
        <v>+</v>
      </c>
      <c r="P5375">
        <f>IF(N5375&gt;12,ROUNDDOWN(N5375/12,0),0)</f>
        <v>0</v>
      </c>
      <c r="Q5375" t="str">
        <v>x</v>
      </c>
      <c r="R5375">
        <f>IF(P5375&gt;0,MAX(VLOOKUP(F5375,$D$6:$G$15,3,FALSE),600),0)/1000</f>
        <v>0</v>
      </c>
      <c r="T5375" t="str">
        <v>x</v>
      </c>
      <c r="U5375">
        <f>U5374</f>
        <v>1.57824</v>
      </c>
      <c r="V5375" t="str">
        <v>x</v>
      </c>
      <c r="W5375">
        <f>D5375</f>
        <v>4</v>
      </c>
      <c r="X5375" t="str">
        <v>x</v>
      </c>
      <c r="Y5375">
        <f>Y5374</f>
        <v>1</v>
      </c>
      <c r="Z5375" t="str">
        <v>=</v>
      </c>
      <c r="AA5375">
        <f>(N5375+P5375*R5375/1000)*U5375*W5375*Y5375</f>
        <v>28.149488639999998</v>
      </c>
    </row>
    <row r="5377">
      <c r="A5377" t="str">
        <f>A5365</f>
        <v>Lantai 3</v>
      </c>
      <c r="B5377">
        <f>B5365</f>
        <v>37</v>
      </c>
      <c r="C5377" t="str">
        <v>Tul Peminggang</v>
      </c>
      <c r="D5377">
        <f>VLOOKUP(D5365,'Detail Balok'!$C$10:$AU$140,13,FALSE)</f>
        <v>2</v>
      </c>
      <c r="E5377" t="str">
        <v>D</v>
      </c>
      <c r="F5377">
        <f>VLOOKUP(D5365,'Detail Balok'!$C$10:$AU$140,15,FALSE)</f>
        <v>10</v>
      </c>
      <c r="J5377">
        <f>+D5367/1000</f>
        <v>4.075</v>
      </c>
      <c r="K5377" t="str">
        <v>+</v>
      </c>
      <c r="L5377">
        <f>2*$F$16*F5377/1000</f>
        <v>0.24</v>
      </c>
      <c r="M5377" t="str">
        <v>=</v>
      </c>
      <c r="N5377">
        <f>J5377+L5377</f>
        <v>4.315</v>
      </c>
      <c r="O5377" t="str">
        <v>+</v>
      </c>
      <c r="P5377">
        <f>IF(N5377&gt;12,ROUNDDOWN(N5377/12,0),0)</f>
        <v>0</v>
      </c>
      <c r="Q5377" t="str">
        <v>x</v>
      </c>
      <c r="R5377">
        <f>IF(P5377&gt;0,MAX(VLOOKUP(F5377,$D$6:$G$15,3,FALSE),600),0)/1000</f>
        <v>0</v>
      </c>
      <c r="T5377" t="str">
        <v>x</v>
      </c>
      <c r="U5377">
        <f>0.006165*F5377^2</f>
        <v>0.6165</v>
      </c>
      <c r="V5377" t="str">
        <v>x</v>
      </c>
      <c r="W5377">
        <f>+D5377</f>
        <v>2</v>
      </c>
      <c r="X5377" t="str">
        <v>x</v>
      </c>
      <c r="Y5377">
        <f>D5371</f>
        <v>1</v>
      </c>
      <c r="Z5377" t="str">
        <v>=</v>
      </c>
      <c r="AA5377">
        <f>(N5377+P5377*R5377/1000)*U5377*W5377*Y5377</f>
        <v>5.320395000000001</v>
      </c>
    </row>
    <row r="5380">
      <c r="A5380" t="str">
        <f>A5365</f>
        <v>Lantai 3</v>
      </c>
      <c r="B5380">
        <f>B5365</f>
        <v>37</v>
      </c>
      <c r="C5380" t="str">
        <v>Tul Bawah Tumpuan</v>
      </c>
      <c r="D5380">
        <f>VLOOKUP(D5365,'Detail Balok'!$C$10:$AU$140,22,FALSE)</f>
        <v>4</v>
      </c>
      <c r="E5380" t="str">
        <v>D</v>
      </c>
      <c r="F5380">
        <f>VLOOKUP(D5365,'Detail Balok'!$C$10:$AU$140,24,FALSE)</f>
        <v>16</v>
      </c>
      <c r="I5380" t="str">
        <v>(</v>
      </c>
      <c r="J5380">
        <f>+J5372</f>
        <v>1.01875</v>
      </c>
      <c r="K5380" t="str">
        <v>+</v>
      </c>
      <c r="L5380">
        <f>MAX(VLOOKUP(F5380,N$6:P$15,3,FALSE)/1000,2/3*D5370/1000)+F$16*F5380/1000</f>
        <v>0.192</v>
      </c>
      <c r="M5380" t="str">
        <v>=</v>
      </c>
      <c r="N5380">
        <f>J5380+L5380</f>
        <v>1.21075</v>
      </c>
      <c r="O5380" t="str">
        <v>+</v>
      </c>
      <c r="P5380">
        <f>D5380-D5381</f>
        <v>0</v>
      </c>
      <c r="Q5380" t="str">
        <v>x</v>
      </c>
      <c r="R5380">
        <f>IF(P5380&gt;0,$F$18*F5380/1000,0)</f>
        <v>0</v>
      </c>
      <c r="S5380" t="str">
        <v>)</v>
      </c>
      <c r="T5380" t="str">
        <v>x</v>
      </c>
      <c r="U5380">
        <f>0.006165*F5380^2</f>
        <v>1.57824</v>
      </c>
      <c r="X5380" t="str">
        <v>x</v>
      </c>
      <c r="Y5380">
        <f>D5371</f>
        <v>1</v>
      </c>
      <c r="Z5380" t="str">
        <v>=</v>
      </c>
      <c r="AA5380">
        <f>IF(AA5383=0,(D5380*N5380+P5380*R5380)*U5380*Y5380,0)</f>
        <v>0</v>
      </c>
    </row>
    <row r="5381">
      <c r="A5381" t="str">
        <f>A5365</f>
        <v>Lantai 3</v>
      </c>
      <c r="B5381">
        <f>B5365</f>
        <v>37</v>
      </c>
      <c r="C5381" t="str">
        <v>Tul Bawah Lapangan</v>
      </c>
      <c r="D5381">
        <f>VLOOKUP(D5365,'Detail Balok'!$C$10:$AU$140,25,FALSE)</f>
        <v>4</v>
      </c>
      <c r="E5381" t="str">
        <v>D</v>
      </c>
      <c r="F5381">
        <f>VLOOKUP(D5365,'Detail Balok'!$C$10:$AU$140,27,FALSE)</f>
        <v>16</v>
      </c>
      <c r="I5381" t="str">
        <v>(</v>
      </c>
      <c r="J5381">
        <f>+J5373</f>
        <v>2.0375</v>
      </c>
      <c r="K5381" t="str">
        <v>+</v>
      </c>
      <c r="M5381" t="str">
        <v>=</v>
      </c>
      <c r="N5381">
        <f>J5381+L5381</f>
        <v>2.0375</v>
      </c>
      <c r="O5381" t="str">
        <v>+</v>
      </c>
      <c r="P5381">
        <f>MAX(D5381-D5380,D5381-D5382)</f>
        <v>0</v>
      </c>
      <c r="Q5381" t="str">
        <v>x</v>
      </c>
      <c r="R5381">
        <f>IF(P5381&gt;0,2*(1-2*$F$19-1/2)*D5368/1000,0)</f>
        <v>0</v>
      </c>
      <c r="S5381" t="str">
        <v>)</v>
      </c>
      <c r="T5381" t="str">
        <v>x</v>
      </c>
      <c r="U5381">
        <f>0.006165*F5381^2</f>
        <v>1.57824</v>
      </c>
      <c r="X5381" t="str">
        <v>x</v>
      </c>
      <c r="Y5381">
        <f>D5371</f>
        <v>1</v>
      </c>
      <c r="Z5381" t="str">
        <v>=</v>
      </c>
      <c r="AA5381">
        <f>IF(AA5383=0,(D5381*N5381+P5381*R5381)*U5381*Y5381,0)</f>
        <v>0</v>
      </c>
    </row>
    <row r="5382">
      <c r="A5382" t="str">
        <f>A5365</f>
        <v>Lantai 3</v>
      </c>
      <c r="B5382">
        <f>B5365</f>
        <v>37</v>
      </c>
      <c r="C5382" t="str">
        <v>Tul Bawah Tumpuan</v>
      </c>
      <c r="D5382">
        <f>VLOOKUP(D5365,'Detail Balok'!$C$10:$AU$140,28,FALSE)</f>
        <v>4</v>
      </c>
      <c r="E5382" t="str">
        <v>D</v>
      </c>
      <c r="F5382">
        <f>VLOOKUP(D5365,'Detail Balok'!$C$10:$AU$140,30,FALSE)</f>
        <v>16</v>
      </c>
      <c r="I5382" t="str">
        <v>(</v>
      </c>
      <c r="J5382">
        <f>+J5374</f>
        <v>1.01875</v>
      </c>
      <c r="K5382" t="str">
        <v>+</v>
      </c>
      <c r="L5382">
        <f>MAX(VLOOKUP(F5382,N$6:P$15,3,FALSE)/1000,2/3*D5370/1000)+F$16*F5382/1000</f>
        <v>0.192</v>
      </c>
      <c r="M5382" t="str">
        <v>=</v>
      </c>
      <c r="N5382">
        <f>J5382+L5382</f>
        <v>1.21075</v>
      </c>
      <c r="O5382" t="str">
        <v>+</v>
      </c>
      <c r="P5382">
        <f>D5382-D5381</f>
        <v>0</v>
      </c>
      <c r="Q5382" t="str">
        <v>x</v>
      </c>
      <c r="R5382">
        <f>IF(P5382&gt;0,$F$18*F5382/1000,0)</f>
        <v>0</v>
      </c>
      <c r="S5382" t="str">
        <v>)</v>
      </c>
      <c r="T5382" t="str">
        <v>x</v>
      </c>
      <c r="U5382">
        <f>0.006165*F5382^2</f>
        <v>1.57824</v>
      </c>
      <c r="X5382" t="str">
        <v>x</v>
      </c>
      <c r="Y5382">
        <f>D5371</f>
        <v>1</v>
      </c>
      <c r="Z5382" t="str">
        <v>=</v>
      </c>
      <c r="AA5382">
        <f>IF(AA5383=0,(D5382*N5382+P5382*R5382)*U5382*Y5382,0)</f>
        <v>0</v>
      </c>
    </row>
    <row r="5383">
      <c r="A5383" t="str">
        <f>A5365</f>
        <v>Lantai 3</v>
      </c>
      <c r="B5383">
        <f>B5365</f>
        <v>37</v>
      </c>
      <c r="D5383">
        <f>IF(AND(D5380=D5381,D5381=D5382,D5380=D5382),D5380,0)</f>
        <v>4</v>
      </c>
      <c r="E5383" t="str">
        <v>D</v>
      </c>
      <c r="F5383">
        <f>IF(AND(F5380=F5381,F5380=F5382,F5381=F5382),F5380,0)</f>
        <v>16</v>
      </c>
      <c r="L5383" t="str">
        <v>Total panjang per balok</v>
      </c>
      <c r="M5383" t="str">
        <v>=</v>
      </c>
      <c r="N5383">
        <f>IF(AND(D5380=D5381,D5380=D5382,D5381=D5382,F5380=F5381,F5380=F5382,F5381=F5382),SUM(N5380:N5382),0)</f>
        <v>4.459</v>
      </c>
      <c r="O5383" t="str">
        <v>+</v>
      </c>
      <c r="P5383">
        <f>IF(N5383&gt;12,ROUNDDOWN(N5383/12,0),0)</f>
        <v>0</v>
      </c>
      <c r="Q5383" t="str">
        <v>x</v>
      </c>
      <c r="R5383">
        <f>IF(P5383&gt;0,MAX(VLOOKUP(F5383,$D$6:$G$15,3,FALSE),600),0)/1000</f>
        <v>0</v>
      </c>
      <c r="T5383" t="str">
        <v>x</v>
      </c>
      <c r="U5383">
        <f>U5382</f>
        <v>1.57824</v>
      </c>
      <c r="V5383" t="str">
        <v>x</v>
      </c>
      <c r="W5383">
        <f>D5383</f>
        <v>4</v>
      </c>
      <c r="X5383" t="str">
        <v>x</v>
      </c>
      <c r="Y5383">
        <f>Y5382</f>
        <v>1</v>
      </c>
      <c r="Z5383" t="str">
        <v>=</v>
      </c>
      <c r="AA5383">
        <f>(N5383+P5383*R5383/1000)*U5383*W5383*Y5383</f>
        <v>28.149488639999998</v>
      </c>
    </row>
    <row r="5385">
      <c r="A5385" t="str">
        <f>A5365</f>
        <v>Lantai 3</v>
      </c>
      <c r="B5385">
        <f>B5365</f>
        <v>37</v>
      </c>
      <c r="C5385" t="str">
        <v>Sengkang Tumpuan</v>
      </c>
      <c r="D5385">
        <f>VLOOKUP(D5365,'Detail Balok'!$C$10:$AU$140,31,FALSE)</f>
        <v>0</v>
      </c>
      <c r="E5385" t="str">
        <v>D</v>
      </c>
      <c r="F5385">
        <f>VLOOKUP(D5365,'Detail Balok'!$C$10:$AU$140,33,FALSE)</f>
        <v>10</v>
      </c>
      <c r="G5385" t="str">
        <v>-</v>
      </c>
      <c r="H5385">
        <f>VLOOKUP(D5365,'Detail Balok'!$C$10:$AU$140,35,FALSE)</f>
        <v>150</v>
      </c>
      <c r="J5385">
        <f>(IF(D5385=0,(2*(D5366+G5366))-(F$5*8),IF(D5385=3,(2*(D5366+G5366))-(F$5*8)+(G5366-2*F$5),IF(D5385=4,(2*(D5366+G5366))-(F$5*8)+2*(G5366-2*F$5)))))/1000</f>
        <v>1.08</v>
      </c>
      <c r="K5385" t="str">
        <v>+</v>
      </c>
      <c r="L5385">
        <f>IF(D5385=0,2*MAX(6*F5385,75),(D5385-1)*2*MAX(6*F5385,75))/1000</f>
        <v>0.15</v>
      </c>
      <c r="M5385" t="str">
        <v>=</v>
      </c>
      <c r="N5385">
        <f>J5385+L5385</f>
        <v>1.23</v>
      </c>
      <c r="T5385" t="str">
        <v>x</v>
      </c>
      <c r="U5385">
        <f>0.006165*F5385^2</f>
        <v>0.6165</v>
      </c>
      <c r="V5385" t="str">
        <v>x</v>
      </c>
      <c r="W5385">
        <f>IF(D5368&gt;4*G5366,ROUND(MAX(D5368/4,2*G5366)/H5385,0)+1,ROUND(D5368/H5385,0)+1)</f>
        <v>8</v>
      </c>
      <c r="X5385" t="str">
        <v>x</v>
      </c>
      <c r="Y5385">
        <f>D5371</f>
        <v>1</v>
      </c>
      <c r="Z5385" t="str">
        <v>=</v>
      </c>
      <c r="AA5385">
        <f>N5385*U5385*W5385*Y5385</f>
        <v>6.06636</v>
      </c>
    </row>
    <row r="5386">
      <c r="A5386" t="str">
        <f>A5365</f>
        <v>Lantai 3</v>
      </c>
      <c r="B5386">
        <f>B5365</f>
        <v>37</v>
      </c>
      <c r="C5386" t="str">
        <v>Sengkang Lapangan</v>
      </c>
      <c r="D5386">
        <f>VLOOKUP(D5365,'Detail Balok'!$C$10:$AU$140,36,FALSE)</f>
        <v>0</v>
      </c>
      <c r="E5386" t="str">
        <v>D</v>
      </c>
      <c r="F5386">
        <f>VLOOKUP(D5365,'Detail Balok'!$C$10:$AU$140,38,FALSE)</f>
        <v>10</v>
      </c>
      <c r="G5386" t="str">
        <v>-</v>
      </c>
      <c r="H5386">
        <f>VLOOKUP(D5365,'Detail Balok'!$C$10:$AU$140,40,FALSE)</f>
        <v>200</v>
      </c>
      <c r="J5386">
        <f>(IF(D5386=0,(2*(D5366+G5366))-(F$5*8),IF(D5386=3,(2*(D5366+G5366))-(F$5*8)+(G5366-2*F$5),IF(D5386=4,(2*(D5366+G5366))-(F$5*8)+2*(G5366-2*F$5)))))/1000</f>
        <v>1.08</v>
      </c>
      <c r="K5386" t="str">
        <v>+</v>
      </c>
      <c r="L5386">
        <f>IF(D5386=0,2*MAX(6*F5386,75),(D5386-1)*2*MAX(6*F5386,75))/1000</f>
        <v>0.15</v>
      </c>
      <c r="M5386" t="str">
        <v>=</v>
      </c>
      <c r="N5386">
        <f>J5386+L5386</f>
        <v>1.23</v>
      </c>
      <c r="T5386" t="str">
        <v>x</v>
      </c>
      <c r="U5386">
        <f>0.006165*F5386^2</f>
        <v>0.6165</v>
      </c>
      <c r="V5386" t="str">
        <v>x</v>
      </c>
      <c r="W5386">
        <f>IF(D5368-MAX(D5368/4,2*G5366)*2&gt;0,ROUND((D5368-MAX(D5368/4,2*G5366)*2)/H5386,0),0)</f>
        <v>10</v>
      </c>
      <c r="X5386" t="str">
        <v>x</v>
      </c>
      <c r="Y5386">
        <f>D5371</f>
        <v>1</v>
      </c>
      <c r="Z5386" t="str">
        <v>=</v>
      </c>
      <c r="AA5386">
        <f>N5386*U5386*W5386*Y5386</f>
        <v>7.58295</v>
      </c>
    </row>
    <row r="5387">
      <c r="A5387" t="str">
        <f>A5365</f>
        <v>Lantai 3</v>
      </c>
      <c r="B5387">
        <f>B5365</f>
        <v>37</v>
      </c>
      <c r="C5387" t="str">
        <v>Sengkang Tumpuan</v>
      </c>
      <c r="D5387">
        <f>VLOOKUP(D5365,'Detail Balok'!$C$10:$AU$140,41,FALSE)</f>
        <v>0</v>
      </c>
      <c r="E5387" t="str">
        <v>D</v>
      </c>
      <c r="F5387">
        <f>VLOOKUP(D5365,'Detail Balok'!$C$10:$AU$140,43,FALSE)</f>
        <v>10</v>
      </c>
      <c r="G5387" t="str">
        <v>-</v>
      </c>
      <c r="H5387">
        <f>VLOOKUP(D5365,'Detail Balok'!$C$10:$AU$140,45,FALSE)</f>
        <v>150</v>
      </c>
      <c r="J5387">
        <f>(IF(D5387=0,(2*(D5366+G5366))-(F$5*8),IF(D5387=3,(2*(D5366+G5366))-(F$5*8)+(G5366-2*F$5),IF(D5387=4,(2*(D5366+G5366))-(F$5*8)+2*(G5366-2*F$5)))))/1000</f>
        <v>1.08</v>
      </c>
      <c r="K5387" t="str">
        <v>+</v>
      </c>
      <c r="L5387">
        <f>IF(D5387=0,2*MAX(6*F5387,75),(D5387-1)*2*MAX(6*F5387,75))/1000</f>
        <v>0.15</v>
      </c>
      <c r="M5387" t="str">
        <v>=</v>
      </c>
      <c r="N5387">
        <f>J5387+L5387</f>
        <v>1.23</v>
      </c>
      <c r="T5387" t="str">
        <v>x</v>
      </c>
      <c r="U5387">
        <f>0.006165*F5387^2</f>
        <v>0.6165</v>
      </c>
      <c r="V5387" t="str">
        <v>x</v>
      </c>
      <c r="W5387">
        <f>IF(D5368&gt;4*G5366,ROUND(MAX(D5368/4,2*G5366)/H5387,0)+1,0)</f>
        <v>8</v>
      </c>
      <c r="X5387" t="str">
        <v>x</v>
      </c>
      <c r="Y5387">
        <f>D5371</f>
        <v>1</v>
      </c>
      <c r="Z5387" t="str">
        <v>=</v>
      </c>
      <c r="AA5387">
        <f>N5387*U5387*W5387*Y5387</f>
        <v>6.06636</v>
      </c>
    </row>
    <row r="5389">
      <c r="A5389" t="str">
        <f>A5365</f>
        <v>Lantai 3</v>
      </c>
      <c r="B5389">
        <f>B5365</f>
        <v>37</v>
      </c>
      <c r="C5389" t="str">
        <v>Kait Horizontal Tump.</v>
      </c>
      <c r="D5389">
        <f>VLOOKUP(D5365,'Detail Balok'!$C$10:$BJ$140,46,FALSE)</f>
        <v>0</v>
      </c>
      <c r="E5389" t="str">
        <v>D</v>
      </c>
      <c r="F5389">
        <f>VLOOKUP(D5365,'Detail Balok'!$C$10:$BJ$140,48,FALSE)</f>
        <v>0</v>
      </c>
      <c r="G5389" t="str">
        <v>-</v>
      </c>
      <c r="H5389">
        <f>VLOOKUP(D5365,'Detail Balok'!$C$10:$BJ$140,50,FALSE)</f>
        <v>100</v>
      </c>
      <c r="J5389">
        <f>(D5366-2*F$5)/1000</f>
        <v>0.12</v>
      </c>
      <c r="K5389" t="str">
        <v>+</v>
      </c>
      <c r="L5389">
        <f>IF(D5389=0,2*MAX(6*F5389,75),(D5389-1)*2*MAX(6*F5389,75))/1000</f>
        <v>0.15</v>
      </c>
      <c r="M5389" t="str">
        <v>=</v>
      </c>
      <c r="N5389">
        <f>J5389+L5389</f>
        <v>0.27</v>
      </c>
      <c r="T5389" t="str">
        <v>x</v>
      </c>
      <c r="U5389">
        <f>0.006165*F5389^2</f>
        <v>0</v>
      </c>
      <c r="V5389" t="str">
        <v>x</v>
      </c>
      <c r="W5389">
        <f>W5385</f>
        <v>8</v>
      </c>
      <c r="X5389" t="str">
        <v>x</v>
      </c>
      <c r="Y5389">
        <f>D5375</f>
        <v>4</v>
      </c>
      <c r="Z5389" t="str">
        <v>=</v>
      </c>
      <c r="AA5389">
        <f>N5389*U5389*W5389*Y5389</f>
        <v>0</v>
      </c>
    </row>
    <row r="5390">
      <c r="A5390" t="str">
        <f>A5365</f>
        <v>Lantai 3</v>
      </c>
      <c r="B5390">
        <f>B5365</f>
        <v>37</v>
      </c>
      <c r="C5390" t="str">
        <v>Kait Horizontal Lap.</v>
      </c>
      <c r="D5390">
        <f>VLOOKUP(D5365,'Detail Balok'!$C$10:$BJ$140,51,FALSE)</f>
        <v>0</v>
      </c>
      <c r="E5390" t="str">
        <v>D</v>
      </c>
      <c r="F5390">
        <f>VLOOKUP(D5365,'Detail Balok'!$C$10:$BJ$140,53,FALSE)</f>
        <v>0</v>
      </c>
      <c r="G5390" t="str">
        <v>-</v>
      </c>
      <c r="H5390">
        <f>VLOOKUP(D5365,'Detail Balok'!$C$10:$BJ$140,55,FALSE)</f>
        <v>100</v>
      </c>
      <c r="J5390">
        <f>(D5366-2*F$5)/1000</f>
        <v>0.12</v>
      </c>
      <c r="K5390" t="str">
        <v>+</v>
      </c>
      <c r="L5390">
        <f>IF(D5390=0,2*MAX(6*F5390,75),(D5390-1)*2*MAX(6*F5390,75))/1000</f>
        <v>0.15</v>
      </c>
      <c r="M5390" t="str">
        <v>=</v>
      </c>
      <c r="N5390">
        <f>J5390+L5390</f>
        <v>0.27</v>
      </c>
      <c r="T5390" t="str">
        <v>x</v>
      </c>
      <c r="U5390">
        <f>0.006165*F5390^2</f>
        <v>0</v>
      </c>
      <c r="V5390" t="str">
        <v>x</v>
      </c>
      <c r="W5390">
        <f>W5386</f>
        <v>10</v>
      </c>
      <c r="X5390" t="str">
        <v>x</v>
      </c>
      <c r="Y5390">
        <f>D5375</f>
        <v>4</v>
      </c>
      <c r="Z5390" t="str">
        <v>=</v>
      </c>
      <c r="AA5390">
        <f>N5390*U5390*W5390*Y5390</f>
        <v>0</v>
      </c>
    </row>
    <row r="5391">
      <c r="A5391" t="str">
        <f>A5365</f>
        <v>Lantai 3</v>
      </c>
      <c r="B5391">
        <f>B5365</f>
        <v>37</v>
      </c>
      <c r="C5391" t="str">
        <v>Kait Horizontal Tump.</v>
      </c>
      <c r="D5391">
        <f>VLOOKUP(D5365,'Detail Balok'!$C$10:$BJ$140,56,FALSE)</f>
        <v>0</v>
      </c>
      <c r="E5391" t="str">
        <v>D</v>
      </c>
      <c r="F5391">
        <f>VLOOKUP(D5365,'Detail Balok'!$C$10:$BJ$140,58,FALSE)</f>
        <v>0</v>
      </c>
      <c r="G5391" t="str">
        <v>-</v>
      </c>
      <c r="H5391">
        <f>VLOOKUP(D5365,'Detail Balok'!$C$10:$BJ$140,60,FALSE)</f>
        <v>100</v>
      </c>
      <c r="J5391">
        <f>(D5366-2*F$5)/1000</f>
        <v>0.12</v>
      </c>
      <c r="K5391" t="str">
        <v>+</v>
      </c>
      <c r="L5391">
        <f>IF(D5391=0,2*MAX(6*F5391,75),(D5391-1)*2*MAX(6*F5391,75))/1000</f>
        <v>0.15</v>
      </c>
      <c r="M5391" t="str">
        <v>=</v>
      </c>
      <c r="N5391">
        <f>J5391+L5391</f>
        <v>0.27</v>
      </c>
      <c r="T5391" t="str">
        <v>x</v>
      </c>
      <c r="U5391">
        <f>0.006165*F5391^2</f>
        <v>0</v>
      </c>
      <c r="V5391" t="str">
        <v>x</v>
      </c>
      <c r="W5391">
        <f>W5387</f>
        <v>8</v>
      </c>
      <c r="X5391" t="str">
        <v>x</v>
      </c>
      <c r="Y5391">
        <f>D5375</f>
        <v>4</v>
      </c>
      <c r="Z5391" t="str">
        <v>=</v>
      </c>
      <c r="AA5391">
        <f>N5391*U5391*W5391*Y5391</f>
        <v>0</v>
      </c>
    </row>
    <row r="5395">
      <c r="A5395" t="str">
        <f>A5365</f>
        <v>Lantai 3</v>
      </c>
      <c r="B5395">
        <f>B5365+1</f>
        <v>38</v>
      </c>
      <c r="C5395" t="str">
        <f>CONCATENATE(A5395," no. ",B5395)</f>
        <v>Lantai 3 no. 38</v>
      </c>
      <c r="D5395" t="str">
        <f>VLOOKUP(C5395,'Data Panjang Balok'!$C$9:$N$254,2,FALSE)</f>
        <v>B24-1</v>
      </c>
    </row>
    <row r="5396">
      <c r="C5396" t="str">
        <v>Dimensi</v>
      </c>
      <c r="D5396">
        <f>VLOOKUP(D5395,'Detail Balok'!$C$10:$AU$140,2,FALSE)</f>
        <v>200</v>
      </c>
      <c r="F5396" t="str">
        <v>x</v>
      </c>
      <c r="G5396">
        <f>VLOOKUP(D5395,'Detail Balok'!$C$10:$AU$140,3,FALSE)</f>
        <v>400</v>
      </c>
    </row>
    <row r="5397">
      <c r="C5397" t="str">
        <v>Panjang as ke as</v>
      </c>
      <c r="D5397">
        <f>VLOOKUP(C5395,'Data Panjang Balok'!$C$9:$N$254,4,FALSE)</f>
        <v>2875</v>
      </c>
    </row>
    <row r="5398">
      <c r="C5398" t="str">
        <v>Panjang netto</v>
      </c>
      <c r="D5398">
        <f>VLOOKUP(C5395,'Data Panjang Balok'!$C$9:$N$254,7,FALSE)</f>
        <v>2875</v>
      </c>
    </row>
    <row r="5399">
      <c r="C5399" t="str">
        <v>Kolom / balok kiri</v>
      </c>
      <c r="D5399">
        <f>VLOOKUP(C5395,'Data Panjang Balok'!$C$9:$N$254,9,FALSE)</f>
        <v>0</v>
      </c>
    </row>
    <row r="5400">
      <c r="C5400" t="str">
        <v>Kolom / balok kanan</v>
      </c>
      <c r="D5400">
        <f>VLOOKUP(C5395,'Data Panjang Balok'!$C$9:$N$254,10,FALSE)</f>
        <v>0</v>
      </c>
    </row>
    <row r="5401">
      <c r="C5401" t="str">
        <v>Jumlah</v>
      </c>
      <c r="D5401">
        <f>VLOOKUP(C5395,'Data Panjang Balok'!$C$9:$N$254,3,FALSE)</f>
        <v>1</v>
      </c>
    </row>
    <row r="5402">
      <c r="A5402" t="str">
        <f>A5395</f>
        <v>Lantai 3</v>
      </c>
      <c r="B5402">
        <f>B5395</f>
        <v>38</v>
      </c>
      <c r="C5402" t="str">
        <v>Tul Atas Tumpuan</v>
      </c>
      <c r="D5402">
        <f>VLOOKUP(D5395,'Detail Balok'!$C$10:$AU$140,4,FALSE)</f>
        <v>3</v>
      </c>
      <c r="E5402" t="str">
        <v>D</v>
      </c>
      <c r="F5402">
        <f>VLOOKUP(D5395,'Detail Balok'!$C$10:$AU$140,6,FALSE)</f>
        <v>13</v>
      </c>
      <c r="I5402" t="str">
        <v>(</v>
      </c>
      <c r="J5402">
        <f>+D5397/4/1000</f>
        <v>0.71875</v>
      </c>
      <c r="K5402" t="str">
        <v>+</v>
      </c>
      <c r="L5402">
        <f>MAX(VLOOKUP(F5402,N$6:P$15,3,FALSE)/1000,2/3*D5399/1000)+F$16*F5402/1000</f>
        <v>0.156</v>
      </c>
      <c r="M5402" t="str">
        <v>=</v>
      </c>
      <c r="N5402">
        <f>J5402+L5402</f>
        <v>0.87475</v>
      </c>
      <c r="O5402" t="str">
        <v>+</v>
      </c>
      <c r="P5402">
        <f>D5402-D5403</f>
        <v>0</v>
      </c>
      <c r="Q5402" t="str">
        <v>x</v>
      </c>
      <c r="R5402">
        <f>IF(P5402&gt;0,$F$18*F5402/1000,0)</f>
        <v>0</v>
      </c>
      <c r="S5402" t="str">
        <v>)</v>
      </c>
      <c r="T5402" t="str">
        <v>x</v>
      </c>
      <c r="U5402">
        <f>0.006165*F5402^2</f>
        <v>1.041885</v>
      </c>
      <c r="X5402" t="str">
        <v>x</v>
      </c>
      <c r="Y5402">
        <f>D5401</f>
        <v>1</v>
      </c>
      <c r="Z5402" t="str">
        <v>=</v>
      </c>
      <c r="AA5402">
        <f>IF(AA5405=0,(D5402*N5402+P5402*R5402)*U5402*Y5402,0)</f>
        <v>0</v>
      </c>
    </row>
    <row r="5403">
      <c r="A5403" t="str">
        <f>A5395</f>
        <v>Lantai 3</v>
      </c>
      <c r="B5403">
        <f>B5395</f>
        <v>38</v>
      </c>
      <c r="C5403" t="str">
        <v>Tul Atas Lapangan</v>
      </c>
      <c r="D5403">
        <f>VLOOKUP(D5395,'Detail Balok'!$C$10:$AU$140,7,FALSE)</f>
        <v>3</v>
      </c>
      <c r="E5403" t="str">
        <v>D</v>
      </c>
      <c r="F5403">
        <f>VLOOKUP(D5395,'Detail Balok'!$C$10:$AU$140,9,FALSE)</f>
        <v>13</v>
      </c>
      <c r="I5403" t="str">
        <v>(</v>
      </c>
      <c r="J5403">
        <f>+D5397/2/1000</f>
        <v>1.4375</v>
      </c>
      <c r="K5403" t="str">
        <v>+</v>
      </c>
      <c r="M5403" t="str">
        <v>=</v>
      </c>
      <c r="N5403">
        <f>J5403+L5403</f>
        <v>1.4375</v>
      </c>
      <c r="O5403" t="str">
        <v>+</v>
      </c>
      <c r="P5403">
        <f>MAX(D5403-D5402,D5403-D5404)</f>
        <v>0</v>
      </c>
      <c r="Q5403" t="str">
        <v>x</v>
      </c>
      <c r="R5403">
        <f>IF(P5403&gt;0,2*(1-2*$F$19-1/2)*D5398/1000,0)</f>
        <v>0</v>
      </c>
      <c r="S5403" t="str">
        <v>)</v>
      </c>
      <c r="T5403" t="str">
        <v>x</v>
      </c>
      <c r="U5403">
        <f>0.006165*F5403^2</f>
        <v>1.041885</v>
      </c>
      <c r="X5403" t="str">
        <v>x</v>
      </c>
      <c r="Y5403">
        <f>D5401</f>
        <v>1</v>
      </c>
      <c r="Z5403" t="str">
        <v>=</v>
      </c>
      <c r="AA5403">
        <f>IF(AA5405=0,(D5403*N5403+P5403*R5403)*U5403*Y5403,0)</f>
        <v>0</v>
      </c>
    </row>
    <row r="5404">
      <c r="A5404" t="str">
        <f>A5395</f>
        <v>Lantai 3</v>
      </c>
      <c r="B5404">
        <f>B5395</f>
        <v>38</v>
      </c>
      <c r="C5404" t="str">
        <v>Tul Atas Tumpuan</v>
      </c>
      <c r="D5404">
        <f>VLOOKUP(D5395,'Detail Balok'!$C$10:$AU$140,10,FALSE)</f>
        <v>3</v>
      </c>
      <c r="E5404" t="str">
        <v>D</v>
      </c>
      <c r="F5404">
        <f>VLOOKUP(D5395,'Detail Balok'!$C$10:$AU$140,12,FALSE)</f>
        <v>13</v>
      </c>
      <c r="I5404" t="str">
        <v>(</v>
      </c>
      <c r="J5404">
        <f>+D5397/4/1000</f>
        <v>0.71875</v>
      </c>
      <c r="K5404" t="str">
        <v>+</v>
      </c>
      <c r="L5404">
        <f>MAX(VLOOKUP(F5404,N$6:P$15,3,FALSE)/1000,2/3*D5399/1000)+F$16*F5404/1000</f>
        <v>0.156</v>
      </c>
      <c r="M5404" t="str">
        <v>=</v>
      </c>
      <c r="N5404">
        <f>J5404+L5404</f>
        <v>0.87475</v>
      </c>
      <c r="O5404" t="str">
        <v>+</v>
      </c>
      <c r="P5404">
        <f>D5404-D5403</f>
        <v>0</v>
      </c>
      <c r="Q5404" t="str">
        <v>x</v>
      </c>
      <c r="R5404">
        <f>IF(P5404&gt;0,$F$18*F5404/1000,0)</f>
        <v>0</v>
      </c>
      <c r="S5404" t="str">
        <v>)</v>
      </c>
      <c r="T5404" t="str">
        <v>x</v>
      </c>
      <c r="U5404">
        <f>0.006165*F5404^2</f>
        <v>1.041885</v>
      </c>
      <c r="X5404" t="str">
        <v>x</v>
      </c>
      <c r="Y5404">
        <f>D5401</f>
        <v>1</v>
      </c>
      <c r="Z5404" t="str">
        <v>=</v>
      </c>
      <c r="AA5404">
        <f>IF(AA5405=0,(D5404*N5404+P5404*R5404)*U5404*Y5404,0)</f>
        <v>0</v>
      </c>
    </row>
    <row r="5405">
      <c r="A5405" t="str">
        <f>A5395</f>
        <v>Lantai 3</v>
      </c>
      <c r="B5405">
        <f>B5395</f>
        <v>38</v>
      </c>
      <c r="D5405">
        <f>IF(AND(D5402=D5403,D5403=D5404,D5402=D5404),D5402,0)</f>
        <v>3</v>
      </c>
      <c r="E5405" t="str">
        <v>D</v>
      </c>
      <c r="F5405">
        <f>IF(AND(F5402=F5403,F5402=F5404,F5403=F5404),F5402,0)</f>
        <v>13</v>
      </c>
      <c r="L5405" t="str">
        <v>Total panjang per balok</v>
      </c>
      <c r="M5405" t="str">
        <v>=</v>
      </c>
      <c r="N5405">
        <f>IF(AND(D5402=D5403,D5402=D5404,D5403=D5404,F5402=F5403,F5402=F5404,F5403=F5404),SUM(N5402:N5404),0)</f>
        <v>3.1870000000000003</v>
      </c>
      <c r="O5405" t="str">
        <v>+</v>
      </c>
      <c r="P5405">
        <f>IF(N5405&gt;12,ROUNDDOWN(N5405/12,0),0)</f>
        <v>0</v>
      </c>
      <c r="Q5405" t="str">
        <v>x</v>
      </c>
      <c r="R5405">
        <f>IF(P5405&gt;0,MAX(VLOOKUP(F5405,$D$6:$G$15,3,FALSE),600),0)/1000</f>
        <v>0</v>
      </c>
      <c r="T5405" t="str">
        <v>x</v>
      </c>
      <c r="U5405">
        <f>U5404</f>
        <v>1.041885</v>
      </c>
      <c r="V5405" t="str">
        <v>x</v>
      </c>
      <c r="W5405">
        <f>D5405</f>
        <v>3</v>
      </c>
      <c r="X5405" t="str">
        <v>x</v>
      </c>
      <c r="Y5405">
        <f>Y5404</f>
        <v>1</v>
      </c>
      <c r="Z5405" t="str">
        <v>=</v>
      </c>
      <c r="AA5405">
        <f>(N5405+P5405*R5405/1000)*U5405*W5405*Y5405</f>
        <v>9.961462485</v>
      </c>
    </row>
    <row r="5407">
      <c r="A5407" t="str">
        <f>A5395</f>
        <v>Lantai 3</v>
      </c>
      <c r="B5407">
        <f>B5395</f>
        <v>38</v>
      </c>
      <c r="C5407" t="str">
        <v>Tul Peminggang</v>
      </c>
      <c r="D5407">
        <f>VLOOKUP(D5395,'Detail Balok'!$C$10:$AU$140,13,FALSE)</f>
        <v>0</v>
      </c>
      <c r="E5407" t="str">
        <v>D</v>
      </c>
      <c r="F5407">
        <f>VLOOKUP(D5395,'Detail Balok'!$C$10:$AU$140,15,FALSE)</f>
        <v>8</v>
      </c>
      <c r="J5407">
        <f>+D5397/1000</f>
        <v>2.875</v>
      </c>
      <c r="K5407" t="str">
        <v>+</v>
      </c>
      <c r="L5407">
        <f>2*$F$16*F5407/1000</f>
        <v>0.192</v>
      </c>
      <c r="M5407" t="str">
        <v>=</v>
      </c>
      <c r="N5407">
        <f>J5407+L5407</f>
        <v>3.067</v>
      </c>
      <c r="O5407" t="str">
        <v>+</v>
      </c>
      <c r="P5407">
        <f>IF(N5407&gt;12,ROUNDDOWN(N5407/12,0),0)</f>
        <v>0</v>
      </c>
      <c r="Q5407" t="str">
        <v>x</v>
      </c>
      <c r="R5407">
        <f>IF(P5407&gt;0,MAX(VLOOKUP(F5407,$D$6:$G$15,3,FALSE),600),0)/1000</f>
        <v>0</v>
      </c>
      <c r="T5407" t="str">
        <v>x</v>
      </c>
      <c r="U5407">
        <f>0.006165*F5407^2</f>
        <v>0.39456</v>
      </c>
      <c r="V5407" t="str">
        <v>x</v>
      </c>
      <c r="W5407">
        <f>+D5407</f>
        <v>0</v>
      </c>
      <c r="X5407" t="str">
        <v>x</v>
      </c>
      <c r="Y5407">
        <f>D5401</f>
        <v>1</v>
      </c>
      <c r="Z5407" t="str">
        <v>=</v>
      </c>
      <c r="AA5407">
        <f>(N5407+P5407*R5407/1000)*U5407*W5407*Y5407</f>
        <v>0</v>
      </c>
    </row>
    <row r="5410">
      <c r="A5410" t="str">
        <f>A5395</f>
        <v>Lantai 3</v>
      </c>
      <c r="B5410">
        <f>B5395</f>
        <v>38</v>
      </c>
      <c r="C5410" t="str">
        <v>Tul Bawah Tumpuan</v>
      </c>
      <c r="D5410">
        <f>VLOOKUP(D5395,'Detail Balok'!$C$10:$AU$140,22,FALSE)</f>
        <v>3</v>
      </c>
      <c r="E5410" t="str">
        <v>D</v>
      </c>
      <c r="F5410">
        <f>VLOOKUP(D5395,'Detail Balok'!$C$10:$AU$140,24,FALSE)</f>
        <v>13</v>
      </c>
      <c r="I5410" t="str">
        <v>(</v>
      </c>
      <c r="J5410">
        <f>+J5402</f>
        <v>0.71875</v>
      </c>
      <c r="K5410" t="str">
        <v>+</v>
      </c>
      <c r="L5410">
        <f>MAX(VLOOKUP(F5410,N$6:P$15,3,FALSE)/1000,2/3*D5400/1000)+F$16*F5410/1000</f>
        <v>0.156</v>
      </c>
      <c r="M5410" t="str">
        <v>=</v>
      </c>
      <c r="N5410">
        <f>J5410+L5410</f>
        <v>0.87475</v>
      </c>
      <c r="O5410" t="str">
        <v>+</v>
      </c>
      <c r="P5410">
        <f>D5410-D5411</f>
        <v>0</v>
      </c>
      <c r="Q5410" t="str">
        <v>x</v>
      </c>
      <c r="R5410">
        <f>IF(P5410&gt;0,$F$18*F5410/1000,0)</f>
        <v>0</v>
      </c>
      <c r="S5410" t="str">
        <v>)</v>
      </c>
      <c r="T5410" t="str">
        <v>x</v>
      </c>
      <c r="U5410">
        <f>0.006165*F5410^2</f>
        <v>1.041885</v>
      </c>
      <c r="X5410" t="str">
        <v>x</v>
      </c>
      <c r="Y5410">
        <f>D5401</f>
        <v>1</v>
      </c>
      <c r="Z5410" t="str">
        <v>=</v>
      </c>
      <c r="AA5410">
        <f>IF(AA5413=0,(D5410*N5410+P5410*R5410)*U5410*Y5410,0)</f>
        <v>0</v>
      </c>
    </row>
    <row r="5411">
      <c r="A5411" t="str">
        <f>A5395</f>
        <v>Lantai 3</v>
      </c>
      <c r="B5411">
        <f>B5395</f>
        <v>38</v>
      </c>
      <c r="C5411" t="str">
        <v>Tul Bawah Lapangan</v>
      </c>
      <c r="D5411">
        <f>VLOOKUP(D5395,'Detail Balok'!$C$10:$AU$140,25,FALSE)</f>
        <v>3</v>
      </c>
      <c r="E5411" t="str">
        <v>D</v>
      </c>
      <c r="F5411">
        <f>VLOOKUP(D5395,'Detail Balok'!$C$10:$AU$140,27,FALSE)</f>
        <v>13</v>
      </c>
      <c r="I5411" t="str">
        <v>(</v>
      </c>
      <c r="J5411">
        <f>+J5403</f>
        <v>1.4375</v>
      </c>
      <c r="K5411" t="str">
        <v>+</v>
      </c>
      <c r="M5411" t="str">
        <v>=</v>
      </c>
      <c r="N5411">
        <f>J5411+L5411</f>
        <v>1.4375</v>
      </c>
      <c r="O5411" t="str">
        <v>+</v>
      </c>
      <c r="P5411">
        <f>MAX(D5411-D5410,D5411-D5412)</f>
        <v>0</v>
      </c>
      <c r="Q5411" t="str">
        <v>x</v>
      </c>
      <c r="R5411">
        <f>IF(P5411&gt;0,2*(1-2*$F$19-1/2)*D5398/1000,0)</f>
        <v>0</v>
      </c>
      <c r="S5411" t="str">
        <v>)</v>
      </c>
      <c r="T5411" t="str">
        <v>x</v>
      </c>
      <c r="U5411">
        <f>0.006165*F5411^2</f>
        <v>1.041885</v>
      </c>
      <c r="X5411" t="str">
        <v>x</v>
      </c>
      <c r="Y5411">
        <f>D5401</f>
        <v>1</v>
      </c>
      <c r="Z5411" t="str">
        <v>=</v>
      </c>
      <c r="AA5411">
        <f>IF(AA5413=0,(D5411*N5411+P5411*R5411)*U5411*Y5411,0)</f>
        <v>0</v>
      </c>
    </row>
    <row r="5412">
      <c r="A5412" t="str">
        <f>A5395</f>
        <v>Lantai 3</v>
      </c>
      <c r="B5412">
        <f>B5395</f>
        <v>38</v>
      </c>
      <c r="C5412" t="str">
        <v>Tul Bawah Tumpuan</v>
      </c>
      <c r="D5412">
        <f>VLOOKUP(D5395,'Detail Balok'!$C$10:$AU$140,28,FALSE)</f>
        <v>3</v>
      </c>
      <c r="E5412" t="str">
        <v>D</v>
      </c>
      <c r="F5412">
        <f>VLOOKUP(D5395,'Detail Balok'!$C$10:$AU$140,30,FALSE)</f>
        <v>13</v>
      </c>
      <c r="I5412" t="str">
        <v>(</v>
      </c>
      <c r="J5412">
        <f>+J5404</f>
        <v>0.71875</v>
      </c>
      <c r="K5412" t="str">
        <v>+</v>
      </c>
      <c r="L5412">
        <f>MAX(VLOOKUP(F5412,N$6:P$15,3,FALSE)/1000,2/3*D5400/1000)+F$16*F5412/1000</f>
        <v>0.156</v>
      </c>
      <c r="M5412" t="str">
        <v>=</v>
      </c>
      <c r="N5412">
        <f>J5412+L5412</f>
        <v>0.87475</v>
      </c>
      <c r="O5412" t="str">
        <v>+</v>
      </c>
      <c r="P5412">
        <f>D5412-D5411</f>
        <v>0</v>
      </c>
      <c r="Q5412" t="str">
        <v>x</v>
      </c>
      <c r="R5412">
        <f>IF(P5412&gt;0,$F$18*F5412/1000,0)</f>
        <v>0</v>
      </c>
      <c r="S5412" t="str">
        <v>)</v>
      </c>
      <c r="T5412" t="str">
        <v>x</v>
      </c>
      <c r="U5412">
        <f>0.006165*F5412^2</f>
        <v>1.041885</v>
      </c>
      <c r="X5412" t="str">
        <v>x</v>
      </c>
      <c r="Y5412">
        <f>D5401</f>
        <v>1</v>
      </c>
      <c r="Z5412" t="str">
        <v>=</v>
      </c>
      <c r="AA5412">
        <f>IF(AA5413=0,(D5412*N5412+P5412*R5412)*U5412*Y5412,0)</f>
        <v>0</v>
      </c>
    </row>
    <row r="5413">
      <c r="A5413" t="str">
        <f>A5395</f>
        <v>Lantai 3</v>
      </c>
      <c r="B5413">
        <f>B5395</f>
        <v>38</v>
      </c>
      <c r="D5413">
        <f>IF(AND(D5410=D5411,D5411=D5412,D5410=D5412),D5410,0)</f>
        <v>3</v>
      </c>
      <c r="E5413" t="str">
        <v>D</v>
      </c>
      <c r="F5413">
        <f>IF(AND(F5410=F5411,F5410=F5412,F5411=F5412),F5410,0)</f>
        <v>13</v>
      </c>
      <c r="L5413" t="str">
        <v>Total panjang per balok</v>
      </c>
      <c r="M5413" t="str">
        <v>=</v>
      </c>
      <c r="N5413">
        <f>IF(AND(D5410=D5411,D5410=D5412,D5411=D5412,F5410=F5411,F5410=F5412,F5411=F5412),SUM(N5410:N5412),0)</f>
        <v>3.1870000000000003</v>
      </c>
      <c r="O5413" t="str">
        <v>+</v>
      </c>
      <c r="P5413">
        <f>IF(N5413&gt;12,ROUNDDOWN(N5413/12,0),0)</f>
        <v>0</v>
      </c>
      <c r="Q5413" t="str">
        <v>x</v>
      </c>
      <c r="R5413">
        <f>IF(P5413&gt;0,MAX(VLOOKUP(F5413,$D$6:$G$15,3,FALSE),600),0)/1000</f>
        <v>0</v>
      </c>
      <c r="T5413" t="str">
        <v>x</v>
      </c>
      <c r="U5413">
        <f>U5412</f>
        <v>1.041885</v>
      </c>
      <c r="V5413" t="str">
        <v>x</v>
      </c>
      <c r="W5413">
        <f>D5413</f>
        <v>3</v>
      </c>
      <c r="X5413" t="str">
        <v>x</v>
      </c>
      <c r="Y5413">
        <f>Y5412</f>
        <v>1</v>
      </c>
      <c r="Z5413" t="str">
        <v>=</v>
      </c>
      <c r="AA5413">
        <f>(N5413+P5413*R5413/1000)*U5413*W5413*Y5413</f>
        <v>9.961462485</v>
      </c>
    </row>
    <row r="5415">
      <c r="A5415" t="str">
        <f>A5395</f>
        <v>Lantai 3</v>
      </c>
      <c r="B5415">
        <f>B5395</f>
        <v>38</v>
      </c>
      <c r="C5415" t="str">
        <v>Sengkang Tumpuan</v>
      </c>
      <c r="D5415">
        <f>VLOOKUP(D5395,'Detail Balok'!$C$10:$AU$140,31,FALSE)</f>
        <v>0</v>
      </c>
      <c r="E5415" t="str">
        <v>D</v>
      </c>
      <c r="F5415">
        <f>VLOOKUP(D5395,'Detail Balok'!$C$10:$AU$140,33,FALSE)</f>
        <v>10</v>
      </c>
      <c r="G5415" t="str">
        <v>-</v>
      </c>
      <c r="H5415">
        <f>VLOOKUP(D5395,'Detail Balok'!$C$10:$AU$140,35,FALSE)</f>
        <v>100</v>
      </c>
      <c r="J5415">
        <f>(IF(D5415=0,(2*(D5396+G5396))-(F$5*8),IF(D5415=3,(2*(D5396+G5396))-(F$5*8)+(G5396-2*F$5),IF(D5415=4,(2*(D5396+G5396))-(F$5*8)+2*(G5396-2*F$5)))))/1000</f>
        <v>0.88</v>
      </c>
      <c r="K5415" t="str">
        <v>+</v>
      </c>
      <c r="L5415">
        <f>IF(D5415=0,2*MAX(6*F5415,75),(D5415-1)*2*MAX(6*F5415,75))/1000</f>
        <v>0.15</v>
      </c>
      <c r="M5415" t="str">
        <v>=</v>
      </c>
      <c r="N5415">
        <f>J5415+L5415</f>
        <v>1.03</v>
      </c>
      <c r="T5415" t="str">
        <v>x</v>
      </c>
      <c r="U5415">
        <f>0.006165*F5415^2</f>
        <v>0.6165</v>
      </c>
      <c r="V5415" t="str">
        <v>x</v>
      </c>
      <c r="W5415">
        <f>IF(D5398&gt;4*G5396,ROUND(MAX(D5398/4,2*G5396)/H5415,0)+1,ROUND(D5398/H5415,0)+1)</f>
        <v>9</v>
      </c>
      <c r="X5415" t="str">
        <v>x</v>
      </c>
      <c r="Y5415">
        <f>D5401</f>
        <v>1</v>
      </c>
      <c r="Z5415" t="str">
        <v>=</v>
      </c>
      <c r="AA5415">
        <f>N5415*U5415*W5415*Y5415</f>
        <v>5.714955000000001</v>
      </c>
    </row>
    <row r="5416">
      <c r="A5416" t="str">
        <f>A5395</f>
        <v>Lantai 3</v>
      </c>
      <c r="B5416">
        <f>B5395</f>
        <v>38</v>
      </c>
      <c r="C5416" t="str">
        <v>Sengkang Lapangan</v>
      </c>
      <c r="D5416">
        <f>VLOOKUP(D5395,'Detail Balok'!$C$10:$AU$140,36,FALSE)</f>
        <v>0</v>
      </c>
      <c r="E5416" t="str">
        <v>D</v>
      </c>
      <c r="F5416">
        <f>VLOOKUP(D5395,'Detail Balok'!$C$10:$AU$140,38,FALSE)</f>
        <v>10</v>
      </c>
      <c r="G5416" t="str">
        <v>-</v>
      </c>
      <c r="H5416">
        <f>VLOOKUP(D5395,'Detail Balok'!$C$10:$AU$140,40,FALSE)</f>
        <v>200</v>
      </c>
      <c r="J5416">
        <f>(IF(D5416=0,(2*(D5396+G5396))-(F$5*8),IF(D5416=3,(2*(D5396+G5396))-(F$5*8)+(G5396-2*F$5),IF(D5416=4,(2*(D5396+G5396))-(F$5*8)+2*(G5396-2*F$5)))))/1000</f>
        <v>0.88</v>
      </c>
      <c r="K5416" t="str">
        <v>+</v>
      </c>
      <c r="L5416">
        <f>IF(D5416=0,2*MAX(6*F5416,75),(D5416-1)*2*MAX(6*F5416,75))/1000</f>
        <v>0.15</v>
      </c>
      <c r="M5416" t="str">
        <v>=</v>
      </c>
      <c r="N5416">
        <f>J5416+L5416</f>
        <v>1.03</v>
      </c>
      <c r="T5416" t="str">
        <v>x</v>
      </c>
      <c r="U5416">
        <f>0.006165*F5416^2</f>
        <v>0.6165</v>
      </c>
      <c r="V5416" t="str">
        <v>x</v>
      </c>
      <c r="W5416">
        <f>IF(D5398-MAX(D5398/4,2*G5396)*2&gt;0,ROUND((D5398-MAX(D5398/4,2*G5396)*2)/H5416,0),0)</f>
        <v>6</v>
      </c>
      <c r="X5416" t="str">
        <v>x</v>
      </c>
      <c r="Y5416">
        <f>D5401</f>
        <v>1</v>
      </c>
      <c r="Z5416" t="str">
        <v>=</v>
      </c>
      <c r="AA5416">
        <f>N5416*U5416*W5416*Y5416</f>
        <v>3.8099700000000007</v>
      </c>
    </row>
    <row r="5417">
      <c r="A5417" t="str">
        <f>A5395</f>
        <v>Lantai 3</v>
      </c>
      <c r="B5417">
        <f>B5395</f>
        <v>38</v>
      </c>
      <c r="C5417" t="str">
        <v>Sengkang Tumpuan</v>
      </c>
      <c r="D5417">
        <f>VLOOKUP(D5395,'Detail Balok'!$C$10:$AU$140,41,FALSE)</f>
        <v>0</v>
      </c>
      <c r="E5417" t="str">
        <v>D</v>
      </c>
      <c r="F5417">
        <f>VLOOKUP(D5395,'Detail Balok'!$C$10:$AU$140,43,FALSE)</f>
        <v>10</v>
      </c>
      <c r="G5417" t="str">
        <v>-</v>
      </c>
      <c r="H5417">
        <f>VLOOKUP(D5395,'Detail Balok'!$C$10:$AU$140,45,FALSE)</f>
        <v>100</v>
      </c>
      <c r="J5417">
        <f>(IF(D5417=0,(2*(D5396+G5396))-(F$5*8),IF(D5417=3,(2*(D5396+G5396))-(F$5*8)+(G5396-2*F$5),IF(D5417=4,(2*(D5396+G5396))-(F$5*8)+2*(G5396-2*F$5)))))/1000</f>
        <v>0.88</v>
      </c>
      <c r="K5417" t="str">
        <v>+</v>
      </c>
      <c r="L5417">
        <f>IF(D5417=0,2*MAX(6*F5417,75),(D5417-1)*2*MAX(6*F5417,75))/1000</f>
        <v>0.15</v>
      </c>
      <c r="M5417" t="str">
        <v>=</v>
      </c>
      <c r="N5417">
        <f>J5417+L5417</f>
        <v>1.03</v>
      </c>
      <c r="T5417" t="str">
        <v>x</v>
      </c>
      <c r="U5417">
        <f>0.006165*F5417^2</f>
        <v>0.6165</v>
      </c>
      <c r="V5417" t="str">
        <v>x</v>
      </c>
      <c r="W5417">
        <f>IF(D5398&gt;4*G5396,ROUND(MAX(D5398/4,2*G5396)/H5417,0)+1,0)</f>
        <v>9</v>
      </c>
      <c r="X5417" t="str">
        <v>x</v>
      </c>
      <c r="Y5417">
        <f>D5401</f>
        <v>1</v>
      </c>
      <c r="Z5417" t="str">
        <v>=</v>
      </c>
      <c r="AA5417">
        <f>N5417*U5417*W5417*Y5417</f>
        <v>5.714955000000001</v>
      </c>
    </row>
    <row r="5419">
      <c r="A5419" t="str">
        <f>A5395</f>
        <v>Lantai 3</v>
      </c>
      <c r="B5419">
        <f>B5395</f>
        <v>38</v>
      </c>
      <c r="C5419" t="str">
        <v>Kait Horizontal Tump.</v>
      </c>
      <c r="D5419">
        <f>VLOOKUP(D5395,'Detail Balok'!$C$10:$BJ$140,46,FALSE)</f>
        <v>0</v>
      </c>
      <c r="E5419" t="str">
        <v>D</v>
      </c>
      <c r="F5419">
        <f>VLOOKUP(D5395,'Detail Balok'!$C$10:$BJ$140,48,FALSE)</f>
        <v>0</v>
      </c>
      <c r="G5419" t="str">
        <v>-</v>
      </c>
      <c r="H5419">
        <f>VLOOKUP(D5395,'Detail Balok'!$C$10:$BJ$140,50,FALSE)</f>
        <v>100</v>
      </c>
      <c r="J5419">
        <f>(D5396-2*F$5)/1000</f>
        <v>0.12</v>
      </c>
      <c r="K5419" t="str">
        <v>+</v>
      </c>
      <c r="L5419">
        <f>IF(D5419=0,2*MAX(6*F5419,75),(D5419-1)*2*MAX(6*F5419,75))/1000</f>
        <v>0.15</v>
      </c>
      <c r="M5419" t="str">
        <v>=</v>
      </c>
      <c r="N5419">
        <f>J5419+L5419</f>
        <v>0.27</v>
      </c>
      <c r="T5419" t="str">
        <v>x</v>
      </c>
      <c r="U5419">
        <f>0.006165*F5419^2</f>
        <v>0</v>
      </c>
      <c r="V5419" t="str">
        <v>x</v>
      </c>
      <c r="W5419">
        <f>W5415</f>
        <v>9</v>
      </c>
      <c r="X5419" t="str">
        <v>x</v>
      </c>
      <c r="Y5419">
        <f>D5405</f>
        <v>3</v>
      </c>
      <c r="Z5419" t="str">
        <v>=</v>
      </c>
      <c r="AA5419">
        <f>N5419*U5419*W5419*Y5419</f>
        <v>0</v>
      </c>
    </row>
    <row r="5420">
      <c r="A5420" t="str">
        <f>A5395</f>
        <v>Lantai 3</v>
      </c>
      <c r="B5420">
        <f>B5395</f>
        <v>38</v>
      </c>
      <c r="C5420" t="str">
        <v>Kait Horizontal Lap.</v>
      </c>
      <c r="D5420">
        <f>VLOOKUP(D5395,'Detail Balok'!$C$10:$BJ$140,51,FALSE)</f>
        <v>0</v>
      </c>
      <c r="E5420" t="str">
        <v>D</v>
      </c>
      <c r="F5420">
        <f>VLOOKUP(D5395,'Detail Balok'!$C$10:$BJ$140,53,FALSE)</f>
        <v>0</v>
      </c>
      <c r="G5420" t="str">
        <v>-</v>
      </c>
      <c r="H5420">
        <f>VLOOKUP(D5395,'Detail Balok'!$C$10:$BJ$140,55,FALSE)</f>
        <v>100</v>
      </c>
      <c r="J5420">
        <f>(D5396-2*F$5)/1000</f>
        <v>0.12</v>
      </c>
      <c r="K5420" t="str">
        <v>+</v>
      </c>
      <c r="L5420">
        <f>IF(D5420=0,2*MAX(6*F5420,75),(D5420-1)*2*MAX(6*F5420,75))/1000</f>
        <v>0.15</v>
      </c>
      <c r="M5420" t="str">
        <v>=</v>
      </c>
      <c r="N5420">
        <f>J5420+L5420</f>
        <v>0.27</v>
      </c>
      <c r="T5420" t="str">
        <v>x</v>
      </c>
      <c r="U5420">
        <f>0.006165*F5420^2</f>
        <v>0</v>
      </c>
      <c r="V5420" t="str">
        <v>x</v>
      </c>
      <c r="W5420">
        <f>W5416</f>
        <v>6</v>
      </c>
      <c r="X5420" t="str">
        <v>x</v>
      </c>
      <c r="Y5420">
        <f>D5405</f>
        <v>3</v>
      </c>
      <c r="Z5420" t="str">
        <v>=</v>
      </c>
      <c r="AA5420">
        <f>N5420*U5420*W5420*Y5420</f>
        <v>0</v>
      </c>
    </row>
    <row r="5421">
      <c r="A5421" t="str">
        <f>A5395</f>
        <v>Lantai 3</v>
      </c>
      <c r="B5421">
        <f>B5395</f>
        <v>38</v>
      </c>
      <c r="C5421" t="str">
        <v>Kait Horizontal Tump.</v>
      </c>
      <c r="D5421">
        <f>VLOOKUP(D5395,'Detail Balok'!$C$10:$BJ$140,56,FALSE)</f>
        <v>0</v>
      </c>
      <c r="E5421" t="str">
        <v>D</v>
      </c>
      <c r="F5421">
        <f>VLOOKUP(D5395,'Detail Balok'!$C$10:$BJ$140,58,FALSE)</f>
        <v>0</v>
      </c>
      <c r="G5421" t="str">
        <v>-</v>
      </c>
      <c r="H5421">
        <f>VLOOKUP(D5395,'Detail Balok'!$C$10:$BJ$140,60,FALSE)</f>
        <v>100</v>
      </c>
      <c r="J5421">
        <f>(D5396-2*F$5)/1000</f>
        <v>0.12</v>
      </c>
      <c r="K5421" t="str">
        <v>+</v>
      </c>
      <c r="L5421">
        <f>IF(D5421=0,2*MAX(6*F5421,75),(D5421-1)*2*MAX(6*F5421,75))/1000</f>
        <v>0.15</v>
      </c>
      <c r="M5421" t="str">
        <v>=</v>
      </c>
      <c r="N5421">
        <f>J5421+L5421</f>
        <v>0.27</v>
      </c>
      <c r="T5421" t="str">
        <v>x</v>
      </c>
      <c r="U5421">
        <f>0.006165*F5421^2</f>
        <v>0</v>
      </c>
      <c r="V5421" t="str">
        <v>x</v>
      </c>
      <c r="W5421">
        <f>W5417</f>
        <v>9</v>
      </c>
      <c r="X5421" t="str">
        <v>x</v>
      </c>
      <c r="Y5421">
        <f>D5405</f>
        <v>3</v>
      </c>
      <c r="Z5421" t="str">
        <v>=</v>
      </c>
      <c r="AA5421">
        <f>N5421*U5421*W5421*Y5421</f>
        <v>0</v>
      </c>
    </row>
    <row r="5425">
      <c r="A5425" t="str">
        <f>A5395</f>
        <v>Lantai 3</v>
      </c>
      <c r="B5425">
        <f>B5395+1</f>
        <v>39</v>
      </c>
      <c r="C5425" t="str">
        <f>CONCATENATE(A5425," no. ",B5425)</f>
        <v>Lantai 3 no. 39</v>
      </c>
      <c r="D5425" t="str">
        <f>VLOOKUP(C5425,'Data Panjang Balok'!$C$9:$N$254,2,FALSE)</f>
        <v>B26-1</v>
      </c>
    </row>
    <row r="5426">
      <c r="C5426" t="str">
        <v>Dimensi</v>
      </c>
      <c r="D5426">
        <f>VLOOKUP(D5425,'Detail Balok'!$C$10:$AU$140,2,FALSE)</f>
        <v>200</v>
      </c>
      <c r="F5426" t="str">
        <v>x</v>
      </c>
      <c r="G5426">
        <f>VLOOKUP(D5425,'Detail Balok'!$C$10:$AU$140,3,FALSE)</f>
        <v>600</v>
      </c>
    </row>
    <row r="5427">
      <c r="C5427" t="str">
        <v>Panjang as ke as</v>
      </c>
      <c r="D5427">
        <f>VLOOKUP(C5425,'Data Panjang Balok'!$C$9:$N$254,4,FALSE)</f>
        <v>4100</v>
      </c>
    </row>
    <row r="5428">
      <c r="C5428" t="str">
        <v>Panjang netto</v>
      </c>
      <c r="D5428">
        <f>VLOOKUP(C5425,'Data Panjang Balok'!$C$9:$N$254,7,FALSE)</f>
        <v>4100</v>
      </c>
    </row>
    <row r="5429">
      <c r="C5429" t="str">
        <v>Kolom / balok kiri</v>
      </c>
      <c r="D5429">
        <f>VLOOKUP(C5425,'Data Panjang Balok'!$C$9:$N$254,9,FALSE)</f>
        <v>0</v>
      </c>
    </row>
    <row r="5430">
      <c r="C5430" t="str">
        <v>Kolom / balok kanan</v>
      </c>
      <c r="D5430">
        <f>VLOOKUP(C5425,'Data Panjang Balok'!$C$9:$N$254,10,FALSE)</f>
        <v>0</v>
      </c>
    </row>
    <row r="5431">
      <c r="C5431" t="str">
        <v>Jumlah</v>
      </c>
      <c r="D5431">
        <f>VLOOKUP(C5425,'Data Panjang Balok'!$C$9:$N$254,3,FALSE)</f>
        <v>1</v>
      </c>
    </row>
    <row r="5432">
      <c r="A5432" t="str">
        <f>A5425</f>
        <v>Lantai 3</v>
      </c>
      <c r="B5432">
        <f>B5425</f>
        <v>39</v>
      </c>
      <c r="C5432" t="str">
        <v>Tul Atas Tumpuan</v>
      </c>
      <c r="D5432">
        <f>VLOOKUP(D5425,'Detail Balok'!$C$10:$AU$140,4,FALSE)</f>
        <v>4</v>
      </c>
      <c r="E5432" t="str">
        <v>D</v>
      </c>
      <c r="F5432">
        <f>VLOOKUP(D5425,'Detail Balok'!$C$10:$AU$140,6,FALSE)</f>
        <v>16</v>
      </c>
      <c r="I5432" t="str">
        <v>(</v>
      </c>
      <c r="J5432">
        <f>+D5427/4/1000</f>
        <v>1.025</v>
      </c>
      <c r="K5432" t="str">
        <v>+</v>
      </c>
      <c r="L5432">
        <f>MAX(VLOOKUP(F5432,N$6:P$15,3,FALSE)/1000,2/3*D5429/1000)+F$16*F5432/1000</f>
        <v>0.192</v>
      </c>
      <c r="M5432" t="str">
        <v>=</v>
      </c>
      <c r="N5432">
        <f>J5432+L5432</f>
        <v>1.2169999999999999</v>
      </c>
      <c r="O5432" t="str">
        <v>+</v>
      </c>
      <c r="P5432">
        <f>D5432-D5433</f>
        <v>1</v>
      </c>
      <c r="Q5432" t="str">
        <v>x</v>
      </c>
      <c r="R5432">
        <f>IF(P5432&gt;0,$F$18*F5432/1000,0)</f>
        <v>0.24</v>
      </c>
      <c r="S5432" t="str">
        <v>)</v>
      </c>
      <c r="T5432" t="str">
        <v>x</v>
      </c>
      <c r="U5432">
        <f>0.006165*F5432^2</f>
        <v>1.57824</v>
      </c>
      <c r="X5432" t="str">
        <v>x</v>
      </c>
      <c r="Y5432">
        <f>D5431</f>
        <v>1</v>
      </c>
      <c r="Z5432" t="str">
        <v>=</v>
      </c>
      <c r="AA5432">
        <f>IF(AA5435=0,(D5432*N5432+P5432*R5432)*U5432*Y5432,0)</f>
        <v>8.06164992</v>
      </c>
    </row>
    <row r="5433">
      <c r="A5433" t="str">
        <f>A5425</f>
        <v>Lantai 3</v>
      </c>
      <c r="B5433">
        <f>B5425</f>
        <v>39</v>
      </c>
      <c r="C5433" t="str">
        <v>Tul Atas Lapangan</v>
      </c>
      <c r="D5433">
        <f>VLOOKUP(D5425,'Detail Balok'!$C$10:$AU$140,7,FALSE)</f>
        <v>3</v>
      </c>
      <c r="E5433" t="str">
        <v>D</v>
      </c>
      <c r="F5433">
        <f>VLOOKUP(D5425,'Detail Balok'!$C$10:$AU$140,9,FALSE)</f>
        <v>16</v>
      </c>
      <c r="I5433" t="str">
        <v>(</v>
      </c>
      <c r="J5433">
        <f>+D5427/2/1000</f>
        <v>2.05</v>
      </c>
      <c r="K5433" t="str">
        <v>+</v>
      </c>
      <c r="M5433" t="str">
        <v>=</v>
      </c>
      <c r="N5433">
        <f>J5433+L5433</f>
        <v>2.05</v>
      </c>
      <c r="O5433" t="str">
        <v>+</v>
      </c>
      <c r="P5433">
        <f>MAX(D5433-D5432,D5433-D5434)</f>
        <v>-1</v>
      </c>
      <c r="Q5433" t="str">
        <v>x</v>
      </c>
      <c r="R5433">
        <f>IF(P5433&gt;0,2*(1-2*$F$19-1/2)*D5428/1000,0)</f>
        <v>0</v>
      </c>
      <c r="S5433" t="str">
        <v>)</v>
      </c>
      <c r="T5433" t="str">
        <v>x</v>
      </c>
      <c r="U5433">
        <f>0.006165*F5433^2</f>
        <v>1.57824</v>
      </c>
      <c r="X5433" t="str">
        <v>x</v>
      </c>
      <c r="Y5433">
        <f>D5431</f>
        <v>1</v>
      </c>
      <c r="Z5433" t="str">
        <v>=</v>
      </c>
      <c r="AA5433">
        <f>IF(AA5435=0,(D5433*N5433+P5433*R5433)*U5433*Y5433,0)</f>
        <v>9.706176</v>
      </c>
    </row>
    <row r="5434">
      <c r="A5434" t="str">
        <f>A5425</f>
        <v>Lantai 3</v>
      </c>
      <c r="B5434">
        <f>B5425</f>
        <v>39</v>
      </c>
      <c r="C5434" t="str">
        <v>Tul Atas Tumpuan</v>
      </c>
      <c r="D5434">
        <f>VLOOKUP(D5425,'Detail Balok'!$C$10:$AU$140,10,FALSE)</f>
        <v>4</v>
      </c>
      <c r="E5434" t="str">
        <v>D</v>
      </c>
      <c r="F5434">
        <f>VLOOKUP(D5425,'Detail Balok'!$C$10:$AU$140,12,FALSE)</f>
        <v>16</v>
      </c>
      <c r="I5434" t="str">
        <v>(</v>
      </c>
      <c r="J5434">
        <f>+D5427/4/1000</f>
        <v>1.025</v>
      </c>
      <c r="K5434" t="str">
        <v>+</v>
      </c>
      <c r="L5434">
        <f>MAX(VLOOKUP(F5434,N$6:P$15,3,FALSE)/1000,2/3*D5429/1000)+F$16*F5434/1000</f>
        <v>0.192</v>
      </c>
      <c r="M5434" t="str">
        <v>=</v>
      </c>
      <c r="N5434">
        <f>J5434+L5434</f>
        <v>1.2169999999999999</v>
      </c>
      <c r="O5434" t="str">
        <v>+</v>
      </c>
      <c r="P5434">
        <f>D5434-D5433</f>
        <v>1</v>
      </c>
      <c r="Q5434" t="str">
        <v>x</v>
      </c>
      <c r="R5434">
        <f>IF(P5434&gt;0,$F$18*F5434/1000,0)</f>
        <v>0.24</v>
      </c>
      <c r="S5434" t="str">
        <v>)</v>
      </c>
      <c r="T5434" t="str">
        <v>x</v>
      </c>
      <c r="U5434">
        <f>0.006165*F5434^2</f>
        <v>1.57824</v>
      </c>
      <c r="X5434" t="str">
        <v>x</v>
      </c>
      <c r="Y5434">
        <f>D5431</f>
        <v>1</v>
      </c>
      <c r="Z5434" t="str">
        <v>=</v>
      </c>
      <c r="AA5434">
        <f>IF(AA5435=0,(D5434*N5434+P5434*R5434)*U5434*Y5434,0)</f>
        <v>8.06164992</v>
      </c>
    </row>
    <row r="5435">
      <c r="A5435" t="str">
        <f>A5425</f>
        <v>Lantai 3</v>
      </c>
      <c r="B5435">
        <f>B5425</f>
        <v>39</v>
      </c>
      <c r="D5435">
        <f>IF(AND(D5432=D5433,D5433=D5434,D5432=D5434),D5432,0)</f>
        <v>0</v>
      </c>
      <c r="E5435" t="str">
        <v>D</v>
      </c>
      <c r="F5435">
        <f>IF(AND(F5432=F5433,F5432=F5434,F5433=F5434),F5432,0)</f>
        <v>16</v>
      </c>
      <c r="L5435" t="str">
        <v>Total panjang per balok</v>
      </c>
      <c r="M5435" t="str">
        <v>=</v>
      </c>
      <c r="N5435">
        <f>IF(AND(D5432=D5433,D5432=D5434,D5433=D5434,F5432=F5433,F5432=F5434,F5433=F5434),SUM(N5432:N5434),0)</f>
        <v>0</v>
      </c>
      <c r="O5435" t="str">
        <v>+</v>
      </c>
      <c r="P5435">
        <f>IF(N5435&gt;12,ROUNDDOWN(N5435/12,0),0)</f>
        <v>0</v>
      </c>
      <c r="Q5435" t="str">
        <v>x</v>
      </c>
      <c r="R5435">
        <f>IF(P5435&gt;0,MAX(VLOOKUP(F5435,$D$6:$G$15,3,FALSE),600),0)/1000</f>
        <v>0</v>
      </c>
      <c r="T5435" t="str">
        <v>x</v>
      </c>
      <c r="U5435">
        <f>U5434</f>
        <v>1.57824</v>
      </c>
      <c r="V5435" t="str">
        <v>x</v>
      </c>
      <c r="W5435">
        <f>D5435</f>
        <v>0</v>
      </c>
      <c r="X5435" t="str">
        <v>x</v>
      </c>
      <c r="Y5435">
        <f>Y5434</f>
        <v>1</v>
      </c>
      <c r="Z5435" t="str">
        <v>=</v>
      </c>
      <c r="AA5435">
        <f>(N5435+P5435*R5435/1000)*U5435*W5435*Y5435</f>
        <v>0</v>
      </c>
    </row>
    <row r="5437">
      <c r="A5437" t="str">
        <f>A5425</f>
        <v>Lantai 3</v>
      </c>
      <c r="B5437">
        <f>B5425</f>
        <v>39</v>
      </c>
      <c r="C5437" t="str">
        <v>Tul Peminggang</v>
      </c>
      <c r="D5437">
        <f>VLOOKUP(D5425,'Detail Balok'!$C$10:$AU$140,13,FALSE)</f>
        <v>2</v>
      </c>
      <c r="E5437" t="str">
        <v>D</v>
      </c>
      <c r="F5437">
        <f>VLOOKUP(D5425,'Detail Balok'!$C$10:$AU$140,15,FALSE)</f>
        <v>10</v>
      </c>
      <c r="J5437">
        <f>+D5427/1000</f>
        <v>4.1</v>
      </c>
      <c r="K5437" t="str">
        <v>+</v>
      </c>
      <c r="L5437">
        <f>2*$F$16*F5437/1000</f>
        <v>0.24</v>
      </c>
      <c r="M5437" t="str">
        <v>=</v>
      </c>
      <c r="N5437">
        <f>J5437+L5437</f>
        <v>4.34</v>
      </c>
      <c r="O5437" t="str">
        <v>+</v>
      </c>
      <c r="P5437">
        <f>IF(N5437&gt;12,ROUNDDOWN(N5437/12,0),0)</f>
        <v>0</v>
      </c>
      <c r="Q5437" t="str">
        <v>x</v>
      </c>
      <c r="R5437">
        <f>IF(P5437&gt;0,MAX(VLOOKUP(F5437,$D$6:$G$15,3,FALSE),600),0)/1000</f>
        <v>0</v>
      </c>
      <c r="T5437" t="str">
        <v>x</v>
      </c>
      <c r="U5437">
        <f>0.006165*F5437^2</f>
        <v>0.6165</v>
      </c>
      <c r="V5437" t="str">
        <v>x</v>
      </c>
      <c r="W5437">
        <f>+D5437</f>
        <v>2</v>
      </c>
      <c r="X5437" t="str">
        <v>x</v>
      </c>
      <c r="Y5437">
        <f>D5431</f>
        <v>1</v>
      </c>
      <c r="Z5437" t="str">
        <v>=</v>
      </c>
      <c r="AA5437">
        <f>(N5437+P5437*R5437/1000)*U5437*W5437*Y5437</f>
        <v>5.3512200000000005</v>
      </c>
    </row>
    <row r="5440">
      <c r="A5440" t="str">
        <f>A5425</f>
        <v>Lantai 3</v>
      </c>
      <c r="B5440">
        <f>B5425</f>
        <v>39</v>
      </c>
      <c r="C5440" t="str">
        <v>Tul Bawah Tumpuan</v>
      </c>
      <c r="D5440">
        <f>VLOOKUP(D5425,'Detail Balok'!$C$10:$AU$140,22,FALSE)</f>
        <v>3</v>
      </c>
      <c r="E5440" t="str">
        <v>D</v>
      </c>
      <c r="F5440">
        <f>VLOOKUP(D5425,'Detail Balok'!$C$10:$AU$140,24,FALSE)</f>
        <v>16</v>
      </c>
      <c r="I5440" t="str">
        <v>(</v>
      </c>
      <c r="J5440">
        <f>+J5432</f>
        <v>1.025</v>
      </c>
      <c r="K5440" t="str">
        <v>+</v>
      </c>
      <c r="L5440">
        <f>MAX(VLOOKUP(F5440,N$6:P$15,3,FALSE)/1000,2/3*D5430/1000)+F$16*F5440/1000</f>
        <v>0.192</v>
      </c>
      <c r="M5440" t="str">
        <v>=</v>
      </c>
      <c r="N5440">
        <f>J5440+L5440</f>
        <v>1.2169999999999999</v>
      </c>
      <c r="O5440" t="str">
        <v>+</v>
      </c>
      <c r="P5440">
        <f>D5440-D5441</f>
        <v>-1</v>
      </c>
      <c r="Q5440" t="str">
        <v>x</v>
      </c>
      <c r="R5440">
        <f>IF(P5440&gt;0,$F$18*F5440/1000,0)</f>
        <v>0</v>
      </c>
      <c r="S5440" t="str">
        <v>)</v>
      </c>
      <c r="T5440" t="str">
        <v>x</v>
      </c>
      <c r="U5440">
        <f>0.006165*F5440^2</f>
        <v>1.57824</v>
      </c>
      <c r="X5440" t="str">
        <v>x</v>
      </c>
      <c r="Y5440">
        <f>D5431</f>
        <v>1</v>
      </c>
      <c r="Z5440" t="str">
        <v>=</v>
      </c>
      <c r="AA5440">
        <f>IF(AA5443=0,(D5440*N5440+P5440*R5440)*U5440*Y5440,0)</f>
        <v>5.76215424</v>
      </c>
    </row>
    <row r="5441">
      <c r="A5441" t="str">
        <f>A5425</f>
        <v>Lantai 3</v>
      </c>
      <c r="B5441">
        <f>B5425</f>
        <v>39</v>
      </c>
      <c r="C5441" t="str">
        <v>Tul Bawah Lapangan</v>
      </c>
      <c r="D5441">
        <f>VLOOKUP(D5425,'Detail Balok'!$C$10:$AU$140,25,FALSE)</f>
        <v>4</v>
      </c>
      <c r="E5441" t="str">
        <v>D</v>
      </c>
      <c r="F5441">
        <f>VLOOKUP(D5425,'Detail Balok'!$C$10:$AU$140,27,FALSE)</f>
        <v>16</v>
      </c>
      <c r="I5441" t="str">
        <v>(</v>
      </c>
      <c r="J5441">
        <f>+J5433</f>
        <v>2.05</v>
      </c>
      <c r="K5441" t="str">
        <v>+</v>
      </c>
      <c r="M5441" t="str">
        <v>=</v>
      </c>
      <c r="N5441">
        <f>J5441+L5441</f>
        <v>2.05</v>
      </c>
      <c r="O5441" t="str">
        <v>+</v>
      </c>
      <c r="P5441">
        <f>MAX(D5441-D5440,D5441-D5442)</f>
        <v>1</v>
      </c>
      <c r="Q5441" t="str">
        <v>x</v>
      </c>
      <c r="R5441">
        <f>IF(P5441&gt;0,2*(1-2*$F$19-1/2)*D5428/1000,0)</f>
        <v>0.8199999999999997</v>
      </c>
      <c r="S5441" t="str">
        <v>)</v>
      </c>
      <c r="T5441" t="str">
        <v>x</v>
      </c>
      <c r="U5441">
        <f>0.006165*F5441^2</f>
        <v>1.57824</v>
      </c>
      <c r="X5441" t="str">
        <v>x</v>
      </c>
      <c r="Y5441">
        <f>D5431</f>
        <v>1</v>
      </c>
      <c r="Z5441" t="str">
        <v>=</v>
      </c>
      <c r="AA5441">
        <f>IF(AA5443=0,(D5441*N5441+P5441*R5441)*U5441*Y5441,0)</f>
        <v>14.2357248</v>
      </c>
    </row>
    <row r="5442">
      <c r="A5442" t="str">
        <f>A5425</f>
        <v>Lantai 3</v>
      </c>
      <c r="B5442">
        <f>B5425</f>
        <v>39</v>
      </c>
      <c r="C5442" t="str">
        <v>Tul Bawah Tumpuan</v>
      </c>
      <c r="D5442">
        <f>VLOOKUP(D5425,'Detail Balok'!$C$10:$AU$140,28,FALSE)</f>
        <v>3</v>
      </c>
      <c r="E5442" t="str">
        <v>D</v>
      </c>
      <c r="F5442">
        <f>VLOOKUP(D5425,'Detail Balok'!$C$10:$AU$140,30,FALSE)</f>
        <v>16</v>
      </c>
      <c r="I5442" t="str">
        <v>(</v>
      </c>
      <c r="J5442">
        <f>+J5434</f>
        <v>1.025</v>
      </c>
      <c r="K5442" t="str">
        <v>+</v>
      </c>
      <c r="L5442">
        <f>MAX(VLOOKUP(F5442,N$6:P$15,3,FALSE)/1000,2/3*D5430/1000)+F$16*F5442/1000</f>
        <v>0.192</v>
      </c>
      <c r="M5442" t="str">
        <v>=</v>
      </c>
      <c r="N5442">
        <f>J5442+L5442</f>
        <v>1.2169999999999999</v>
      </c>
      <c r="O5442" t="str">
        <v>+</v>
      </c>
      <c r="P5442">
        <f>D5442-D5441</f>
        <v>-1</v>
      </c>
      <c r="Q5442" t="str">
        <v>x</v>
      </c>
      <c r="R5442">
        <f>IF(P5442&gt;0,$F$18*F5442/1000,0)</f>
        <v>0</v>
      </c>
      <c r="S5442" t="str">
        <v>)</v>
      </c>
      <c r="T5442" t="str">
        <v>x</v>
      </c>
      <c r="U5442">
        <f>0.006165*F5442^2</f>
        <v>1.57824</v>
      </c>
      <c r="X5442" t="str">
        <v>x</v>
      </c>
      <c r="Y5442">
        <f>D5431</f>
        <v>1</v>
      </c>
      <c r="Z5442" t="str">
        <v>=</v>
      </c>
      <c r="AA5442">
        <f>IF(AA5443=0,(D5442*N5442+P5442*R5442)*U5442*Y5442,0)</f>
        <v>5.76215424</v>
      </c>
    </row>
    <row r="5443">
      <c r="A5443" t="str">
        <f>A5425</f>
        <v>Lantai 3</v>
      </c>
      <c r="B5443">
        <f>B5425</f>
        <v>39</v>
      </c>
      <c r="D5443">
        <f>IF(AND(D5440=D5441,D5441=D5442,D5440=D5442),D5440,0)</f>
        <v>0</v>
      </c>
      <c r="E5443" t="str">
        <v>D</v>
      </c>
      <c r="F5443">
        <f>IF(AND(F5440=F5441,F5440=F5442,F5441=F5442),F5440,0)</f>
        <v>16</v>
      </c>
      <c r="L5443" t="str">
        <v>Total panjang per balok</v>
      </c>
      <c r="M5443" t="str">
        <v>=</v>
      </c>
      <c r="N5443">
        <f>IF(AND(D5440=D5441,D5440=D5442,D5441=D5442,F5440=F5441,F5440=F5442,F5441=F5442),SUM(N5440:N5442),0)</f>
        <v>0</v>
      </c>
      <c r="O5443" t="str">
        <v>+</v>
      </c>
      <c r="P5443">
        <f>IF(N5443&gt;12,ROUNDDOWN(N5443/12,0),0)</f>
        <v>0</v>
      </c>
      <c r="Q5443" t="str">
        <v>x</v>
      </c>
      <c r="R5443">
        <f>IF(P5443&gt;0,MAX(VLOOKUP(F5443,$D$6:$G$15,3,FALSE),600),0)/1000</f>
        <v>0</v>
      </c>
      <c r="T5443" t="str">
        <v>x</v>
      </c>
      <c r="U5443">
        <f>U5442</f>
        <v>1.57824</v>
      </c>
      <c r="V5443" t="str">
        <v>x</v>
      </c>
      <c r="W5443">
        <f>D5443</f>
        <v>0</v>
      </c>
      <c r="X5443" t="str">
        <v>x</v>
      </c>
      <c r="Y5443">
        <f>Y5442</f>
        <v>1</v>
      </c>
      <c r="Z5443" t="str">
        <v>=</v>
      </c>
      <c r="AA5443">
        <f>(N5443+P5443*R5443/1000)*U5443*W5443*Y5443</f>
        <v>0</v>
      </c>
    </row>
    <row r="5445">
      <c r="A5445" t="str">
        <f>A5425</f>
        <v>Lantai 3</v>
      </c>
      <c r="B5445">
        <f>B5425</f>
        <v>39</v>
      </c>
      <c r="C5445" t="str">
        <v>Sengkang Tumpuan</v>
      </c>
      <c r="D5445">
        <f>VLOOKUP(D5425,'Detail Balok'!$C$10:$AU$140,31,FALSE)</f>
        <v>0</v>
      </c>
      <c r="E5445" t="str">
        <v>D</v>
      </c>
      <c r="F5445">
        <f>VLOOKUP(D5425,'Detail Balok'!$C$10:$AU$140,33,FALSE)</f>
        <v>10</v>
      </c>
      <c r="G5445" t="str">
        <v>-</v>
      </c>
      <c r="H5445">
        <f>VLOOKUP(D5425,'Detail Balok'!$C$10:$AU$140,35,FALSE)</f>
        <v>100</v>
      </c>
      <c r="J5445">
        <f>(IF(D5445=0,(2*(D5426+G5426))-(F$5*8),IF(D5445=3,(2*(D5426+G5426))-(F$5*8)+(G5426-2*F$5),IF(D5445=4,(2*(D5426+G5426))-(F$5*8)+2*(G5426-2*F$5)))))/1000</f>
        <v>1.28</v>
      </c>
      <c r="K5445" t="str">
        <v>+</v>
      </c>
      <c r="L5445">
        <f>IF(D5445=0,2*MAX(6*F5445,75),(D5445-1)*2*MAX(6*F5445,75))/1000</f>
        <v>0.15</v>
      </c>
      <c r="M5445" t="str">
        <v>=</v>
      </c>
      <c r="N5445">
        <f>J5445+L5445</f>
        <v>1.43</v>
      </c>
      <c r="T5445" t="str">
        <v>x</v>
      </c>
      <c r="U5445">
        <f>0.006165*F5445^2</f>
        <v>0.6165</v>
      </c>
      <c r="V5445" t="str">
        <v>x</v>
      </c>
      <c r="W5445">
        <f>IF(D5428&gt;4*G5426,ROUND(MAX(D5428/4,2*G5426)/H5445,0)+1,ROUND(D5428/H5445,0)+1)</f>
        <v>13</v>
      </c>
      <c r="X5445" t="str">
        <v>x</v>
      </c>
      <c r="Y5445">
        <f>D5431</f>
        <v>1</v>
      </c>
      <c r="Z5445" t="str">
        <v>=</v>
      </c>
      <c r="AA5445">
        <f>N5445*U5445*W5445*Y5445</f>
        <v>11.460735</v>
      </c>
    </row>
    <row r="5446">
      <c r="A5446" t="str">
        <f>A5425</f>
        <v>Lantai 3</v>
      </c>
      <c r="B5446">
        <f>B5425</f>
        <v>39</v>
      </c>
      <c r="C5446" t="str">
        <v>Sengkang Lapangan</v>
      </c>
      <c r="D5446">
        <f>VLOOKUP(D5425,'Detail Balok'!$C$10:$AU$140,36,FALSE)</f>
        <v>0</v>
      </c>
      <c r="E5446" t="str">
        <v>D</v>
      </c>
      <c r="F5446">
        <f>VLOOKUP(D5425,'Detail Balok'!$C$10:$AU$140,38,FALSE)</f>
        <v>10</v>
      </c>
      <c r="G5446" t="str">
        <v>-</v>
      </c>
      <c r="H5446">
        <f>VLOOKUP(D5425,'Detail Balok'!$C$10:$AU$140,40,FALSE)</f>
        <v>150</v>
      </c>
      <c r="J5446">
        <f>(IF(D5446=0,(2*(D5426+G5426))-(F$5*8),IF(D5446=3,(2*(D5426+G5426))-(F$5*8)+(G5426-2*F$5),IF(D5446=4,(2*(D5426+G5426))-(F$5*8)+2*(G5426-2*F$5)))))/1000</f>
        <v>1.28</v>
      </c>
      <c r="K5446" t="str">
        <v>+</v>
      </c>
      <c r="L5446">
        <f>IF(D5446=0,2*MAX(6*F5446,75),(D5446-1)*2*MAX(6*F5446,75))/1000</f>
        <v>0.15</v>
      </c>
      <c r="M5446" t="str">
        <v>=</v>
      </c>
      <c r="N5446">
        <f>J5446+L5446</f>
        <v>1.43</v>
      </c>
      <c r="T5446" t="str">
        <v>x</v>
      </c>
      <c r="U5446">
        <f>0.006165*F5446^2</f>
        <v>0.6165</v>
      </c>
      <c r="V5446" t="str">
        <v>x</v>
      </c>
      <c r="W5446">
        <f>IF(D5428-MAX(D5428/4,2*G5426)*2&gt;0,ROUND((D5428-MAX(D5428/4,2*G5426)*2)/H5446,0),0)</f>
        <v>11</v>
      </c>
      <c r="X5446" t="str">
        <v>x</v>
      </c>
      <c r="Y5446">
        <f>D5431</f>
        <v>1</v>
      </c>
      <c r="Z5446" t="str">
        <v>=</v>
      </c>
      <c r="AA5446">
        <f>N5446*U5446*W5446*Y5446</f>
        <v>9.697545</v>
      </c>
    </row>
    <row r="5447">
      <c r="A5447" t="str">
        <f>A5425</f>
        <v>Lantai 3</v>
      </c>
      <c r="B5447">
        <f>B5425</f>
        <v>39</v>
      </c>
      <c r="C5447" t="str">
        <v>Sengkang Tumpuan</v>
      </c>
      <c r="D5447">
        <f>VLOOKUP(D5425,'Detail Balok'!$C$10:$AU$140,41,FALSE)</f>
        <v>0</v>
      </c>
      <c r="E5447" t="str">
        <v>D</v>
      </c>
      <c r="F5447">
        <f>VLOOKUP(D5425,'Detail Balok'!$C$10:$AU$140,43,FALSE)</f>
        <v>10</v>
      </c>
      <c r="G5447" t="str">
        <v>-</v>
      </c>
      <c r="H5447">
        <f>VLOOKUP(D5425,'Detail Balok'!$C$10:$AU$140,45,FALSE)</f>
        <v>100</v>
      </c>
      <c r="J5447">
        <f>(IF(D5447=0,(2*(D5426+G5426))-(F$5*8),IF(D5447=3,(2*(D5426+G5426))-(F$5*8)+(G5426-2*F$5),IF(D5447=4,(2*(D5426+G5426))-(F$5*8)+2*(G5426-2*F$5)))))/1000</f>
        <v>1.28</v>
      </c>
      <c r="K5447" t="str">
        <v>+</v>
      </c>
      <c r="L5447">
        <f>IF(D5447=0,2*MAX(6*F5447,75),(D5447-1)*2*MAX(6*F5447,75))/1000</f>
        <v>0.15</v>
      </c>
      <c r="M5447" t="str">
        <v>=</v>
      </c>
      <c r="N5447">
        <f>J5447+L5447</f>
        <v>1.43</v>
      </c>
      <c r="T5447" t="str">
        <v>x</v>
      </c>
      <c r="U5447">
        <f>0.006165*F5447^2</f>
        <v>0.6165</v>
      </c>
      <c r="V5447" t="str">
        <v>x</v>
      </c>
      <c r="W5447">
        <f>IF(D5428&gt;4*G5426,ROUND(MAX(D5428/4,2*G5426)/H5447,0)+1,0)</f>
        <v>13</v>
      </c>
      <c r="X5447" t="str">
        <v>x</v>
      </c>
      <c r="Y5447">
        <f>D5431</f>
        <v>1</v>
      </c>
      <c r="Z5447" t="str">
        <v>=</v>
      </c>
      <c r="AA5447">
        <f>N5447*U5447*W5447*Y5447</f>
        <v>11.460735</v>
      </c>
    </row>
    <row r="5449">
      <c r="A5449" t="str">
        <f>A5425</f>
        <v>Lantai 3</v>
      </c>
      <c r="B5449">
        <f>B5425</f>
        <v>39</v>
      </c>
      <c r="C5449" t="str">
        <v>Kait Horizontal Tump.</v>
      </c>
      <c r="D5449">
        <f>VLOOKUP(D5425,'Detail Balok'!$C$10:$BJ$140,46,FALSE)</f>
        <v>0</v>
      </c>
      <c r="E5449" t="str">
        <v>D</v>
      </c>
      <c r="F5449">
        <f>VLOOKUP(D5425,'Detail Balok'!$C$10:$BJ$140,48,FALSE)</f>
        <v>0</v>
      </c>
      <c r="G5449" t="str">
        <v>-</v>
      </c>
      <c r="H5449">
        <f>VLOOKUP(D5425,'Detail Balok'!$C$10:$BJ$140,50,FALSE)</f>
        <v>100</v>
      </c>
      <c r="J5449">
        <f>(D5426-2*F$5)/1000</f>
        <v>0.12</v>
      </c>
      <c r="K5449" t="str">
        <v>+</v>
      </c>
      <c r="L5449">
        <f>IF(D5449=0,2*MAX(6*F5449,75),(D5449-1)*2*MAX(6*F5449,75))/1000</f>
        <v>0.15</v>
      </c>
      <c r="M5449" t="str">
        <v>=</v>
      </c>
      <c r="N5449">
        <f>J5449+L5449</f>
        <v>0.27</v>
      </c>
      <c r="T5449" t="str">
        <v>x</v>
      </c>
      <c r="U5449">
        <f>0.006165*F5449^2</f>
        <v>0</v>
      </c>
      <c r="V5449" t="str">
        <v>x</v>
      </c>
      <c r="W5449">
        <f>W5445</f>
        <v>13</v>
      </c>
      <c r="X5449" t="str">
        <v>x</v>
      </c>
      <c r="Y5449">
        <f>D5435</f>
        <v>0</v>
      </c>
      <c r="Z5449" t="str">
        <v>=</v>
      </c>
      <c r="AA5449">
        <f>N5449*U5449*W5449*Y5449</f>
        <v>0</v>
      </c>
    </row>
    <row r="5450">
      <c r="A5450" t="str">
        <f>A5425</f>
        <v>Lantai 3</v>
      </c>
      <c r="B5450">
        <f>B5425</f>
        <v>39</v>
      </c>
      <c r="C5450" t="str">
        <v>Kait Horizontal Lap.</v>
      </c>
      <c r="D5450">
        <f>VLOOKUP(D5425,'Detail Balok'!$C$10:$BJ$140,51,FALSE)</f>
        <v>0</v>
      </c>
      <c r="E5450" t="str">
        <v>D</v>
      </c>
      <c r="F5450">
        <f>VLOOKUP(D5425,'Detail Balok'!$C$10:$BJ$140,53,FALSE)</f>
        <v>0</v>
      </c>
      <c r="G5450" t="str">
        <v>-</v>
      </c>
      <c r="H5450">
        <f>VLOOKUP(D5425,'Detail Balok'!$C$10:$BJ$140,55,FALSE)</f>
        <v>100</v>
      </c>
      <c r="J5450">
        <f>(D5426-2*F$5)/1000</f>
        <v>0.12</v>
      </c>
      <c r="K5450" t="str">
        <v>+</v>
      </c>
      <c r="L5450">
        <f>IF(D5450=0,2*MAX(6*F5450,75),(D5450-1)*2*MAX(6*F5450,75))/1000</f>
        <v>0.15</v>
      </c>
      <c r="M5450" t="str">
        <v>=</v>
      </c>
      <c r="N5450">
        <f>J5450+L5450</f>
        <v>0.27</v>
      </c>
      <c r="T5450" t="str">
        <v>x</v>
      </c>
      <c r="U5450">
        <f>0.006165*F5450^2</f>
        <v>0</v>
      </c>
      <c r="V5450" t="str">
        <v>x</v>
      </c>
      <c r="W5450">
        <f>W5446</f>
        <v>11</v>
      </c>
      <c r="X5450" t="str">
        <v>x</v>
      </c>
      <c r="Y5450">
        <f>D5435</f>
        <v>0</v>
      </c>
      <c r="Z5450" t="str">
        <v>=</v>
      </c>
      <c r="AA5450">
        <f>N5450*U5450*W5450*Y5450</f>
        <v>0</v>
      </c>
    </row>
    <row r="5451">
      <c r="A5451" t="str">
        <f>A5425</f>
        <v>Lantai 3</v>
      </c>
      <c r="B5451">
        <f>B5425</f>
        <v>39</v>
      </c>
      <c r="C5451" t="str">
        <v>Kait Horizontal Tump.</v>
      </c>
      <c r="D5451">
        <f>VLOOKUP(D5425,'Detail Balok'!$C$10:$BJ$140,56,FALSE)</f>
        <v>0</v>
      </c>
      <c r="E5451" t="str">
        <v>D</v>
      </c>
      <c r="F5451">
        <f>VLOOKUP(D5425,'Detail Balok'!$C$10:$BJ$140,58,FALSE)</f>
        <v>0</v>
      </c>
      <c r="G5451" t="str">
        <v>-</v>
      </c>
      <c r="H5451">
        <f>VLOOKUP(D5425,'Detail Balok'!$C$10:$BJ$140,60,FALSE)</f>
        <v>100</v>
      </c>
      <c r="J5451">
        <f>(D5426-2*F$5)/1000</f>
        <v>0.12</v>
      </c>
      <c r="K5451" t="str">
        <v>+</v>
      </c>
      <c r="L5451">
        <f>IF(D5451=0,2*MAX(6*F5451,75),(D5451-1)*2*MAX(6*F5451,75))/1000</f>
        <v>0.15</v>
      </c>
      <c r="M5451" t="str">
        <v>=</v>
      </c>
      <c r="N5451">
        <f>J5451+L5451</f>
        <v>0.27</v>
      </c>
      <c r="T5451" t="str">
        <v>x</v>
      </c>
      <c r="U5451">
        <f>0.006165*F5451^2</f>
        <v>0</v>
      </c>
      <c r="V5451" t="str">
        <v>x</v>
      </c>
      <c r="W5451">
        <f>W5447</f>
        <v>13</v>
      </c>
      <c r="X5451" t="str">
        <v>x</v>
      </c>
      <c r="Y5451">
        <f>D5435</f>
        <v>0</v>
      </c>
      <c r="Z5451" t="str">
        <v>=</v>
      </c>
      <c r="AA5451">
        <f>N5451*U5451*W5451*Y5451</f>
        <v>0</v>
      </c>
    </row>
    <row r="5455">
      <c r="A5455" t="str">
        <f>A5425</f>
        <v>Lantai 3</v>
      </c>
      <c r="B5455">
        <f>B5425+1</f>
        <v>40</v>
      </c>
      <c r="C5455" t="str">
        <f>CONCATENATE(A5455," no. ",B5455)</f>
        <v>Lantai 3 no. 40</v>
      </c>
      <c r="D5455" t="str">
        <f>VLOOKUP(C5455,'Data Panjang Balok'!$C$9:$N$254,2,FALSE)</f>
        <v>B26-1</v>
      </c>
    </row>
    <row r="5456">
      <c r="C5456" t="str">
        <v>Dimensi</v>
      </c>
      <c r="D5456">
        <f>VLOOKUP(D5455,'Detail Balok'!$C$10:$AU$140,2,FALSE)</f>
        <v>200</v>
      </c>
      <c r="F5456" t="str">
        <v>x</v>
      </c>
      <c r="G5456">
        <f>VLOOKUP(D5455,'Detail Balok'!$C$10:$AU$140,3,FALSE)</f>
        <v>600</v>
      </c>
    </row>
    <row r="5457">
      <c r="C5457" t="str">
        <v>Panjang as ke as</v>
      </c>
      <c r="D5457">
        <f>VLOOKUP(C5455,'Data Panjang Balok'!$C$9:$N$254,4,FALSE)</f>
        <v>4000</v>
      </c>
    </row>
    <row r="5458">
      <c r="C5458" t="str">
        <v>Panjang netto</v>
      </c>
      <c r="D5458">
        <f>VLOOKUP(C5455,'Data Panjang Balok'!$C$9:$N$254,7,FALSE)</f>
        <v>4000</v>
      </c>
    </row>
    <row r="5459">
      <c r="C5459" t="str">
        <v>Kolom / balok kiri</v>
      </c>
      <c r="D5459">
        <f>VLOOKUP(C5455,'Data Panjang Balok'!$C$9:$N$254,9,FALSE)</f>
        <v>0</v>
      </c>
    </row>
    <row r="5460">
      <c r="C5460" t="str">
        <v>Kolom / balok kanan</v>
      </c>
      <c r="D5460">
        <f>VLOOKUP(C5455,'Data Panjang Balok'!$C$9:$N$254,10,FALSE)</f>
        <v>0</v>
      </c>
    </row>
    <row r="5461">
      <c r="C5461" t="str">
        <v>Jumlah</v>
      </c>
      <c r="D5461">
        <f>VLOOKUP(C5455,'Data Panjang Balok'!$C$9:$N$254,3,FALSE)</f>
        <v>1</v>
      </c>
    </row>
    <row r="5462">
      <c r="A5462" t="str">
        <f>A5455</f>
        <v>Lantai 3</v>
      </c>
      <c r="B5462">
        <f>B5455</f>
        <v>40</v>
      </c>
      <c r="C5462" t="str">
        <v>Tul Atas Tumpuan</v>
      </c>
      <c r="D5462">
        <f>VLOOKUP(D5455,'Detail Balok'!$C$10:$AU$140,4,FALSE)</f>
        <v>4</v>
      </c>
      <c r="E5462" t="str">
        <v>D</v>
      </c>
      <c r="F5462">
        <f>VLOOKUP(D5455,'Detail Balok'!$C$10:$AU$140,6,FALSE)</f>
        <v>16</v>
      </c>
      <c r="I5462" t="str">
        <v>(</v>
      </c>
      <c r="J5462">
        <f>+D5457/4/1000</f>
        <v>1</v>
      </c>
      <c r="K5462" t="str">
        <v>+</v>
      </c>
      <c r="L5462">
        <f>MAX(VLOOKUP(F5462,N$6:P$15,3,FALSE)/1000,2/3*D5459/1000)+F$16*F5462/1000</f>
        <v>0.192</v>
      </c>
      <c r="M5462" t="str">
        <v>=</v>
      </c>
      <c r="N5462">
        <f>J5462+L5462</f>
        <v>1.192</v>
      </c>
      <c r="O5462" t="str">
        <v>+</v>
      </c>
      <c r="P5462">
        <f>D5462-D5463</f>
        <v>1</v>
      </c>
      <c r="Q5462" t="str">
        <v>x</v>
      </c>
      <c r="R5462">
        <f>IF(P5462&gt;0,$F$18*F5462/1000,0)</f>
        <v>0.24</v>
      </c>
      <c r="S5462" t="str">
        <v>)</v>
      </c>
      <c r="T5462" t="str">
        <v>x</v>
      </c>
      <c r="U5462">
        <f>0.006165*F5462^2</f>
        <v>1.57824</v>
      </c>
      <c r="X5462" t="str">
        <v>x</v>
      </c>
      <c r="Y5462">
        <f>D5461</f>
        <v>1</v>
      </c>
      <c r="Z5462" t="str">
        <v>=</v>
      </c>
      <c r="AA5462">
        <f>IF(AA5465=0,(D5462*N5462+P5462*R5462)*U5462*Y5462,0)</f>
        <v>7.90382592</v>
      </c>
    </row>
    <row r="5463">
      <c r="A5463" t="str">
        <f>A5455</f>
        <v>Lantai 3</v>
      </c>
      <c r="B5463">
        <f>B5455</f>
        <v>40</v>
      </c>
      <c r="C5463" t="str">
        <v>Tul Atas Lapangan</v>
      </c>
      <c r="D5463">
        <f>VLOOKUP(D5455,'Detail Balok'!$C$10:$AU$140,7,FALSE)</f>
        <v>3</v>
      </c>
      <c r="E5463" t="str">
        <v>D</v>
      </c>
      <c r="F5463">
        <f>VLOOKUP(D5455,'Detail Balok'!$C$10:$AU$140,9,FALSE)</f>
        <v>16</v>
      </c>
      <c r="I5463" t="str">
        <v>(</v>
      </c>
      <c r="J5463">
        <f>+D5457/2/1000</f>
        <v>2</v>
      </c>
      <c r="K5463" t="str">
        <v>+</v>
      </c>
      <c r="M5463" t="str">
        <v>=</v>
      </c>
      <c r="N5463">
        <f>J5463+L5463</f>
        <v>2</v>
      </c>
      <c r="O5463" t="str">
        <v>+</v>
      </c>
      <c r="P5463">
        <f>MAX(D5463-D5462,D5463-D5464)</f>
        <v>-1</v>
      </c>
      <c r="Q5463" t="str">
        <v>x</v>
      </c>
      <c r="R5463">
        <f>IF(P5463&gt;0,2*(1-2*$F$19-1/2)*D5458/1000,0)</f>
        <v>0</v>
      </c>
      <c r="S5463" t="str">
        <v>)</v>
      </c>
      <c r="T5463" t="str">
        <v>x</v>
      </c>
      <c r="U5463">
        <f>0.006165*F5463^2</f>
        <v>1.57824</v>
      </c>
      <c r="X5463" t="str">
        <v>x</v>
      </c>
      <c r="Y5463">
        <f>D5461</f>
        <v>1</v>
      </c>
      <c r="Z5463" t="str">
        <v>=</v>
      </c>
      <c r="AA5463">
        <f>IF(AA5465=0,(D5463*N5463+P5463*R5463)*U5463*Y5463,0)</f>
        <v>9.46944</v>
      </c>
    </row>
    <row r="5464">
      <c r="A5464" t="str">
        <f>A5455</f>
        <v>Lantai 3</v>
      </c>
      <c r="B5464">
        <f>B5455</f>
        <v>40</v>
      </c>
      <c r="C5464" t="str">
        <v>Tul Atas Tumpuan</v>
      </c>
      <c r="D5464">
        <f>VLOOKUP(D5455,'Detail Balok'!$C$10:$AU$140,10,FALSE)</f>
        <v>4</v>
      </c>
      <c r="E5464" t="str">
        <v>D</v>
      </c>
      <c r="F5464">
        <f>VLOOKUP(D5455,'Detail Balok'!$C$10:$AU$140,12,FALSE)</f>
        <v>16</v>
      </c>
      <c r="I5464" t="str">
        <v>(</v>
      </c>
      <c r="J5464">
        <f>+D5457/4/1000</f>
        <v>1</v>
      </c>
      <c r="K5464" t="str">
        <v>+</v>
      </c>
      <c r="L5464">
        <f>MAX(VLOOKUP(F5464,N$6:P$15,3,FALSE)/1000,2/3*D5459/1000)+F$16*F5464/1000</f>
        <v>0.192</v>
      </c>
      <c r="M5464" t="str">
        <v>=</v>
      </c>
      <c r="N5464">
        <f>J5464+L5464</f>
        <v>1.192</v>
      </c>
      <c r="O5464" t="str">
        <v>+</v>
      </c>
      <c r="P5464">
        <f>D5464-D5463</f>
        <v>1</v>
      </c>
      <c r="Q5464" t="str">
        <v>x</v>
      </c>
      <c r="R5464">
        <f>IF(P5464&gt;0,$F$18*F5464/1000,0)</f>
        <v>0.24</v>
      </c>
      <c r="S5464" t="str">
        <v>)</v>
      </c>
      <c r="T5464" t="str">
        <v>x</v>
      </c>
      <c r="U5464">
        <f>0.006165*F5464^2</f>
        <v>1.57824</v>
      </c>
      <c r="X5464" t="str">
        <v>x</v>
      </c>
      <c r="Y5464">
        <f>D5461</f>
        <v>1</v>
      </c>
      <c r="Z5464" t="str">
        <v>=</v>
      </c>
      <c r="AA5464">
        <f>IF(AA5465=0,(D5464*N5464+P5464*R5464)*U5464*Y5464,0)</f>
        <v>7.90382592</v>
      </c>
    </row>
    <row r="5465">
      <c r="A5465" t="str">
        <f>A5455</f>
        <v>Lantai 3</v>
      </c>
      <c r="B5465">
        <f>B5455</f>
        <v>40</v>
      </c>
      <c r="D5465">
        <f>IF(AND(D5462=D5463,D5463=D5464,D5462=D5464),D5462,0)</f>
        <v>0</v>
      </c>
      <c r="E5465" t="str">
        <v>D</v>
      </c>
      <c r="F5465">
        <f>IF(AND(F5462=F5463,F5462=F5464,F5463=F5464),F5462,0)</f>
        <v>16</v>
      </c>
      <c r="L5465" t="str">
        <v>Total panjang per balok</v>
      </c>
      <c r="M5465" t="str">
        <v>=</v>
      </c>
      <c r="N5465">
        <f>IF(AND(D5462=D5463,D5462=D5464,D5463=D5464,F5462=F5463,F5462=F5464,F5463=F5464),SUM(N5462:N5464),0)</f>
        <v>0</v>
      </c>
      <c r="O5465" t="str">
        <v>+</v>
      </c>
      <c r="P5465">
        <f>IF(N5465&gt;12,ROUNDDOWN(N5465/12,0),0)</f>
        <v>0</v>
      </c>
      <c r="Q5465" t="str">
        <v>x</v>
      </c>
      <c r="R5465">
        <f>IF(P5465&gt;0,MAX(VLOOKUP(F5465,$D$6:$G$15,3,FALSE),600),0)/1000</f>
        <v>0</v>
      </c>
      <c r="T5465" t="str">
        <v>x</v>
      </c>
      <c r="U5465">
        <f>U5464</f>
        <v>1.57824</v>
      </c>
      <c r="V5465" t="str">
        <v>x</v>
      </c>
      <c r="W5465">
        <f>D5465</f>
        <v>0</v>
      </c>
      <c r="X5465" t="str">
        <v>x</v>
      </c>
      <c r="Y5465">
        <f>Y5464</f>
        <v>1</v>
      </c>
      <c r="Z5465" t="str">
        <v>=</v>
      </c>
      <c r="AA5465">
        <f>(N5465+P5465*R5465/1000)*U5465*W5465*Y5465</f>
        <v>0</v>
      </c>
    </row>
    <row r="5467">
      <c r="A5467" t="str">
        <f>A5455</f>
        <v>Lantai 3</v>
      </c>
      <c r="B5467">
        <f>B5455</f>
        <v>40</v>
      </c>
      <c r="C5467" t="str">
        <v>Tul Peminggang</v>
      </c>
      <c r="D5467">
        <f>VLOOKUP(D5455,'Detail Balok'!$C$10:$AU$140,13,FALSE)</f>
        <v>2</v>
      </c>
      <c r="E5467" t="str">
        <v>D</v>
      </c>
      <c r="F5467">
        <f>VLOOKUP(D5455,'Detail Balok'!$C$10:$AU$140,15,FALSE)</f>
        <v>10</v>
      </c>
      <c r="J5467">
        <f>+D5457/1000</f>
        <v>4</v>
      </c>
      <c r="K5467" t="str">
        <v>+</v>
      </c>
      <c r="L5467">
        <f>2*$F$16*F5467/1000</f>
        <v>0.24</v>
      </c>
      <c r="M5467" t="str">
        <v>=</v>
      </c>
      <c r="N5467">
        <f>J5467+L5467</f>
        <v>4.24</v>
      </c>
      <c r="O5467" t="str">
        <v>+</v>
      </c>
      <c r="P5467">
        <f>IF(N5467&gt;12,ROUNDDOWN(N5467/12,0),0)</f>
        <v>0</v>
      </c>
      <c r="Q5467" t="str">
        <v>x</v>
      </c>
      <c r="R5467">
        <f>IF(P5467&gt;0,MAX(VLOOKUP(F5467,$D$6:$G$15,3,FALSE),600),0)/1000</f>
        <v>0</v>
      </c>
      <c r="T5467" t="str">
        <v>x</v>
      </c>
      <c r="U5467">
        <f>0.006165*F5467^2</f>
        <v>0.6165</v>
      </c>
      <c r="V5467" t="str">
        <v>x</v>
      </c>
      <c r="W5467">
        <f>+D5467</f>
        <v>2</v>
      </c>
      <c r="X5467" t="str">
        <v>x</v>
      </c>
      <c r="Y5467">
        <f>D5461</f>
        <v>1</v>
      </c>
      <c r="Z5467" t="str">
        <v>=</v>
      </c>
      <c r="AA5467">
        <f>(N5467+P5467*R5467/1000)*U5467*W5467*Y5467</f>
        <v>5.227920000000001</v>
      </c>
    </row>
    <row r="5470">
      <c r="A5470" t="str">
        <f>A5455</f>
        <v>Lantai 3</v>
      </c>
      <c r="B5470">
        <f>B5455</f>
        <v>40</v>
      </c>
      <c r="C5470" t="str">
        <v>Tul Bawah Tumpuan</v>
      </c>
      <c r="D5470">
        <f>VLOOKUP(D5455,'Detail Balok'!$C$10:$AU$140,22,FALSE)</f>
        <v>3</v>
      </c>
      <c r="E5470" t="str">
        <v>D</v>
      </c>
      <c r="F5470">
        <f>VLOOKUP(D5455,'Detail Balok'!$C$10:$AU$140,24,FALSE)</f>
        <v>16</v>
      </c>
      <c r="I5470" t="str">
        <v>(</v>
      </c>
      <c r="J5470">
        <f>+J5462</f>
        <v>1</v>
      </c>
      <c r="K5470" t="str">
        <v>+</v>
      </c>
      <c r="L5470">
        <f>MAX(VLOOKUP(F5470,N$6:P$15,3,FALSE)/1000,2/3*D5460/1000)+F$16*F5470/1000</f>
        <v>0.192</v>
      </c>
      <c r="M5470" t="str">
        <v>=</v>
      </c>
      <c r="N5470">
        <f>J5470+L5470</f>
        <v>1.192</v>
      </c>
      <c r="O5470" t="str">
        <v>+</v>
      </c>
      <c r="P5470">
        <f>D5470-D5471</f>
        <v>-1</v>
      </c>
      <c r="Q5470" t="str">
        <v>x</v>
      </c>
      <c r="R5470">
        <f>IF(P5470&gt;0,$F$18*F5470/1000,0)</f>
        <v>0</v>
      </c>
      <c r="S5470" t="str">
        <v>)</v>
      </c>
      <c r="T5470" t="str">
        <v>x</v>
      </c>
      <c r="U5470">
        <f>0.006165*F5470^2</f>
        <v>1.57824</v>
      </c>
      <c r="X5470" t="str">
        <v>x</v>
      </c>
      <c r="Y5470">
        <f>D5461</f>
        <v>1</v>
      </c>
      <c r="Z5470" t="str">
        <v>=</v>
      </c>
      <c r="AA5470">
        <f>IF(AA5473=0,(D5470*N5470+P5470*R5470)*U5470*Y5470,0)</f>
        <v>5.64378624</v>
      </c>
    </row>
    <row r="5471">
      <c r="A5471" t="str">
        <f>A5455</f>
        <v>Lantai 3</v>
      </c>
      <c r="B5471">
        <f>B5455</f>
        <v>40</v>
      </c>
      <c r="C5471" t="str">
        <v>Tul Bawah Lapangan</v>
      </c>
      <c r="D5471">
        <f>VLOOKUP(D5455,'Detail Balok'!$C$10:$AU$140,25,FALSE)</f>
        <v>4</v>
      </c>
      <c r="E5471" t="str">
        <v>D</v>
      </c>
      <c r="F5471">
        <f>VLOOKUP(D5455,'Detail Balok'!$C$10:$AU$140,27,FALSE)</f>
        <v>16</v>
      </c>
      <c r="I5471" t="str">
        <v>(</v>
      </c>
      <c r="J5471">
        <f>+J5463</f>
        <v>2</v>
      </c>
      <c r="K5471" t="str">
        <v>+</v>
      </c>
      <c r="M5471" t="str">
        <v>=</v>
      </c>
      <c r="N5471">
        <f>J5471+L5471</f>
        <v>2</v>
      </c>
      <c r="O5471" t="str">
        <v>+</v>
      </c>
      <c r="P5471">
        <f>MAX(D5471-D5470,D5471-D5472)</f>
        <v>1</v>
      </c>
      <c r="Q5471" t="str">
        <v>x</v>
      </c>
      <c r="R5471">
        <f>IF(P5471&gt;0,2*(1-2*$F$19-1/2)*D5458/1000,0)</f>
        <v>0.7999999999999998</v>
      </c>
      <c r="S5471" t="str">
        <v>)</v>
      </c>
      <c r="T5471" t="str">
        <v>x</v>
      </c>
      <c r="U5471">
        <f>0.006165*F5471^2</f>
        <v>1.57824</v>
      </c>
      <c r="X5471" t="str">
        <v>x</v>
      </c>
      <c r="Y5471">
        <f>D5461</f>
        <v>1</v>
      </c>
      <c r="Z5471" t="str">
        <v>=</v>
      </c>
      <c r="AA5471">
        <f>IF(AA5473=0,(D5471*N5471+P5471*R5471)*U5471*Y5471,0)</f>
        <v>13.888512000000002</v>
      </c>
    </row>
    <row r="5472">
      <c r="A5472" t="str">
        <f>A5455</f>
        <v>Lantai 3</v>
      </c>
      <c r="B5472">
        <f>B5455</f>
        <v>40</v>
      </c>
      <c r="C5472" t="str">
        <v>Tul Bawah Tumpuan</v>
      </c>
      <c r="D5472">
        <f>VLOOKUP(D5455,'Detail Balok'!$C$10:$AU$140,28,FALSE)</f>
        <v>3</v>
      </c>
      <c r="E5472" t="str">
        <v>D</v>
      </c>
      <c r="F5472">
        <f>VLOOKUP(D5455,'Detail Balok'!$C$10:$AU$140,30,FALSE)</f>
        <v>16</v>
      </c>
      <c r="I5472" t="str">
        <v>(</v>
      </c>
      <c r="J5472">
        <f>+J5464</f>
        <v>1</v>
      </c>
      <c r="K5472" t="str">
        <v>+</v>
      </c>
      <c r="L5472">
        <f>MAX(VLOOKUP(F5472,N$6:P$15,3,FALSE)/1000,2/3*D5460/1000)+F$16*F5472/1000</f>
        <v>0.192</v>
      </c>
      <c r="M5472" t="str">
        <v>=</v>
      </c>
      <c r="N5472">
        <f>J5472+L5472</f>
        <v>1.192</v>
      </c>
      <c r="O5472" t="str">
        <v>+</v>
      </c>
      <c r="P5472">
        <f>D5472-D5471</f>
        <v>-1</v>
      </c>
      <c r="Q5472" t="str">
        <v>x</v>
      </c>
      <c r="R5472">
        <f>IF(P5472&gt;0,$F$18*F5472/1000,0)</f>
        <v>0</v>
      </c>
      <c r="S5472" t="str">
        <v>)</v>
      </c>
      <c r="T5472" t="str">
        <v>x</v>
      </c>
      <c r="U5472">
        <f>0.006165*F5472^2</f>
        <v>1.57824</v>
      </c>
      <c r="X5472" t="str">
        <v>x</v>
      </c>
      <c r="Y5472">
        <f>D5461</f>
        <v>1</v>
      </c>
      <c r="Z5472" t="str">
        <v>=</v>
      </c>
      <c r="AA5472">
        <f>IF(AA5473=0,(D5472*N5472+P5472*R5472)*U5472*Y5472,0)</f>
        <v>5.64378624</v>
      </c>
    </row>
    <row r="5473">
      <c r="A5473" t="str">
        <f>A5455</f>
        <v>Lantai 3</v>
      </c>
      <c r="B5473">
        <f>B5455</f>
        <v>40</v>
      </c>
      <c r="D5473">
        <f>IF(AND(D5470=D5471,D5471=D5472,D5470=D5472),D5470,0)</f>
        <v>0</v>
      </c>
      <c r="E5473" t="str">
        <v>D</v>
      </c>
      <c r="F5473">
        <f>IF(AND(F5470=F5471,F5470=F5472,F5471=F5472),F5470,0)</f>
        <v>16</v>
      </c>
      <c r="L5473" t="str">
        <v>Total panjang per balok</v>
      </c>
      <c r="M5473" t="str">
        <v>=</v>
      </c>
      <c r="N5473">
        <f>IF(AND(D5470=D5471,D5470=D5472,D5471=D5472,F5470=F5471,F5470=F5472,F5471=F5472),SUM(N5470:N5472),0)</f>
        <v>0</v>
      </c>
      <c r="O5473" t="str">
        <v>+</v>
      </c>
      <c r="P5473">
        <f>IF(N5473&gt;12,ROUNDDOWN(N5473/12,0),0)</f>
        <v>0</v>
      </c>
      <c r="Q5473" t="str">
        <v>x</v>
      </c>
      <c r="R5473">
        <f>IF(P5473&gt;0,MAX(VLOOKUP(F5473,$D$6:$G$15,3,FALSE),600),0)/1000</f>
        <v>0</v>
      </c>
      <c r="T5473" t="str">
        <v>x</v>
      </c>
      <c r="U5473">
        <f>U5472</f>
        <v>1.57824</v>
      </c>
      <c r="V5473" t="str">
        <v>x</v>
      </c>
      <c r="W5473">
        <f>D5473</f>
        <v>0</v>
      </c>
      <c r="X5473" t="str">
        <v>x</v>
      </c>
      <c r="Y5473">
        <f>Y5472</f>
        <v>1</v>
      </c>
      <c r="Z5473" t="str">
        <v>=</v>
      </c>
      <c r="AA5473">
        <f>(N5473+P5473*R5473/1000)*U5473*W5473*Y5473</f>
        <v>0</v>
      </c>
    </row>
    <row r="5475">
      <c r="A5475" t="str">
        <f>A5455</f>
        <v>Lantai 3</v>
      </c>
      <c r="B5475">
        <f>B5455</f>
        <v>40</v>
      </c>
      <c r="C5475" t="str">
        <v>Sengkang Tumpuan</v>
      </c>
      <c r="D5475">
        <f>VLOOKUP(D5455,'Detail Balok'!$C$10:$AU$140,31,FALSE)</f>
        <v>0</v>
      </c>
      <c r="E5475" t="str">
        <v>D</v>
      </c>
      <c r="F5475">
        <f>VLOOKUP(D5455,'Detail Balok'!$C$10:$AU$140,33,FALSE)</f>
        <v>10</v>
      </c>
      <c r="G5475" t="str">
        <v>-</v>
      </c>
      <c r="H5475">
        <f>VLOOKUP(D5455,'Detail Balok'!$C$10:$AU$140,35,FALSE)</f>
        <v>100</v>
      </c>
      <c r="J5475">
        <f>(IF(D5475=0,(2*(D5456+G5456))-(F$5*8),IF(D5475=3,(2*(D5456+G5456))-(F$5*8)+(G5456-2*F$5),IF(D5475=4,(2*(D5456+G5456))-(F$5*8)+2*(G5456-2*F$5)))))/1000</f>
        <v>1.28</v>
      </c>
      <c r="K5475" t="str">
        <v>+</v>
      </c>
      <c r="L5475">
        <f>IF(D5475=0,2*MAX(6*F5475,75),(D5475-1)*2*MAX(6*F5475,75))/1000</f>
        <v>0.15</v>
      </c>
      <c r="M5475" t="str">
        <v>=</v>
      </c>
      <c r="N5475">
        <f>J5475+L5475</f>
        <v>1.43</v>
      </c>
      <c r="T5475" t="str">
        <v>x</v>
      </c>
      <c r="U5475">
        <f>0.006165*F5475^2</f>
        <v>0.6165</v>
      </c>
      <c r="V5475" t="str">
        <v>x</v>
      </c>
      <c r="W5475">
        <f>IF(D5458&gt;4*G5456,ROUND(MAX(D5458/4,2*G5456)/H5475,0)+1,ROUND(D5458/H5475,0)+1)</f>
        <v>13</v>
      </c>
      <c r="X5475" t="str">
        <v>x</v>
      </c>
      <c r="Y5475">
        <f>D5461</f>
        <v>1</v>
      </c>
      <c r="Z5475" t="str">
        <v>=</v>
      </c>
      <c r="AA5475">
        <f>N5475*U5475*W5475*Y5475</f>
        <v>11.460735</v>
      </c>
    </row>
    <row r="5476">
      <c r="A5476" t="str">
        <f>A5455</f>
        <v>Lantai 3</v>
      </c>
      <c r="B5476">
        <f>B5455</f>
        <v>40</v>
      </c>
      <c r="C5476" t="str">
        <v>Sengkang Lapangan</v>
      </c>
      <c r="D5476">
        <f>VLOOKUP(D5455,'Detail Balok'!$C$10:$AU$140,36,FALSE)</f>
        <v>0</v>
      </c>
      <c r="E5476" t="str">
        <v>D</v>
      </c>
      <c r="F5476">
        <f>VLOOKUP(D5455,'Detail Balok'!$C$10:$AU$140,38,FALSE)</f>
        <v>10</v>
      </c>
      <c r="G5476" t="str">
        <v>-</v>
      </c>
      <c r="H5476">
        <f>VLOOKUP(D5455,'Detail Balok'!$C$10:$AU$140,40,FALSE)</f>
        <v>150</v>
      </c>
      <c r="J5476">
        <f>(IF(D5476=0,(2*(D5456+G5456))-(F$5*8),IF(D5476=3,(2*(D5456+G5456))-(F$5*8)+(G5456-2*F$5),IF(D5476=4,(2*(D5456+G5456))-(F$5*8)+2*(G5456-2*F$5)))))/1000</f>
        <v>1.28</v>
      </c>
      <c r="K5476" t="str">
        <v>+</v>
      </c>
      <c r="L5476">
        <f>IF(D5476=0,2*MAX(6*F5476,75),(D5476-1)*2*MAX(6*F5476,75))/1000</f>
        <v>0.15</v>
      </c>
      <c r="M5476" t="str">
        <v>=</v>
      </c>
      <c r="N5476">
        <f>J5476+L5476</f>
        <v>1.43</v>
      </c>
      <c r="T5476" t="str">
        <v>x</v>
      </c>
      <c r="U5476">
        <f>0.006165*F5476^2</f>
        <v>0.6165</v>
      </c>
      <c r="V5476" t="str">
        <v>x</v>
      </c>
      <c r="W5476">
        <f>IF(D5458-MAX(D5458/4,2*G5456)*2&gt;0,ROUND((D5458-MAX(D5458/4,2*G5456)*2)/H5476,0),0)</f>
        <v>11</v>
      </c>
      <c r="X5476" t="str">
        <v>x</v>
      </c>
      <c r="Y5476">
        <f>D5461</f>
        <v>1</v>
      </c>
      <c r="Z5476" t="str">
        <v>=</v>
      </c>
      <c r="AA5476">
        <f>N5476*U5476*W5476*Y5476</f>
        <v>9.697545</v>
      </c>
    </row>
    <row r="5477">
      <c r="A5477" t="str">
        <f>A5455</f>
        <v>Lantai 3</v>
      </c>
      <c r="B5477">
        <f>B5455</f>
        <v>40</v>
      </c>
      <c r="C5477" t="str">
        <v>Sengkang Tumpuan</v>
      </c>
      <c r="D5477">
        <f>VLOOKUP(D5455,'Detail Balok'!$C$10:$AU$140,41,FALSE)</f>
        <v>0</v>
      </c>
      <c r="E5477" t="str">
        <v>D</v>
      </c>
      <c r="F5477">
        <f>VLOOKUP(D5455,'Detail Balok'!$C$10:$AU$140,43,FALSE)</f>
        <v>10</v>
      </c>
      <c r="G5477" t="str">
        <v>-</v>
      </c>
      <c r="H5477">
        <f>VLOOKUP(D5455,'Detail Balok'!$C$10:$AU$140,45,FALSE)</f>
        <v>100</v>
      </c>
      <c r="J5477">
        <f>(IF(D5477=0,(2*(D5456+G5456))-(F$5*8),IF(D5477=3,(2*(D5456+G5456))-(F$5*8)+(G5456-2*F$5),IF(D5477=4,(2*(D5456+G5456))-(F$5*8)+2*(G5456-2*F$5)))))/1000</f>
        <v>1.28</v>
      </c>
      <c r="K5477" t="str">
        <v>+</v>
      </c>
      <c r="L5477">
        <f>IF(D5477=0,2*MAX(6*F5477,75),(D5477-1)*2*MAX(6*F5477,75))/1000</f>
        <v>0.15</v>
      </c>
      <c r="M5477" t="str">
        <v>=</v>
      </c>
      <c r="N5477">
        <f>J5477+L5477</f>
        <v>1.43</v>
      </c>
      <c r="T5477" t="str">
        <v>x</v>
      </c>
      <c r="U5477">
        <f>0.006165*F5477^2</f>
        <v>0.6165</v>
      </c>
      <c r="V5477" t="str">
        <v>x</v>
      </c>
      <c r="W5477">
        <f>IF(D5458&gt;4*G5456,ROUND(MAX(D5458/4,2*G5456)/H5477,0)+1,0)</f>
        <v>13</v>
      </c>
      <c r="X5477" t="str">
        <v>x</v>
      </c>
      <c r="Y5477">
        <f>D5461</f>
        <v>1</v>
      </c>
      <c r="Z5477" t="str">
        <v>=</v>
      </c>
      <c r="AA5477">
        <f>N5477*U5477*W5477*Y5477</f>
        <v>11.460735</v>
      </c>
    </row>
    <row r="5479">
      <c r="A5479" t="str">
        <f>A5455</f>
        <v>Lantai 3</v>
      </c>
      <c r="B5479">
        <f>B5455</f>
        <v>40</v>
      </c>
      <c r="C5479" t="str">
        <v>Kait Horizontal Tump.</v>
      </c>
      <c r="D5479">
        <f>VLOOKUP(D5455,'Detail Balok'!$C$10:$BJ$140,46,FALSE)</f>
        <v>0</v>
      </c>
      <c r="E5479" t="str">
        <v>D</v>
      </c>
      <c r="F5479">
        <f>VLOOKUP(D5455,'Detail Balok'!$C$10:$BJ$140,48,FALSE)</f>
        <v>0</v>
      </c>
      <c r="G5479" t="str">
        <v>-</v>
      </c>
      <c r="H5479">
        <f>VLOOKUP(D5455,'Detail Balok'!$C$10:$BJ$140,50,FALSE)</f>
        <v>100</v>
      </c>
      <c r="J5479">
        <f>(D5456-2*F$5)/1000</f>
        <v>0.12</v>
      </c>
      <c r="K5479" t="str">
        <v>+</v>
      </c>
      <c r="L5479">
        <f>IF(D5479=0,2*MAX(6*F5479,75),(D5479-1)*2*MAX(6*F5479,75))/1000</f>
        <v>0.15</v>
      </c>
      <c r="M5479" t="str">
        <v>=</v>
      </c>
      <c r="N5479">
        <f>J5479+L5479</f>
        <v>0.27</v>
      </c>
      <c r="T5479" t="str">
        <v>x</v>
      </c>
      <c r="U5479">
        <f>0.006165*F5479^2</f>
        <v>0</v>
      </c>
      <c r="V5479" t="str">
        <v>x</v>
      </c>
      <c r="W5479">
        <f>W5475</f>
        <v>13</v>
      </c>
      <c r="X5479" t="str">
        <v>x</v>
      </c>
      <c r="Y5479">
        <f>D5465</f>
        <v>0</v>
      </c>
      <c r="Z5479" t="str">
        <v>=</v>
      </c>
      <c r="AA5479">
        <f>N5479*U5479*W5479*Y5479</f>
        <v>0</v>
      </c>
    </row>
    <row r="5480">
      <c r="A5480" t="str">
        <f>A5455</f>
        <v>Lantai 3</v>
      </c>
      <c r="B5480">
        <f>B5455</f>
        <v>40</v>
      </c>
      <c r="C5480" t="str">
        <v>Kait Horizontal Lap.</v>
      </c>
      <c r="D5480">
        <f>VLOOKUP(D5455,'Detail Balok'!$C$10:$BJ$140,51,FALSE)</f>
        <v>0</v>
      </c>
      <c r="E5480" t="str">
        <v>D</v>
      </c>
      <c r="F5480">
        <f>VLOOKUP(D5455,'Detail Balok'!$C$10:$BJ$140,53,FALSE)</f>
        <v>0</v>
      </c>
      <c r="G5480" t="str">
        <v>-</v>
      </c>
      <c r="H5480">
        <f>VLOOKUP(D5455,'Detail Balok'!$C$10:$BJ$140,55,FALSE)</f>
        <v>100</v>
      </c>
      <c r="J5480">
        <f>(D5456-2*F$5)/1000</f>
        <v>0.12</v>
      </c>
      <c r="K5480" t="str">
        <v>+</v>
      </c>
      <c r="L5480">
        <f>IF(D5480=0,2*MAX(6*F5480,75),(D5480-1)*2*MAX(6*F5480,75))/1000</f>
        <v>0.15</v>
      </c>
      <c r="M5480" t="str">
        <v>=</v>
      </c>
      <c r="N5480">
        <f>J5480+L5480</f>
        <v>0.27</v>
      </c>
      <c r="T5480" t="str">
        <v>x</v>
      </c>
      <c r="U5480">
        <f>0.006165*F5480^2</f>
        <v>0</v>
      </c>
      <c r="V5480" t="str">
        <v>x</v>
      </c>
      <c r="W5480">
        <f>W5476</f>
        <v>11</v>
      </c>
      <c r="X5480" t="str">
        <v>x</v>
      </c>
      <c r="Y5480">
        <f>D5465</f>
        <v>0</v>
      </c>
      <c r="Z5480" t="str">
        <v>=</v>
      </c>
      <c r="AA5480">
        <f>N5480*U5480*W5480*Y5480</f>
        <v>0</v>
      </c>
    </row>
    <row r="5481">
      <c r="A5481" t="str">
        <f>A5455</f>
        <v>Lantai 3</v>
      </c>
      <c r="B5481">
        <f>B5455</f>
        <v>40</v>
      </c>
      <c r="C5481" t="str">
        <v>Kait Horizontal Tump.</v>
      </c>
      <c r="D5481">
        <f>VLOOKUP(D5455,'Detail Balok'!$C$10:$BJ$140,56,FALSE)</f>
        <v>0</v>
      </c>
      <c r="E5481" t="str">
        <v>D</v>
      </c>
      <c r="F5481">
        <f>VLOOKUP(D5455,'Detail Balok'!$C$10:$BJ$140,58,FALSE)</f>
        <v>0</v>
      </c>
      <c r="G5481" t="str">
        <v>-</v>
      </c>
      <c r="H5481">
        <f>VLOOKUP(D5455,'Detail Balok'!$C$10:$BJ$140,60,FALSE)</f>
        <v>100</v>
      </c>
      <c r="J5481">
        <f>(D5456-2*F$5)/1000</f>
        <v>0.12</v>
      </c>
      <c r="K5481" t="str">
        <v>+</v>
      </c>
      <c r="L5481">
        <f>IF(D5481=0,2*MAX(6*F5481,75),(D5481-1)*2*MAX(6*F5481,75))/1000</f>
        <v>0.15</v>
      </c>
      <c r="M5481" t="str">
        <v>=</v>
      </c>
      <c r="N5481">
        <f>J5481+L5481</f>
        <v>0.27</v>
      </c>
      <c r="T5481" t="str">
        <v>x</v>
      </c>
      <c r="U5481">
        <f>0.006165*F5481^2</f>
        <v>0</v>
      </c>
      <c r="V5481" t="str">
        <v>x</v>
      </c>
      <c r="W5481">
        <f>W5477</f>
        <v>13</v>
      </c>
      <c r="X5481" t="str">
        <v>x</v>
      </c>
      <c r="Y5481">
        <f>D5465</f>
        <v>0</v>
      </c>
      <c r="Z5481" t="str">
        <v>=</v>
      </c>
      <c r="AA5481">
        <f>N5481*U5481*W5481*Y5481</f>
        <v>0</v>
      </c>
    </row>
    <row r="5485">
      <c r="A5485" t="str">
        <f>A5455</f>
        <v>Lantai 3</v>
      </c>
      <c r="B5485">
        <f>B5455+1</f>
        <v>41</v>
      </c>
      <c r="C5485" t="str">
        <f>CONCATENATE(A5485," no. ",B5485)</f>
        <v>Lantai 3 no. 41</v>
      </c>
      <c r="D5485" t="str">
        <f>VLOOKUP(C5485,'Data Panjang Balok'!$C$9:$N$254,2,FALSE)</f>
        <v>B26-1</v>
      </c>
    </row>
    <row r="5486">
      <c r="C5486" t="str">
        <v>Dimensi</v>
      </c>
      <c r="D5486">
        <f>VLOOKUP(D5485,'Detail Balok'!$C$10:$AU$140,2,FALSE)</f>
        <v>200</v>
      </c>
      <c r="F5486" t="str">
        <v>x</v>
      </c>
      <c r="G5486">
        <f>VLOOKUP(D5485,'Detail Balok'!$C$10:$AU$140,3,FALSE)</f>
        <v>600</v>
      </c>
    </row>
    <row r="5487">
      <c r="C5487" t="str">
        <v>Panjang as ke as</v>
      </c>
      <c r="D5487">
        <f>VLOOKUP(C5485,'Data Panjang Balok'!$C$9:$N$254,4,FALSE)</f>
        <v>15425</v>
      </c>
    </row>
    <row r="5488">
      <c r="C5488" t="str">
        <v>Panjang netto</v>
      </c>
      <c r="D5488">
        <f>VLOOKUP(C5485,'Data Panjang Balok'!$C$9:$N$254,7,FALSE)</f>
        <v>15425</v>
      </c>
    </row>
    <row r="5489">
      <c r="C5489" t="str">
        <v>Kolom / balok kiri</v>
      </c>
      <c r="D5489">
        <f>VLOOKUP(C5485,'Data Panjang Balok'!$C$9:$N$254,9,FALSE)</f>
        <v>0</v>
      </c>
    </row>
    <row r="5490">
      <c r="C5490" t="str">
        <v>Kolom / balok kanan</v>
      </c>
      <c r="D5490">
        <f>VLOOKUP(C5485,'Data Panjang Balok'!$C$9:$N$254,10,FALSE)</f>
        <v>0</v>
      </c>
    </row>
    <row r="5491">
      <c r="C5491" t="str">
        <v>Jumlah</v>
      </c>
      <c r="D5491">
        <f>VLOOKUP(C5485,'Data Panjang Balok'!$C$9:$N$254,3,FALSE)</f>
        <v>1</v>
      </c>
    </row>
    <row r="5492">
      <c r="A5492" t="str">
        <f>A5485</f>
        <v>Lantai 3</v>
      </c>
      <c r="B5492">
        <f>B5485</f>
        <v>41</v>
      </c>
      <c r="C5492" t="str">
        <v>Tul Atas Tumpuan</v>
      </c>
      <c r="D5492">
        <f>VLOOKUP(D5485,'Detail Balok'!$C$10:$AU$140,4,FALSE)</f>
        <v>4</v>
      </c>
      <c r="E5492" t="str">
        <v>D</v>
      </c>
      <c r="F5492">
        <f>VLOOKUP(D5485,'Detail Balok'!$C$10:$AU$140,6,FALSE)</f>
        <v>16</v>
      </c>
      <c r="I5492" t="str">
        <v>(</v>
      </c>
      <c r="J5492">
        <f>+D5487/4/1000</f>
        <v>3.85625</v>
      </c>
      <c r="K5492" t="str">
        <v>+</v>
      </c>
      <c r="L5492">
        <f>MAX(VLOOKUP(F5492,N$6:P$15,3,FALSE)/1000,2/3*D5489/1000)+F$16*F5492/1000</f>
        <v>0.192</v>
      </c>
      <c r="M5492" t="str">
        <v>=</v>
      </c>
      <c r="N5492">
        <f>J5492+L5492</f>
        <v>4.04825</v>
      </c>
      <c r="O5492" t="str">
        <v>+</v>
      </c>
      <c r="P5492">
        <f>D5492-D5493</f>
        <v>1</v>
      </c>
      <c r="Q5492" t="str">
        <v>x</v>
      </c>
      <c r="R5492">
        <f>IF(P5492&gt;0,$F$18*F5492/1000,0)</f>
        <v>0.24</v>
      </c>
      <c r="S5492" t="str">
        <v>)</v>
      </c>
      <c r="T5492" t="str">
        <v>x</v>
      </c>
      <c r="U5492">
        <f>0.006165*F5492^2</f>
        <v>1.57824</v>
      </c>
      <c r="X5492" t="str">
        <v>x</v>
      </c>
      <c r="Y5492">
        <f>D5491</f>
        <v>1</v>
      </c>
      <c r="Z5492" t="str">
        <v>=</v>
      </c>
      <c r="AA5492">
        <f>IF(AA5495=0,(D5492*N5492+P5492*R5492)*U5492*Y5492,0)</f>
        <v>25.93521792</v>
      </c>
    </row>
    <row r="5493">
      <c r="A5493" t="str">
        <f>A5485</f>
        <v>Lantai 3</v>
      </c>
      <c r="B5493">
        <f>B5485</f>
        <v>41</v>
      </c>
      <c r="C5493" t="str">
        <v>Tul Atas Lapangan</v>
      </c>
      <c r="D5493">
        <f>VLOOKUP(D5485,'Detail Balok'!$C$10:$AU$140,7,FALSE)</f>
        <v>3</v>
      </c>
      <c r="E5493" t="str">
        <v>D</v>
      </c>
      <c r="F5493">
        <f>VLOOKUP(D5485,'Detail Balok'!$C$10:$AU$140,9,FALSE)</f>
        <v>16</v>
      </c>
      <c r="I5493" t="str">
        <v>(</v>
      </c>
      <c r="J5493">
        <f>+D5487/2/1000</f>
        <v>7.7125</v>
      </c>
      <c r="K5493" t="str">
        <v>+</v>
      </c>
      <c r="M5493" t="str">
        <v>=</v>
      </c>
      <c r="N5493">
        <f>J5493+L5493</f>
        <v>7.7125</v>
      </c>
      <c r="O5493" t="str">
        <v>+</v>
      </c>
      <c r="P5493">
        <f>MAX(D5493-D5492,D5493-D5494)</f>
        <v>-1</v>
      </c>
      <c r="Q5493" t="str">
        <v>x</v>
      </c>
      <c r="R5493">
        <f>IF(P5493&gt;0,2*(1-2*$F$19-1/2)*D5488/1000,0)</f>
        <v>0</v>
      </c>
      <c r="S5493" t="str">
        <v>)</v>
      </c>
      <c r="T5493" t="str">
        <v>x</v>
      </c>
      <c r="U5493">
        <f>0.006165*F5493^2</f>
        <v>1.57824</v>
      </c>
      <c r="X5493" t="str">
        <v>x</v>
      </c>
      <c r="Y5493">
        <f>D5491</f>
        <v>1</v>
      </c>
      <c r="Z5493" t="str">
        <v>=</v>
      </c>
      <c r="AA5493">
        <f>IF(AA5495=0,(D5493*N5493+P5493*R5493)*U5493*Y5493,0)</f>
        <v>36.51652800000001</v>
      </c>
    </row>
    <row r="5494">
      <c r="A5494" t="str">
        <f>A5485</f>
        <v>Lantai 3</v>
      </c>
      <c r="B5494">
        <f>B5485</f>
        <v>41</v>
      </c>
      <c r="C5494" t="str">
        <v>Tul Atas Tumpuan</v>
      </c>
      <c r="D5494">
        <f>VLOOKUP(D5485,'Detail Balok'!$C$10:$AU$140,10,FALSE)</f>
        <v>4</v>
      </c>
      <c r="E5494" t="str">
        <v>D</v>
      </c>
      <c r="F5494">
        <f>VLOOKUP(D5485,'Detail Balok'!$C$10:$AU$140,12,FALSE)</f>
        <v>16</v>
      </c>
      <c r="I5494" t="str">
        <v>(</v>
      </c>
      <c r="J5494">
        <f>+D5487/4/1000</f>
        <v>3.85625</v>
      </c>
      <c r="K5494" t="str">
        <v>+</v>
      </c>
      <c r="L5494">
        <f>MAX(VLOOKUP(F5494,N$6:P$15,3,FALSE)/1000,2/3*D5489/1000)+F$16*F5494/1000</f>
        <v>0.192</v>
      </c>
      <c r="M5494" t="str">
        <v>=</v>
      </c>
      <c r="N5494">
        <f>J5494+L5494</f>
        <v>4.04825</v>
      </c>
      <c r="O5494" t="str">
        <v>+</v>
      </c>
      <c r="P5494">
        <f>D5494-D5493</f>
        <v>1</v>
      </c>
      <c r="Q5494" t="str">
        <v>x</v>
      </c>
      <c r="R5494">
        <f>IF(P5494&gt;0,$F$18*F5494/1000,0)</f>
        <v>0.24</v>
      </c>
      <c r="S5494" t="str">
        <v>)</v>
      </c>
      <c r="T5494" t="str">
        <v>x</v>
      </c>
      <c r="U5494">
        <f>0.006165*F5494^2</f>
        <v>1.57824</v>
      </c>
      <c r="X5494" t="str">
        <v>x</v>
      </c>
      <c r="Y5494">
        <f>D5491</f>
        <v>1</v>
      </c>
      <c r="Z5494" t="str">
        <v>=</v>
      </c>
      <c r="AA5494">
        <f>IF(AA5495=0,(D5494*N5494+P5494*R5494)*U5494*Y5494,0)</f>
        <v>25.93521792</v>
      </c>
    </row>
    <row r="5495">
      <c r="A5495" t="str">
        <f>A5485</f>
        <v>Lantai 3</v>
      </c>
      <c r="B5495">
        <f>B5485</f>
        <v>41</v>
      </c>
      <c r="D5495">
        <f>IF(AND(D5492=D5493,D5493=D5494,D5492=D5494),D5492,0)</f>
        <v>0</v>
      </c>
      <c r="E5495" t="str">
        <v>D</v>
      </c>
      <c r="F5495">
        <f>IF(AND(F5492=F5493,F5492=F5494,F5493=F5494),F5492,0)</f>
        <v>16</v>
      </c>
      <c r="L5495" t="str">
        <v>Total panjang per balok</v>
      </c>
      <c r="M5495" t="str">
        <v>=</v>
      </c>
      <c r="N5495">
        <f>IF(AND(D5492=D5493,D5492=D5494,D5493=D5494,F5492=F5493,F5492=F5494,F5493=F5494),SUM(N5492:N5494),0)</f>
        <v>0</v>
      </c>
      <c r="O5495" t="str">
        <v>+</v>
      </c>
      <c r="P5495">
        <f>IF(N5495&gt;12,ROUNDDOWN(N5495/12,0),0)</f>
        <v>0</v>
      </c>
      <c r="Q5495" t="str">
        <v>x</v>
      </c>
      <c r="R5495">
        <f>IF(P5495&gt;0,MAX(VLOOKUP(F5495,$D$6:$G$15,3,FALSE),600),0)/1000</f>
        <v>0</v>
      </c>
      <c r="T5495" t="str">
        <v>x</v>
      </c>
      <c r="U5495">
        <f>U5494</f>
        <v>1.57824</v>
      </c>
      <c r="V5495" t="str">
        <v>x</v>
      </c>
      <c r="W5495">
        <f>D5495</f>
        <v>0</v>
      </c>
      <c r="X5495" t="str">
        <v>x</v>
      </c>
      <c r="Y5495">
        <f>Y5494</f>
        <v>1</v>
      </c>
      <c r="Z5495" t="str">
        <v>=</v>
      </c>
      <c r="AA5495">
        <f>(N5495+P5495*R5495/1000)*U5495*W5495*Y5495</f>
        <v>0</v>
      </c>
    </row>
    <row r="5497">
      <c r="A5497" t="str">
        <f>A5485</f>
        <v>Lantai 3</v>
      </c>
      <c r="B5497">
        <f>B5485</f>
        <v>41</v>
      </c>
      <c r="C5497" t="str">
        <v>Tul Peminggang</v>
      </c>
      <c r="D5497">
        <f>VLOOKUP(D5485,'Detail Balok'!$C$10:$AU$140,13,FALSE)</f>
        <v>2</v>
      </c>
      <c r="E5497" t="str">
        <v>D</v>
      </c>
      <c r="F5497">
        <f>VLOOKUP(D5485,'Detail Balok'!$C$10:$AU$140,15,FALSE)</f>
        <v>10</v>
      </c>
      <c r="J5497">
        <f>+D5487/1000</f>
        <v>15.425</v>
      </c>
      <c r="K5497" t="str">
        <v>+</v>
      </c>
      <c r="L5497">
        <f>2*$F$16*F5497/1000</f>
        <v>0.24</v>
      </c>
      <c r="M5497" t="str">
        <v>=</v>
      </c>
      <c r="N5497">
        <f>J5497+L5497</f>
        <v>15.665000000000001</v>
      </c>
      <c r="O5497" t="str">
        <v>+</v>
      </c>
      <c r="P5497">
        <f>IF(N5497&gt;12,ROUNDDOWN(N5497/12,0),0)</f>
        <v>1</v>
      </c>
      <c r="Q5497" t="str">
        <v>x</v>
      </c>
      <c r="R5497">
        <f>IF(P5497&gt;0,MAX(VLOOKUP(F5497,$D$6:$G$15,3,FALSE),600),0)/1000</f>
        <v>0.6</v>
      </c>
      <c r="T5497" t="str">
        <v>x</v>
      </c>
      <c r="U5497">
        <f>0.006165*F5497^2</f>
        <v>0.6165</v>
      </c>
      <c r="V5497" t="str">
        <v>x</v>
      </c>
      <c r="W5497">
        <f>+D5497</f>
        <v>2</v>
      </c>
      <c r="X5497" t="str">
        <v>x</v>
      </c>
      <c r="Y5497">
        <f>D5491</f>
        <v>1</v>
      </c>
      <c r="Z5497" t="str">
        <v>=</v>
      </c>
      <c r="AA5497">
        <f>(N5497+P5497*R5497/1000)*U5497*W5497*Y5497</f>
        <v>19.315684800000003</v>
      </c>
    </row>
    <row r="5500">
      <c r="A5500" t="str">
        <f>A5485</f>
        <v>Lantai 3</v>
      </c>
      <c r="B5500">
        <f>B5485</f>
        <v>41</v>
      </c>
      <c r="C5500" t="str">
        <v>Tul Bawah Tumpuan</v>
      </c>
      <c r="D5500">
        <f>VLOOKUP(D5485,'Detail Balok'!$C$10:$AU$140,22,FALSE)</f>
        <v>3</v>
      </c>
      <c r="E5500" t="str">
        <v>D</v>
      </c>
      <c r="F5500">
        <f>VLOOKUP(D5485,'Detail Balok'!$C$10:$AU$140,24,FALSE)</f>
        <v>16</v>
      </c>
      <c r="I5500" t="str">
        <v>(</v>
      </c>
      <c r="J5500">
        <f>+J5492</f>
        <v>3.85625</v>
      </c>
      <c r="K5500" t="str">
        <v>+</v>
      </c>
      <c r="L5500">
        <f>MAX(VLOOKUP(F5500,N$6:P$15,3,FALSE)/1000,2/3*D5490/1000)+F$16*F5500/1000</f>
        <v>0.192</v>
      </c>
      <c r="M5500" t="str">
        <v>=</v>
      </c>
      <c r="N5500">
        <f>J5500+L5500</f>
        <v>4.04825</v>
      </c>
      <c r="O5500" t="str">
        <v>+</v>
      </c>
      <c r="P5500">
        <f>D5500-D5501</f>
        <v>-1</v>
      </c>
      <c r="Q5500" t="str">
        <v>x</v>
      </c>
      <c r="R5500">
        <f>IF(P5500&gt;0,$F$18*F5500/1000,0)</f>
        <v>0</v>
      </c>
      <c r="S5500" t="str">
        <v>)</v>
      </c>
      <c r="T5500" t="str">
        <v>x</v>
      </c>
      <c r="U5500">
        <f>0.006165*F5500^2</f>
        <v>1.57824</v>
      </c>
      <c r="X5500" t="str">
        <v>x</v>
      </c>
      <c r="Y5500">
        <f>D5491</f>
        <v>1</v>
      </c>
      <c r="Z5500" t="str">
        <v>=</v>
      </c>
      <c r="AA5500">
        <f>IF(AA5503=0,(D5500*N5500+P5500*R5500)*U5500*Y5500,0)</f>
        <v>19.167330240000005</v>
      </c>
    </row>
    <row r="5501">
      <c r="A5501" t="str">
        <f>A5485</f>
        <v>Lantai 3</v>
      </c>
      <c r="B5501">
        <f>B5485</f>
        <v>41</v>
      </c>
      <c r="C5501" t="str">
        <v>Tul Bawah Lapangan</v>
      </c>
      <c r="D5501">
        <f>VLOOKUP(D5485,'Detail Balok'!$C$10:$AU$140,25,FALSE)</f>
        <v>4</v>
      </c>
      <c r="E5501" t="str">
        <v>D</v>
      </c>
      <c r="F5501">
        <f>VLOOKUP(D5485,'Detail Balok'!$C$10:$AU$140,27,FALSE)</f>
        <v>16</v>
      </c>
      <c r="I5501" t="str">
        <v>(</v>
      </c>
      <c r="J5501">
        <f>+J5493</f>
        <v>7.7125</v>
      </c>
      <c r="K5501" t="str">
        <v>+</v>
      </c>
      <c r="M5501" t="str">
        <v>=</v>
      </c>
      <c r="N5501">
        <f>J5501+L5501</f>
        <v>7.7125</v>
      </c>
      <c r="O5501" t="str">
        <v>+</v>
      </c>
      <c r="P5501">
        <f>MAX(D5501-D5500,D5501-D5502)</f>
        <v>1</v>
      </c>
      <c r="Q5501" t="str">
        <v>x</v>
      </c>
      <c r="R5501">
        <f>IF(P5501&gt;0,2*(1-2*$F$19-1/2)*D5488/1000,0)</f>
        <v>3.084999999999999</v>
      </c>
      <c r="S5501" t="str">
        <v>)</v>
      </c>
      <c r="T5501" t="str">
        <v>x</v>
      </c>
      <c r="U5501">
        <f>0.006165*F5501^2</f>
        <v>1.57824</v>
      </c>
      <c r="X5501" t="str">
        <v>x</v>
      </c>
      <c r="Y5501">
        <f>D5491</f>
        <v>1</v>
      </c>
      <c r="Z5501" t="str">
        <v>=</v>
      </c>
      <c r="AA5501">
        <f>IF(AA5503=0,(D5501*N5501+P5501*R5501)*U5501*Y5501,0)</f>
        <v>53.55757440000001</v>
      </c>
    </row>
    <row r="5502">
      <c r="A5502" t="str">
        <f>A5485</f>
        <v>Lantai 3</v>
      </c>
      <c r="B5502">
        <f>B5485</f>
        <v>41</v>
      </c>
      <c r="C5502" t="str">
        <v>Tul Bawah Tumpuan</v>
      </c>
      <c r="D5502">
        <f>VLOOKUP(D5485,'Detail Balok'!$C$10:$AU$140,28,FALSE)</f>
        <v>3</v>
      </c>
      <c r="E5502" t="str">
        <v>D</v>
      </c>
      <c r="F5502">
        <f>VLOOKUP(D5485,'Detail Balok'!$C$10:$AU$140,30,FALSE)</f>
        <v>16</v>
      </c>
      <c r="I5502" t="str">
        <v>(</v>
      </c>
      <c r="J5502">
        <f>+J5494</f>
        <v>3.85625</v>
      </c>
      <c r="K5502" t="str">
        <v>+</v>
      </c>
      <c r="L5502">
        <f>MAX(VLOOKUP(F5502,N$6:P$15,3,FALSE)/1000,2/3*D5490/1000)+F$16*F5502/1000</f>
        <v>0.192</v>
      </c>
      <c r="M5502" t="str">
        <v>=</v>
      </c>
      <c r="N5502">
        <f>J5502+L5502</f>
        <v>4.04825</v>
      </c>
      <c r="O5502" t="str">
        <v>+</v>
      </c>
      <c r="P5502">
        <f>D5502-D5501</f>
        <v>-1</v>
      </c>
      <c r="Q5502" t="str">
        <v>x</v>
      </c>
      <c r="R5502">
        <f>IF(P5502&gt;0,$F$18*F5502/1000,0)</f>
        <v>0</v>
      </c>
      <c r="S5502" t="str">
        <v>)</v>
      </c>
      <c r="T5502" t="str">
        <v>x</v>
      </c>
      <c r="U5502">
        <f>0.006165*F5502^2</f>
        <v>1.57824</v>
      </c>
      <c r="X5502" t="str">
        <v>x</v>
      </c>
      <c r="Y5502">
        <f>D5491</f>
        <v>1</v>
      </c>
      <c r="Z5502" t="str">
        <v>=</v>
      </c>
      <c r="AA5502">
        <f>IF(AA5503=0,(D5502*N5502+P5502*R5502)*U5502*Y5502,0)</f>
        <v>19.167330240000005</v>
      </c>
    </row>
    <row r="5503">
      <c r="A5503" t="str">
        <f>A5485</f>
        <v>Lantai 3</v>
      </c>
      <c r="B5503">
        <f>B5485</f>
        <v>41</v>
      </c>
      <c r="D5503">
        <f>IF(AND(D5500=D5501,D5501=D5502,D5500=D5502),D5500,0)</f>
        <v>0</v>
      </c>
      <c r="E5503" t="str">
        <v>D</v>
      </c>
      <c r="F5503">
        <f>IF(AND(F5500=F5501,F5500=F5502,F5501=F5502),F5500,0)</f>
        <v>16</v>
      </c>
      <c r="L5503" t="str">
        <v>Total panjang per balok</v>
      </c>
      <c r="M5503" t="str">
        <v>=</v>
      </c>
      <c r="N5503">
        <f>IF(AND(D5500=D5501,D5500=D5502,D5501=D5502,F5500=F5501,F5500=F5502,F5501=F5502),SUM(N5500:N5502),0)</f>
        <v>0</v>
      </c>
      <c r="O5503" t="str">
        <v>+</v>
      </c>
      <c r="P5503">
        <f>IF(N5503&gt;12,ROUNDDOWN(N5503/12,0),0)</f>
        <v>0</v>
      </c>
      <c r="Q5503" t="str">
        <v>x</v>
      </c>
      <c r="R5503">
        <f>IF(P5503&gt;0,MAX(VLOOKUP(F5503,$D$6:$G$15,3,FALSE),600),0)/1000</f>
        <v>0</v>
      </c>
      <c r="T5503" t="str">
        <v>x</v>
      </c>
      <c r="U5503">
        <f>U5502</f>
        <v>1.57824</v>
      </c>
      <c r="V5503" t="str">
        <v>x</v>
      </c>
      <c r="W5503">
        <f>D5503</f>
        <v>0</v>
      </c>
      <c r="X5503" t="str">
        <v>x</v>
      </c>
      <c r="Y5503">
        <f>Y5502</f>
        <v>1</v>
      </c>
      <c r="Z5503" t="str">
        <v>=</v>
      </c>
      <c r="AA5503">
        <f>(N5503+P5503*R5503/1000)*U5503*W5503*Y5503</f>
        <v>0</v>
      </c>
    </row>
    <row r="5505">
      <c r="A5505" t="str">
        <f>A5485</f>
        <v>Lantai 3</v>
      </c>
      <c r="B5505">
        <f>B5485</f>
        <v>41</v>
      </c>
      <c r="C5505" t="str">
        <v>Sengkang Tumpuan</v>
      </c>
      <c r="D5505">
        <f>VLOOKUP(D5485,'Detail Balok'!$C$10:$AU$140,31,FALSE)</f>
        <v>0</v>
      </c>
      <c r="E5505" t="str">
        <v>D</v>
      </c>
      <c r="F5505">
        <f>VLOOKUP(D5485,'Detail Balok'!$C$10:$AU$140,33,FALSE)</f>
        <v>10</v>
      </c>
      <c r="G5505" t="str">
        <v>-</v>
      </c>
      <c r="H5505">
        <f>VLOOKUP(D5485,'Detail Balok'!$C$10:$AU$140,35,FALSE)</f>
        <v>100</v>
      </c>
      <c r="J5505">
        <f>(IF(D5505=0,(2*(D5486+G5486))-(F$5*8),IF(D5505=3,(2*(D5486+G5486))-(F$5*8)+(G5486-2*F$5),IF(D5505=4,(2*(D5486+G5486))-(F$5*8)+2*(G5486-2*F$5)))))/1000</f>
        <v>1.28</v>
      </c>
      <c r="K5505" t="str">
        <v>+</v>
      </c>
      <c r="L5505">
        <f>IF(D5505=0,2*MAX(6*F5505,75),(D5505-1)*2*MAX(6*F5505,75))/1000</f>
        <v>0.15</v>
      </c>
      <c r="M5505" t="str">
        <v>=</v>
      </c>
      <c r="N5505">
        <f>J5505+L5505</f>
        <v>1.43</v>
      </c>
      <c r="T5505" t="str">
        <v>x</v>
      </c>
      <c r="U5505">
        <f>0.006165*F5505^2</f>
        <v>0.6165</v>
      </c>
      <c r="V5505" t="str">
        <v>x</v>
      </c>
      <c r="W5505">
        <f>IF(D5488&gt;4*G5486,ROUND(MAX(D5488/4,2*G5486)/H5505,0)+1,ROUND(D5488/H5505,0)+1)</f>
        <v>40</v>
      </c>
      <c r="X5505" t="str">
        <v>x</v>
      </c>
      <c r="Y5505">
        <f>D5491</f>
        <v>1</v>
      </c>
      <c r="Z5505" t="str">
        <v>=</v>
      </c>
      <c r="AA5505">
        <f>N5505*U5505*W5505*Y5505</f>
        <v>35.2638</v>
      </c>
    </row>
    <row r="5506">
      <c r="A5506" t="str">
        <f>A5485</f>
        <v>Lantai 3</v>
      </c>
      <c r="B5506">
        <f>B5485</f>
        <v>41</v>
      </c>
      <c r="C5506" t="str">
        <v>Sengkang Lapangan</v>
      </c>
      <c r="D5506">
        <f>VLOOKUP(D5485,'Detail Balok'!$C$10:$AU$140,36,FALSE)</f>
        <v>0</v>
      </c>
      <c r="E5506" t="str">
        <v>D</v>
      </c>
      <c r="F5506">
        <f>VLOOKUP(D5485,'Detail Balok'!$C$10:$AU$140,38,FALSE)</f>
        <v>10</v>
      </c>
      <c r="G5506" t="str">
        <v>-</v>
      </c>
      <c r="H5506">
        <f>VLOOKUP(D5485,'Detail Balok'!$C$10:$AU$140,40,FALSE)</f>
        <v>150</v>
      </c>
      <c r="J5506">
        <f>(IF(D5506=0,(2*(D5486+G5486))-(F$5*8),IF(D5506=3,(2*(D5486+G5486))-(F$5*8)+(G5486-2*F$5),IF(D5506=4,(2*(D5486+G5486))-(F$5*8)+2*(G5486-2*F$5)))))/1000</f>
        <v>1.28</v>
      </c>
      <c r="K5506" t="str">
        <v>+</v>
      </c>
      <c r="L5506">
        <f>IF(D5506=0,2*MAX(6*F5506,75),(D5506-1)*2*MAX(6*F5506,75))/1000</f>
        <v>0.15</v>
      </c>
      <c r="M5506" t="str">
        <v>=</v>
      </c>
      <c r="N5506">
        <f>J5506+L5506</f>
        <v>1.43</v>
      </c>
      <c r="T5506" t="str">
        <v>x</v>
      </c>
      <c r="U5506">
        <f>0.006165*F5506^2</f>
        <v>0.6165</v>
      </c>
      <c r="V5506" t="str">
        <v>x</v>
      </c>
      <c r="W5506">
        <f>IF(D5488-MAX(D5488/4,2*G5486)*2&gt;0,ROUND((D5488-MAX(D5488/4,2*G5486)*2)/H5506,0),0)</f>
        <v>51</v>
      </c>
      <c r="X5506" t="str">
        <v>x</v>
      </c>
      <c r="Y5506">
        <f>D5491</f>
        <v>1</v>
      </c>
      <c r="Z5506" t="str">
        <v>=</v>
      </c>
      <c r="AA5506">
        <f>N5506*U5506*W5506*Y5506</f>
        <v>44.961345</v>
      </c>
    </row>
    <row r="5507">
      <c r="A5507" t="str">
        <f>A5485</f>
        <v>Lantai 3</v>
      </c>
      <c r="B5507">
        <f>B5485</f>
        <v>41</v>
      </c>
      <c r="C5507" t="str">
        <v>Sengkang Tumpuan</v>
      </c>
      <c r="D5507">
        <f>VLOOKUP(D5485,'Detail Balok'!$C$10:$AU$140,41,FALSE)</f>
        <v>0</v>
      </c>
      <c r="E5507" t="str">
        <v>D</v>
      </c>
      <c r="F5507">
        <f>VLOOKUP(D5485,'Detail Balok'!$C$10:$AU$140,43,FALSE)</f>
        <v>10</v>
      </c>
      <c r="G5507" t="str">
        <v>-</v>
      </c>
      <c r="H5507">
        <f>VLOOKUP(D5485,'Detail Balok'!$C$10:$AU$140,45,FALSE)</f>
        <v>100</v>
      </c>
      <c r="J5507">
        <f>(IF(D5507=0,(2*(D5486+G5486))-(F$5*8),IF(D5507=3,(2*(D5486+G5486))-(F$5*8)+(G5486-2*F$5),IF(D5507=4,(2*(D5486+G5486))-(F$5*8)+2*(G5486-2*F$5)))))/1000</f>
        <v>1.28</v>
      </c>
      <c r="K5507" t="str">
        <v>+</v>
      </c>
      <c r="L5507">
        <f>IF(D5507=0,2*MAX(6*F5507,75),(D5507-1)*2*MAX(6*F5507,75))/1000</f>
        <v>0.15</v>
      </c>
      <c r="M5507" t="str">
        <v>=</v>
      </c>
      <c r="N5507">
        <f>J5507+L5507</f>
        <v>1.43</v>
      </c>
      <c r="T5507" t="str">
        <v>x</v>
      </c>
      <c r="U5507">
        <f>0.006165*F5507^2</f>
        <v>0.6165</v>
      </c>
      <c r="V5507" t="str">
        <v>x</v>
      </c>
      <c r="W5507">
        <f>IF(D5488&gt;4*G5486,ROUND(MAX(D5488/4,2*G5486)/H5507,0)+1,0)</f>
        <v>40</v>
      </c>
      <c r="X5507" t="str">
        <v>x</v>
      </c>
      <c r="Y5507">
        <f>D5491</f>
        <v>1</v>
      </c>
      <c r="Z5507" t="str">
        <v>=</v>
      </c>
      <c r="AA5507">
        <f>N5507*U5507*W5507*Y5507</f>
        <v>35.2638</v>
      </c>
    </row>
    <row r="5509">
      <c r="A5509" t="str">
        <f>A5485</f>
        <v>Lantai 3</v>
      </c>
      <c r="B5509">
        <f>B5485</f>
        <v>41</v>
      </c>
      <c r="C5509" t="str">
        <v>Kait Horizontal Tump.</v>
      </c>
      <c r="D5509">
        <f>VLOOKUP(D5485,'Detail Balok'!$C$10:$BJ$140,46,FALSE)</f>
        <v>0</v>
      </c>
      <c r="E5509" t="str">
        <v>D</v>
      </c>
      <c r="F5509">
        <f>VLOOKUP(D5485,'Detail Balok'!$C$10:$BJ$140,48,FALSE)</f>
        <v>0</v>
      </c>
      <c r="G5509" t="str">
        <v>-</v>
      </c>
      <c r="H5509">
        <f>VLOOKUP(D5485,'Detail Balok'!$C$10:$BJ$140,50,FALSE)</f>
        <v>100</v>
      </c>
      <c r="J5509">
        <f>(D5486-2*F$5)/1000</f>
        <v>0.12</v>
      </c>
      <c r="K5509" t="str">
        <v>+</v>
      </c>
      <c r="L5509">
        <f>IF(D5509=0,2*MAX(6*F5509,75),(D5509-1)*2*MAX(6*F5509,75))/1000</f>
        <v>0.15</v>
      </c>
      <c r="M5509" t="str">
        <v>=</v>
      </c>
      <c r="N5509">
        <f>J5509+L5509</f>
        <v>0.27</v>
      </c>
      <c r="T5509" t="str">
        <v>x</v>
      </c>
      <c r="U5509">
        <f>0.006165*F5509^2</f>
        <v>0</v>
      </c>
      <c r="V5509" t="str">
        <v>x</v>
      </c>
      <c r="W5509">
        <f>W5505</f>
        <v>40</v>
      </c>
      <c r="X5509" t="str">
        <v>x</v>
      </c>
      <c r="Y5509">
        <f>D5495</f>
        <v>0</v>
      </c>
      <c r="Z5509" t="str">
        <v>=</v>
      </c>
      <c r="AA5509">
        <f>N5509*U5509*W5509*Y5509</f>
        <v>0</v>
      </c>
    </row>
    <row r="5510">
      <c r="A5510" t="str">
        <f>A5485</f>
        <v>Lantai 3</v>
      </c>
      <c r="B5510">
        <f>B5485</f>
        <v>41</v>
      </c>
      <c r="C5510" t="str">
        <v>Kait Horizontal Lap.</v>
      </c>
      <c r="D5510">
        <f>VLOOKUP(D5485,'Detail Balok'!$C$10:$BJ$140,51,FALSE)</f>
        <v>0</v>
      </c>
      <c r="E5510" t="str">
        <v>D</v>
      </c>
      <c r="F5510">
        <f>VLOOKUP(D5485,'Detail Balok'!$C$10:$BJ$140,53,FALSE)</f>
        <v>0</v>
      </c>
      <c r="G5510" t="str">
        <v>-</v>
      </c>
      <c r="H5510">
        <f>VLOOKUP(D5485,'Detail Balok'!$C$10:$BJ$140,55,FALSE)</f>
        <v>100</v>
      </c>
      <c r="J5510">
        <f>(D5486-2*F$5)/1000</f>
        <v>0.12</v>
      </c>
      <c r="K5510" t="str">
        <v>+</v>
      </c>
      <c r="L5510">
        <f>IF(D5510=0,2*MAX(6*F5510,75),(D5510-1)*2*MAX(6*F5510,75))/1000</f>
        <v>0.15</v>
      </c>
      <c r="M5510" t="str">
        <v>=</v>
      </c>
      <c r="N5510">
        <f>J5510+L5510</f>
        <v>0.27</v>
      </c>
      <c r="T5510" t="str">
        <v>x</v>
      </c>
      <c r="U5510">
        <f>0.006165*F5510^2</f>
        <v>0</v>
      </c>
      <c r="V5510" t="str">
        <v>x</v>
      </c>
      <c r="W5510">
        <f>W5506</f>
        <v>51</v>
      </c>
      <c r="X5510" t="str">
        <v>x</v>
      </c>
      <c r="Y5510">
        <f>D5495</f>
        <v>0</v>
      </c>
      <c r="Z5510" t="str">
        <v>=</v>
      </c>
      <c r="AA5510">
        <f>N5510*U5510*W5510*Y5510</f>
        <v>0</v>
      </c>
    </row>
    <row r="5511">
      <c r="A5511" t="str">
        <f>A5485</f>
        <v>Lantai 3</v>
      </c>
      <c r="B5511">
        <f>B5485</f>
        <v>41</v>
      </c>
      <c r="C5511" t="str">
        <v>Kait Horizontal Tump.</v>
      </c>
      <c r="D5511">
        <f>VLOOKUP(D5485,'Detail Balok'!$C$10:$BJ$140,56,FALSE)</f>
        <v>0</v>
      </c>
      <c r="E5511" t="str">
        <v>D</v>
      </c>
      <c r="F5511">
        <f>VLOOKUP(D5485,'Detail Balok'!$C$10:$BJ$140,58,FALSE)</f>
        <v>0</v>
      </c>
      <c r="G5511" t="str">
        <v>-</v>
      </c>
      <c r="H5511">
        <f>VLOOKUP(D5485,'Detail Balok'!$C$10:$BJ$140,60,FALSE)</f>
        <v>100</v>
      </c>
      <c r="J5511">
        <f>(D5486-2*F$5)/1000</f>
        <v>0.12</v>
      </c>
      <c r="K5511" t="str">
        <v>+</v>
      </c>
      <c r="L5511">
        <f>IF(D5511=0,2*MAX(6*F5511,75),(D5511-1)*2*MAX(6*F5511,75))/1000</f>
        <v>0.15</v>
      </c>
      <c r="M5511" t="str">
        <v>=</v>
      </c>
      <c r="N5511">
        <f>J5511+L5511</f>
        <v>0.27</v>
      </c>
      <c r="T5511" t="str">
        <v>x</v>
      </c>
      <c r="U5511">
        <f>0.006165*F5511^2</f>
        <v>0</v>
      </c>
      <c r="V5511" t="str">
        <v>x</v>
      </c>
      <c r="W5511">
        <f>W5507</f>
        <v>40</v>
      </c>
      <c r="X5511" t="str">
        <v>x</v>
      </c>
      <c r="Y5511">
        <f>D5495</f>
        <v>0</v>
      </c>
      <c r="Z5511" t="str">
        <v>=</v>
      </c>
      <c r="AA5511">
        <f>N5511*U5511*W5511*Y5511</f>
        <v>0</v>
      </c>
    </row>
    <row r="5515">
      <c r="A5515" t="str">
        <f>A5485</f>
        <v>Lantai 3</v>
      </c>
      <c r="B5515">
        <f>B5485+1</f>
        <v>42</v>
      </c>
      <c r="C5515" t="str">
        <f>CONCATENATE(A5515," no. ",B5515)</f>
        <v>Lantai 3 no. 42</v>
      </c>
      <c r="D5515" t="str">
        <f>VLOOKUP(C5515,'Data Panjang Balok'!$C$9:$N$254,2,FALSE)</f>
        <v>B24-2</v>
      </c>
    </row>
    <row r="5516">
      <c r="C5516" t="str">
        <v>Dimensi</v>
      </c>
      <c r="D5516">
        <f>VLOOKUP(D5515,'Detail Balok'!$C$10:$AU$140,2,FALSE)</f>
        <v>200</v>
      </c>
      <c r="F5516" t="str">
        <v>x</v>
      </c>
      <c r="G5516">
        <f>VLOOKUP(D5515,'Detail Balok'!$C$10:$AU$140,3,FALSE)</f>
        <v>400</v>
      </c>
    </row>
    <row r="5517">
      <c r="C5517" t="str">
        <v>Panjang as ke as</v>
      </c>
      <c r="D5517">
        <f>VLOOKUP(C5515,'Data Panjang Balok'!$C$9:$N$254,4,FALSE)</f>
        <v>3125</v>
      </c>
    </row>
    <row r="5518">
      <c r="C5518" t="str">
        <v>Panjang netto</v>
      </c>
      <c r="D5518">
        <f>VLOOKUP(C5515,'Data Panjang Balok'!$C$9:$N$254,7,FALSE)</f>
        <v>3125</v>
      </c>
    </row>
    <row r="5519">
      <c r="C5519" t="str">
        <v>Kolom / balok kiri</v>
      </c>
      <c r="D5519">
        <f>VLOOKUP(C5515,'Data Panjang Balok'!$C$9:$N$254,9,FALSE)</f>
        <v>0</v>
      </c>
    </row>
    <row r="5520">
      <c r="C5520" t="str">
        <v>Kolom / balok kanan</v>
      </c>
      <c r="D5520">
        <f>VLOOKUP(C5515,'Data Panjang Balok'!$C$9:$N$254,10,FALSE)</f>
        <v>0</v>
      </c>
    </row>
    <row r="5521">
      <c r="C5521" t="str">
        <v>Jumlah</v>
      </c>
      <c r="D5521">
        <f>VLOOKUP(C5515,'Data Panjang Balok'!$C$9:$N$254,3,FALSE)</f>
        <v>1</v>
      </c>
    </row>
    <row r="5522">
      <c r="A5522" t="str">
        <f>A5515</f>
        <v>Lantai 3</v>
      </c>
      <c r="B5522">
        <f>B5515</f>
        <v>42</v>
      </c>
      <c r="C5522" t="str">
        <v>Tul Atas Tumpuan</v>
      </c>
      <c r="D5522">
        <f>VLOOKUP(D5515,'Detail Balok'!$C$10:$AU$140,4,FALSE)</f>
        <v>3</v>
      </c>
      <c r="E5522" t="str">
        <v>D</v>
      </c>
      <c r="F5522">
        <f>VLOOKUP(D5515,'Detail Balok'!$C$10:$AU$140,6,FALSE)</f>
        <v>16</v>
      </c>
      <c r="I5522" t="str">
        <v>(</v>
      </c>
      <c r="J5522">
        <f>+D5517/4/1000</f>
        <v>0.78125</v>
      </c>
      <c r="K5522" t="str">
        <v>+</v>
      </c>
      <c r="L5522">
        <f>MAX(VLOOKUP(F5522,N$6:P$15,3,FALSE)/1000,2/3*D5519/1000)+F$16*F5522/1000</f>
        <v>0.192</v>
      </c>
      <c r="M5522" t="str">
        <v>=</v>
      </c>
      <c r="N5522">
        <f>J5522+L5522</f>
        <v>0.97325</v>
      </c>
      <c r="O5522" t="str">
        <v>+</v>
      </c>
      <c r="P5522">
        <f>D5522-D5523</f>
        <v>0</v>
      </c>
      <c r="Q5522" t="str">
        <v>x</v>
      </c>
      <c r="R5522">
        <f>IF(P5522&gt;0,$F$18*F5522/1000,0)</f>
        <v>0</v>
      </c>
      <c r="S5522" t="str">
        <v>)</v>
      </c>
      <c r="T5522" t="str">
        <v>x</v>
      </c>
      <c r="U5522">
        <f>0.006165*F5522^2</f>
        <v>1.57824</v>
      </c>
      <c r="X5522" t="str">
        <v>x</v>
      </c>
      <c r="Y5522">
        <f>D5521</f>
        <v>1</v>
      </c>
      <c r="Z5522" t="str">
        <v>=</v>
      </c>
      <c r="AA5522">
        <f>IF(AA5525=0,(D5522*N5522+P5522*R5522)*U5522*Y5522,0)</f>
        <v>0</v>
      </c>
    </row>
    <row r="5523">
      <c r="A5523" t="str">
        <f>A5515</f>
        <v>Lantai 3</v>
      </c>
      <c r="B5523">
        <f>B5515</f>
        <v>42</v>
      </c>
      <c r="C5523" t="str">
        <v>Tul Atas Lapangan</v>
      </c>
      <c r="D5523">
        <f>VLOOKUP(D5515,'Detail Balok'!$C$10:$AU$140,7,FALSE)</f>
        <v>3</v>
      </c>
      <c r="E5523" t="str">
        <v>D</v>
      </c>
      <c r="F5523">
        <f>VLOOKUP(D5515,'Detail Balok'!$C$10:$AU$140,9,FALSE)</f>
        <v>16</v>
      </c>
      <c r="I5523" t="str">
        <v>(</v>
      </c>
      <c r="J5523">
        <f>+D5517/2/1000</f>
        <v>1.5625</v>
      </c>
      <c r="K5523" t="str">
        <v>+</v>
      </c>
      <c r="M5523" t="str">
        <v>=</v>
      </c>
      <c r="N5523">
        <f>J5523+L5523</f>
        <v>1.5625</v>
      </c>
      <c r="O5523" t="str">
        <v>+</v>
      </c>
      <c r="P5523">
        <f>MAX(D5523-D5522,D5523-D5524)</f>
        <v>0</v>
      </c>
      <c r="Q5523" t="str">
        <v>x</v>
      </c>
      <c r="R5523">
        <f>IF(P5523&gt;0,2*(1-2*$F$19-1/2)*D5518/1000,0)</f>
        <v>0</v>
      </c>
      <c r="S5523" t="str">
        <v>)</v>
      </c>
      <c r="T5523" t="str">
        <v>x</v>
      </c>
      <c r="U5523">
        <f>0.006165*F5523^2</f>
        <v>1.57824</v>
      </c>
      <c r="X5523" t="str">
        <v>x</v>
      </c>
      <c r="Y5523">
        <f>D5521</f>
        <v>1</v>
      </c>
      <c r="Z5523" t="str">
        <v>=</v>
      </c>
      <c r="AA5523">
        <f>IF(AA5525=0,(D5523*N5523+P5523*R5523)*U5523*Y5523,0)</f>
        <v>0</v>
      </c>
    </row>
    <row r="5524">
      <c r="A5524" t="str">
        <f>A5515</f>
        <v>Lantai 3</v>
      </c>
      <c r="B5524">
        <f>B5515</f>
        <v>42</v>
      </c>
      <c r="C5524" t="str">
        <v>Tul Atas Tumpuan</v>
      </c>
      <c r="D5524">
        <f>VLOOKUP(D5515,'Detail Balok'!$C$10:$AU$140,10,FALSE)</f>
        <v>3</v>
      </c>
      <c r="E5524" t="str">
        <v>D</v>
      </c>
      <c r="F5524">
        <f>VLOOKUP(D5515,'Detail Balok'!$C$10:$AU$140,12,FALSE)</f>
        <v>16</v>
      </c>
      <c r="I5524" t="str">
        <v>(</v>
      </c>
      <c r="J5524">
        <f>+D5517/4/1000</f>
        <v>0.78125</v>
      </c>
      <c r="K5524" t="str">
        <v>+</v>
      </c>
      <c r="L5524">
        <f>MAX(VLOOKUP(F5524,N$6:P$15,3,FALSE)/1000,2/3*D5519/1000)+F$16*F5524/1000</f>
        <v>0.192</v>
      </c>
      <c r="M5524" t="str">
        <v>=</v>
      </c>
      <c r="N5524">
        <f>J5524+L5524</f>
        <v>0.97325</v>
      </c>
      <c r="O5524" t="str">
        <v>+</v>
      </c>
      <c r="P5524">
        <f>D5524-D5523</f>
        <v>0</v>
      </c>
      <c r="Q5524" t="str">
        <v>x</v>
      </c>
      <c r="R5524">
        <f>IF(P5524&gt;0,$F$18*F5524/1000,0)</f>
        <v>0</v>
      </c>
      <c r="S5524" t="str">
        <v>)</v>
      </c>
      <c r="T5524" t="str">
        <v>x</v>
      </c>
      <c r="U5524">
        <f>0.006165*F5524^2</f>
        <v>1.57824</v>
      </c>
      <c r="X5524" t="str">
        <v>x</v>
      </c>
      <c r="Y5524">
        <f>D5521</f>
        <v>1</v>
      </c>
      <c r="Z5524" t="str">
        <v>=</v>
      </c>
      <c r="AA5524">
        <f>IF(AA5525=0,(D5524*N5524+P5524*R5524)*U5524*Y5524,0)</f>
        <v>0</v>
      </c>
    </row>
    <row r="5525">
      <c r="A5525" t="str">
        <f>A5515</f>
        <v>Lantai 3</v>
      </c>
      <c r="B5525">
        <f>B5515</f>
        <v>42</v>
      </c>
      <c r="D5525">
        <f>IF(AND(D5522=D5523,D5523=D5524,D5522=D5524),D5522,0)</f>
        <v>3</v>
      </c>
      <c r="E5525" t="str">
        <v>D</v>
      </c>
      <c r="F5525">
        <f>IF(AND(F5522=F5523,F5522=F5524,F5523=F5524),F5522,0)</f>
        <v>16</v>
      </c>
      <c r="L5525" t="str">
        <v>Total panjang per balok</v>
      </c>
      <c r="M5525" t="str">
        <v>=</v>
      </c>
      <c r="N5525">
        <f>IF(AND(D5522=D5523,D5522=D5524,D5523=D5524,F5522=F5523,F5522=F5524,F5523=F5524),SUM(N5522:N5524),0)</f>
        <v>3.5090000000000003</v>
      </c>
      <c r="O5525" t="str">
        <v>+</v>
      </c>
      <c r="P5525">
        <f>IF(N5525&gt;12,ROUNDDOWN(N5525/12,0),0)</f>
        <v>0</v>
      </c>
      <c r="Q5525" t="str">
        <v>x</v>
      </c>
      <c r="R5525">
        <f>IF(P5525&gt;0,MAX(VLOOKUP(F5525,$D$6:$G$15,3,FALSE),600),0)/1000</f>
        <v>0</v>
      </c>
      <c r="T5525" t="str">
        <v>x</v>
      </c>
      <c r="U5525">
        <f>U5524</f>
        <v>1.57824</v>
      </c>
      <c r="V5525" t="str">
        <v>x</v>
      </c>
      <c r="W5525">
        <f>D5525</f>
        <v>3</v>
      </c>
      <c r="X5525" t="str">
        <v>x</v>
      </c>
      <c r="Y5525">
        <f>Y5524</f>
        <v>1</v>
      </c>
      <c r="Z5525" t="str">
        <v>=</v>
      </c>
      <c r="AA5525">
        <f>(N5525+P5525*R5525/1000)*U5525*W5525*Y5525</f>
        <v>16.614132480000002</v>
      </c>
    </row>
    <row r="5527">
      <c r="A5527" t="str">
        <f>A5515</f>
        <v>Lantai 3</v>
      </c>
      <c r="B5527">
        <f>B5515</f>
        <v>42</v>
      </c>
      <c r="C5527" t="str">
        <v>Tul Peminggang</v>
      </c>
      <c r="D5527">
        <f>VLOOKUP(D5515,'Detail Balok'!$C$10:$AU$140,13,FALSE)</f>
        <v>0</v>
      </c>
      <c r="E5527" t="str">
        <v>D</v>
      </c>
      <c r="F5527">
        <f>VLOOKUP(D5515,'Detail Balok'!$C$10:$AU$140,15,FALSE)</f>
        <v>8</v>
      </c>
      <c r="J5527">
        <f>+D5517/1000</f>
        <v>3.125</v>
      </c>
      <c r="K5527" t="str">
        <v>+</v>
      </c>
      <c r="L5527">
        <f>2*$F$16*F5527/1000</f>
        <v>0.192</v>
      </c>
      <c r="M5527" t="str">
        <v>=</v>
      </c>
      <c r="N5527">
        <f>J5527+L5527</f>
        <v>3.317</v>
      </c>
      <c r="O5527" t="str">
        <v>+</v>
      </c>
      <c r="P5527">
        <f>IF(N5527&gt;12,ROUNDDOWN(N5527/12,0),0)</f>
        <v>0</v>
      </c>
      <c r="Q5527" t="str">
        <v>x</v>
      </c>
      <c r="R5527">
        <f>IF(P5527&gt;0,MAX(VLOOKUP(F5527,$D$6:$G$15,3,FALSE),600),0)/1000</f>
        <v>0</v>
      </c>
      <c r="T5527" t="str">
        <v>x</v>
      </c>
      <c r="U5527">
        <f>0.006165*F5527^2</f>
        <v>0.39456</v>
      </c>
      <c r="V5527" t="str">
        <v>x</v>
      </c>
      <c r="W5527">
        <f>+D5527</f>
        <v>0</v>
      </c>
      <c r="X5527" t="str">
        <v>x</v>
      </c>
      <c r="Y5527">
        <f>D5521</f>
        <v>1</v>
      </c>
      <c r="Z5527" t="str">
        <v>=</v>
      </c>
      <c r="AA5527">
        <f>(N5527+P5527*R5527/1000)*U5527*W5527*Y5527</f>
        <v>0</v>
      </c>
    </row>
    <row r="5530">
      <c r="A5530" t="str">
        <f>A5515</f>
        <v>Lantai 3</v>
      </c>
      <c r="B5530">
        <f>B5515</f>
        <v>42</v>
      </c>
      <c r="C5530" t="str">
        <v>Tul Bawah Tumpuan</v>
      </c>
      <c r="D5530">
        <f>VLOOKUP(D5515,'Detail Balok'!$C$10:$AU$140,22,FALSE)</f>
        <v>3</v>
      </c>
      <c r="E5530" t="str">
        <v>D</v>
      </c>
      <c r="F5530">
        <f>VLOOKUP(D5515,'Detail Balok'!$C$10:$AU$140,24,FALSE)</f>
        <v>16</v>
      </c>
      <c r="I5530" t="str">
        <v>(</v>
      </c>
      <c r="J5530">
        <f>+J5522</f>
        <v>0.78125</v>
      </c>
      <c r="K5530" t="str">
        <v>+</v>
      </c>
      <c r="L5530">
        <f>MAX(VLOOKUP(F5530,N$6:P$15,3,FALSE)/1000,2/3*D5520/1000)+F$16*F5530/1000</f>
        <v>0.192</v>
      </c>
      <c r="M5530" t="str">
        <v>=</v>
      </c>
      <c r="N5530">
        <f>J5530+L5530</f>
        <v>0.97325</v>
      </c>
      <c r="O5530" t="str">
        <v>+</v>
      </c>
      <c r="P5530">
        <f>D5530-D5531</f>
        <v>0</v>
      </c>
      <c r="Q5530" t="str">
        <v>x</v>
      </c>
      <c r="R5530">
        <f>IF(P5530&gt;0,$F$18*F5530/1000,0)</f>
        <v>0</v>
      </c>
      <c r="S5530" t="str">
        <v>)</v>
      </c>
      <c r="T5530" t="str">
        <v>x</v>
      </c>
      <c r="U5530">
        <f>0.006165*F5530^2</f>
        <v>1.57824</v>
      </c>
      <c r="X5530" t="str">
        <v>x</v>
      </c>
      <c r="Y5530">
        <f>D5521</f>
        <v>1</v>
      </c>
      <c r="Z5530" t="str">
        <v>=</v>
      </c>
      <c r="AA5530">
        <f>IF(AA5533=0,(D5530*N5530+P5530*R5530)*U5530*Y5530,0)</f>
        <v>0</v>
      </c>
    </row>
    <row r="5531">
      <c r="A5531" t="str">
        <f>A5515</f>
        <v>Lantai 3</v>
      </c>
      <c r="B5531">
        <f>B5515</f>
        <v>42</v>
      </c>
      <c r="C5531" t="str">
        <v>Tul Bawah Lapangan</v>
      </c>
      <c r="D5531">
        <f>VLOOKUP(D5515,'Detail Balok'!$C$10:$AU$140,25,FALSE)</f>
        <v>3</v>
      </c>
      <c r="E5531" t="str">
        <v>D</v>
      </c>
      <c r="F5531">
        <f>VLOOKUP(D5515,'Detail Balok'!$C$10:$AU$140,27,FALSE)</f>
        <v>16</v>
      </c>
      <c r="I5531" t="str">
        <v>(</v>
      </c>
      <c r="J5531">
        <f>+J5523</f>
        <v>1.5625</v>
      </c>
      <c r="K5531" t="str">
        <v>+</v>
      </c>
      <c r="M5531" t="str">
        <v>=</v>
      </c>
      <c r="N5531">
        <f>J5531+L5531</f>
        <v>1.5625</v>
      </c>
      <c r="O5531" t="str">
        <v>+</v>
      </c>
      <c r="P5531">
        <f>MAX(D5531-D5530,D5531-D5532)</f>
        <v>0</v>
      </c>
      <c r="Q5531" t="str">
        <v>x</v>
      </c>
      <c r="R5531">
        <f>IF(P5531&gt;0,2*(1-2*$F$19-1/2)*D5518/1000,0)</f>
        <v>0</v>
      </c>
      <c r="S5531" t="str">
        <v>)</v>
      </c>
      <c r="T5531" t="str">
        <v>x</v>
      </c>
      <c r="U5531">
        <f>0.006165*F5531^2</f>
        <v>1.57824</v>
      </c>
      <c r="X5531" t="str">
        <v>x</v>
      </c>
      <c r="Y5531">
        <f>D5521</f>
        <v>1</v>
      </c>
      <c r="Z5531" t="str">
        <v>=</v>
      </c>
      <c r="AA5531">
        <f>IF(AA5533=0,(D5531*N5531+P5531*R5531)*U5531*Y5531,0)</f>
        <v>0</v>
      </c>
    </row>
    <row r="5532">
      <c r="A5532" t="str">
        <f>A5515</f>
        <v>Lantai 3</v>
      </c>
      <c r="B5532">
        <f>B5515</f>
        <v>42</v>
      </c>
      <c r="C5532" t="str">
        <v>Tul Bawah Tumpuan</v>
      </c>
      <c r="D5532">
        <f>VLOOKUP(D5515,'Detail Balok'!$C$10:$AU$140,28,FALSE)</f>
        <v>3</v>
      </c>
      <c r="E5532" t="str">
        <v>D</v>
      </c>
      <c r="F5532">
        <f>VLOOKUP(D5515,'Detail Balok'!$C$10:$AU$140,30,FALSE)</f>
        <v>16</v>
      </c>
      <c r="I5532" t="str">
        <v>(</v>
      </c>
      <c r="J5532">
        <f>+J5524</f>
        <v>0.78125</v>
      </c>
      <c r="K5532" t="str">
        <v>+</v>
      </c>
      <c r="L5532">
        <f>MAX(VLOOKUP(F5532,N$6:P$15,3,FALSE)/1000,2/3*D5520/1000)+F$16*F5532/1000</f>
        <v>0.192</v>
      </c>
      <c r="M5532" t="str">
        <v>=</v>
      </c>
      <c r="N5532">
        <f>J5532+L5532</f>
        <v>0.97325</v>
      </c>
      <c r="O5532" t="str">
        <v>+</v>
      </c>
      <c r="P5532">
        <f>D5532-D5531</f>
        <v>0</v>
      </c>
      <c r="Q5532" t="str">
        <v>x</v>
      </c>
      <c r="R5532">
        <f>IF(P5532&gt;0,$F$18*F5532/1000,0)</f>
        <v>0</v>
      </c>
      <c r="S5532" t="str">
        <v>)</v>
      </c>
      <c r="T5532" t="str">
        <v>x</v>
      </c>
      <c r="U5532">
        <f>0.006165*F5532^2</f>
        <v>1.57824</v>
      </c>
      <c r="X5532" t="str">
        <v>x</v>
      </c>
      <c r="Y5532">
        <f>D5521</f>
        <v>1</v>
      </c>
      <c r="Z5532" t="str">
        <v>=</v>
      </c>
      <c r="AA5532">
        <f>IF(AA5533=0,(D5532*N5532+P5532*R5532)*U5532*Y5532,0)</f>
        <v>0</v>
      </c>
    </row>
    <row r="5533">
      <c r="A5533" t="str">
        <f>A5515</f>
        <v>Lantai 3</v>
      </c>
      <c r="B5533">
        <f>B5515</f>
        <v>42</v>
      </c>
      <c r="D5533">
        <f>IF(AND(D5530=D5531,D5531=D5532,D5530=D5532),D5530,0)</f>
        <v>3</v>
      </c>
      <c r="E5533" t="str">
        <v>D</v>
      </c>
      <c r="F5533">
        <f>IF(AND(F5530=F5531,F5530=F5532,F5531=F5532),F5530,0)</f>
        <v>16</v>
      </c>
      <c r="L5533" t="str">
        <v>Total panjang per balok</v>
      </c>
      <c r="M5533" t="str">
        <v>=</v>
      </c>
      <c r="N5533">
        <f>IF(AND(D5530=D5531,D5530=D5532,D5531=D5532,F5530=F5531,F5530=F5532,F5531=F5532),SUM(N5530:N5532),0)</f>
        <v>3.5090000000000003</v>
      </c>
      <c r="O5533" t="str">
        <v>+</v>
      </c>
      <c r="P5533">
        <f>IF(N5533&gt;12,ROUNDDOWN(N5533/12,0),0)</f>
        <v>0</v>
      </c>
      <c r="Q5533" t="str">
        <v>x</v>
      </c>
      <c r="R5533">
        <f>IF(P5533&gt;0,MAX(VLOOKUP(F5533,$D$6:$G$15,3,FALSE),600),0)/1000</f>
        <v>0</v>
      </c>
      <c r="T5533" t="str">
        <v>x</v>
      </c>
      <c r="U5533">
        <f>U5532</f>
        <v>1.57824</v>
      </c>
      <c r="V5533" t="str">
        <v>x</v>
      </c>
      <c r="W5533">
        <f>D5533</f>
        <v>3</v>
      </c>
      <c r="X5533" t="str">
        <v>x</v>
      </c>
      <c r="Y5533">
        <f>Y5532</f>
        <v>1</v>
      </c>
      <c r="Z5533" t="str">
        <v>=</v>
      </c>
      <c r="AA5533">
        <f>(N5533+P5533*R5533/1000)*U5533*W5533*Y5533</f>
        <v>16.614132480000002</v>
      </c>
    </row>
    <row r="5535">
      <c r="A5535" t="str">
        <f>A5515</f>
        <v>Lantai 3</v>
      </c>
      <c r="B5535">
        <f>B5515</f>
        <v>42</v>
      </c>
      <c r="C5535" t="str">
        <v>Sengkang Tumpuan</v>
      </c>
      <c r="D5535">
        <f>VLOOKUP(D5515,'Detail Balok'!$C$10:$AU$140,31,FALSE)</f>
        <v>0</v>
      </c>
      <c r="E5535" t="str">
        <v>D</v>
      </c>
      <c r="F5535">
        <f>VLOOKUP(D5515,'Detail Balok'!$C$10:$AU$140,33,FALSE)</f>
        <v>10</v>
      </c>
      <c r="G5535" t="str">
        <v>-</v>
      </c>
      <c r="H5535">
        <f>VLOOKUP(D5515,'Detail Balok'!$C$10:$AU$140,35,FALSE)</f>
        <v>100</v>
      </c>
      <c r="J5535">
        <f>(IF(D5535=0,(2*(D5516+G5516))-(F$5*8),IF(D5535=3,(2*(D5516+G5516))-(F$5*8)+(G5516-2*F$5),IF(D5535=4,(2*(D5516+G5516))-(F$5*8)+2*(G5516-2*F$5)))))/1000</f>
        <v>0.88</v>
      </c>
      <c r="K5535" t="str">
        <v>+</v>
      </c>
      <c r="L5535">
        <f>IF(D5535=0,2*MAX(6*F5535,75),(D5535-1)*2*MAX(6*F5535,75))/1000</f>
        <v>0.15</v>
      </c>
      <c r="M5535" t="str">
        <v>=</v>
      </c>
      <c r="N5535">
        <f>J5535+L5535</f>
        <v>1.03</v>
      </c>
      <c r="T5535" t="str">
        <v>x</v>
      </c>
      <c r="U5535">
        <f>0.006165*F5535^2</f>
        <v>0.6165</v>
      </c>
      <c r="V5535" t="str">
        <v>x</v>
      </c>
      <c r="W5535">
        <f>IF(D5518&gt;4*G5516,ROUND(MAX(D5518/4,2*G5516)/H5535,0)+1,ROUND(D5518/H5535,0)+1)</f>
        <v>9</v>
      </c>
      <c r="X5535" t="str">
        <v>x</v>
      </c>
      <c r="Y5535">
        <f>D5521</f>
        <v>1</v>
      </c>
      <c r="Z5535" t="str">
        <v>=</v>
      </c>
      <c r="AA5535">
        <f>N5535*U5535*W5535*Y5535</f>
        <v>5.714955000000001</v>
      </c>
    </row>
    <row r="5536">
      <c r="A5536" t="str">
        <f>A5515</f>
        <v>Lantai 3</v>
      </c>
      <c r="B5536">
        <f>B5515</f>
        <v>42</v>
      </c>
      <c r="C5536" t="str">
        <v>Sengkang Lapangan</v>
      </c>
      <c r="D5536">
        <f>VLOOKUP(D5515,'Detail Balok'!$C$10:$AU$140,36,FALSE)</f>
        <v>0</v>
      </c>
      <c r="E5536" t="str">
        <v>D</v>
      </c>
      <c r="F5536">
        <f>VLOOKUP(D5515,'Detail Balok'!$C$10:$AU$140,38,FALSE)</f>
        <v>10</v>
      </c>
      <c r="G5536" t="str">
        <v>-</v>
      </c>
      <c r="H5536">
        <f>VLOOKUP(D5515,'Detail Balok'!$C$10:$AU$140,40,FALSE)</f>
        <v>200</v>
      </c>
      <c r="J5536">
        <f>(IF(D5536=0,(2*(D5516+G5516))-(F$5*8),IF(D5536=3,(2*(D5516+G5516))-(F$5*8)+(G5516-2*F$5),IF(D5536=4,(2*(D5516+G5516))-(F$5*8)+2*(G5516-2*F$5)))))/1000</f>
        <v>0.88</v>
      </c>
      <c r="K5536" t="str">
        <v>+</v>
      </c>
      <c r="L5536">
        <f>IF(D5536=0,2*MAX(6*F5536,75),(D5536-1)*2*MAX(6*F5536,75))/1000</f>
        <v>0.15</v>
      </c>
      <c r="M5536" t="str">
        <v>=</v>
      </c>
      <c r="N5536">
        <f>J5536+L5536</f>
        <v>1.03</v>
      </c>
      <c r="T5536" t="str">
        <v>x</v>
      </c>
      <c r="U5536">
        <f>0.006165*F5536^2</f>
        <v>0.6165</v>
      </c>
      <c r="V5536" t="str">
        <v>x</v>
      </c>
      <c r="W5536">
        <f>IF(D5518-MAX(D5518/4,2*G5516)*2&gt;0,ROUND((D5518-MAX(D5518/4,2*G5516)*2)/H5536,0),0)</f>
        <v>8</v>
      </c>
      <c r="X5536" t="str">
        <v>x</v>
      </c>
      <c r="Y5536">
        <f>D5521</f>
        <v>1</v>
      </c>
      <c r="Z5536" t="str">
        <v>=</v>
      </c>
      <c r="AA5536">
        <f>N5536*U5536*W5536*Y5536</f>
        <v>5.079960000000001</v>
      </c>
    </row>
    <row r="5537">
      <c r="A5537" t="str">
        <f>A5515</f>
        <v>Lantai 3</v>
      </c>
      <c r="B5537">
        <f>B5515</f>
        <v>42</v>
      </c>
      <c r="C5537" t="str">
        <v>Sengkang Tumpuan</v>
      </c>
      <c r="D5537">
        <f>VLOOKUP(D5515,'Detail Balok'!$C$10:$AU$140,41,FALSE)</f>
        <v>0</v>
      </c>
      <c r="E5537" t="str">
        <v>D</v>
      </c>
      <c r="F5537">
        <f>VLOOKUP(D5515,'Detail Balok'!$C$10:$AU$140,43,FALSE)</f>
        <v>10</v>
      </c>
      <c r="G5537" t="str">
        <v>-</v>
      </c>
      <c r="H5537">
        <f>VLOOKUP(D5515,'Detail Balok'!$C$10:$AU$140,45,FALSE)</f>
        <v>100</v>
      </c>
      <c r="J5537">
        <f>(IF(D5537=0,(2*(D5516+G5516))-(F$5*8),IF(D5537=3,(2*(D5516+G5516))-(F$5*8)+(G5516-2*F$5),IF(D5537=4,(2*(D5516+G5516))-(F$5*8)+2*(G5516-2*F$5)))))/1000</f>
        <v>0.88</v>
      </c>
      <c r="K5537" t="str">
        <v>+</v>
      </c>
      <c r="L5537">
        <f>IF(D5537=0,2*MAX(6*F5537,75),(D5537-1)*2*MAX(6*F5537,75))/1000</f>
        <v>0.15</v>
      </c>
      <c r="M5537" t="str">
        <v>=</v>
      </c>
      <c r="N5537">
        <f>J5537+L5537</f>
        <v>1.03</v>
      </c>
      <c r="T5537" t="str">
        <v>x</v>
      </c>
      <c r="U5537">
        <f>0.006165*F5537^2</f>
        <v>0.6165</v>
      </c>
      <c r="V5537" t="str">
        <v>x</v>
      </c>
      <c r="W5537">
        <f>IF(D5518&gt;4*G5516,ROUND(MAX(D5518/4,2*G5516)/H5537,0)+1,0)</f>
        <v>9</v>
      </c>
      <c r="X5537" t="str">
        <v>x</v>
      </c>
      <c r="Y5537">
        <f>D5521</f>
        <v>1</v>
      </c>
      <c r="Z5537" t="str">
        <v>=</v>
      </c>
      <c r="AA5537">
        <f>N5537*U5537*W5537*Y5537</f>
        <v>5.714955000000001</v>
      </c>
    </row>
    <row r="5539">
      <c r="A5539" t="str">
        <f>A5515</f>
        <v>Lantai 3</v>
      </c>
      <c r="B5539">
        <f>B5515</f>
        <v>42</v>
      </c>
      <c r="C5539" t="str">
        <v>Kait Horizontal Tump.</v>
      </c>
      <c r="D5539">
        <f>VLOOKUP(D5515,'Detail Balok'!$C$10:$BJ$140,46,FALSE)</f>
        <v>0</v>
      </c>
      <c r="E5539" t="str">
        <v>D</v>
      </c>
      <c r="F5539">
        <f>VLOOKUP(D5515,'Detail Balok'!$C$10:$BJ$140,48,FALSE)</f>
        <v>0</v>
      </c>
      <c r="G5539" t="str">
        <v>-</v>
      </c>
      <c r="H5539">
        <f>VLOOKUP(D5515,'Detail Balok'!$C$10:$BJ$140,50,FALSE)</f>
        <v>100</v>
      </c>
      <c r="J5539">
        <f>(D5516-2*F$5)/1000</f>
        <v>0.12</v>
      </c>
      <c r="K5539" t="str">
        <v>+</v>
      </c>
      <c r="L5539">
        <f>IF(D5539=0,2*MAX(6*F5539,75),(D5539-1)*2*MAX(6*F5539,75))/1000</f>
        <v>0.15</v>
      </c>
      <c r="M5539" t="str">
        <v>=</v>
      </c>
      <c r="N5539">
        <f>J5539+L5539</f>
        <v>0.27</v>
      </c>
      <c r="T5539" t="str">
        <v>x</v>
      </c>
      <c r="U5539">
        <f>0.006165*F5539^2</f>
        <v>0</v>
      </c>
      <c r="V5539" t="str">
        <v>x</v>
      </c>
      <c r="W5539">
        <f>W5535</f>
        <v>9</v>
      </c>
      <c r="X5539" t="str">
        <v>x</v>
      </c>
      <c r="Y5539">
        <f>D5525</f>
        <v>3</v>
      </c>
      <c r="Z5539" t="str">
        <v>=</v>
      </c>
      <c r="AA5539">
        <f>N5539*U5539*W5539*Y5539</f>
        <v>0</v>
      </c>
    </row>
    <row r="5540">
      <c r="A5540" t="str">
        <f>A5515</f>
        <v>Lantai 3</v>
      </c>
      <c r="B5540">
        <f>B5515</f>
        <v>42</v>
      </c>
      <c r="C5540" t="str">
        <v>Kait Horizontal Lap.</v>
      </c>
      <c r="D5540">
        <f>VLOOKUP(D5515,'Detail Balok'!$C$10:$BJ$140,51,FALSE)</f>
        <v>0</v>
      </c>
      <c r="E5540" t="str">
        <v>D</v>
      </c>
      <c r="F5540">
        <f>VLOOKUP(D5515,'Detail Balok'!$C$10:$BJ$140,53,FALSE)</f>
        <v>0</v>
      </c>
      <c r="G5540" t="str">
        <v>-</v>
      </c>
      <c r="H5540">
        <f>VLOOKUP(D5515,'Detail Balok'!$C$10:$BJ$140,55,FALSE)</f>
        <v>100</v>
      </c>
      <c r="J5540">
        <f>(D5516-2*F$5)/1000</f>
        <v>0.12</v>
      </c>
      <c r="K5540" t="str">
        <v>+</v>
      </c>
      <c r="L5540">
        <f>IF(D5540=0,2*MAX(6*F5540,75),(D5540-1)*2*MAX(6*F5540,75))/1000</f>
        <v>0.15</v>
      </c>
      <c r="M5540" t="str">
        <v>=</v>
      </c>
      <c r="N5540">
        <f>J5540+L5540</f>
        <v>0.27</v>
      </c>
      <c r="T5540" t="str">
        <v>x</v>
      </c>
      <c r="U5540">
        <f>0.006165*F5540^2</f>
        <v>0</v>
      </c>
      <c r="V5540" t="str">
        <v>x</v>
      </c>
      <c r="W5540">
        <f>W5536</f>
        <v>8</v>
      </c>
      <c r="X5540" t="str">
        <v>x</v>
      </c>
      <c r="Y5540">
        <f>D5525</f>
        <v>3</v>
      </c>
      <c r="Z5540" t="str">
        <v>=</v>
      </c>
      <c r="AA5540">
        <f>N5540*U5540*W5540*Y5540</f>
        <v>0</v>
      </c>
    </row>
    <row r="5541">
      <c r="A5541" t="str">
        <f>A5515</f>
        <v>Lantai 3</v>
      </c>
      <c r="B5541">
        <f>B5515</f>
        <v>42</v>
      </c>
      <c r="C5541" t="str">
        <v>Kait Horizontal Tump.</v>
      </c>
      <c r="D5541">
        <f>VLOOKUP(D5515,'Detail Balok'!$C$10:$BJ$140,56,FALSE)</f>
        <v>0</v>
      </c>
      <c r="E5541" t="str">
        <v>D</v>
      </c>
      <c r="F5541">
        <f>VLOOKUP(D5515,'Detail Balok'!$C$10:$BJ$140,58,FALSE)</f>
        <v>0</v>
      </c>
      <c r="G5541" t="str">
        <v>-</v>
      </c>
      <c r="H5541">
        <f>VLOOKUP(D5515,'Detail Balok'!$C$10:$BJ$140,60,FALSE)</f>
        <v>100</v>
      </c>
      <c r="J5541">
        <f>(D5516-2*F$5)/1000</f>
        <v>0.12</v>
      </c>
      <c r="K5541" t="str">
        <v>+</v>
      </c>
      <c r="L5541">
        <f>IF(D5541=0,2*MAX(6*F5541,75),(D5541-1)*2*MAX(6*F5541,75))/1000</f>
        <v>0.15</v>
      </c>
      <c r="M5541" t="str">
        <v>=</v>
      </c>
      <c r="N5541">
        <f>J5541+L5541</f>
        <v>0.27</v>
      </c>
      <c r="T5541" t="str">
        <v>x</v>
      </c>
      <c r="U5541">
        <f>0.006165*F5541^2</f>
        <v>0</v>
      </c>
      <c r="V5541" t="str">
        <v>x</v>
      </c>
      <c r="W5541">
        <f>W5537</f>
        <v>9</v>
      </c>
      <c r="X5541" t="str">
        <v>x</v>
      </c>
      <c r="Y5541">
        <f>D5525</f>
        <v>3</v>
      </c>
      <c r="Z5541" t="str">
        <v>=</v>
      </c>
      <c r="AA5541">
        <f>N5541*U5541*W5541*Y5541</f>
        <v>0</v>
      </c>
    </row>
    <row r="5545">
      <c r="A5545" t="str">
        <f>A5515</f>
        <v>Lantai 3</v>
      </c>
      <c r="B5545">
        <f>B5515+1</f>
        <v>43</v>
      </c>
      <c r="C5545" t="str">
        <f>CONCATENATE(A5545," no. ",B5545)</f>
        <v>Lantai 3 no. 43</v>
      </c>
      <c r="D5545" t="str">
        <f>VLOOKUP(C5545,'Data Panjang Balok'!$C$9:$N$254,2,FALSE)</f>
        <v>B24-2</v>
      </c>
    </row>
    <row r="5546">
      <c r="C5546" t="str">
        <v>Dimensi</v>
      </c>
      <c r="D5546">
        <f>VLOOKUP(D5545,'Detail Balok'!$C$10:$AU$140,2,FALSE)</f>
        <v>200</v>
      </c>
      <c r="F5546" t="str">
        <v>x</v>
      </c>
      <c r="G5546">
        <f>VLOOKUP(D5545,'Detail Balok'!$C$10:$AU$140,3,FALSE)</f>
        <v>400</v>
      </c>
    </row>
    <row r="5547">
      <c r="C5547" t="str">
        <v>Panjang as ke as</v>
      </c>
      <c r="D5547">
        <f>VLOOKUP(C5545,'Data Panjang Balok'!$C$9:$N$254,4,FALSE)</f>
        <v>3125</v>
      </c>
    </row>
    <row r="5548">
      <c r="C5548" t="str">
        <v>Panjang netto</v>
      </c>
      <c r="D5548">
        <f>VLOOKUP(C5545,'Data Panjang Balok'!$C$9:$N$254,7,FALSE)</f>
        <v>3125</v>
      </c>
    </row>
    <row r="5549">
      <c r="C5549" t="str">
        <v>Kolom / balok kiri</v>
      </c>
      <c r="D5549">
        <f>VLOOKUP(C5545,'Data Panjang Balok'!$C$9:$N$254,9,FALSE)</f>
        <v>0</v>
      </c>
    </row>
    <row r="5550">
      <c r="C5550" t="str">
        <v>Kolom / balok kanan</v>
      </c>
      <c r="D5550">
        <f>VLOOKUP(C5545,'Data Panjang Balok'!$C$9:$N$254,10,FALSE)</f>
        <v>0</v>
      </c>
    </row>
    <row r="5551">
      <c r="C5551" t="str">
        <v>Jumlah</v>
      </c>
      <c r="D5551">
        <f>VLOOKUP(C5545,'Data Panjang Balok'!$C$9:$N$254,3,FALSE)</f>
        <v>1</v>
      </c>
    </row>
    <row r="5552">
      <c r="A5552" t="str">
        <f>A5545</f>
        <v>Lantai 3</v>
      </c>
      <c r="B5552">
        <f>B5545</f>
        <v>43</v>
      </c>
      <c r="C5552" t="str">
        <v>Tul Atas Tumpuan</v>
      </c>
      <c r="D5552">
        <f>VLOOKUP(D5545,'Detail Balok'!$C$10:$AU$140,4,FALSE)</f>
        <v>3</v>
      </c>
      <c r="E5552" t="str">
        <v>D</v>
      </c>
      <c r="F5552">
        <f>VLOOKUP(D5545,'Detail Balok'!$C$10:$AU$140,6,FALSE)</f>
        <v>16</v>
      </c>
      <c r="I5552" t="str">
        <v>(</v>
      </c>
      <c r="J5552">
        <f>+D5547/4/1000</f>
        <v>0.78125</v>
      </c>
      <c r="K5552" t="str">
        <v>+</v>
      </c>
      <c r="L5552">
        <f>MAX(VLOOKUP(F5552,N$6:P$15,3,FALSE)/1000,2/3*D5549/1000)+F$16*F5552/1000</f>
        <v>0.192</v>
      </c>
      <c r="M5552" t="str">
        <v>=</v>
      </c>
      <c r="N5552">
        <f>J5552+L5552</f>
        <v>0.97325</v>
      </c>
      <c r="O5552" t="str">
        <v>+</v>
      </c>
      <c r="P5552">
        <f>D5552-D5553</f>
        <v>0</v>
      </c>
      <c r="Q5552" t="str">
        <v>x</v>
      </c>
      <c r="R5552">
        <f>IF(P5552&gt;0,$F$18*F5552/1000,0)</f>
        <v>0</v>
      </c>
      <c r="S5552" t="str">
        <v>)</v>
      </c>
      <c r="T5552" t="str">
        <v>x</v>
      </c>
      <c r="U5552">
        <f>0.006165*F5552^2</f>
        <v>1.57824</v>
      </c>
      <c r="X5552" t="str">
        <v>x</v>
      </c>
      <c r="Y5552">
        <f>D5551</f>
        <v>1</v>
      </c>
      <c r="Z5552" t="str">
        <v>=</v>
      </c>
      <c r="AA5552">
        <f>IF(AA5555=0,(D5552*N5552+P5552*R5552)*U5552*Y5552,0)</f>
        <v>0</v>
      </c>
    </row>
    <row r="5553">
      <c r="A5553" t="str">
        <f>A5545</f>
        <v>Lantai 3</v>
      </c>
      <c r="B5553">
        <f>B5545</f>
        <v>43</v>
      </c>
      <c r="C5553" t="str">
        <v>Tul Atas Lapangan</v>
      </c>
      <c r="D5553">
        <f>VLOOKUP(D5545,'Detail Balok'!$C$10:$AU$140,7,FALSE)</f>
        <v>3</v>
      </c>
      <c r="E5553" t="str">
        <v>D</v>
      </c>
      <c r="F5553">
        <f>VLOOKUP(D5545,'Detail Balok'!$C$10:$AU$140,9,FALSE)</f>
        <v>16</v>
      </c>
      <c r="I5553" t="str">
        <v>(</v>
      </c>
      <c r="J5553">
        <f>+D5547/2/1000</f>
        <v>1.5625</v>
      </c>
      <c r="K5553" t="str">
        <v>+</v>
      </c>
      <c r="M5553" t="str">
        <v>=</v>
      </c>
      <c r="N5553">
        <f>J5553+L5553</f>
        <v>1.5625</v>
      </c>
      <c r="O5553" t="str">
        <v>+</v>
      </c>
      <c r="P5553">
        <f>MAX(D5553-D5552,D5553-D5554)</f>
        <v>0</v>
      </c>
      <c r="Q5553" t="str">
        <v>x</v>
      </c>
      <c r="R5553">
        <f>IF(P5553&gt;0,2*(1-2*$F$19-1/2)*D5548/1000,0)</f>
        <v>0</v>
      </c>
      <c r="S5553" t="str">
        <v>)</v>
      </c>
      <c r="T5553" t="str">
        <v>x</v>
      </c>
      <c r="U5553">
        <f>0.006165*F5553^2</f>
        <v>1.57824</v>
      </c>
      <c r="X5553" t="str">
        <v>x</v>
      </c>
      <c r="Y5553">
        <f>D5551</f>
        <v>1</v>
      </c>
      <c r="Z5553" t="str">
        <v>=</v>
      </c>
      <c r="AA5553">
        <f>IF(AA5555=0,(D5553*N5553+P5553*R5553)*U5553*Y5553,0)</f>
        <v>0</v>
      </c>
    </row>
    <row r="5554">
      <c r="A5554" t="str">
        <f>A5545</f>
        <v>Lantai 3</v>
      </c>
      <c r="B5554">
        <f>B5545</f>
        <v>43</v>
      </c>
      <c r="C5554" t="str">
        <v>Tul Atas Tumpuan</v>
      </c>
      <c r="D5554">
        <f>VLOOKUP(D5545,'Detail Balok'!$C$10:$AU$140,10,FALSE)</f>
        <v>3</v>
      </c>
      <c r="E5554" t="str">
        <v>D</v>
      </c>
      <c r="F5554">
        <f>VLOOKUP(D5545,'Detail Balok'!$C$10:$AU$140,12,FALSE)</f>
        <v>16</v>
      </c>
      <c r="I5554" t="str">
        <v>(</v>
      </c>
      <c r="J5554">
        <f>+D5547/4/1000</f>
        <v>0.78125</v>
      </c>
      <c r="K5554" t="str">
        <v>+</v>
      </c>
      <c r="L5554">
        <f>MAX(VLOOKUP(F5554,N$6:P$15,3,FALSE)/1000,2/3*D5549/1000)+F$16*F5554/1000</f>
        <v>0.192</v>
      </c>
      <c r="M5554" t="str">
        <v>=</v>
      </c>
      <c r="N5554">
        <f>J5554+L5554</f>
        <v>0.97325</v>
      </c>
      <c r="O5554" t="str">
        <v>+</v>
      </c>
      <c r="P5554">
        <f>D5554-D5553</f>
        <v>0</v>
      </c>
      <c r="Q5554" t="str">
        <v>x</v>
      </c>
      <c r="R5554">
        <f>IF(P5554&gt;0,$F$18*F5554/1000,0)</f>
        <v>0</v>
      </c>
      <c r="S5554" t="str">
        <v>)</v>
      </c>
      <c r="T5554" t="str">
        <v>x</v>
      </c>
      <c r="U5554">
        <f>0.006165*F5554^2</f>
        <v>1.57824</v>
      </c>
      <c r="X5554" t="str">
        <v>x</v>
      </c>
      <c r="Y5554">
        <f>D5551</f>
        <v>1</v>
      </c>
      <c r="Z5554" t="str">
        <v>=</v>
      </c>
      <c r="AA5554">
        <f>IF(AA5555=0,(D5554*N5554+P5554*R5554)*U5554*Y5554,0)</f>
        <v>0</v>
      </c>
    </row>
    <row r="5555">
      <c r="A5555" t="str">
        <f>A5545</f>
        <v>Lantai 3</v>
      </c>
      <c r="B5555">
        <f>B5545</f>
        <v>43</v>
      </c>
      <c r="D5555">
        <f>IF(AND(D5552=D5553,D5553=D5554,D5552=D5554),D5552,0)</f>
        <v>3</v>
      </c>
      <c r="E5555" t="str">
        <v>D</v>
      </c>
      <c r="F5555">
        <f>IF(AND(F5552=F5553,F5552=F5554,F5553=F5554),F5552,0)</f>
        <v>16</v>
      </c>
      <c r="L5555" t="str">
        <v>Total panjang per balok</v>
      </c>
      <c r="M5555" t="str">
        <v>=</v>
      </c>
      <c r="N5555">
        <f>IF(AND(D5552=D5553,D5552=D5554,D5553=D5554,F5552=F5553,F5552=F5554,F5553=F5554),SUM(N5552:N5554),0)</f>
        <v>3.5090000000000003</v>
      </c>
      <c r="O5555" t="str">
        <v>+</v>
      </c>
      <c r="P5555">
        <f>IF(N5555&gt;12,ROUNDDOWN(N5555/12,0),0)</f>
        <v>0</v>
      </c>
      <c r="Q5555" t="str">
        <v>x</v>
      </c>
      <c r="R5555">
        <f>IF(P5555&gt;0,MAX(VLOOKUP(F5555,$D$6:$G$15,3,FALSE),600),0)/1000</f>
        <v>0</v>
      </c>
      <c r="T5555" t="str">
        <v>x</v>
      </c>
      <c r="U5555">
        <f>U5554</f>
        <v>1.57824</v>
      </c>
      <c r="V5555" t="str">
        <v>x</v>
      </c>
      <c r="W5555">
        <f>D5555</f>
        <v>3</v>
      </c>
      <c r="X5555" t="str">
        <v>x</v>
      </c>
      <c r="Y5555">
        <f>Y5554</f>
        <v>1</v>
      </c>
      <c r="Z5555" t="str">
        <v>=</v>
      </c>
      <c r="AA5555">
        <f>(N5555+P5555*R5555/1000)*U5555*W5555*Y5555</f>
        <v>16.614132480000002</v>
      </c>
    </row>
    <row r="5557">
      <c r="A5557" t="str">
        <f>A5545</f>
        <v>Lantai 3</v>
      </c>
      <c r="B5557">
        <f>B5545</f>
        <v>43</v>
      </c>
      <c r="C5557" t="str">
        <v>Tul Peminggang</v>
      </c>
      <c r="D5557">
        <f>VLOOKUP(D5545,'Detail Balok'!$C$10:$AU$140,13,FALSE)</f>
        <v>0</v>
      </c>
      <c r="E5557" t="str">
        <v>D</v>
      </c>
      <c r="F5557">
        <f>VLOOKUP(D5545,'Detail Balok'!$C$10:$AU$140,15,FALSE)</f>
        <v>8</v>
      </c>
      <c r="J5557">
        <f>+D5547/1000</f>
        <v>3.125</v>
      </c>
      <c r="K5557" t="str">
        <v>+</v>
      </c>
      <c r="L5557">
        <f>2*$F$16*F5557/1000</f>
        <v>0.192</v>
      </c>
      <c r="M5557" t="str">
        <v>=</v>
      </c>
      <c r="N5557">
        <f>J5557+L5557</f>
        <v>3.317</v>
      </c>
      <c r="O5557" t="str">
        <v>+</v>
      </c>
      <c r="P5557">
        <f>IF(N5557&gt;12,ROUNDDOWN(N5557/12,0),0)</f>
        <v>0</v>
      </c>
      <c r="Q5557" t="str">
        <v>x</v>
      </c>
      <c r="R5557">
        <f>IF(P5557&gt;0,MAX(VLOOKUP(F5557,$D$6:$G$15,3,FALSE),600),0)/1000</f>
        <v>0</v>
      </c>
      <c r="T5557" t="str">
        <v>x</v>
      </c>
      <c r="U5557">
        <f>0.006165*F5557^2</f>
        <v>0.39456</v>
      </c>
      <c r="V5557" t="str">
        <v>x</v>
      </c>
      <c r="W5557">
        <f>+D5557</f>
        <v>0</v>
      </c>
      <c r="X5557" t="str">
        <v>x</v>
      </c>
      <c r="Y5557">
        <f>D5551</f>
        <v>1</v>
      </c>
      <c r="Z5557" t="str">
        <v>=</v>
      </c>
      <c r="AA5557">
        <f>(N5557+P5557*R5557/1000)*U5557*W5557*Y5557</f>
        <v>0</v>
      </c>
    </row>
    <row r="5560">
      <c r="A5560" t="str">
        <f>A5545</f>
        <v>Lantai 3</v>
      </c>
      <c r="B5560">
        <f>B5545</f>
        <v>43</v>
      </c>
      <c r="C5560" t="str">
        <v>Tul Bawah Tumpuan</v>
      </c>
      <c r="D5560">
        <f>VLOOKUP(D5545,'Detail Balok'!$C$10:$AU$140,22,FALSE)</f>
        <v>3</v>
      </c>
      <c r="E5560" t="str">
        <v>D</v>
      </c>
      <c r="F5560">
        <f>VLOOKUP(D5545,'Detail Balok'!$C$10:$AU$140,24,FALSE)</f>
        <v>16</v>
      </c>
      <c r="I5560" t="str">
        <v>(</v>
      </c>
      <c r="J5560">
        <f>+J5552</f>
        <v>0.78125</v>
      </c>
      <c r="K5560" t="str">
        <v>+</v>
      </c>
      <c r="L5560">
        <f>MAX(VLOOKUP(F5560,N$6:P$15,3,FALSE)/1000,2/3*D5550/1000)+F$16*F5560/1000</f>
        <v>0.192</v>
      </c>
      <c r="M5560" t="str">
        <v>=</v>
      </c>
      <c r="N5560">
        <f>J5560+L5560</f>
        <v>0.97325</v>
      </c>
      <c r="O5560" t="str">
        <v>+</v>
      </c>
      <c r="P5560">
        <f>D5560-D5561</f>
        <v>0</v>
      </c>
      <c r="Q5560" t="str">
        <v>x</v>
      </c>
      <c r="R5560">
        <f>IF(P5560&gt;0,$F$18*F5560/1000,0)</f>
        <v>0</v>
      </c>
      <c r="S5560" t="str">
        <v>)</v>
      </c>
      <c r="T5560" t="str">
        <v>x</v>
      </c>
      <c r="U5560">
        <f>0.006165*F5560^2</f>
        <v>1.57824</v>
      </c>
      <c r="X5560" t="str">
        <v>x</v>
      </c>
      <c r="Y5560">
        <f>D5551</f>
        <v>1</v>
      </c>
      <c r="Z5560" t="str">
        <v>=</v>
      </c>
      <c r="AA5560">
        <f>IF(AA5563=0,(D5560*N5560+P5560*R5560)*U5560*Y5560,0)</f>
        <v>0</v>
      </c>
    </row>
    <row r="5561">
      <c r="A5561" t="str">
        <f>A5545</f>
        <v>Lantai 3</v>
      </c>
      <c r="B5561">
        <f>B5545</f>
        <v>43</v>
      </c>
      <c r="C5561" t="str">
        <v>Tul Bawah Lapangan</v>
      </c>
      <c r="D5561">
        <f>VLOOKUP(D5545,'Detail Balok'!$C$10:$AU$140,25,FALSE)</f>
        <v>3</v>
      </c>
      <c r="E5561" t="str">
        <v>D</v>
      </c>
      <c r="F5561">
        <f>VLOOKUP(D5545,'Detail Balok'!$C$10:$AU$140,27,FALSE)</f>
        <v>16</v>
      </c>
      <c r="I5561" t="str">
        <v>(</v>
      </c>
      <c r="J5561">
        <f>+J5553</f>
        <v>1.5625</v>
      </c>
      <c r="K5561" t="str">
        <v>+</v>
      </c>
      <c r="M5561" t="str">
        <v>=</v>
      </c>
      <c r="N5561">
        <f>J5561+L5561</f>
        <v>1.5625</v>
      </c>
      <c r="O5561" t="str">
        <v>+</v>
      </c>
      <c r="P5561">
        <f>MAX(D5561-D5560,D5561-D5562)</f>
        <v>0</v>
      </c>
      <c r="Q5561" t="str">
        <v>x</v>
      </c>
      <c r="R5561">
        <f>IF(P5561&gt;0,2*(1-2*$F$19-1/2)*D5548/1000,0)</f>
        <v>0</v>
      </c>
      <c r="S5561" t="str">
        <v>)</v>
      </c>
      <c r="T5561" t="str">
        <v>x</v>
      </c>
      <c r="U5561">
        <f>0.006165*F5561^2</f>
        <v>1.57824</v>
      </c>
      <c r="X5561" t="str">
        <v>x</v>
      </c>
      <c r="Y5561">
        <f>D5551</f>
        <v>1</v>
      </c>
      <c r="Z5561" t="str">
        <v>=</v>
      </c>
      <c r="AA5561">
        <f>IF(AA5563=0,(D5561*N5561+P5561*R5561)*U5561*Y5561,0)</f>
        <v>0</v>
      </c>
    </row>
    <row r="5562">
      <c r="A5562" t="str">
        <f>A5545</f>
        <v>Lantai 3</v>
      </c>
      <c r="B5562">
        <f>B5545</f>
        <v>43</v>
      </c>
      <c r="C5562" t="str">
        <v>Tul Bawah Tumpuan</v>
      </c>
      <c r="D5562">
        <f>VLOOKUP(D5545,'Detail Balok'!$C$10:$AU$140,28,FALSE)</f>
        <v>3</v>
      </c>
      <c r="E5562" t="str">
        <v>D</v>
      </c>
      <c r="F5562">
        <f>VLOOKUP(D5545,'Detail Balok'!$C$10:$AU$140,30,FALSE)</f>
        <v>16</v>
      </c>
      <c r="I5562" t="str">
        <v>(</v>
      </c>
      <c r="J5562">
        <f>+J5554</f>
        <v>0.78125</v>
      </c>
      <c r="K5562" t="str">
        <v>+</v>
      </c>
      <c r="L5562">
        <f>MAX(VLOOKUP(F5562,N$6:P$15,3,FALSE)/1000,2/3*D5550/1000)+F$16*F5562/1000</f>
        <v>0.192</v>
      </c>
      <c r="M5562" t="str">
        <v>=</v>
      </c>
      <c r="N5562">
        <f>J5562+L5562</f>
        <v>0.97325</v>
      </c>
      <c r="O5562" t="str">
        <v>+</v>
      </c>
      <c r="P5562">
        <f>D5562-D5561</f>
        <v>0</v>
      </c>
      <c r="Q5562" t="str">
        <v>x</v>
      </c>
      <c r="R5562">
        <f>IF(P5562&gt;0,$F$18*F5562/1000,0)</f>
        <v>0</v>
      </c>
      <c r="S5562" t="str">
        <v>)</v>
      </c>
      <c r="T5562" t="str">
        <v>x</v>
      </c>
      <c r="U5562">
        <f>0.006165*F5562^2</f>
        <v>1.57824</v>
      </c>
      <c r="X5562" t="str">
        <v>x</v>
      </c>
      <c r="Y5562">
        <f>D5551</f>
        <v>1</v>
      </c>
      <c r="Z5562" t="str">
        <v>=</v>
      </c>
      <c r="AA5562">
        <f>IF(AA5563=0,(D5562*N5562+P5562*R5562)*U5562*Y5562,0)</f>
        <v>0</v>
      </c>
    </row>
    <row r="5563">
      <c r="A5563" t="str">
        <f>A5545</f>
        <v>Lantai 3</v>
      </c>
      <c r="B5563">
        <f>B5545</f>
        <v>43</v>
      </c>
      <c r="D5563">
        <f>IF(AND(D5560=D5561,D5561=D5562,D5560=D5562),D5560,0)</f>
        <v>3</v>
      </c>
      <c r="E5563" t="str">
        <v>D</v>
      </c>
      <c r="F5563">
        <f>IF(AND(F5560=F5561,F5560=F5562,F5561=F5562),F5560,0)</f>
        <v>16</v>
      </c>
      <c r="L5563" t="str">
        <v>Total panjang per balok</v>
      </c>
      <c r="M5563" t="str">
        <v>=</v>
      </c>
      <c r="N5563">
        <f>IF(AND(D5560=D5561,D5560=D5562,D5561=D5562,F5560=F5561,F5560=F5562,F5561=F5562),SUM(N5560:N5562),0)</f>
        <v>3.5090000000000003</v>
      </c>
      <c r="O5563" t="str">
        <v>+</v>
      </c>
      <c r="P5563">
        <f>IF(N5563&gt;12,ROUNDDOWN(N5563/12,0),0)</f>
        <v>0</v>
      </c>
      <c r="Q5563" t="str">
        <v>x</v>
      </c>
      <c r="R5563">
        <f>IF(P5563&gt;0,MAX(VLOOKUP(F5563,$D$6:$G$15,3,FALSE),600),0)/1000</f>
        <v>0</v>
      </c>
      <c r="T5563" t="str">
        <v>x</v>
      </c>
      <c r="U5563">
        <f>U5562</f>
        <v>1.57824</v>
      </c>
      <c r="V5563" t="str">
        <v>x</v>
      </c>
      <c r="W5563">
        <f>D5563</f>
        <v>3</v>
      </c>
      <c r="X5563" t="str">
        <v>x</v>
      </c>
      <c r="Y5563">
        <f>Y5562</f>
        <v>1</v>
      </c>
      <c r="Z5563" t="str">
        <v>=</v>
      </c>
      <c r="AA5563">
        <f>(N5563+P5563*R5563/1000)*U5563*W5563*Y5563</f>
        <v>16.614132480000002</v>
      </c>
    </row>
    <row r="5565">
      <c r="A5565" t="str">
        <f>A5545</f>
        <v>Lantai 3</v>
      </c>
      <c r="B5565">
        <f>B5545</f>
        <v>43</v>
      </c>
      <c r="C5565" t="str">
        <v>Sengkang Tumpuan</v>
      </c>
      <c r="D5565">
        <f>VLOOKUP(D5545,'Detail Balok'!$C$10:$AU$140,31,FALSE)</f>
        <v>0</v>
      </c>
      <c r="E5565" t="str">
        <v>D</v>
      </c>
      <c r="F5565">
        <f>VLOOKUP(D5545,'Detail Balok'!$C$10:$AU$140,33,FALSE)</f>
        <v>10</v>
      </c>
      <c r="G5565" t="str">
        <v>-</v>
      </c>
      <c r="H5565">
        <f>VLOOKUP(D5545,'Detail Balok'!$C$10:$AU$140,35,FALSE)</f>
        <v>100</v>
      </c>
      <c r="J5565">
        <f>(IF(D5565=0,(2*(D5546+G5546))-(F$5*8),IF(D5565=3,(2*(D5546+G5546))-(F$5*8)+(G5546-2*F$5),IF(D5565=4,(2*(D5546+G5546))-(F$5*8)+2*(G5546-2*F$5)))))/1000</f>
        <v>0.88</v>
      </c>
      <c r="K5565" t="str">
        <v>+</v>
      </c>
      <c r="L5565">
        <f>IF(D5565=0,2*MAX(6*F5565,75),(D5565-1)*2*MAX(6*F5565,75))/1000</f>
        <v>0.15</v>
      </c>
      <c r="M5565" t="str">
        <v>=</v>
      </c>
      <c r="N5565">
        <f>J5565+L5565</f>
        <v>1.03</v>
      </c>
      <c r="T5565" t="str">
        <v>x</v>
      </c>
      <c r="U5565">
        <f>0.006165*F5565^2</f>
        <v>0.6165</v>
      </c>
      <c r="V5565" t="str">
        <v>x</v>
      </c>
      <c r="W5565">
        <f>IF(D5548&gt;4*G5546,ROUND(MAX(D5548/4,2*G5546)/H5565,0)+1,ROUND(D5548/H5565,0)+1)</f>
        <v>9</v>
      </c>
      <c r="X5565" t="str">
        <v>x</v>
      </c>
      <c r="Y5565">
        <f>D5551</f>
        <v>1</v>
      </c>
      <c r="Z5565" t="str">
        <v>=</v>
      </c>
      <c r="AA5565">
        <f>N5565*U5565*W5565*Y5565</f>
        <v>5.714955000000001</v>
      </c>
    </row>
    <row r="5566">
      <c r="A5566" t="str">
        <f>A5545</f>
        <v>Lantai 3</v>
      </c>
      <c r="B5566">
        <f>B5545</f>
        <v>43</v>
      </c>
      <c r="C5566" t="str">
        <v>Sengkang Lapangan</v>
      </c>
      <c r="D5566">
        <f>VLOOKUP(D5545,'Detail Balok'!$C$10:$AU$140,36,FALSE)</f>
        <v>0</v>
      </c>
      <c r="E5566" t="str">
        <v>D</v>
      </c>
      <c r="F5566">
        <f>VLOOKUP(D5545,'Detail Balok'!$C$10:$AU$140,38,FALSE)</f>
        <v>10</v>
      </c>
      <c r="G5566" t="str">
        <v>-</v>
      </c>
      <c r="H5566">
        <f>VLOOKUP(D5545,'Detail Balok'!$C$10:$AU$140,40,FALSE)</f>
        <v>200</v>
      </c>
      <c r="J5566">
        <f>(IF(D5566=0,(2*(D5546+G5546))-(F$5*8),IF(D5566=3,(2*(D5546+G5546))-(F$5*8)+(G5546-2*F$5),IF(D5566=4,(2*(D5546+G5546))-(F$5*8)+2*(G5546-2*F$5)))))/1000</f>
        <v>0.88</v>
      </c>
      <c r="K5566" t="str">
        <v>+</v>
      </c>
      <c r="L5566">
        <f>IF(D5566=0,2*MAX(6*F5566,75),(D5566-1)*2*MAX(6*F5566,75))/1000</f>
        <v>0.15</v>
      </c>
      <c r="M5566" t="str">
        <v>=</v>
      </c>
      <c r="N5566">
        <f>J5566+L5566</f>
        <v>1.03</v>
      </c>
      <c r="T5566" t="str">
        <v>x</v>
      </c>
      <c r="U5566">
        <f>0.006165*F5566^2</f>
        <v>0.6165</v>
      </c>
      <c r="V5566" t="str">
        <v>x</v>
      </c>
      <c r="W5566">
        <f>IF(D5548-MAX(D5548/4,2*G5546)*2&gt;0,ROUND((D5548-MAX(D5548/4,2*G5546)*2)/H5566,0),0)</f>
        <v>8</v>
      </c>
      <c r="X5566" t="str">
        <v>x</v>
      </c>
      <c r="Y5566">
        <f>D5551</f>
        <v>1</v>
      </c>
      <c r="Z5566" t="str">
        <v>=</v>
      </c>
      <c r="AA5566">
        <f>N5566*U5566*W5566*Y5566</f>
        <v>5.079960000000001</v>
      </c>
    </row>
    <row r="5567">
      <c r="A5567" t="str">
        <f>A5545</f>
        <v>Lantai 3</v>
      </c>
      <c r="B5567">
        <f>B5545</f>
        <v>43</v>
      </c>
      <c r="C5567" t="str">
        <v>Sengkang Tumpuan</v>
      </c>
      <c r="D5567">
        <f>VLOOKUP(D5545,'Detail Balok'!$C$10:$AU$140,41,FALSE)</f>
        <v>0</v>
      </c>
      <c r="E5567" t="str">
        <v>D</v>
      </c>
      <c r="F5567">
        <f>VLOOKUP(D5545,'Detail Balok'!$C$10:$AU$140,43,FALSE)</f>
        <v>10</v>
      </c>
      <c r="G5567" t="str">
        <v>-</v>
      </c>
      <c r="H5567">
        <f>VLOOKUP(D5545,'Detail Balok'!$C$10:$AU$140,45,FALSE)</f>
        <v>100</v>
      </c>
      <c r="J5567">
        <f>(IF(D5567=0,(2*(D5546+G5546))-(F$5*8),IF(D5567=3,(2*(D5546+G5546))-(F$5*8)+(G5546-2*F$5),IF(D5567=4,(2*(D5546+G5546))-(F$5*8)+2*(G5546-2*F$5)))))/1000</f>
        <v>0.88</v>
      </c>
      <c r="K5567" t="str">
        <v>+</v>
      </c>
      <c r="L5567">
        <f>IF(D5567=0,2*MAX(6*F5567,75),(D5567-1)*2*MAX(6*F5567,75))/1000</f>
        <v>0.15</v>
      </c>
      <c r="M5567" t="str">
        <v>=</v>
      </c>
      <c r="N5567">
        <f>J5567+L5567</f>
        <v>1.03</v>
      </c>
      <c r="T5567" t="str">
        <v>x</v>
      </c>
      <c r="U5567">
        <f>0.006165*F5567^2</f>
        <v>0.6165</v>
      </c>
      <c r="V5567" t="str">
        <v>x</v>
      </c>
      <c r="W5567">
        <f>IF(D5548&gt;4*G5546,ROUND(MAX(D5548/4,2*G5546)/H5567,0)+1,0)</f>
        <v>9</v>
      </c>
      <c r="X5567" t="str">
        <v>x</v>
      </c>
      <c r="Y5567">
        <f>D5551</f>
        <v>1</v>
      </c>
      <c r="Z5567" t="str">
        <v>=</v>
      </c>
      <c r="AA5567">
        <f>N5567*U5567*W5567*Y5567</f>
        <v>5.714955000000001</v>
      </c>
    </row>
    <row r="5569">
      <c r="A5569" t="str">
        <f>A5545</f>
        <v>Lantai 3</v>
      </c>
      <c r="B5569">
        <f>B5545</f>
        <v>43</v>
      </c>
      <c r="C5569" t="str">
        <v>Kait Horizontal Tump.</v>
      </c>
      <c r="D5569">
        <f>VLOOKUP(D5545,'Detail Balok'!$C$10:$BJ$140,46,FALSE)</f>
        <v>0</v>
      </c>
      <c r="E5569" t="str">
        <v>D</v>
      </c>
      <c r="F5569">
        <f>VLOOKUP(D5545,'Detail Balok'!$C$10:$BJ$140,48,FALSE)</f>
        <v>0</v>
      </c>
      <c r="G5569" t="str">
        <v>-</v>
      </c>
      <c r="H5569">
        <f>VLOOKUP(D5545,'Detail Balok'!$C$10:$BJ$140,50,FALSE)</f>
        <v>100</v>
      </c>
      <c r="J5569">
        <f>(D5546-2*F$5)/1000</f>
        <v>0.12</v>
      </c>
      <c r="K5569" t="str">
        <v>+</v>
      </c>
      <c r="L5569">
        <f>IF(D5569=0,2*MAX(6*F5569,75),(D5569-1)*2*MAX(6*F5569,75))/1000</f>
        <v>0.15</v>
      </c>
      <c r="M5569" t="str">
        <v>=</v>
      </c>
      <c r="N5569">
        <f>J5569+L5569</f>
        <v>0.27</v>
      </c>
      <c r="T5569" t="str">
        <v>x</v>
      </c>
      <c r="U5569">
        <f>0.006165*F5569^2</f>
        <v>0</v>
      </c>
      <c r="V5569" t="str">
        <v>x</v>
      </c>
      <c r="W5569">
        <f>W5565</f>
        <v>9</v>
      </c>
      <c r="X5569" t="str">
        <v>x</v>
      </c>
      <c r="Y5569">
        <f>D5555</f>
        <v>3</v>
      </c>
      <c r="Z5569" t="str">
        <v>=</v>
      </c>
      <c r="AA5569">
        <f>N5569*U5569*W5569*Y5569</f>
        <v>0</v>
      </c>
    </row>
    <row r="5570">
      <c r="A5570" t="str">
        <f>A5545</f>
        <v>Lantai 3</v>
      </c>
      <c r="B5570">
        <f>B5545</f>
        <v>43</v>
      </c>
      <c r="C5570" t="str">
        <v>Kait Horizontal Lap.</v>
      </c>
      <c r="D5570">
        <f>VLOOKUP(D5545,'Detail Balok'!$C$10:$BJ$140,51,FALSE)</f>
        <v>0</v>
      </c>
      <c r="E5570" t="str">
        <v>D</v>
      </c>
      <c r="F5570">
        <f>VLOOKUP(D5545,'Detail Balok'!$C$10:$BJ$140,53,FALSE)</f>
        <v>0</v>
      </c>
      <c r="G5570" t="str">
        <v>-</v>
      </c>
      <c r="H5570">
        <f>VLOOKUP(D5545,'Detail Balok'!$C$10:$BJ$140,55,FALSE)</f>
        <v>100</v>
      </c>
      <c r="J5570">
        <f>(D5546-2*F$5)/1000</f>
        <v>0.12</v>
      </c>
      <c r="K5570" t="str">
        <v>+</v>
      </c>
      <c r="L5570">
        <f>IF(D5570=0,2*MAX(6*F5570,75),(D5570-1)*2*MAX(6*F5570,75))/1000</f>
        <v>0.15</v>
      </c>
      <c r="M5570" t="str">
        <v>=</v>
      </c>
      <c r="N5570">
        <f>J5570+L5570</f>
        <v>0.27</v>
      </c>
      <c r="T5570" t="str">
        <v>x</v>
      </c>
      <c r="U5570">
        <f>0.006165*F5570^2</f>
        <v>0</v>
      </c>
      <c r="V5570" t="str">
        <v>x</v>
      </c>
      <c r="W5570">
        <f>W5566</f>
        <v>8</v>
      </c>
      <c r="X5570" t="str">
        <v>x</v>
      </c>
      <c r="Y5570">
        <f>D5555</f>
        <v>3</v>
      </c>
      <c r="Z5570" t="str">
        <v>=</v>
      </c>
      <c r="AA5570">
        <f>N5570*U5570*W5570*Y5570</f>
        <v>0</v>
      </c>
    </row>
    <row r="5571">
      <c r="A5571" t="str">
        <f>A5545</f>
        <v>Lantai 3</v>
      </c>
      <c r="B5571">
        <f>B5545</f>
        <v>43</v>
      </c>
      <c r="C5571" t="str">
        <v>Kait Horizontal Tump.</v>
      </c>
      <c r="D5571">
        <f>VLOOKUP(D5545,'Detail Balok'!$C$10:$BJ$140,56,FALSE)</f>
        <v>0</v>
      </c>
      <c r="E5571" t="str">
        <v>D</v>
      </c>
      <c r="F5571">
        <f>VLOOKUP(D5545,'Detail Balok'!$C$10:$BJ$140,58,FALSE)</f>
        <v>0</v>
      </c>
      <c r="G5571" t="str">
        <v>-</v>
      </c>
      <c r="H5571">
        <f>VLOOKUP(D5545,'Detail Balok'!$C$10:$BJ$140,60,FALSE)</f>
        <v>100</v>
      </c>
      <c r="J5571">
        <f>(D5546-2*F$5)/1000</f>
        <v>0.12</v>
      </c>
      <c r="K5571" t="str">
        <v>+</v>
      </c>
      <c r="L5571">
        <f>IF(D5571=0,2*MAX(6*F5571,75),(D5571-1)*2*MAX(6*F5571,75))/1000</f>
        <v>0.15</v>
      </c>
      <c r="M5571" t="str">
        <v>=</v>
      </c>
      <c r="N5571">
        <f>J5571+L5571</f>
        <v>0.27</v>
      </c>
      <c r="T5571" t="str">
        <v>x</v>
      </c>
      <c r="U5571">
        <f>0.006165*F5571^2</f>
        <v>0</v>
      </c>
      <c r="V5571" t="str">
        <v>x</v>
      </c>
      <c r="W5571">
        <f>W5567</f>
        <v>9</v>
      </c>
      <c r="X5571" t="str">
        <v>x</v>
      </c>
      <c r="Y5571">
        <f>D5555</f>
        <v>3</v>
      </c>
      <c r="Z5571" t="str">
        <v>=</v>
      </c>
      <c r="AA5571">
        <f>N5571*U5571*W5571*Y5571</f>
        <v>0</v>
      </c>
    </row>
    <row r="5575">
      <c r="A5575" t="str">
        <f>A5545</f>
        <v>Lantai 3</v>
      </c>
      <c r="B5575">
        <f>B5545+1</f>
        <v>44</v>
      </c>
      <c r="C5575" t="str">
        <f>CONCATENATE(A5575," no. ",B5575)</f>
        <v>Lantai 3 no. 44</v>
      </c>
      <c r="D5575" t="str">
        <f>VLOOKUP(C5575,'Data Panjang Balok'!$C$9:$N$254,2,FALSE)</f>
        <v>B24-2</v>
      </c>
    </row>
    <row r="5576">
      <c r="C5576" t="str">
        <v>Dimensi</v>
      </c>
      <c r="D5576">
        <f>VLOOKUP(D5575,'Detail Balok'!$C$10:$AU$140,2,FALSE)</f>
        <v>200</v>
      </c>
      <c r="F5576" t="str">
        <v>x</v>
      </c>
      <c r="G5576">
        <f>VLOOKUP(D5575,'Detail Balok'!$C$10:$AU$140,3,FALSE)</f>
        <v>400</v>
      </c>
    </row>
    <row r="5577">
      <c r="C5577" t="str">
        <v>Panjang as ke as</v>
      </c>
      <c r="D5577">
        <f>VLOOKUP(C5575,'Data Panjang Balok'!$C$9:$N$254,4,FALSE)</f>
        <v>12750</v>
      </c>
    </row>
    <row r="5578">
      <c r="C5578" t="str">
        <v>Panjang netto</v>
      </c>
      <c r="D5578">
        <f>VLOOKUP(C5575,'Data Panjang Balok'!$C$9:$N$254,7,FALSE)</f>
        <v>12750</v>
      </c>
    </row>
    <row r="5579">
      <c r="C5579" t="str">
        <v>Kolom / balok kiri</v>
      </c>
      <c r="D5579">
        <f>VLOOKUP(C5575,'Data Panjang Balok'!$C$9:$N$254,9,FALSE)</f>
        <v>0</v>
      </c>
    </row>
    <row r="5580">
      <c r="C5580" t="str">
        <v>Kolom / balok kanan</v>
      </c>
      <c r="D5580">
        <f>VLOOKUP(C5575,'Data Panjang Balok'!$C$9:$N$254,10,FALSE)</f>
        <v>0</v>
      </c>
    </row>
    <row r="5581">
      <c r="C5581" t="str">
        <v>Jumlah</v>
      </c>
      <c r="D5581">
        <f>VLOOKUP(C5575,'Data Panjang Balok'!$C$9:$N$254,3,FALSE)</f>
        <v>1</v>
      </c>
    </row>
    <row r="5582">
      <c r="A5582" t="str">
        <f>A5575</f>
        <v>Lantai 3</v>
      </c>
      <c r="B5582">
        <f>B5575</f>
        <v>44</v>
      </c>
      <c r="C5582" t="str">
        <v>Tul Atas Tumpuan</v>
      </c>
      <c r="D5582">
        <f>VLOOKUP(D5575,'Detail Balok'!$C$10:$AU$140,4,FALSE)</f>
        <v>3</v>
      </c>
      <c r="E5582" t="str">
        <v>D</v>
      </c>
      <c r="F5582">
        <f>VLOOKUP(D5575,'Detail Balok'!$C$10:$AU$140,6,FALSE)</f>
        <v>16</v>
      </c>
      <c r="I5582" t="str">
        <v>(</v>
      </c>
      <c r="J5582">
        <f>+D5577/4/1000</f>
        <v>3.1875</v>
      </c>
      <c r="K5582" t="str">
        <v>+</v>
      </c>
      <c r="L5582">
        <f>MAX(VLOOKUP(F5582,N$6:P$15,3,FALSE)/1000,2/3*D5579/1000)+F$16*F5582/1000</f>
        <v>0.192</v>
      </c>
      <c r="M5582" t="str">
        <v>=</v>
      </c>
      <c r="N5582">
        <f>J5582+L5582</f>
        <v>3.3795</v>
      </c>
      <c r="O5582" t="str">
        <v>+</v>
      </c>
      <c r="P5582">
        <f>D5582-D5583</f>
        <v>0</v>
      </c>
      <c r="Q5582" t="str">
        <v>x</v>
      </c>
      <c r="R5582">
        <f>IF(P5582&gt;0,$F$18*F5582/1000,0)</f>
        <v>0</v>
      </c>
      <c r="S5582" t="str">
        <v>)</v>
      </c>
      <c r="T5582" t="str">
        <v>x</v>
      </c>
      <c r="U5582">
        <f>0.006165*F5582^2</f>
        <v>1.57824</v>
      </c>
      <c r="X5582" t="str">
        <v>x</v>
      </c>
      <c r="Y5582">
        <f>D5581</f>
        <v>1</v>
      </c>
      <c r="Z5582" t="str">
        <v>=</v>
      </c>
      <c r="AA5582">
        <f>IF(AA5585=0,(D5582*N5582+P5582*R5582)*U5582*Y5582,0)</f>
        <v>0</v>
      </c>
    </row>
    <row r="5583">
      <c r="A5583" t="str">
        <f>A5575</f>
        <v>Lantai 3</v>
      </c>
      <c r="B5583">
        <f>B5575</f>
        <v>44</v>
      </c>
      <c r="C5583" t="str">
        <v>Tul Atas Lapangan</v>
      </c>
      <c r="D5583">
        <f>VLOOKUP(D5575,'Detail Balok'!$C$10:$AU$140,7,FALSE)</f>
        <v>3</v>
      </c>
      <c r="E5583" t="str">
        <v>D</v>
      </c>
      <c r="F5583">
        <f>VLOOKUP(D5575,'Detail Balok'!$C$10:$AU$140,9,FALSE)</f>
        <v>16</v>
      </c>
      <c r="I5583" t="str">
        <v>(</v>
      </c>
      <c r="J5583">
        <f>+D5577/2/1000</f>
        <v>6.375</v>
      </c>
      <c r="K5583" t="str">
        <v>+</v>
      </c>
      <c r="M5583" t="str">
        <v>=</v>
      </c>
      <c r="N5583">
        <f>J5583+L5583</f>
        <v>6.375</v>
      </c>
      <c r="O5583" t="str">
        <v>+</v>
      </c>
      <c r="P5583">
        <f>MAX(D5583-D5582,D5583-D5584)</f>
        <v>0</v>
      </c>
      <c r="Q5583" t="str">
        <v>x</v>
      </c>
      <c r="R5583">
        <f>IF(P5583&gt;0,2*(1-2*$F$19-1/2)*D5578/1000,0)</f>
        <v>0</v>
      </c>
      <c r="S5583" t="str">
        <v>)</v>
      </c>
      <c r="T5583" t="str">
        <v>x</v>
      </c>
      <c r="U5583">
        <f>0.006165*F5583^2</f>
        <v>1.57824</v>
      </c>
      <c r="X5583" t="str">
        <v>x</v>
      </c>
      <c r="Y5583">
        <f>D5581</f>
        <v>1</v>
      </c>
      <c r="Z5583" t="str">
        <v>=</v>
      </c>
      <c r="AA5583">
        <f>IF(AA5585=0,(D5583*N5583+P5583*R5583)*U5583*Y5583,0)</f>
        <v>0</v>
      </c>
    </row>
    <row r="5584">
      <c r="A5584" t="str">
        <f>A5575</f>
        <v>Lantai 3</v>
      </c>
      <c r="B5584">
        <f>B5575</f>
        <v>44</v>
      </c>
      <c r="C5584" t="str">
        <v>Tul Atas Tumpuan</v>
      </c>
      <c r="D5584">
        <f>VLOOKUP(D5575,'Detail Balok'!$C$10:$AU$140,10,FALSE)</f>
        <v>3</v>
      </c>
      <c r="E5584" t="str">
        <v>D</v>
      </c>
      <c r="F5584">
        <f>VLOOKUP(D5575,'Detail Balok'!$C$10:$AU$140,12,FALSE)</f>
        <v>16</v>
      </c>
      <c r="I5584" t="str">
        <v>(</v>
      </c>
      <c r="J5584">
        <f>+D5577/4/1000</f>
        <v>3.1875</v>
      </c>
      <c r="K5584" t="str">
        <v>+</v>
      </c>
      <c r="L5584">
        <f>MAX(VLOOKUP(F5584,N$6:P$15,3,FALSE)/1000,2/3*D5579/1000)+F$16*F5584/1000</f>
        <v>0.192</v>
      </c>
      <c r="M5584" t="str">
        <v>=</v>
      </c>
      <c r="N5584">
        <f>J5584+L5584</f>
        <v>3.3795</v>
      </c>
      <c r="O5584" t="str">
        <v>+</v>
      </c>
      <c r="P5584">
        <f>D5584-D5583</f>
        <v>0</v>
      </c>
      <c r="Q5584" t="str">
        <v>x</v>
      </c>
      <c r="R5584">
        <f>IF(P5584&gt;0,$F$18*F5584/1000,0)</f>
        <v>0</v>
      </c>
      <c r="S5584" t="str">
        <v>)</v>
      </c>
      <c r="T5584" t="str">
        <v>x</v>
      </c>
      <c r="U5584">
        <f>0.006165*F5584^2</f>
        <v>1.57824</v>
      </c>
      <c r="X5584" t="str">
        <v>x</v>
      </c>
      <c r="Y5584">
        <f>D5581</f>
        <v>1</v>
      </c>
      <c r="Z5584" t="str">
        <v>=</v>
      </c>
      <c r="AA5584">
        <f>IF(AA5585=0,(D5584*N5584+P5584*R5584)*U5584*Y5584,0)</f>
        <v>0</v>
      </c>
    </row>
    <row r="5585">
      <c r="A5585" t="str">
        <f>A5575</f>
        <v>Lantai 3</v>
      </c>
      <c r="B5585">
        <f>B5575</f>
        <v>44</v>
      </c>
      <c r="D5585">
        <f>IF(AND(D5582=D5583,D5583=D5584,D5582=D5584),D5582,0)</f>
        <v>3</v>
      </c>
      <c r="E5585" t="str">
        <v>D</v>
      </c>
      <c r="F5585">
        <f>IF(AND(F5582=F5583,F5582=F5584,F5583=F5584),F5582,0)</f>
        <v>16</v>
      </c>
      <c r="L5585" t="str">
        <v>Total panjang per balok</v>
      </c>
      <c r="M5585" t="str">
        <v>=</v>
      </c>
      <c r="N5585">
        <f>IF(AND(D5582=D5583,D5582=D5584,D5583=D5584,F5582=F5583,F5582=F5584,F5583=F5584),SUM(N5582:N5584),0)</f>
        <v>13.134</v>
      </c>
      <c r="O5585" t="str">
        <v>+</v>
      </c>
      <c r="P5585">
        <f>IF(N5585&gt;12,ROUNDDOWN(N5585/12,0),0)</f>
        <v>1</v>
      </c>
      <c r="Q5585" t="str">
        <v>x</v>
      </c>
      <c r="R5585">
        <f>IF(P5585&gt;0,MAX(VLOOKUP(F5585,$D$6:$G$15,3,FALSE),600),0)/1000</f>
        <v>0.8</v>
      </c>
      <c r="T5585" t="str">
        <v>x</v>
      </c>
      <c r="U5585">
        <f>U5584</f>
        <v>1.57824</v>
      </c>
      <c r="V5585" t="str">
        <v>x</v>
      </c>
      <c r="W5585">
        <f>D5585</f>
        <v>3</v>
      </c>
      <c r="X5585" t="str">
        <v>x</v>
      </c>
      <c r="Y5585">
        <f>Y5584</f>
        <v>1</v>
      </c>
      <c r="Z5585" t="str">
        <v>=</v>
      </c>
      <c r="AA5585">
        <f>(N5585+P5585*R5585/1000)*U5585*W5585*Y5585</f>
        <v>62.189600256000006</v>
      </c>
    </row>
    <row r="5587">
      <c r="A5587" t="str">
        <f>A5575</f>
        <v>Lantai 3</v>
      </c>
      <c r="B5587">
        <f>B5575</f>
        <v>44</v>
      </c>
      <c r="C5587" t="str">
        <v>Tul Peminggang</v>
      </c>
      <c r="D5587">
        <f>VLOOKUP(D5575,'Detail Balok'!$C$10:$AU$140,13,FALSE)</f>
        <v>0</v>
      </c>
      <c r="E5587" t="str">
        <v>D</v>
      </c>
      <c r="F5587">
        <f>VLOOKUP(D5575,'Detail Balok'!$C$10:$AU$140,15,FALSE)</f>
        <v>8</v>
      </c>
      <c r="J5587">
        <f>+D5577/1000</f>
        <v>12.75</v>
      </c>
      <c r="K5587" t="str">
        <v>+</v>
      </c>
      <c r="L5587">
        <f>2*$F$16*F5587/1000</f>
        <v>0.192</v>
      </c>
      <c r="M5587" t="str">
        <v>=</v>
      </c>
      <c r="N5587">
        <f>J5587+L5587</f>
        <v>12.942</v>
      </c>
      <c r="O5587" t="str">
        <v>+</v>
      </c>
      <c r="P5587">
        <f>IF(N5587&gt;12,ROUNDDOWN(N5587/12,0),0)</f>
        <v>1</v>
      </c>
      <c r="Q5587" t="str">
        <v>x</v>
      </c>
      <c r="R5587">
        <f>IF(P5587&gt;0,MAX(VLOOKUP(F5587,$D$6:$G$15,3,FALSE),600),0)/1000</f>
        <v>0.6</v>
      </c>
      <c r="T5587" t="str">
        <v>x</v>
      </c>
      <c r="U5587">
        <f>0.006165*F5587^2</f>
        <v>0.39456</v>
      </c>
      <c r="V5587" t="str">
        <v>x</v>
      </c>
      <c r="W5587">
        <f>+D5587</f>
        <v>0</v>
      </c>
      <c r="X5587" t="str">
        <v>x</v>
      </c>
      <c r="Y5587">
        <f>D5581</f>
        <v>1</v>
      </c>
      <c r="Z5587" t="str">
        <v>=</v>
      </c>
      <c r="AA5587">
        <f>(N5587+P5587*R5587/1000)*U5587*W5587*Y5587</f>
        <v>0</v>
      </c>
    </row>
    <row r="5590">
      <c r="A5590" t="str">
        <f>A5575</f>
        <v>Lantai 3</v>
      </c>
      <c r="B5590">
        <f>B5575</f>
        <v>44</v>
      </c>
      <c r="C5590" t="str">
        <v>Tul Bawah Tumpuan</v>
      </c>
      <c r="D5590">
        <f>VLOOKUP(D5575,'Detail Balok'!$C$10:$AU$140,22,FALSE)</f>
        <v>3</v>
      </c>
      <c r="E5590" t="str">
        <v>D</v>
      </c>
      <c r="F5590">
        <f>VLOOKUP(D5575,'Detail Balok'!$C$10:$AU$140,24,FALSE)</f>
        <v>16</v>
      </c>
      <c r="I5590" t="str">
        <v>(</v>
      </c>
      <c r="J5590">
        <f>+J5582</f>
        <v>3.1875</v>
      </c>
      <c r="K5590" t="str">
        <v>+</v>
      </c>
      <c r="L5590">
        <f>MAX(VLOOKUP(F5590,N$6:P$15,3,FALSE)/1000,2/3*D5580/1000)+F$16*F5590/1000</f>
        <v>0.192</v>
      </c>
      <c r="M5590" t="str">
        <v>=</v>
      </c>
      <c r="N5590">
        <f>J5590+L5590</f>
        <v>3.3795</v>
      </c>
      <c r="O5590" t="str">
        <v>+</v>
      </c>
      <c r="P5590">
        <f>D5590-D5591</f>
        <v>0</v>
      </c>
      <c r="Q5590" t="str">
        <v>x</v>
      </c>
      <c r="R5590">
        <f>IF(P5590&gt;0,$F$18*F5590/1000,0)</f>
        <v>0</v>
      </c>
      <c r="S5590" t="str">
        <v>)</v>
      </c>
      <c r="T5590" t="str">
        <v>x</v>
      </c>
      <c r="U5590">
        <f>0.006165*F5590^2</f>
        <v>1.57824</v>
      </c>
      <c r="X5590" t="str">
        <v>x</v>
      </c>
      <c r="Y5590">
        <f>D5581</f>
        <v>1</v>
      </c>
      <c r="Z5590" t="str">
        <v>=</v>
      </c>
      <c r="AA5590">
        <f>IF(AA5593=0,(D5590*N5590+P5590*R5590)*U5590*Y5590,0)</f>
        <v>0</v>
      </c>
    </row>
    <row r="5591">
      <c r="A5591" t="str">
        <f>A5575</f>
        <v>Lantai 3</v>
      </c>
      <c r="B5591">
        <f>B5575</f>
        <v>44</v>
      </c>
      <c r="C5591" t="str">
        <v>Tul Bawah Lapangan</v>
      </c>
      <c r="D5591">
        <f>VLOOKUP(D5575,'Detail Balok'!$C$10:$AU$140,25,FALSE)</f>
        <v>3</v>
      </c>
      <c r="E5591" t="str">
        <v>D</v>
      </c>
      <c r="F5591">
        <f>VLOOKUP(D5575,'Detail Balok'!$C$10:$AU$140,27,FALSE)</f>
        <v>16</v>
      </c>
      <c r="I5591" t="str">
        <v>(</v>
      </c>
      <c r="J5591">
        <f>+J5583</f>
        <v>6.375</v>
      </c>
      <c r="K5591" t="str">
        <v>+</v>
      </c>
      <c r="M5591" t="str">
        <v>=</v>
      </c>
      <c r="N5591">
        <f>J5591+L5591</f>
        <v>6.375</v>
      </c>
      <c r="O5591" t="str">
        <v>+</v>
      </c>
      <c r="P5591">
        <f>MAX(D5591-D5590,D5591-D5592)</f>
        <v>0</v>
      </c>
      <c r="Q5591" t="str">
        <v>x</v>
      </c>
      <c r="R5591">
        <f>IF(P5591&gt;0,2*(1-2*$F$19-1/2)*D5578/1000,0)</f>
        <v>0</v>
      </c>
      <c r="S5591" t="str">
        <v>)</v>
      </c>
      <c r="T5591" t="str">
        <v>x</v>
      </c>
      <c r="U5591">
        <f>0.006165*F5591^2</f>
        <v>1.57824</v>
      </c>
      <c r="X5591" t="str">
        <v>x</v>
      </c>
      <c r="Y5591">
        <f>D5581</f>
        <v>1</v>
      </c>
      <c r="Z5591" t="str">
        <v>=</v>
      </c>
      <c r="AA5591">
        <f>IF(AA5593=0,(D5591*N5591+P5591*R5591)*U5591*Y5591,0)</f>
        <v>0</v>
      </c>
    </row>
    <row r="5592">
      <c r="A5592" t="str">
        <f>A5575</f>
        <v>Lantai 3</v>
      </c>
      <c r="B5592">
        <f>B5575</f>
        <v>44</v>
      </c>
      <c r="C5592" t="str">
        <v>Tul Bawah Tumpuan</v>
      </c>
      <c r="D5592">
        <f>VLOOKUP(D5575,'Detail Balok'!$C$10:$AU$140,28,FALSE)</f>
        <v>3</v>
      </c>
      <c r="E5592" t="str">
        <v>D</v>
      </c>
      <c r="F5592">
        <f>VLOOKUP(D5575,'Detail Balok'!$C$10:$AU$140,30,FALSE)</f>
        <v>16</v>
      </c>
      <c r="I5592" t="str">
        <v>(</v>
      </c>
      <c r="J5592">
        <f>+J5584</f>
        <v>3.1875</v>
      </c>
      <c r="K5592" t="str">
        <v>+</v>
      </c>
      <c r="L5592">
        <f>MAX(VLOOKUP(F5592,N$6:P$15,3,FALSE)/1000,2/3*D5580/1000)+F$16*F5592/1000</f>
        <v>0.192</v>
      </c>
      <c r="M5592" t="str">
        <v>=</v>
      </c>
      <c r="N5592">
        <f>J5592+L5592</f>
        <v>3.3795</v>
      </c>
      <c r="O5592" t="str">
        <v>+</v>
      </c>
      <c r="P5592">
        <f>D5592-D5591</f>
        <v>0</v>
      </c>
      <c r="Q5592" t="str">
        <v>x</v>
      </c>
      <c r="R5592">
        <f>IF(P5592&gt;0,$F$18*F5592/1000,0)</f>
        <v>0</v>
      </c>
      <c r="S5592" t="str">
        <v>)</v>
      </c>
      <c r="T5592" t="str">
        <v>x</v>
      </c>
      <c r="U5592">
        <f>0.006165*F5592^2</f>
        <v>1.57824</v>
      </c>
      <c r="X5592" t="str">
        <v>x</v>
      </c>
      <c r="Y5592">
        <f>D5581</f>
        <v>1</v>
      </c>
      <c r="Z5592" t="str">
        <v>=</v>
      </c>
      <c r="AA5592">
        <f>IF(AA5593=0,(D5592*N5592+P5592*R5592)*U5592*Y5592,0)</f>
        <v>0</v>
      </c>
    </row>
    <row r="5593">
      <c r="A5593" t="str">
        <f>A5575</f>
        <v>Lantai 3</v>
      </c>
      <c r="B5593">
        <f>B5575</f>
        <v>44</v>
      </c>
      <c r="D5593">
        <f>IF(AND(D5590=D5591,D5591=D5592,D5590=D5592),D5590,0)</f>
        <v>3</v>
      </c>
      <c r="E5593" t="str">
        <v>D</v>
      </c>
      <c r="F5593">
        <f>IF(AND(F5590=F5591,F5590=F5592,F5591=F5592),F5590,0)</f>
        <v>16</v>
      </c>
      <c r="L5593" t="str">
        <v>Total panjang per balok</v>
      </c>
      <c r="M5593" t="str">
        <v>=</v>
      </c>
      <c r="N5593">
        <f>IF(AND(D5590=D5591,D5590=D5592,D5591=D5592,F5590=F5591,F5590=F5592,F5591=F5592),SUM(N5590:N5592),0)</f>
        <v>13.134</v>
      </c>
      <c r="O5593" t="str">
        <v>+</v>
      </c>
      <c r="P5593">
        <f>IF(N5593&gt;12,ROUNDDOWN(N5593/12,0),0)</f>
        <v>1</v>
      </c>
      <c r="Q5593" t="str">
        <v>x</v>
      </c>
      <c r="R5593">
        <f>IF(P5593&gt;0,MAX(VLOOKUP(F5593,$D$6:$G$15,3,FALSE),600),0)/1000</f>
        <v>0.8</v>
      </c>
      <c r="T5593" t="str">
        <v>x</v>
      </c>
      <c r="U5593">
        <f>U5592</f>
        <v>1.57824</v>
      </c>
      <c r="V5593" t="str">
        <v>x</v>
      </c>
      <c r="W5593">
        <f>D5593</f>
        <v>3</v>
      </c>
      <c r="X5593" t="str">
        <v>x</v>
      </c>
      <c r="Y5593">
        <f>Y5592</f>
        <v>1</v>
      </c>
      <c r="Z5593" t="str">
        <v>=</v>
      </c>
      <c r="AA5593">
        <f>(N5593+P5593*R5593/1000)*U5593*W5593*Y5593</f>
        <v>62.189600256000006</v>
      </c>
    </row>
    <row r="5595">
      <c r="A5595" t="str">
        <f>A5575</f>
        <v>Lantai 3</v>
      </c>
      <c r="B5595">
        <f>B5575</f>
        <v>44</v>
      </c>
      <c r="C5595" t="str">
        <v>Sengkang Tumpuan</v>
      </c>
      <c r="D5595">
        <f>VLOOKUP(D5575,'Detail Balok'!$C$10:$AU$140,31,FALSE)</f>
        <v>0</v>
      </c>
      <c r="E5595" t="str">
        <v>D</v>
      </c>
      <c r="F5595">
        <f>VLOOKUP(D5575,'Detail Balok'!$C$10:$AU$140,33,FALSE)</f>
        <v>10</v>
      </c>
      <c r="G5595" t="str">
        <v>-</v>
      </c>
      <c r="H5595">
        <f>VLOOKUP(D5575,'Detail Balok'!$C$10:$AU$140,35,FALSE)</f>
        <v>100</v>
      </c>
      <c r="J5595">
        <f>(IF(D5595=0,(2*(D5576+G5576))-(F$5*8),IF(D5595=3,(2*(D5576+G5576))-(F$5*8)+(G5576-2*F$5),IF(D5595=4,(2*(D5576+G5576))-(F$5*8)+2*(G5576-2*F$5)))))/1000</f>
        <v>0.88</v>
      </c>
      <c r="K5595" t="str">
        <v>+</v>
      </c>
      <c r="L5595">
        <f>IF(D5595=0,2*MAX(6*F5595,75),(D5595-1)*2*MAX(6*F5595,75))/1000</f>
        <v>0.15</v>
      </c>
      <c r="M5595" t="str">
        <v>=</v>
      </c>
      <c r="N5595">
        <f>J5595+L5595</f>
        <v>1.03</v>
      </c>
      <c r="T5595" t="str">
        <v>x</v>
      </c>
      <c r="U5595">
        <f>0.006165*F5595^2</f>
        <v>0.6165</v>
      </c>
      <c r="V5595" t="str">
        <v>x</v>
      </c>
      <c r="W5595">
        <f>IF(D5578&gt;4*G5576,ROUND(MAX(D5578/4,2*G5576)/H5595,0)+1,ROUND(D5578/H5595,0)+1)</f>
        <v>33</v>
      </c>
      <c r="X5595" t="str">
        <v>x</v>
      </c>
      <c r="Y5595">
        <f>D5581</f>
        <v>1</v>
      </c>
      <c r="Z5595" t="str">
        <v>=</v>
      </c>
      <c r="AA5595">
        <f>N5595*U5595*W5595*Y5595</f>
        <v>20.954835000000003</v>
      </c>
    </row>
    <row r="5596">
      <c r="A5596" t="str">
        <f>A5575</f>
        <v>Lantai 3</v>
      </c>
      <c r="B5596">
        <f>B5575</f>
        <v>44</v>
      </c>
      <c r="C5596" t="str">
        <v>Sengkang Lapangan</v>
      </c>
      <c r="D5596">
        <f>VLOOKUP(D5575,'Detail Balok'!$C$10:$AU$140,36,FALSE)</f>
        <v>0</v>
      </c>
      <c r="E5596" t="str">
        <v>D</v>
      </c>
      <c r="F5596">
        <f>VLOOKUP(D5575,'Detail Balok'!$C$10:$AU$140,38,FALSE)</f>
        <v>10</v>
      </c>
      <c r="G5596" t="str">
        <v>-</v>
      </c>
      <c r="H5596">
        <f>VLOOKUP(D5575,'Detail Balok'!$C$10:$AU$140,40,FALSE)</f>
        <v>200</v>
      </c>
      <c r="J5596">
        <f>(IF(D5596=0,(2*(D5576+G5576))-(F$5*8),IF(D5596=3,(2*(D5576+G5576))-(F$5*8)+(G5576-2*F$5),IF(D5596=4,(2*(D5576+G5576))-(F$5*8)+2*(G5576-2*F$5)))))/1000</f>
        <v>0.88</v>
      </c>
      <c r="K5596" t="str">
        <v>+</v>
      </c>
      <c r="L5596">
        <f>IF(D5596=0,2*MAX(6*F5596,75),(D5596-1)*2*MAX(6*F5596,75))/1000</f>
        <v>0.15</v>
      </c>
      <c r="M5596" t="str">
        <v>=</v>
      </c>
      <c r="N5596">
        <f>J5596+L5596</f>
        <v>1.03</v>
      </c>
      <c r="T5596" t="str">
        <v>x</v>
      </c>
      <c r="U5596">
        <f>0.006165*F5596^2</f>
        <v>0.6165</v>
      </c>
      <c r="V5596" t="str">
        <v>x</v>
      </c>
      <c r="W5596">
        <f>IF(D5578-MAX(D5578/4,2*G5576)*2&gt;0,ROUND((D5578-MAX(D5578/4,2*G5576)*2)/H5596,0),0)</f>
        <v>32</v>
      </c>
      <c r="X5596" t="str">
        <v>x</v>
      </c>
      <c r="Y5596">
        <f>D5581</f>
        <v>1</v>
      </c>
      <c r="Z5596" t="str">
        <v>=</v>
      </c>
      <c r="AA5596">
        <f>N5596*U5596*W5596*Y5596</f>
        <v>20.319840000000003</v>
      </c>
    </row>
    <row r="5597">
      <c r="A5597" t="str">
        <f>A5575</f>
        <v>Lantai 3</v>
      </c>
      <c r="B5597">
        <f>B5575</f>
        <v>44</v>
      </c>
      <c r="C5597" t="str">
        <v>Sengkang Tumpuan</v>
      </c>
      <c r="D5597">
        <f>VLOOKUP(D5575,'Detail Balok'!$C$10:$AU$140,41,FALSE)</f>
        <v>0</v>
      </c>
      <c r="E5597" t="str">
        <v>D</v>
      </c>
      <c r="F5597">
        <f>VLOOKUP(D5575,'Detail Balok'!$C$10:$AU$140,43,FALSE)</f>
        <v>10</v>
      </c>
      <c r="G5597" t="str">
        <v>-</v>
      </c>
      <c r="H5597">
        <f>VLOOKUP(D5575,'Detail Balok'!$C$10:$AU$140,45,FALSE)</f>
        <v>100</v>
      </c>
      <c r="J5597">
        <f>(IF(D5597=0,(2*(D5576+G5576))-(F$5*8),IF(D5597=3,(2*(D5576+G5576))-(F$5*8)+(G5576-2*F$5),IF(D5597=4,(2*(D5576+G5576))-(F$5*8)+2*(G5576-2*F$5)))))/1000</f>
        <v>0.88</v>
      </c>
      <c r="K5597" t="str">
        <v>+</v>
      </c>
      <c r="L5597">
        <f>IF(D5597=0,2*MAX(6*F5597,75),(D5597-1)*2*MAX(6*F5597,75))/1000</f>
        <v>0.15</v>
      </c>
      <c r="M5597" t="str">
        <v>=</v>
      </c>
      <c r="N5597">
        <f>J5597+L5597</f>
        <v>1.03</v>
      </c>
      <c r="T5597" t="str">
        <v>x</v>
      </c>
      <c r="U5597">
        <f>0.006165*F5597^2</f>
        <v>0.6165</v>
      </c>
      <c r="V5597" t="str">
        <v>x</v>
      </c>
      <c r="W5597">
        <f>IF(D5578&gt;4*G5576,ROUND(MAX(D5578/4,2*G5576)/H5597,0)+1,0)</f>
        <v>33</v>
      </c>
      <c r="X5597" t="str">
        <v>x</v>
      </c>
      <c r="Y5597">
        <f>D5581</f>
        <v>1</v>
      </c>
      <c r="Z5597" t="str">
        <v>=</v>
      </c>
      <c r="AA5597">
        <f>N5597*U5597*W5597*Y5597</f>
        <v>20.954835000000003</v>
      </c>
    </row>
    <row r="5599">
      <c r="A5599" t="str">
        <f>A5575</f>
        <v>Lantai 3</v>
      </c>
      <c r="B5599">
        <f>B5575</f>
        <v>44</v>
      </c>
      <c r="C5599" t="str">
        <v>Kait Horizontal Tump.</v>
      </c>
      <c r="D5599">
        <f>VLOOKUP(D5575,'Detail Balok'!$C$10:$BJ$140,46,FALSE)</f>
        <v>0</v>
      </c>
      <c r="E5599" t="str">
        <v>D</v>
      </c>
      <c r="F5599">
        <f>VLOOKUP(D5575,'Detail Balok'!$C$10:$BJ$140,48,FALSE)</f>
        <v>0</v>
      </c>
      <c r="G5599" t="str">
        <v>-</v>
      </c>
      <c r="H5599">
        <f>VLOOKUP(D5575,'Detail Balok'!$C$10:$BJ$140,50,FALSE)</f>
        <v>100</v>
      </c>
      <c r="J5599">
        <f>(D5576-2*F$5)/1000</f>
        <v>0.12</v>
      </c>
      <c r="K5599" t="str">
        <v>+</v>
      </c>
      <c r="L5599">
        <f>IF(D5599=0,2*MAX(6*F5599,75),(D5599-1)*2*MAX(6*F5599,75))/1000</f>
        <v>0.15</v>
      </c>
      <c r="M5599" t="str">
        <v>=</v>
      </c>
      <c r="N5599">
        <f>J5599+L5599</f>
        <v>0.27</v>
      </c>
      <c r="T5599" t="str">
        <v>x</v>
      </c>
      <c r="U5599">
        <f>0.006165*F5599^2</f>
        <v>0</v>
      </c>
      <c r="V5599" t="str">
        <v>x</v>
      </c>
      <c r="W5599">
        <f>W5595</f>
        <v>33</v>
      </c>
      <c r="X5599" t="str">
        <v>x</v>
      </c>
      <c r="Y5599">
        <f>D5585</f>
        <v>3</v>
      </c>
      <c r="Z5599" t="str">
        <v>=</v>
      </c>
      <c r="AA5599">
        <f>N5599*U5599*W5599*Y5599</f>
        <v>0</v>
      </c>
    </row>
    <row r="5600">
      <c r="A5600" t="str">
        <f>A5575</f>
        <v>Lantai 3</v>
      </c>
      <c r="B5600">
        <f>B5575</f>
        <v>44</v>
      </c>
      <c r="C5600" t="str">
        <v>Kait Horizontal Lap.</v>
      </c>
      <c r="D5600">
        <f>VLOOKUP(D5575,'Detail Balok'!$C$10:$BJ$140,51,FALSE)</f>
        <v>0</v>
      </c>
      <c r="E5600" t="str">
        <v>D</v>
      </c>
      <c r="F5600">
        <f>VLOOKUP(D5575,'Detail Balok'!$C$10:$BJ$140,53,FALSE)</f>
        <v>0</v>
      </c>
      <c r="G5600" t="str">
        <v>-</v>
      </c>
      <c r="H5600">
        <f>VLOOKUP(D5575,'Detail Balok'!$C$10:$BJ$140,55,FALSE)</f>
        <v>100</v>
      </c>
      <c r="J5600">
        <f>(D5576-2*F$5)/1000</f>
        <v>0.12</v>
      </c>
      <c r="K5600" t="str">
        <v>+</v>
      </c>
      <c r="L5600">
        <f>IF(D5600=0,2*MAX(6*F5600,75),(D5600-1)*2*MAX(6*F5600,75))/1000</f>
        <v>0.15</v>
      </c>
      <c r="M5600" t="str">
        <v>=</v>
      </c>
      <c r="N5600">
        <f>J5600+L5600</f>
        <v>0.27</v>
      </c>
      <c r="T5600" t="str">
        <v>x</v>
      </c>
      <c r="U5600">
        <f>0.006165*F5600^2</f>
        <v>0</v>
      </c>
      <c r="V5600" t="str">
        <v>x</v>
      </c>
      <c r="W5600">
        <f>W5596</f>
        <v>32</v>
      </c>
      <c r="X5600" t="str">
        <v>x</v>
      </c>
      <c r="Y5600">
        <f>D5585</f>
        <v>3</v>
      </c>
      <c r="Z5600" t="str">
        <v>=</v>
      </c>
      <c r="AA5600">
        <f>N5600*U5600*W5600*Y5600</f>
        <v>0</v>
      </c>
    </row>
    <row r="5601">
      <c r="A5601" t="str">
        <f>A5575</f>
        <v>Lantai 3</v>
      </c>
      <c r="B5601">
        <f>B5575</f>
        <v>44</v>
      </c>
      <c r="C5601" t="str">
        <v>Kait Horizontal Tump.</v>
      </c>
      <c r="D5601">
        <f>VLOOKUP(D5575,'Detail Balok'!$C$10:$BJ$140,56,FALSE)</f>
        <v>0</v>
      </c>
      <c r="E5601" t="str">
        <v>D</v>
      </c>
      <c r="F5601">
        <f>VLOOKUP(D5575,'Detail Balok'!$C$10:$BJ$140,58,FALSE)</f>
        <v>0</v>
      </c>
      <c r="G5601" t="str">
        <v>-</v>
      </c>
      <c r="H5601">
        <f>VLOOKUP(D5575,'Detail Balok'!$C$10:$BJ$140,60,FALSE)</f>
        <v>100</v>
      </c>
      <c r="J5601">
        <f>(D5576-2*F$5)/1000</f>
        <v>0.12</v>
      </c>
      <c r="K5601" t="str">
        <v>+</v>
      </c>
      <c r="L5601">
        <f>IF(D5601=0,2*MAX(6*F5601,75),(D5601-1)*2*MAX(6*F5601,75))/1000</f>
        <v>0.15</v>
      </c>
      <c r="M5601" t="str">
        <v>=</v>
      </c>
      <c r="N5601">
        <f>J5601+L5601</f>
        <v>0.27</v>
      </c>
      <c r="T5601" t="str">
        <v>x</v>
      </c>
      <c r="U5601">
        <f>0.006165*F5601^2</f>
        <v>0</v>
      </c>
      <c r="V5601" t="str">
        <v>x</v>
      </c>
      <c r="W5601">
        <f>W5597</f>
        <v>33</v>
      </c>
      <c r="X5601" t="str">
        <v>x</v>
      </c>
      <c r="Y5601">
        <f>D5585</f>
        <v>3</v>
      </c>
      <c r="Z5601" t="str">
        <v>=</v>
      </c>
      <c r="AA5601">
        <f>N5601*U5601*W5601*Y5601</f>
        <v>0</v>
      </c>
    </row>
    <row r="5605">
      <c r="A5605" t="str">
        <f>A5575</f>
        <v>Lantai 3</v>
      </c>
      <c r="B5605">
        <f>B5575+1</f>
        <v>45</v>
      </c>
      <c r="C5605" t="str">
        <f>CONCATENATE(A5605," no. ",B5605)</f>
        <v>Lantai 3 no. 45</v>
      </c>
      <c r="D5605" t="str">
        <f>VLOOKUP(C5605,'Data Panjang Balok'!$C$9:$N$254,2,FALSE)</f>
        <v>B24-2</v>
      </c>
    </row>
    <row r="5606">
      <c r="C5606" t="str">
        <v>Dimensi</v>
      </c>
      <c r="D5606">
        <f>VLOOKUP(D5605,'Detail Balok'!$C$10:$AU$140,2,FALSE)</f>
        <v>200</v>
      </c>
      <c r="F5606" t="str">
        <v>x</v>
      </c>
      <c r="G5606">
        <f>VLOOKUP(D5605,'Detail Balok'!$C$10:$AU$140,3,FALSE)</f>
        <v>400</v>
      </c>
    </row>
    <row r="5607">
      <c r="C5607" t="str">
        <v>Panjang as ke as</v>
      </c>
      <c r="D5607">
        <f>VLOOKUP(C5605,'Data Panjang Balok'!$C$9:$N$254,4,FALSE)</f>
        <v>12750</v>
      </c>
    </row>
    <row r="5608">
      <c r="C5608" t="str">
        <v>Panjang netto</v>
      </c>
      <c r="D5608">
        <f>VLOOKUP(C5605,'Data Panjang Balok'!$C$9:$N$254,7,FALSE)</f>
        <v>12750</v>
      </c>
    </row>
    <row r="5609">
      <c r="C5609" t="str">
        <v>Kolom / balok kiri</v>
      </c>
      <c r="D5609">
        <f>VLOOKUP(C5605,'Data Panjang Balok'!$C$9:$N$254,9,FALSE)</f>
        <v>0</v>
      </c>
    </row>
    <row r="5610">
      <c r="C5610" t="str">
        <v>Kolom / balok kanan</v>
      </c>
      <c r="D5610">
        <f>VLOOKUP(C5605,'Data Panjang Balok'!$C$9:$N$254,10,FALSE)</f>
        <v>0</v>
      </c>
    </row>
    <row r="5611">
      <c r="C5611" t="str">
        <v>Jumlah</v>
      </c>
      <c r="D5611">
        <f>VLOOKUP(C5605,'Data Panjang Balok'!$C$9:$N$254,3,FALSE)</f>
        <v>1</v>
      </c>
    </row>
    <row r="5612">
      <c r="A5612" t="str">
        <f>A5605</f>
        <v>Lantai 3</v>
      </c>
      <c r="B5612">
        <f>B5605</f>
        <v>45</v>
      </c>
      <c r="C5612" t="str">
        <v>Tul Atas Tumpuan</v>
      </c>
      <c r="D5612">
        <f>VLOOKUP(D5605,'Detail Balok'!$C$10:$AU$140,4,FALSE)</f>
        <v>3</v>
      </c>
      <c r="E5612" t="str">
        <v>D</v>
      </c>
      <c r="F5612">
        <f>VLOOKUP(D5605,'Detail Balok'!$C$10:$AU$140,6,FALSE)</f>
        <v>16</v>
      </c>
      <c r="I5612" t="str">
        <v>(</v>
      </c>
      <c r="J5612">
        <f>+D5607/4/1000</f>
        <v>3.1875</v>
      </c>
      <c r="K5612" t="str">
        <v>+</v>
      </c>
      <c r="L5612">
        <f>MAX(VLOOKUP(F5612,N$6:P$15,3,FALSE)/1000,2/3*D5609/1000)+F$16*F5612/1000</f>
        <v>0.192</v>
      </c>
      <c r="M5612" t="str">
        <v>=</v>
      </c>
      <c r="N5612">
        <f>J5612+L5612</f>
        <v>3.3795</v>
      </c>
      <c r="O5612" t="str">
        <v>+</v>
      </c>
      <c r="P5612">
        <f>D5612-D5613</f>
        <v>0</v>
      </c>
      <c r="Q5612" t="str">
        <v>x</v>
      </c>
      <c r="R5612">
        <f>IF(P5612&gt;0,$F$18*F5612/1000,0)</f>
        <v>0</v>
      </c>
      <c r="S5612" t="str">
        <v>)</v>
      </c>
      <c r="T5612" t="str">
        <v>x</v>
      </c>
      <c r="U5612">
        <f>0.006165*F5612^2</f>
        <v>1.57824</v>
      </c>
      <c r="X5612" t="str">
        <v>x</v>
      </c>
      <c r="Y5612">
        <f>D5611</f>
        <v>1</v>
      </c>
      <c r="Z5612" t="str">
        <v>=</v>
      </c>
      <c r="AA5612">
        <f>IF(AA5615=0,(D5612*N5612+P5612*R5612)*U5612*Y5612,0)</f>
        <v>0</v>
      </c>
    </row>
    <row r="5613">
      <c r="A5613" t="str">
        <f>A5605</f>
        <v>Lantai 3</v>
      </c>
      <c r="B5613">
        <f>B5605</f>
        <v>45</v>
      </c>
      <c r="C5613" t="str">
        <v>Tul Atas Lapangan</v>
      </c>
      <c r="D5613">
        <f>VLOOKUP(D5605,'Detail Balok'!$C$10:$AU$140,7,FALSE)</f>
        <v>3</v>
      </c>
      <c r="E5613" t="str">
        <v>D</v>
      </c>
      <c r="F5613">
        <f>VLOOKUP(D5605,'Detail Balok'!$C$10:$AU$140,9,FALSE)</f>
        <v>16</v>
      </c>
      <c r="I5613" t="str">
        <v>(</v>
      </c>
      <c r="J5613">
        <f>+D5607/2/1000</f>
        <v>6.375</v>
      </c>
      <c r="K5613" t="str">
        <v>+</v>
      </c>
      <c r="M5613" t="str">
        <v>=</v>
      </c>
      <c r="N5613">
        <f>J5613+L5613</f>
        <v>6.375</v>
      </c>
      <c r="O5613" t="str">
        <v>+</v>
      </c>
      <c r="P5613">
        <f>MAX(D5613-D5612,D5613-D5614)</f>
        <v>0</v>
      </c>
      <c r="Q5613" t="str">
        <v>x</v>
      </c>
      <c r="R5613">
        <f>IF(P5613&gt;0,2*(1-2*$F$19-1/2)*D5608/1000,0)</f>
        <v>0</v>
      </c>
      <c r="S5613" t="str">
        <v>)</v>
      </c>
      <c r="T5613" t="str">
        <v>x</v>
      </c>
      <c r="U5613">
        <f>0.006165*F5613^2</f>
        <v>1.57824</v>
      </c>
      <c r="X5613" t="str">
        <v>x</v>
      </c>
      <c r="Y5613">
        <f>D5611</f>
        <v>1</v>
      </c>
      <c r="Z5613" t="str">
        <v>=</v>
      </c>
      <c r="AA5613">
        <f>IF(AA5615=0,(D5613*N5613+P5613*R5613)*U5613*Y5613,0)</f>
        <v>0</v>
      </c>
    </row>
    <row r="5614">
      <c r="A5614" t="str">
        <f>A5605</f>
        <v>Lantai 3</v>
      </c>
      <c r="B5614">
        <f>B5605</f>
        <v>45</v>
      </c>
      <c r="C5614" t="str">
        <v>Tul Atas Tumpuan</v>
      </c>
      <c r="D5614">
        <f>VLOOKUP(D5605,'Detail Balok'!$C$10:$AU$140,10,FALSE)</f>
        <v>3</v>
      </c>
      <c r="E5614" t="str">
        <v>D</v>
      </c>
      <c r="F5614">
        <f>VLOOKUP(D5605,'Detail Balok'!$C$10:$AU$140,12,FALSE)</f>
        <v>16</v>
      </c>
      <c r="I5614" t="str">
        <v>(</v>
      </c>
      <c r="J5614">
        <f>+D5607/4/1000</f>
        <v>3.1875</v>
      </c>
      <c r="K5614" t="str">
        <v>+</v>
      </c>
      <c r="L5614">
        <f>MAX(VLOOKUP(F5614,N$6:P$15,3,FALSE)/1000,2/3*D5609/1000)+F$16*F5614/1000</f>
        <v>0.192</v>
      </c>
      <c r="M5614" t="str">
        <v>=</v>
      </c>
      <c r="N5614">
        <f>J5614+L5614</f>
        <v>3.3795</v>
      </c>
      <c r="O5614" t="str">
        <v>+</v>
      </c>
      <c r="P5614">
        <f>D5614-D5613</f>
        <v>0</v>
      </c>
      <c r="Q5614" t="str">
        <v>x</v>
      </c>
      <c r="R5614">
        <f>IF(P5614&gt;0,$F$18*F5614/1000,0)</f>
        <v>0</v>
      </c>
      <c r="S5614" t="str">
        <v>)</v>
      </c>
      <c r="T5614" t="str">
        <v>x</v>
      </c>
      <c r="U5614">
        <f>0.006165*F5614^2</f>
        <v>1.57824</v>
      </c>
      <c r="X5614" t="str">
        <v>x</v>
      </c>
      <c r="Y5614">
        <f>D5611</f>
        <v>1</v>
      </c>
      <c r="Z5614" t="str">
        <v>=</v>
      </c>
      <c r="AA5614">
        <f>IF(AA5615=0,(D5614*N5614+P5614*R5614)*U5614*Y5614,0)</f>
        <v>0</v>
      </c>
    </row>
    <row r="5615">
      <c r="A5615" t="str">
        <f>A5605</f>
        <v>Lantai 3</v>
      </c>
      <c r="B5615">
        <f>B5605</f>
        <v>45</v>
      </c>
      <c r="D5615">
        <f>IF(AND(D5612=D5613,D5613=D5614,D5612=D5614),D5612,0)</f>
        <v>3</v>
      </c>
      <c r="E5615" t="str">
        <v>D</v>
      </c>
      <c r="F5615">
        <f>IF(AND(F5612=F5613,F5612=F5614,F5613=F5614),F5612,0)</f>
        <v>16</v>
      </c>
      <c r="L5615" t="str">
        <v>Total panjang per balok</v>
      </c>
      <c r="M5615" t="str">
        <v>=</v>
      </c>
      <c r="N5615">
        <f>IF(AND(D5612=D5613,D5612=D5614,D5613=D5614,F5612=F5613,F5612=F5614,F5613=F5614),SUM(N5612:N5614),0)</f>
        <v>13.134</v>
      </c>
      <c r="O5615" t="str">
        <v>+</v>
      </c>
      <c r="P5615">
        <f>IF(N5615&gt;12,ROUNDDOWN(N5615/12,0),0)</f>
        <v>1</v>
      </c>
      <c r="Q5615" t="str">
        <v>x</v>
      </c>
      <c r="R5615">
        <f>IF(P5615&gt;0,MAX(VLOOKUP(F5615,$D$6:$G$15,3,FALSE),600),0)/1000</f>
        <v>0.8</v>
      </c>
      <c r="T5615" t="str">
        <v>x</v>
      </c>
      <c r="U5615">
        <f>U5614</f>
        <v>1.57824</v>
      </c>
      <c r="V5615" t="str">
        <v>x</v>
      </c>
      <c r="W5615">
        <f>D5615</f>
        <v>3</v>
      </c>
      <c r="X5615" t="str">
        <v>x</v>
      </c>
      <c r="Y5615">
        <f>Y5614</f>
        <v>1</v>
      </c>
      <c r="Z5615" t="str">
        <v>=</v>
      </c>
      <c r="AA5615">
        <f>(N5615+P5615*R5615/1000)*U5615*W5615*Y5615</f>
        <v>62.189600256000006</v>
      </c>
    </row>
    <row r="5617">
      <c r="A5617" t="str">
        <f>A5605</f>
        <v>Lantai 3</v>
      </c>
      <c r="B5617">
        <f>B5605</f>
        <v>45</v>
      </c>
      <c r="C5617" t="str">
        <v>Tul Peminggang</v>
      </c>
      <c r="D5617">
        <f>VLOOKUP(D5605,'Detail Balok'!$C$10:$AU$140,13,FALSE)</f>
        <v>0</v>
      </c>
      <c r="E5617" t="str">
        <v>D</v>
      </c>
      <c r="F5617">
        <f>VLOOKUP(D5605,'Detail Balok'!$C$10:$AU$140,15,FALSE)</f>
        <v>8</v>
      </c>
      <c r="J5617">
        <f>+D5607/1000</f>
        <v>12.75</v>
      </c>
      <c r="K5617" t="str">
        <v>+</v>
      </c>
      <c r="L5617">
        <f>2*$F$16*F5617/1000</f>
        <v>0.192</v>
      </c>
      <c r="M5617" t="str">
        <v>=</v>
      </c>
      <c r="N5617">
        <f>J5617+L5617</f>
        <v>12.942</v>
      </c>
      <c r="O5617" t="str">
        <v>+</v>
      </c>
      <c r="P5617">
        <f>IF(N5617&gt;12,ROUNDDOWN(N5617/12,0),0)</f>
        <v>1</v>
      </c>
      <c r="Q5617" t="str">
        <v>x</v>
      </c>
      <c r="R5617">
        <f>IF(P5617&gt;0,MAX(VLOOKUP(F5617,$D$6:$G$15,3,FALSE),600),0)/1000</f>
        <v>0.6</v>
      </c>
      <c r="T5617" t="str">
        <v>x</v>
      </c>
      <c r="U5617">
        <f>0.006165*F5617^2</f>
        <v>0.39456</v>
      </c>
      <c r="V5617" t="str">
        <v>x</v>
      </c>
      <c r="W5617">
        <f>+D5617</f>
        <v>0</v>
      </c>
      <c r="X5617" t="str">
        <v>x</v>
      </c>
      <c r="Y5617">
        <f>D5611</f>
        <v>1</v>
      </c>
      <c r="Z5617" t="str">
        <v>=</v>
      </c>
      <c r="AA5617">
        <f>(N5617+P5617*R5617/1000)*U5617*W5617*Y5617</f>
        <v>0</v>
      </c>
    </row>
    <row r="5620">
      <c r="A5620" t="str">
        <f>A5605</f>
        <v>Lantai 3</v>
      </c>
      <c r="B5620">
        <f>B5605</f>
        <v>45</v>
      </c>
      <c r="C5620" t="str">
        <v>Tul Bawah Tumpuan</v>
      </c>
      <c r="D5620">
        <f>VLOOKUP(D5605,'Detail Balok'!$C$10:$AU$140,22,FALSE)</f>
        <v>3</v>
      </c>
      <c r="E5620" t="str">
        <v>D</v>
      </c>
      <c r="F5620">
        <f>VLOOKUP(D5605,'Detail Balok'!$C$10:$AU$140,24,FALSE)</f>
        <v>16</v>
      </c>
      <c r="I5620" t="str">
        <v>(</v>
      </c>
      <c r="J5620">
        <f>+J5612</f>
        <v>3.1875</v>
      </c>
      <c r="K5620" t="str">
        <v>+</v>
      </c>
      <c r="L5620">
        <f>MAX(VLOOKUP(F5620,N$6:P$15,3,FALSE)/1000,2/3*D5610/1000)+F$16*F5620/1000</f>
        <v>0.192</v>
      </c>
      <c r="M5620" t="str">
        <v>=</v>
      </c>
      <c r="N5620">
        <f>J5620+L5620</f>
        <v>3.3795</v>
      </c>
      <c r="O5620" t="str">
        <v>+</v>
      </c>
      <c r="P5620">
        <f>D5620-D5621</f>
        <v>0</v>
      </c>
      <c r="Q5620" t="str">
        <v>x</v>
      </c>
      <c r="R5620">
        <f>IF(P5620&gt;0,$F$18*F5620/1000,0)</f>
        <v>0</v>
      </c>
      <c r="S5620" t="str">
        <v>)</v>
      </c>
      <c r="T5620" t="str">
        <v>x</v>
      </c>
      <c r="U5620">
        <f>0.006165*F5620^2</f>
        <v>1.57824</v>
      </c>
      <c r="X5620" t="str">
        <v>x</v>
      </c>
      <c r="Y5620">
        <f>D5611</f>
        <v>1</v>
      </c>
      <c r="Z5620" t="str">
        <v>=</v>
      </c>
      <c r="AA5620">
        <f>IF(AA5623=0,(D5620*N5620+P5620*R5620)*U5620*Y5620,0)</f>
        <v>0</v>
      </c>
    </row>
    <row r="5621">
      <c r="A5621" t="str">
        <f>A5605</f>
        <v>Lantai 3</v>
      </c>
      <c r="B5621">
        <f>B5605</f>
        <v>45</v>
      </c>
      <c r="C5621" t="str">
        <v>Tul Bawah Lapangan</v>
      </c>
      <c r="D5621">
        <f>VLOOKUP(D5605,'Detail Balok'!$C$10:$AU$140,25,FALSE)</f>
        <v>3</v>
      </c>
      <c r="E5621" t="str">
        <v>D</v>
      </c>
      <c r="F5621">
        <f>VLOOKUP(D5605,'Detail Balok'!$C$10:$AU$140,27,FALSE)</f>
        <v>16</v>
      </c>
      <c r="I5621" t="str">
        <v>(</v>
      </c>
      <c r="J5621">
        <f>+J5613</f>
        <v>6.375</v>
      </c>
      <c r="K5621" t="str">
        <v>+</v>
      </c>
      <c r="M5621" t="str">
        <v>=</v>
      </c>
      <c r="N5621">
        <f>J5621+L5621</f>
        <v>6.375</v>
      </c>
      <c r="O5621" t="str">
        <v>+</v>
      </c>
      <c r="P5621">
        <f>MAX(D5621-D5620,D5621-D5622)</f>
        <v>0</v>
      </c>
      <c r="Q5621" t="str">
        <v>x</v>
      </c>
      <c r="R5621">
        <f>IF(P5621&gt;0,2*(1-2*$F$19-1/2)*D5608/1000,0)</f>
        <v>0</v>
      </c>
      <c r="S5621" t="str">
        <v>)</v>
      </c>
      <c r="T5621" t="str">
        <v>x</v>
      </c>
      <c r="U5621">
        <f>0.006165*F5621^2</f>
        <v>1.57824</v>
      </c>
      <c r="X5621" t="str">
        <v>x</v>
      </c>
      <c r="Y5621">
        <f>D5611</f>
        <v>1</v>
      </c>
      <c r="Z5621" t="str">
        <v>=</v>
      </c>
      <c r="AA5621">
        <f>IF(AA5623=0,(D5621*N5621+P5621*R5621)*U5621*Y5621,0)</f>
        <v>0</v>
      </c>
    </row>
    <row r="5622">
      <c r="A5622" t="str">
        <f>A5605</f>
        <v>Lantai 3</v>
      </c>
      <c r="B5622">
        <f>B5605</f>
        <v>45</v>
      </c>
      <c r="C5622" t="str">
        <v>Tul Bawah Tumpuan</v>
      </c>
      <c r="D5622">
        <f>VLOOKUP(D5605,'Detail Balok'!$C$10:$AU$140,28,FALSE)</f>
        <v>3</v>
      </c>
      <c r="E5622" t="str">
        <v>D</v>
      </c>
      <c r="F5622">
        <f>VLOOKUP(D5605,'Detail Balok'!$C$10:$AU$140,30,FALSE)</f>
        <v>16</v>
      </c>
      <c r="I5622" t="str">
        <v>(</v>
      </c>
      <c r="J5622">
        <f>+J5614</f>
        <v>3.1875</v>
      </c>
      <c r="K5622" t="str">
        <v>+</v>
      </c>
      <c r="L5622">
        <f>MAX(VLOOKUP(F5622,N$6:P$15,3,FALSE)/1000,2/3*D5610/1000)+F$16*F5622/1000</f>
        <v>0.192</v>
      </c>
      <c r="M5622" t="str">
        <v>=</v>
      </c>
      <c r="N5622">
        <f>J5622+L5622</f>
        <v>3.3795</v>
      </c>
      <c r="O5622" t="str">
        <v>+</v>
      </c>
      <c r="P5622">
        <f>D5622-D5621</f>
        <v>0</v>
      </c>
      <c r="Q5622" t="str">
        <v>x</v>
      </c>
      <c r="R5622">
        <f>IF(P5622&gt;0,$F$18*F5622/1000,0)</f>
        <v>0</v>
      </c>
      <c r="S5622" t="str">
        <v>)</v>
      </c>
      <c r="T5622" t="str">
        <v>x</v>
      </c>
      <c r="U5622">
        <f>0.006165*F5622^2</f>
        <v>1.57824</v>
      </c>
      <c r="X5622" t="str">
        <v>x</v>
      </c>
      <c r="Y5622">
        <f>D5611</f>
        <v>1</v>
      </c>
      <c r="Z5622" t="str">
        <v>=</v>
      </c>
      <c r="AA5622">
        <f>IF(AA5623=0,(D5622*N5622+P5622*R5622)*U5622*Y5622,0)</f>
        <v>0</v>
      </c>
    </row>
    <row r="5623">
      <c r="A5623" t="str">
        <f>A5605</f>
        <v>Lantai 3</v>
      </c>
      <c r="B5623">
        <f>B5605</f>
        <v>45</v>
      </c>
      <c r="D5623">
        <f>IF(AND(D5620=D5621,D5621=D5622,D5620=D5622),D5620,0)</f>
        <v>3</v>
      </c>
      <c r="E5623" t="str">
        <v>D</v>
      </c>
      <c r="F5623">
        <f>IF(AND(F5620=F5621,F5620=F5622,F5621=F5622),F5620,0)</f>
        <v>16</v>
      </c>
      <c r="L5623" t="str">
        <v>Total panjang per balok</v>
      </c>
      <c r="M5623" t="str">
        <v>=</v>
      </c>
      <c r="N5623">
        <f>IF(AND(D5620=D5621,D5620=D5622,D5621=D5622,F5620=F5621,F5620=F5622,F5621=F5622),SUM(N5620:N5622),0)</f>
        <v>13.134</v>
      </c>
      <c r="O5623" t="str">
        <v>+</v>
      </c>
      <c r="P5623">
        <f>IF(N5623&gt;12,ROUNDDOWN(N5623/12,0),0)</f>
        <v>1</v>
      </c>
      <c r="Q5623" t="str">
        <v>x</v>
      </c>
      <c r="R5623">
        <f>IF(P5623&gt;0,MAX(VLOOKUP(F5623,$D$6:$G$15,3,FALSE),600),0)/1000</f>
        <v>0.8</v>
      </c>
      <c r="T5623" t="str">
        <v>x</v>
      </c>
      <c r="U5623">
        <f>U5622</f>
        <v>1.57824</v>
      </c>
      <c r="V5623" t="str">
        <v>x</v>
      </c>
      <c r="W5623">
        <f>D5623</f>
        <v>3</v>
      </c>
      <c r="X5623" t="str">
        <v>x</v>
      </c>
      <c r="Y5623">
        <f>Y5622</f>
        <v>1</v>
      </c>
      <c r="Z5623" t="str">
        <v>=</v>
      </c>
      <c r="AA5623">
        <f>(N5623+P5623*R5623/1000)*U5623*W5623*Y5623</f>
        <v>62.189600256000006</v>
      </c>
    </row>
    <row r="5625">
      <c r="A5625" t="str">
        <f>A5605</f>
        <v>Lantai 3</v>
      </c>
      <c r="B5625">
        <f>B5605</f>
        <v>45</v>
      </c>
      <c r="C5625" t="str">
        <v>Sengkang Tumpuan</v>
      </c>
      <c r="D5625">
        <f>VLOOKUP(D5605,'Detail Balok'!$C$10:$AU$140,31,FALSE)</f>
        <v>0</v>
      </c>
      <c r="E5625" t="str">
        <v>D</v>
      </c>
      <c r="F5625">
        <f>VLOOKUP(D5605,'Detail Balok'!$C$10:$AU$140,33,FALSE)</f>
        <v>10</v>
      </c>
      <c r="G5625" t="str">
        <v>-</v>
      </c>
      <c r="H5625">
        <f>VLOOKUP(D5605,'Detail Balok'!$C$10:$AU$140,35,FALSE)</f>
        <v>100</v>
      </c>
      <c r="J5625">
        <f>(IF(D5625=0,(2*(D5606+G5606))-(F$5*8),IF(D5625=3,(2*(D5606+G5606))-(F$5*8)+(G5606-2*F$5),IF(D5625=4,(2*(D5606+G5606))-(F$5*8)+2*(G5606-2*F$5)))))/1000</f>
        <v>0.88</v>
      </c>
      <c r="K5625" t="str">
        <v>+</v>
      </c>
      <c r="L5625">
        <f>IF(D5625=0,2*MAX(6*F5625,75),(D5625-1)*2*MAX(6*F5625,75))/1000</f>
        <v>0.15</v>
      </c>
      <c r="M5625" t="str">
        <v>=</v>
      </c>
      <c r="N5625">
        <f>J5625+L5625</f>
        <v>1.03</v>
      </c>
      <c r="T5625" t="str">
        <v>x</v>
      </c>
      <c r="U5625">
        <f>0.006165*F5625^2</f>
        <v>0.6165</v>
      </c>
      <c r="V5625" t="str">
        <v>x</v>
      </c>
      <c r="W5625">
        <f>IF(D5608&gt;4*G5606,ROUND(MAX(D5608/4,2*G5606)/H5625,0)+1,ROUND(D5608/H5625,0)+1)</f>
        <v>33</v>
      </c>
      <c r="X5625" t="str">
        <v>x</v>
      </c>
      <c r="Y5625">
        <f>D5611</f>
        <v>1</v>
      </c>
      <c r="Z5625" t="str">
        <v>=</v>
      </c>
      <c r="AA5625">
        <f>N5625*U5625*W5625*Y5625</f>
        <v>20.954835000000003</v>
      </c>
    </row>
    <row r="5626">
      <c r="A5626" t="str">
        <f>A5605</f>
        <v>Lantai 3</v>
      </c>
      <c r="B5626">
        <f>B5605</f>
        <v>45</v>
      </c>
      <c r="C5626" t="str">
        <v>Sengkang Lapangan</v>
      </c>
      <c r="D5626">
        <f>VLOOKUP(D5605,'Detail Balok'!$C$10:$AU$140,36,FALSE)</f>
        <v>0</v>
      </c>
      <c r="E5626" t="str">
        <v>D</v>
      </c>
      <c r="F5626">
        <f>VLOOKUP(D5605,'Detail Balok'!$C$10:$AU$140,38,FALSE)</f>
        <v>10</v>
      </c>
      <c r="G5626" t="str">
        <v>-</v>
      </c>
      <c r="H5626">
        <f>VLOOKUP(D5605,'Detail Balok'!$C$10:$AU$140,40,FALSE)</f>
        <v>200</v>
      </c>
      <c r="J5626">
        <f>(IF(D5626=0,(2*(D5606+G5606))-(F$5*8),IF(D5626=3,(2*(D5606+G5606))-(F$5*8)+(G5606-2*F$5),IF(D5626=4,(2*(D5606+G5606))-(F$5*8)+2*(G5606-2*F$5)))))/1000</f>
        <v>0.88</v>
      </c>
      <c r="K5626" t="str">
        <v>+</v>
      </c>
      <c r="L5626">
        <f>IF(D5626=0,2*MAX(6*F5626,75),(D5626-1)*2*MAX(6*F5626,75))/1000</f>
        <v>0.15</v>
      </c>
      <c r="M5626" t="str">
        <v>=</v>
      </c>
      <c r="N5626">
        <f>J5626+L5626</f>
        <v>1.03</v>
      </c>
      <c r="T5626" t="str">
        <v>x</v>
      </c>
      <c r="U5626">
        <f>0.006165*F5626^2</f>
        <v>0.6165</v>
      </c>
      <c r="V5626" t="str">
        <v>x</v>
      </c>
      <c r="W5626">
        <f>IF(D5608-MAX(D5608/4,2*G5606)*2&gt;0,ROUND((D5608-MAX(D5608/4,2*G5606)*2)/H5626,0),0)</f>
        <v>32</v>
      </c>
      <c r="X5626" t="str">
        <v>x</v>
      </c>
      <c r="Y5626">
        <f>D5611</f>
        <v>1</v>
      </c>
      <c r="Z5626" t="str">
        <v>=</v>
      </c>
      <c r="AA5626">
        <f>N5626*U5626*W5626*Y5626</f>
        <v>20.319840000000003</v>
      </c>
    </row>
    <row r="5627">
      <c r="A5627" t="str">
        <f>A5605</f>
        <v>Lantai 3</v>
      </c>
      <c r="B5627">
        <f>B5605</f>
        <v>45</v>
      </c>
      <c r="C5627" t="str">
        <v>Sengkang Tumpuan</v>
      </c>
      <c r="D5627">
        <f>VLOOKUP(D5605,'Detail Balok'!$C$10:$AU$140,41,FALSE)</f>
        <v>0</v>
      </c>
      <c r="E5627" t="str">
        <v>D</v>
      </c>
      <c r="F5627">
        <f>VLOOKUP(D5605,'Detail Balok'!$C$10:$AU$140,43,FALSE)</f>
        <v>10</v>
      </c>
      <c r="G5627" t="str">
        <v>-</v>
      </c>
      <c r="H5627">
        <f>VLOOKUP(D5605,'Detail Balok'!$C$10:$AU$140,45,FALSE)</f>
        <v>100</v>
      </c>
      <c r="J5627">
        <f>(IF(D5627=0,(2*(D5606+G5606))-(F$5*8),IF(D5627=3,(2*(D5606+G5606))-(F$5*8)+(G5606-2*F$5),IF(D5627=4,(2*(D5606+G5606))-(F$5*8)+2*(G5606-2*F$5)))))/1000</f>
        <v>0.88</v>
      </c>
      <c r="K5627" t="str">
        <v>+</v>
      </c>
      <c r="L5627">
        <f>IF(D5627=0,2*MAX(6*F5627,75),(D5627-1)*2*MAX(6*F5627,75))/1000</f>
        <v>0.15</v>
      </c>
      <c r="M5627" t="str">
        <v>=</v>
      </c>
      <c r="N5627">
        <f>J5627+L5627</f>
        <v>1.03</v>
      </c>
      <c r="T5627" t="str">
        <v>x</v>
      </c>
      <c r="U5627">
        <f>0.006165*F5627^2</f>
        <v>0.6165</v>
      </c>
      <c r="V5627" t="str">
        <v>x</v>
      </c>
      <c r="W5627">
        <f>IF(D5608&gt;4*G5606,ROUND(MAX(D5608/4,2*G5606)/H5627,0)+1,0)</f>
        <v>33</v>
      </c>
      <c r="X5627" t="str">
        <v>x</v>
      </c>
      <c r="Y5627">
        <f>D5611</f>
        <v>1</v>
      </c>
      <c r="Z5627" t="str">
        <v>=</v>
      </c>
      <c r="AA5627">
        <f>N5627*U5627*W5627*Y5627</f>
        <v>20.954835000000003</v>
      </c>
    </row>
    <row r="5629">
      <c r="A5629" t="str">
        <f>A5605</f>
        <v>Lantai 3</v>
      </c>
      <c r="B5629">
        <f>B5605</f>
        <v>45</v>
      </c>
      <c r="C5629" t="str">
        <v>Kait Horizontal Tump.</v>
      </c>
      <c r="D5629">
        <f>VLOOKUP(D5605,'Detail Balok'!$C$10:$BJ$140,46,FALSE)</f>
        <v>0</v>
      </c>
      <c r="E5629" t="str">
        <v>D</v>
      </c>
      <c r="F5629">
        <f>VLOOKUP(D5605,'Detail Balok'!$C$10:$BJ$140,48,FALSE)</f>
        <v>0</v>
      </c>
      <c r="G5629" t="str">
        <v>-</v>
      </c>
      <c r="H5629">
        <f>VLOOKUP(D5605,'Detail Balok'!$C$10:$BJ$140,50,FALSE)</f>
        <v>100</v>
      </c>
      <c r="J5629">
        <f>(D5606-2*F$5)/1000</f>
        <v>0.12</v>
      </c>
      <c r="K5629" t="str">
        <v>+</v>
      </c>
      <c r="L5629">
        <f>IF(D5629=0,2*MAX(6*F5629,75),(D5629-1)*2*MAX(6*F5629,75))/1000</f>
        <v>0.15</v>
      </c>
      <c r="M5629" t="str">
        <v>=</v>
      </c>
      <c r="N5629">
        <f>J5629+L5629</f>
        <v>0.27</v>
      </c>
      <c r="T5629" t="str">
        <v>x</v>
      </c>
      <c r="U5629">
        <f>0.006165*F5629^2</f>
        <v>0</v>
      </c>
      <c r="V5629" t="str">
        <v>x</v>
      </c>
      <c r="W5629">
        <f>W5625</f>
        <v>33</v>
      </c>
      <c r="X5629" t="str">
        <v>x</v>
      </c>
      <c r="Y5629">
        <f>D5615</f>
        <v>3</v>
      </c>
      <c r="Z5629" t="str">
        <v>=</v>
      </c>
      <c r="AA5629">
        <f>N5629*U5629*W5629*Y5629</f>
        <v>0</v>
      </c>
    </row>
    <row r="5630">
      <c r="A5630" t="str">
        <f>A5605</f>
        <v>Lantai 3</v>
      </c>
      <c r="B5630">
        <f>B5605</f>
        <v>45</v>
      </c>
      <c r="C5630" t="str">
        <v>Kait Horizontal Lap.</v>
      </c>
      <c r="D5630">
        <f>VLOOKUP(D5605,'Detail Balok'!$C$10:$BJ$140,51,FALSE)</f>
        <v>0</v>
      </c>
      <c r="E5630" t="str">
        <v>D</v>
      </c>
      <c r="F5630">
        <f>VLOOKUP(D5605,'Detail Balok'!$C$10:$BJ$140,53,FALSE)</f>
        <v>0</v>
      </c>
      <c r="G5630" t="str">
        <v>-</v>
      </c>
      <c r="H5630">
        <f>VLOOKUP(D5605,'Detail Balok'!$C$10:$BJ$140,55,FALSE)</f>
        <v>100</v>
      </c>
      <c r="J5630">
        <f>(D5606-2*F$5)/1000</f>
        <v>0.12</v>
      </c>
      <c r="K5630" t="str">
        <v>+</v>
      </c>
      <c r="L5630">
        <f>IF(D5630=0,2*MAX(6*F5630,75),(D5630-1)*2*MAX(6*F5630,75))/1000</f>
        <v>0.15</v>
      </c>
      <c r="M5630" t="str">
        <v>=</v>
      </c>
      <c r="N5630">
        <f>J5630+L5630</f>
        <v>0.27</v>
      </c>
      <c r="T5630" t="str">
        <v>x</v>
      </c>
      <c r="U5630">
        <f>0.006165*F5630^2</f>
        <v>0</v>
      </c>
      <c r="V5630" t="str">
        <v>x</v>
      </c>
      <c r="W5630">
        <f>W5626</f>
        <v>32</v>
      </c>
      <c r="X5630" t="str">
        <v>x</v>
      </c>
      <c r="Y5630">
        <f>D5615</f>
        <v>3</v>
      </c>
      <c r="Z5630" t="str">
        <v>=</v>
      </c>
      <c r="AA5630">
        <f>N5630*U5630*W5630*Y5630</f>
        <v>0</v>
      </c>
    </row>
    <row r="5631">
      <c r="A5631" t="str">
        <f>A5605</f>
        <v>Lantai 3</v>
      </c>
      <c r="B5631">
        <f>B5605</f>
        <v>45</v>
      </c>
      <c r="C5631" t="str">
        <v>Kait Horizontal Tump.</v>
      </c>
      <c r="D5631">
        <f>VLOOKUP(D5605,'Detail Balok'!$C$10:$BJ$140,56,FALSE)</f>
        <v>0</v>
      </c>
      <c r="E5631" t="str">
        <v>D</v>
      </c>
      <c r="F5631">
        <f>VLOOKUP(D5605,'Detail Balok'!$C$10:$BJ$140,58,FALSE)</f>
        <v>0</v>
      </c>
      <c r="G5631" t="str">
        <v>-</v>
      </c>
      <c r="H5631">
        <f>VLOOKUP(D5605,'Detail Balok'!$C$10:$BJ$140,60,FALSE)</f>
        <v>100</v>
      </c>
      <c r="J5631">
        <f>(D5606-2*F$5)/1000</f>
        <v>0.12</v>
      </c>
      <c r="K5631" t="str">
        <v>+</v>
      </c>
      <c r="L5631">
        <f>IF(D5631=0,2*MAX(6*F5631,75),(D5631-1)*2*MAX(6*F5631,75))/1000</f>
        <v>0.15</v>
      </c>
      <c r="M5631" t="str">
        <v>=</v>
      </c>
      <c r="N5631">
        <f>J5631+L5631</f>
        <v>0.27</v>
      </c>
      <c r="T5631" t="str">
        <v>x</v>
      </c>
      <c r="U5631">
        <f>0.006165*F5631^2</f>
        <v>0</v>
      </c>
      <c r="V5631" t="str">
        <v>x</v>
      </c>
      <c r="W5631">
        <f>W5627</f>
        <v>33</v>
      </c>
      <c r="X5631" t="str">
        <v>x</v>
      </c>
      <c r="Y5631">
        <f>D5615</f>
        <v>3</v>
      </c>
      <c r="Z5631" t="str">
        <v>=</v>
      </c>
      <c r="AA5631">
        <f>N5631*U5631*W5631*Y5631</f>
        <v>0</v>
      </c>
    </row>
    <row r="5635">
      <c r="A5635" t="str">
        <f>A5605</f>
        <v>Lantai 3</v>
      </c>
      <c r="B5635">
        <f>B5605+1</f>
        <v>46</v>
      </c>
      <c r="C5635" t="str">
        <f>CONCATENATE(A5635," no. ",B5635)</f>
        <v>Lantai 3 no. 46</v>
      </c>
      <c r="D5635" t="str">
        <f>VLOOKUP(C5635,'Data Panjang Balok'!$C$9:$N$254,2,FALSE)</f>
        <v>B26-1</v>
      </c>
    </row>
    <row r="5636">
      <c r="C5636" t="str">
        <v>Dimensi</v>
      </c>
      <c r="D5636">
        <f>VLOOKUP(D5635,'Detail Balok'!$C$10:$AU$140,2,FALSE)</f>
        <v>200</v>
      </c>
      <c r="F5636" t="str">
        <v>x</v>
      </c>
      <c r="G5636">
        <f>VLOOKUP(D5635,'Detail Balok'!$C$10:$AU$140,3,FALSE)</f>
        <v>600</v>
      </c>
    </row>
    <row r="5637">
      <c r="C5637" t="str">
        <v>Panjang as ke as</v>
      </c>
      <c r="D5637">
        <f>VLOOKUP(C5635,'Data Panjang Balok'!$C$9:$N$254,4,FALSE)</f>
        <v>1600</v>
      </c>
    </row>
    <row r="5638">
      <c r="C5638" t="str">
        <v>Panjang netto</v>
      </c>
      <c r="D5638">
        <f>VLOOKUP(C5635,'Data Panjang Balok'!$C$9:$N$254,7,FALSE)</f>
        <v>1600</v>
      </c>
    </row>
    <row r="5639">
      <c r="C5639" t="str">
        <v>Kolom / balok kiri</v>
      </c>
      <c r="D5639">
        <f>VLOOKUP(C5635,'Data Panjang Balok'!$C$9:$N$254,9,FALSE)</f>
        <v>0</v>
      </c>
    </row>
    <row r="5640">
      <c r="C5640" t="str">
        <v>Kolom / balok kanan</v>
      </c>
      <c r="D5640">
        <f>VLOOKUP(C5635,'Data Panjang Balok'!$C$9:$N$254,10,FALSE)</f>
        <v>0</v>
      </c>
    </row>
    <row r="5641">
      <c r="C5641" t="str">
        <v>Jumlah</v>
      </c>
      <c r="D5641">
        <f>VLOOKUP(C5635,'Data Panjang Balok'!$C$9:$N$254,3,FALSE)</f>
        <v>1</v>
      </c>
    </row>
    <row r="5642">
      <c r="A5642" t="str">
        <f>A5635</f>
        <v>Lantai 3</v>
      </c>
      <c r="B5642">
        <f>B5635</f>
        <v>46</v>
      </c>
      <c r="C5642" t="str">
        <v>Tul Atas Tumpuan</v>
      </c>
      <c r="D5642">
        <f>VLOOKUP(D5635,'Detail Balok'!$C$10:$AU$140,4,FALSE)</f>
        <v>4</v>
      </c>
      <c r="E5642" t="str">
        <v>D</v>
      </c>
      <c r="F5642">
        <f>VLOOKUP(D5635,'Detail Balok'!$C$10:$AU$140,6,FALSE)</f>
        <v>16</v>
      </c>
      <c r="I5642" t="str">
        <v>(</v>
      </c>
      <c r="J5642">
        <f>+D5637/4/1000</f>
        <v>0.4</v>
      </c>
      <c r="K5642" t="str">
        <v>+</v>
      </c>
      <c r="L5642">
        <f>MAX(VLOOKUP(F5642,N$6:P$15,3,FALSE)/1000,2/3*D5639/1000)+F$16*F5642/1000</f>
        <v>0.192</v>
      </c>
      <c r="M5642" t="str">
        <v>=</v>
      </c>
      <c r="N5642">
        <f>J5642+L5642</f>
        <v>0.5920000000000001</v>
      </c>
      <c r="O5642" t="str">
        <v>+</v>
      </c>
      <c r="P5642">
        <f>D5642-D5643</f>
        <v>1</v>
      </c>
      <c r="Q5642" t="str">
        <v>x</v>
      </c>
      <c r="R5642">
        <f>IF(P5642&gt;0,$F$18*F5642/1000,0)</f>
        <v>0.24</v>
      </c>
      <c r="S5642" t="str">
        <v>)</v>
      </c>
      <c r="T5642" t="str">
        <v>x</v>
      </c>
      <c r="U5642">
        <f>0.006165*F5642^2</f>
        <v>1.57824</v>
      </c>
      <c r="X5642" t="str">
        <v>x</v>
      </c>
      <c r="Y5642">
        <f>D5641</f>
        <v>1</v>
      </c>
      <c r="Z5642" t="str">
        <v>=</v>
      </c>
      <c r="AA5642">
        <f>IF(AA5645=0,(D5642*N5642+P5642*R5642)*U5642*Y5642,0)</f>
        <v>4.116049920000001</v>
      </c>
    </row>
    <row r="5643">
      <c r="A5643" t="str">
        <f>A5635</f>
        <v>Lantai 3</v>
      </c>
      <c r="B5643">
        <f>B5635</f>
        <v>46</v>
      </c>
      <c r="C5643" t="str">
        <v>Tul Atas Lapangan</v>
      </c>
      <c r="D5643">
        <f>VLOOKUP(D5635,'Detail Balok'!$C$10:$AU$140,7,FALSE)</f>
        <v>3</v>
      </c>
      <c r="E5643" t="str">
        <v>D</v>
      </c>
      <c r="F5643">
        <f>VLOOKUP(D5635,'Detail Balok'!$C$10:$AU$140,9,FALSE)</f>
        <v>16</v>
      </c>
      <c r="I5643" t="str">
        <v>(</v>
      </c>
      <c r="J5643">
        <f>+D5637/2/1000</f>
        <v>0.8</v>
      </c>
      <c r="K5643" t="str">
        <v>+</v>
      </c>
      <c r="M5643" t="str">
        <v>=</v>
      </c>
      <c r="N5643">
        <f>J5643+L5643</f>
        <v>0.8</v>
      </c>
      <c r="O5643" t="str">
        <v>+</v>
      </c>
      <c r="P5643">
        <f>MAX(D5643-D5642,D5643-D5644)</f>
        <v>-1</v>
      </c>
      <c r="Q5643" t="str">
        <v>x</v>
      </c>
      <c r="R5643">
        <f>IF(P5643&gt;0,2*(1-2*$F$19-1/2)*D5638/1000,0)</f>
        <v>0</v>
      </c>
      <c r="S5643" t="str">
        <v>)</v>
      </c>
      <c r="T5643" t="str">
        <v>x</v>
      </c>
      <c r="U5643">
        <f>0.006165*F5643^2</f>
        <v>1.57824</v>
      </c>
      <c r="X5643" t="str">
        <v>x</v>
      </c>
      <c r="Y5643">
        <f>D5641</f>
        <v>1</v>
      </c>
      <c r="Z5643" t="str">
        <v>=</v>
      </c>
      <c r="AA5643">
        <f>IF(AA5645=0,(D5643*N5643+P5643*R5643)*U5643*Y5643,0)</f>
        <v>3.787776000000001</v>
      </c>
    </row>
    <row r="5644">
      <c r="A5644" t="str">
        <f>A5635</f>
        <v>Lantai 3</v>
      </c>
      <c r="B5644">
        <f>B5635</f>
        <v>46</v>
      </c>
      <c r="C5644" t="str">
        <v>Tul Atas Tumpuan</v>
      </c>
      <c r="D5644">
        <f>VLOOKUP(D5635,'Detail Balok'!$C$10:$AU$140,10,FALSE)</f>
        <v>4</v>
      </c>
      <c r="E5644" t="str">
        <v>D</v>
      </c>
      <c r="F5644">
        <f>VLOOKUP(D5635,'Detail Balok'!$C$10:$AU$140,12,FALSE)</f>
        <v>16</v>
      </c>
      <c r="I5644" t="str">
        <v>(</v>
      </c>
      <c r="J5644">
        <f>+D5637/4/1000</f>
        <v>0.4</v>
      </c>
      <c r="K5644" t="str">
        <v>+</v>
      </c>
      <c r="L5644">
        <f>MAX(VLOOKUP(F5644,N$6:P$15,3,FALSE)/1000,2/3*D5639/1000)+F$16*F5644/1000</f>
        <v>0.192</v>
      </c>
      <c r="M5644" t="str">
        <v>=</v>
      </c>
      <c r="N5644">
        <f>J5644+L5644</f>
        <v>0.5920000000000001</v>
      </c>
      <c r="O5644" t="str">
        <v>+</v>
      </c>
      <c r="P5644">
        <f>D5644-D5643</f>
        <v>1</v>
      </c>
      <c r="Q5644" t="str">
        <v>x</v>
      </c>
      <c r="R5644">
        <f>IF(P5644&gt;0,$F$18*F5644/1000,0)</f>
        <v>0.24</v>
      </c>
      <c r="S5644" t="str">
        <v>)</v>
      </c>
      <c r="T5644" t="str">
        <v>x</v>
      </c>
      <c r="U5644">
        <f>0.006165*F5644^2</f>
        <v>1.57824</v>
      </c>
      <c r="X5644" t="str">
        <v>x</v>
      </c>
      <c r="Y5644">
        <f>D5641</f>
        <v>1</v>
      </c>
      <c r="Z5644" t="str">
        <v>=</v>
      </c>
      <c r="AA5644">
        <f>IF(AA5645=0,(D5644*N5644+P5644*R5644)*U5644*Y5644,0)</f>
        <v>4.116049920000001</v>
      </c>
    </row>
    <row r="5645">
      <c r="A5645" t="str">
        <f>A5635</f>
        <v>Lantai 3</v>
      </c>
      <c r="B5645">
        <f>B5635</f>
        <v>46</v>
      </c>
      <c r="D5645">
        <f>IF(AND(D5642=D5643,D5643=D5644,D5642=D5644),D5642,0)</f>
        <v>0</v>
      </c>
      <c r="E5645" t="str">
        <v>D</v>
      </c>
      <c r="F5645">
        <f>IF(AND(F5642=F5643,F5642=F5644,F5643=F5644),F5642,0)</f>
        <v>16</v>
      </c>
      <c r="L5645" t="str">
        <v>Total panjang per balok</v>
      </c>
      <c r="M5645" t="str">
        <v>=</v>
      </c>
      <c r="N5645">
        <f>IF(AND(D5642=D5643,D5642=D5644,D5643=D5644,F5642=F5643,F5642=F5644,F5643=F5644),SUM(N5642:N5644),0)</f>
        <v>0</v>
      </c>
      <c r="O5645" t="str">
        <v>+</v>
      </c>
      <c r="P5645">
        <f>IF(N5645&gt;12,ROUNDDOWN(N5645/12,0),0)</f>
        <v>0</v>
      </c>
      <c r="Q5645" t="str">
        <v>x</v>
      </c>
      <c r="R5645">
        <f>IF(P5645&gt;0,MAX(VLOOKUP(F5645,$D$6:$G$15,3,FALSE),600),0)/1000</f>
        <v>0</v>
      </c>
      <c r="T5645" t="str">
        <v>x</v>
      </c>
      <c r="U5645">
        <f>U5644</f>
        <v>1.57824</v>
      </c>
      <c r="V5645" t="str">
        <v>x</v>
      </c>
      <c r="W5645">
        <f>D5645</f>
        <v>0</v>
      </c>
      <c r="X5645" t="str">
        <v>x</v>
      </c>
      <c r="Y5645">
        <f>Y5644</f>
        <v>1</v>
      </c>
      <c r="Z5645" t="str">
        <v>=</v>
      </c>
      <c r="AA5645">
        <f>(N5645+P5645*R5645/1000)*U5645*W5645*Y5645</f>
        <v>0</v>
      </c>
    </row>
    <row r="5647">
      <c r="A5647" t="str">
        <f>A5635</f>
        <v>Lantai 3</v>
      </c>
      <c r="B5647">
        <f>B5635</f>
        <v>46</v>
      </c>
      <c r="C5647" t="str">
        <v>Tul Peminggang</v>
      </c>
      <c r="D5647">
        <f>VLOOKUP(D5635,'Detail Balok'!$C$10:$AU$140,13,FALSE)</f>
        <v>2</v>
      </c>
      <c r="E5647" t="str">
        <v>D</v>
      </c>
      <c r="F5647">
        <f>VLOOKUP(D5635,'Detail Balok'!$C$10:$AU$140,15,FALSE)</f>
        <v>10</v>
      </c>
      <c r="J5647">
        <f>+D5637/1000</f>
        <v>1.6</v>
      </c>
      <c r="K5647" t="str">
        <v>+</v>
      </c>
      <c r="L5647">
        <f>2*$F$16*F5647/1000</f>
        <v>0.24</v>
      </c>
      <c r="M5647" t="str">
        <v>=</v>
      </c>
      <c r="N5647">
        <f>J5647+L5647</f>
        <v>1.84</v>
      </c>
      <c r="O5647" t="str">
        <v>+</v>
      </c>
      <c r="P5647">
        <f>IF(N5647&gt;12,ROUNDDOWN(N5647/12,0),0)</f>
        <v>0</v>
      </c>
      <c r="Q5647" t="str">
        <v>x</v>
      </c>
      <c r="R5647">
        <f>IF(P5647&gt;0,MAX(VLOOKUP(F5647,$D$6:$G$15,3,FALSE),600),0)/1000</f>
        <v>0</v>
      </c>
      <c r="T5647" t="str">
        <v>x</v>
      </c>
      <c r="U5647">
        <f>0.006165*F5647^2</f>
        <v>0.6165</v>
      </c>
      <c r="V5647" t="str">
        <v>x</v>
      </c>
      <c r="W5647">
        <f>+D5647</f>
        <v>2</v>
      </c>
      <c r="X5647" t="str">
        <v>x</v>
      </c>
      <c r="Y5647">
        <f>D5641</f>
        <v>1</v>
      </c>
      <c r="Z5647" t="str">
        <v>=</v>
      </c>
      <c r="AA5647">
        <f>(N5647+P5647*R5647/1000)*U5647*W5647*Y5647</f>
        <v>2.26872</v>
      </c>
    </row>
    <row r="5650">
      <c r="A5650" t="str">
        <f>A5635</f>
        <v>Lantai 3</v>
      </c>
      <c r="B5650">
        <f>B5635</f>
        <v>46</v>
      </c>
      <c r="C5650" t="str">
        <v>Tul Bawah Tumpuan</v>
      </c>
      <c r="D5650">
        <f>VLOOKUP(D5635,'Detail Balok'!$C$10:$AU$140,22,FALSE)</f>
        <v>3</v>
      </c>
      <c r="E5650" t="str">
        <v>D</v>
      </c>
      <c r="F5650">
        <f>VLOOKUP(D5635,'Detail Balok'!$C$10:$AU$140,24,FALSE)</f>
        <v>16</v>
      </c>
      <c r="I5650" t="str">
        <v>(</v>
      </c>
      <c r="J5650">
        <f>+J5642</f>
        <v>0.4</v>
      </c>
      <c r="K5650" t="str">
        <v>+</v>
      </c>
      <c r="L5650">
        <f>MAX(VLOOKUP(F5650,N$6:P$15,3,FALSE)/1000,2/3*D5640/1000)+F$16*F5650/1000</f>
        <v>0.192</v>
      </c>
      <c r="M5650" t="str">
        <v>=</v>
      </c>
      <c r="N5650">
        <f>J5650+L5650</f>
        <v>0.5920000000000001</v>
      </c>
      <c r="O5650" t="str">
        <v>+</v>
      </c>
      <c r="P5650">
        <f>D5650-D5651</f>
        <v>-1</v>
      </c>
      <c r="Q5650" t="str">
        <v>x</v>
      </c>
      <c r="R5650">
        <f>IF(P5650&gt;0,$F$18*F5650/1000,0)</f>
        <v>0</v>
      </c>
      <c r="S5650" t="str">
        <v>)</v>
      </c>
      <c r="T5650" t="str">
        <v>x</v>
      </c>
      <c r="U5650">
        <f>0.006165*F5650^2</f>
        <v>1.57824</v>
      </c>
      <c r="X5650" t="str">
        <v>x</v>
      </c>
      <c r="Y5650">
        <f>D5641</f>
        <v>1</v>
      </c>
      <c r="Z5650" t="str">
        <v>=</v>
      </c>
      <c r="AA5650">
        <f>IF(AA5653=0,(D5650*N5650+P5650*R5650)*U5650*Y5650,0)</f>
        <v>2.8029542400000005</v>
      </c>
    </row>
    <row r="5651">
      <c r="A5651" t="str">
        <f>A5635</f>
        <v>Lantai 3</v>
      </c>
      <c r="B5651">
        <f>B5635</f>
        <v>46</v>
      </c>
      <c r="C5651" t="str">
        <v>Tul Bawah Lapangan</v>
      </c>
      <c r="D5651">
        <f>VLOOKUP(D5635,'Detail Balok'!$C$10:$AU$140,25,FALSE)</f>
        <v>4</v>
      </c>
      <c r="E5651" t="str">
        <v>D</v>
      </c>
      <c r="F5651">
        <f>VLOOKUP(D5635,'Detail Balok'!$C$10:$AU$140,27,FALSE)</f>
        <v>16</v>
      </c>
      <c r="I5651" t="str">
        <v>(</v>
      </c>
      <c r="J5651">
        <f>+J5643</f>
        <v>0.8</v>
      </c>
      <c r="K5651" t="str">
        <v>+</v>
      </c>
      <c r="M5651" t="str">
        <v>=</v>
      </c>
      <c r="N5651">
        <f>J5651+L5651</f>
        <v>0.8</v>
      </c>
      <c r="O5651" t="str">
        <v>+</v>
      </c>
      <c r="P5651">
        <f>MAX(D5651-D5650,D5651-D5652)</f>
        <v>1</v>
      </c>
      <c r="Q5651" t="str">
        <v>x</v>
      </c>
      <c r="R5651">
        <f>IF(P5651&gt;0,2*(1-2*$F$19-1/2)*D5638/1000,0)</f>
        <v>0.31999999999999995</v>
      </c>
      <c r="S5651" t="str">
        <v>)</v>
      </c>
      <c r="T5651" t="str">
        <v>x</v>
      </c>
      <c r="U5651">
        <f>0.006165*F5651^2</f>
        <v>1.57824</v>
      </c>
      <c r="X5651" t="str">
        <v>x</v>
      </c>
      <c r="Y5651">
        <f>D5641</f>
        <v>1</v>
      </c>
      <c r="Z5651" t="str">
        <v>=</v>
      </c>
      <c r="AA5651">
        <f>IF(AA5653=0,(D5651*N5651+P5651*R5651)*U5651*Y5651,0)</f>
        <v>5.555404800000001</v>
      </c>
    </row>
    <row r="5652">
      <c r="A5652" t="str">
        <f>A5635</f>
        <v>Lantai 3</v>
      </c>
      <c r="B5652">
        <f>B5635</f>
        <v>46</v>
      </c>
      <c r="C5652" t="str">
        <v>Tul Bawah Tumpuan</v>
      </c>
      <c r="D5652">
        <f>VLOOKUP(D5635,'Detail Balok'!$C$10:$AU$140,28,FALSE)</f>
        <v>3</v>
      </c>
      <c r="E5652" t="str">
        <v>D</v>
      </c>
      <c r="F5652">
        <f>VLOOKUP(D5635,'Detail Balok'!$C$10:$AU$140,30,FALSE)</f>
        <v>16</v>
      </c>
      <c r="I5652" t="str">
        <v>(</v>
      </c>
      <c r="J5652">
        <f>+J5644</f>
        <v>0.4</v>
      </c>
      <c r="K5652" t="str">
        <v>+</v>
      </c>
      <c r="L5652">
        <f>MAX(VLOOKUP(F5652,N$6:P$15,3,FALSE)/1000,2/3*D5640/1000)+F$16*F5652/1000</f>
        <v>0.192</v>
      </c>
      <c r="M5652" t="str">
        <v>=</v>
      </c>
      <c r="N5652">
        <f>J5652+L5652</f>
        <v>0.5920000000000001</v>
      </c>
      <c r="O5652" t="str">
        <v>+</v>
      </c>
      <c r="P5652">
        <f>D5652-D5651</f>
        <v>-1</v>
      </c>
      <c r="Q5652" t="str">
        <v>x</v>
      </c>
      <c r="R5652">
        <f>IF(P5652&gt;0,$F$18*F5652/1000,0)</f>
        <v>0</v>
      </c>
      <c r="S5652" t="str">
        <v>)</v>
      </c>
      <c r="T5652" t="str">
        <v>x</v>
      </c>
      <c r="U5652">
        <f>0.006165*F5652^2</f>
        <v>1.57824</v>
      </c>
      <c r="X5652" t="str">
        <v>x</v>
      </c>
      <c r="Y5652">
        <f>D5641</f>
        <v>1</v>
      </c>
      <c r="Z5652" t="str">
        <v>=</v>
      </c>
      <c r="AA5652">
        <f>IF(AA5653=0,(D5652*N5652+P5652*R5652)*U5652*Y5652,0)</f>
        <v>2.8029542400000005</v>
      </c>
    </row>
    <row r="5653">
      <c r="A5653" t="str">
        <f>A5635</f>
        <v>Lantai 3</v>
      </c>
      <c r="B5653">
        <f>B5635</f>
        <v>46</v>
      </c>
      <c r="D5653">
        <f>IF(AND(D5650=D5651,D5651=D5652,D5650=D5652),D5650,0)</f>
        <v>0</v>
      </c>
      <c r="E5653" t="str">
        <v>D</v>
      </c>
      <c r="F5653">
        <f>IF(AND(F5650=F5651,F5650=F5652,F5651=F5652),F5650,0)</f>
        <v>16</v>
      </c>
      <c r="L5653" t="str">
        <v>Total panjang per balok</v>
      </c>
      <c r="M5653" t="str">
        <v>=</v>
      </c>
      <c r="N5653">
        <f>IF(AND(D5650=D5651,D5650=D5652,D5651=D5652,F5650=F5651,F5650=F5652,F5651=F5652),SUM(N5650:N5652),0)</f>
        <v>0</v>
      </c>
      <c r="O5653" t="str">
        <v>+</v>
      </c>
      <c r="P5653">
        <f>IF(N5653&gt;12,ROUNDDOWN(N5653/12,0),0)</f>
        <v>0</v>
      </c>
      <c r="Q5653" t="str">
        <v>x</v>
      </c>
      <c r="R5653">
        <f>IF(P5653&gt;0,MAX(VLOOKUP(F5653,$D$6:$G$15,3,FALSE),600),0)/1000</f>
        <v>0</v>
      </c>
      <c r="T5653" t="str">
        <v>x</v>
      </c>
      <c r="U5653">
        <f>U5652</f>
        <v>1.57824</v>
      </c>
      <c r="V5653" t="str">
        <v>x</v>
      </c>
      <c r="W5653">
        <f>D5653</f>
        <v>0</v>
      </c>
      <c r="X5653" t="str">
        <v>x</v>
      </c>
      <c r="Y5653">
        <f>Y5652</f>
        <v>1</v>
      </c>
      <c r="Z5653" t="str">
        <v>=</v>
      </c>
      <c r="AA5653">
        <f>(N5653+P5653*R5653/1000)*U5653*W5653*Y5653</f>
        <v>0</v>
      </c>
    </row>
    <row r="5655">
      <c r="A5655" t="str">
        <f>A5635</f>
        <v>Lantai 3</v>
      </c>
      <c r="B5655">
        <f>B5635</f>
        <v>46</v>
      </c>
      <c r="C5655" t="str">
        <v>Sengkang Tumpuan</v>
      </c>
      <c r="D5655">
        <f>VLOOKUP(D5635,'Detail Balok'!$C$10:$AU$140,31,FALSE)</f>
        <v>0</v>
      </c>
      <c r="E5655" t="str">
        <v>D</v>
      </c>
      <c r="F5655">
        <f>VLOOKUP(D5635,'Detail Balok'!$C$10:$AU$140,33,FALSE)</f>
        <v>10</v>
      </c>
      <c r="G5655" t="str">
        <v>-</v>
      </c>
      <c r="H5655">
        <f>VLOOKUP(D5635,'Detail Balok'!$C$10:$AU$140,35,FALSE)</f>
        <v>100</v>
      </c>
      <c r="J5655">
        <f>(IF(D5655=0,(2*(D5636+G5636))-(F$5*8),IF(D5655=3,(2*(D5636+G5636))-(F$5*8)+(G5636-2*F$5),IF(D5655=4,(2*(D5636+G5636))-(F$5*8)+2*(G5636-2*F$5)))))/1000</f>
        <v>1.28</v>
      </c>
      <c r="K5655" t="str">
        <v>+</v>
      </c>
      <c r="L5655">
        <f>IF(D5655=0,2*MAX(6*F5655,75),(D5655-1)*2*MAX(6*F5655,75))/1000</f>
        <v>0.15</v>
      </c>
      <c r="M5655" t="str">
        <v>=</v>
      </c>
      <c r="N5655">
        <f>J5655+L5655</f>
        <v>1.43</v>
      </c>
      <c r="T5655" t="str">
        <v>x</v>
      </c>
      <c r="U5655">
        <f>0.006165*F5655^2</f>
        <v>0.6165</v>
      </c>
      <c r="V5655" t="str">
        <v>x</v>
      </c>
      <c r="W5655">
        <f>IF(D5638&gt;4*G5636,ROUND(MAX(D5638/4,2*G5636)/H5655,0)+1,ROUND(D5638/H5655,0)+1)</f>
        <v>17</v>
      </c>
      <c r="X5655" t="str">
        <v>x</v>
      </c>
      <c r="Y5655">
        <f>D5641</f>
        <v>1</v>
      </c>
      <c r="Z5655" t="str">
        <v>=</v>
      </c>
      <c r="AA5655">
        <f>N5655*U5655*W5655*Y5655</f>
        <v>14.987115000000001</v>
      </c>
    </row>
    <row r="5656">
      <c r="A5656" t="str">
        <f>A5635</f>
        <v>Lantai 3</v>
      </c>
      <c r="B5656">
        <f>B5635</f>
        <v>46</v>
      </c>
      <c r="C5656" t="str">
        <v>Sengkang Lapangan</v>
      </c>
      <c r="D5656">
        <f>VLOOKUP(D5635,'Detail Balok'!$C$10:$AU$140,36,FALSE)</f>
        <v>0</v>
      </c>
      <c r="E5656" t="str">
        <v>D</v>
      </c>
      <c r="F5656">
        <f>VLOOKUP(D5635,'Detail Balok'!$C$10:$AU$140,38,FALSE)</f>
        <v>10</v>
      </c>
      <c r="G5656" t="str">
        <v>-</v>
      </c>
      <c r="H5656">
        <f>VLOOKUP(D5635,'Detail Balok'!$C$10:$AU$140,40,FALSE)</f>
        <v>150</v>
      </c>
      <c r="J5656">
        <f>(IF(D5656=0,(2*(D5636+G5636))-(F$5*8),IF(D5656=3,(2*(D5636+G5636))-(F$5*8)+(G5636-2*F$5),IF(D5656=4,(2*(D5636+G5636))-(F$5*8)+2*(G5636-2*F$5)))))/1000</f>
        <v>1.28</v>
      </c>
      <c r="K5656" t="str">
        <v>+</v>
      </c>
      <c r="L5656">
        <f>IF(D5656=0,2*MAX(6*F5656,75),(D5656-1)*2*MAX(6*F5656,75))/1000</f>
        <v>0.15</v>
      </c>
      <c r="M5656" t="str">
        <v>=</v>
      </c>
      <c r="N5656">
        <f>J5656+L5656</f>
        <v>1.43</v>
      </c>
      <c r="T5656" t="str">
        <v>x</v>
      </c>
      <c r="U5656">
        <f>0.006165*F5656^2</f>
        <v>0.6165</v>
      </c>
      <c r="V5656" t="str">
        <v>x</v>
      </c>
      <c r="W5656">
        <f>IF(D5638-MAX(D5638/4,2*G5636)*2&gt;0,ROUND((D5638-MAX(D5638/4,2*G5636)*2)/H5656,0),0)</f>
        <v>0</v>
      </c>
      <c r="X5656" t="str">
        <v>x</v>
      </c>
      <c r="Y5656">
        <f>D5641</f>
        <v>1</v>
      </c>
      <c r="Z5656" t="str">
        <v>=</v>
      </c>
      <c r="AA5656">
        <f>N5656*U5656*W5656*Y5656</f>
        <v>0</v>
      </c>
    </row>
    <row r="5657">
      <c r="A5657" t="str">
        <f>A5635</f>
        <v>Lantai 3</v>
      </c>
      <c r="B5657">
        <f>B5635</f>
        <v>46</v>
      </c>
      <c r="C5657" t="str">
        <v>Sengkang Tumpuan</v>
      </c>
      <c r="D5657">
        <f>VLOOKUP(D5635,'Detail Balok'!$C$10:$AU$140,41,FALSE)</f>
        <v>0</v>
      </c>
      <c r="E5657" t="str">
        <v>D</v>
      </c>
      <c r="F5657">
        <f>VLOOKUP(D5635,'Detail Balok'!$C$10:$AU$140,43,FALSE)</f>
        <v>10</v>
      </c>
      <c r="G5657" t="str">
        <v>-</v>
      </c>
      <c r="H5657">
        <f>VLOOKUP(D5635,'Detail Balok'!$C$10:$AU$140,45,FALSE)</f>
        <v>100</v>
      </c>
      <c r="J5657">
        <f>(IF(D5657=0,(2*(D5636+G5636))-(F$5*8),IF(D5657=3,(2*(D5636+G5636))-(F$5*8)+(G5636-2*F$5),IF(D5657=4,(2*(D5636+G5636))-(F$5*8)+2*(G5636-2*F$5)))))/1000</f>
        <v>1.28</v>
      </c>
      <c r="K5657" t="str">
        <v>+</v>
      </c>
      <c r="L5657">
        <f>IF(D5657=0,2*MAX(6*F5657,75),(D5657-1)*2*MAX(6*F5657,75))/1000</f>
        <v>0.15</v>
      </c>
      <c r="M5657" t="str">
        <v>=</v>
      </c>
      <c r="N5657">
        <f>J5657+L5657</f>
        <v>1.43</v>
      </c>
      <c r="T5657" t="str">
        <v>x</v>
      </c>
      <c r="U5657">
        <f>0.006165*F5657^2</f>
        <v>0.6165</v>
      </c>
      <c r="V5657" t="str">
        <v>x</v>
      </c>
      <c r="W5657">
        <f>IF(D5638&gt;4*G5636,ROUND(MAX(D5638/4,2*G5636)/H5657,0)+1,0)</f>
        <v>0</v>
      </c>
      <c r="X5657" t="str">
        <v>x</v>
      </c>
      <c r="Y5657">
        <f>D5641</f>
        <v>1</v>
      </c>
      <c r="Z5657" t="str">
        <v>=</v>
      </c>
      <c r="AA5657">
        <f>N5657*U5657*W5657*Y5657</f>
        <v>0</v>
      </c>
    </row>
    <row r="5659">
      <c r="A5659" t="str">
        <f>A5635</f>
        <v>Lantai 3</v>
      </c>
      <c r="B5659">
        <f>B5635</f>
        <v>46</v>
      </c>
      <c r="C5659" t="str">
        <v>Kait Horizontal Tump.</v>
      </c>
      <c r="D5659">
        <f>VLOOKUP(D5635,'Detail Balok'!$C$10:$BJ$140,46,FALSE)</f>
        <v>0</v>
      </c>
      <c r="E5659" t="str">
        <v>D</v>
      </c>
      <c r="F5659">
        <f>VLOOKUP(D5635,'Detail Balok'!$C$10:$BJ$140,48,FALSE)</f>
        <v>0</v>
      </c>
      <c r="G5659" t="str">
        <v>-</v>
      </c>
      <c r="H5659">
        <f>VLOOKUP(D5635,'Detail Balok'!$C$10:$BJ$140,50,FALSE)</f>
        <v>100</v>
      </c>
      <c r="J5659">
        <f>(D5636-2*F$5)/1000</f>
        <v>0.12</v>
      </c>
      <c r="K5659" t="str">
        <v>+</v>
      </c>
      <c r="L5659">
        <f>IF(D5659=0,2*MAX(6*F5659,75),(D5659-1)*2*MAX(6*F5659,75))/1000</f>
        <v>0.15</v>
      </c>
      <c r="M5659" t="str">
        <v>=</v>
      </c>
      <c r="N5659">
        <f>J5659+L5659</f>
        <v>0.27</v>
      </c>
      <c r="T5659" t="str">
        <v>x</v>
      </c>
      <c r="U5659">
        <f>0.006165*F5659^2</f>
        <v>0</v>
      </c>
      <c r="V5659" t="str">
        <v>x</v>
      </c>
      <c r="W5659">
        <f>W5655</f>
        <v>17</v>
      </c>
      <c r="X5659" t="str">
        <v>x</v>
      </c>
      <c r="Y5659">
        <f>D5645</f>
        <v>0</v>
      </c>
      <c r="Z5659" t="str">
        <v>=</v>
      </c>
      <c r="AA5659">
        <f>N5659*U5659*W5659*Y5659</f>
        <v>0</v>
      </c>
    </row>
    <row r="5660">
      <c r="A5660" t="str">
        <f>A5635</f>
        <v>Lantai 3</v>
      </c>
      <c r="B5660">
        <f>B5635</f>
        <v>46</v>
      </c>
      <c r="C5660" t="str">
        <v>Kait Horizontal Lap.</v>
      </c>
      <c r="D5660">
        <f>VLOOKUP(D5635,'Detail Balok'!$C$10:$BJ$140,51,FALSE)</f>
        <v>0</v>
      </c>
      <c r="E5660" t="str">
        <v>D</v>
      </c>
      <c r="F5660">
        <f>VLOOKUP(D5635,'Detail Balok'!$C$10:$BJ$140,53,FALSE)</f>
        <v>0</v>
      </c>
      <c r="G5660" t="str">
        <v>-</v>
      </c>
      <c r="H5660">
        <f>VLOOKUP(D5635,'Detail Balok'!$C$10:$BJ$140,55,FALSE)</f>
        <v>100</v>
      </c>
      <c r="J5660">
        <f>(D5636-2*F$5)/1000</f>
        <v>0.12</v>
      </c>
      <c r="K5660" t="str">
        <v>+</v>
      </c>
      <c r="L5660">
        <f>IF(D5660=0,2*MAX(6*F5660,75),(D5660-1)*2*MAX(6*F5660,75))/1000</f>
        <v>0.15</v>
      </c>
      <c r="M5660" t="str">
        <v>=</v>
      </c>
      <c r="N5660">
        <f>J5660+L5660</f>
        <v>0.27</v>
      </c>
      <c r="T5660" t="str">
        <v>x</v>
      </c>
      <c r="U5660">
        <f>0.006165*F5660^2</f>
        <v>0</v>
      </c>
      <c r="V5660" t="str">
        <v>x</v>
      </c>
      <c r="W5660">
        <f>W5656</f>
        <v>0</v>
      </c>
      <c r="X5660" t="str">
        <v>x</v>
      </c>
      <c r="Y5660">
        <f>D5645</f>
        <v>0</v>
      </c>
      <c r="Z5660" t="str">
        <v>=</v>
      </c>
      <c r="AA5660">
        <f>N5660*U5660*W5660*Y5660</f>
        <v>0</v>
      </c>
    </row>
    <row r="5661">
      <c r="A5661" t="str">
        <f>A5635</f>
        <v>Lantai 3</v>
      </c>
      <c r="B5661">
        <f>B5635</f>
        <v>46</v>
      </c>
      <c r="C5661" t="str">
        <v>Kait Horizontal Tump.</v>
      </c>
      <c r="D5661">
        <f>VLOOKUP(D5635,'Detail Balok'!$C$10:$BJ$140,56,FALSE)</f>
        <v>0</v>
      </c>
      <c r="E5661" t="str">
        <v>D</v>
      </c>
      <c r="F5661">
        <f>VLOOKUP(D5635,'Detail Balok'!$C$10:$BJ$140,58,FALSE)</f>
        <v>0</v>
      </c>
      <c r="G5661" t="str">
        <v>-</v>
      </c>
      <c r="H5661">
        <f>VLOOKUP(D5635,'Detail Balok'!$C$10:$BJ$140,60,FALSE)</f>
        <v>100</v>
      </c>
      <c r="J5661">
        <f>(D5636-2*F$5)/1000</f>
        <v>0.12</v>
      </c>
      <c r="K5661" t="str">
        <v>+</v>
      </c>
      <c r="L5661">
        <f>IF(D5661=0,2*MAX(6*F5661,75),(D5661-1)*2*MAX(6*F5661,75))/1000</f>
        <v>0.15</v>
      </c>
      <c r="M5661" t="str">
        <v>=</v>
      </c>
      <c r="N5661">
        <f>J5661+L5661</f>
        <v>0.27</v>
      </c>
      <c r="T5661" t="str">
        <v>x</v>
      </c>
      <c r="U5661">
        <f>0.006165*F5661^2</f>
        <v>0</v>
      </c>
      <c r="V5661" t="str">
        <v>x</v>
      </c>
      <c r="W5661">
        <f>W5657</f>
        <v>0</v>
      </c>
      <c r="X5661" t="str">
        <v>x</v>
      </c>
      <c r="Y5661">
        <f>D5645</f>
        <v>0</v>
      </c>
      <c r="Z5661" t="str">
        <v>=</v>
      </c>
      <c r="AA5661">
        <f>N5661*U5661*W5661*Y5661</f>
        <v>0</v>
      </c>
    </row>
    <row r="5665">
      <c r="A5665" t="str">
        <f>A5635</f>
        <v>Lantai 3</v>
      </c>
      <c r="B5665">
        <f>B5635+1</f>
        <v>47</v>
      </c>
      <c r="C5665" t="str">
        <f>CONCATENATE(A5665," no. ",B5665)</f>
        <v>Lantai 3 no. 47</v>
      </c>
      <c r="D5665" t="str">
        <f>VLOOKUP(C5665,'Data Panjang Balok'!$C$9:$N$254,2,FALSE)</f>
        <v>CL24-1</v>
      </c>
    </row>
    <row r="5666">
      <c r="C5666" t="str">
        <v>Dimensi</v>
      </c>
      <c r="D5666">
        <f>VLOOKUP(D5665,'Detail Balok'!$C$10:$AU$140,2,FALSE)</f>
        <v>200</v>
      </c>
      <c r="F5666" t="str">
        <v>x</v>
      </c>
      <c r="G5666">
        <f>VLOOKUP(D5665,'Detail Balok'!$C$10:$AU$140,3,FALSE)</f>
        <v>400</v>
      </c>
    </row>
    <row r="5667">
      <c r="C5667" t="str">
        <v>Panjang as ke as</v>
      </c>
      <c r="D5667">
        <f>VLOOKUP(C5665,'Data Panjang Balok'!$C$9:$N$254,4,FALSE)</f>
        <v>12650</v>
      </c>
    </row>
    <row r="5668">
      <c r="C5668" t="str">
        <v>Panjang netto</v>
      </c>
      <c r="D5668">
        <f>VLOOKUP(C5665,'Data Panjang Balok'!$C$9:$N$254,7,FALSE)</f>
        <v>12650</v>
      </c>
    </row>
    <row r="5669">
      <c r="C5669" t="str">
        <v>Kolom / balok kiri</v>
      </c>
      <c r="D5669">
        <f>VLOOKUP(C5665,'Data Panjang Balok'!$C$9:$N$254,9,FALSE)</f>
        <v>0</v>
      </c>
    </row>
    <row r="5670">
      <c r="C5670" t="str">
        <v>Kolom / balok kanan</v>
      </c>
      <c r="D5670">
        <f>VLOOKUP(C5665,'Data Panjang Balok'!$C$9:$N$254,10,FALSE)</f>
        <v>0</v>
      </c>
    </row>
    <row r="5671">
      <c r="C5671" t="str">
        <v>Jumlah</v>
      </c>
      <c r="D5671">
        <f>VLOOKUP(C5665,'Data Panjang Balok'!$C$9:$N$254,3,FALSE)</f>
        <v>1</v>
      </c>
    </row>
    <row r="5672">
      <c r="A5672" t="str">
        <f>A5665</f>
        <v>Lantai 3</v>
      </c>
      <c r="B5672">
        <f>B5665</f>
        <v>47</v>
      </c>
      <c r="C5672" t="str">
        <v>Tul Atas Tumpuan</v>
      </c>
      <c r="D5672">
        <f>VLOOKUP(D5665,'Detail Balok'!$C$10:$AU$140,4,FALSE)</f>
        <v>3</v>
      </c>
      <c r="E5672" t="str">
        <v>D</v>
      </c>
      <c r="F5672">
        <f>VLOOKUP(D5665,'Detail Balok'!$C$10:$AU$140,6,FALSE)</f>
        <v>16</v>
      </c>
      <c r="I5672" t="str">
        <v>(</v>
      </c>
      <c r="J5672">
        <f>+D5667/4/1000</f>
        <v>3.1625</v>
      </c>
      <c r="K5672" t="str">
        <v>+</v>
      </c>
      <c r="L5672">
        <f>MAX(VLOOKUP(F5672,N$6:P$15,3,FALSE)/1000,2/3*D5669/1000)+F$16*F5672/1000</f>
        <v>0.192</v>
      </c>
      <c r="M5672" t="str">
        <v>=</v>
      </c>
      <c r="N5672">
        <f>J5672+L5672</f>
        <v>3.3545000000000003</v>
      </c>
      <c r="O5672" t="str">
        <v>+</v>
      </c>
      <c r="P5672">
        <f>D5672-D5673</f>
        <v>0</v>
      </c>
      <c r="Q5672" t="str">
        <v>x</v>
      </c>
      <c r="R5672">
        <f>IF(P5672&gt;0,$F$18*F5672/1000,0)</f>
        <v>0</v>
      </c>
      <c r="S5672" t="str">
        <v>)</v>
      </c>
      <c r="T5672" t="str">
        <v>x</v>
      </c>
      <c r="U5672">
        <f>0.006165*F5672^2</f>
        <v>1.57824</v>
      </c>
      <c r="X5672" t="str">
        <v>x</v>
      </c>
      <c r="Y5672">
        <f>D5671</f>
        <v>1</v>
      </c>
      <c r="Z5672" t="str">
        <v>=</v>
      </c>
      <c r="AA5672">
        <f>IF(AA5675=0,(D5672*N5672+P5672*R5672)*U5672*Y5672,0)</f>
        <v>0</v>
      </c>
    </row>
    <row r="5673">
      <c r="A5673" t="str">
        <f>A5665</f>
        <v>Lantai 3</v>
      </c>
      <c r="B5673">
        <f>B5665</f>
        <v>47</v>
      </c>
      <c r="C5673" t="str">
        <v>Tul Atas Lapangan</v>
      </c>
      <c r="D5673">
        <f>VLOOKUP(D5665,'Detail Balok'!$C$10:$AU$140,7,FALSE)</f>
        <v>3</v>
      </c>
      <c r="E5673" t="str">
        <v>D</v>
      </c>
      <c r="F5673">
        <f>VLOOKUP(D5665,'Detail Balok'!$C$10:$AU$140,9,FALSE)</f>
        <v>16</v>
      </c>
      <c r="I5673" t="str">
        <v>(</v>
      </c>
      <c r="J5673">
        <f>+D5667/2/1000</f>
        <v>6.325</v>
      </c>
      <c r="K5673" t="str">
        <v>+</v>
      </c>
      <c r="M5673" t="str">
        <v>=</v>
      </c>
      <c r="N5673">
        <f>J5673+L5673</f>
        <v>6.325</v>
      </c>
      <c r="O5673" t="str">
        <v>+</v>
      </c>
      <c r="P5673">
        <f>MAX(D5673-D5672,D5673-D5674)</f>
        <v>0</v>
      </c>
      <c r="Q5673" t="str">
        <v>x</v>
      </c>
      <c r="R5673">
        <f>IF(P5673&gt;0,2*(1-2*$F$19-1/2)*D5668/1000,0)</f>
        <v>0</v>
      </c>
      <c r="S5673" t="str">
        <v>)</v>
      </c>
      <c r="T5673" t="str">
        <v>x</v>
      </c>
      <c r="U5673">
        <f>0.006165*F5673^2</f>
        <v>1.57824</v>
      </c>
      <c r="X5673" t="str">
        <v>x</v>
      </c>
      <c r="Y5673">
        <f>D5671</f>
        <v>1</v>
      </c>
      <c r="Z5673" t="str">
        <v>=</v>
      </c>
      <c r="AA5673">
        <f>IF(AA5675=0,(D5673*N5673+P5673*R5673)*U5673*Y5673,0)</f>
        <v>0</v>
      </c>
    </row>
    <row r="5674">
      <c r="A5674" t="str">
        <f>A5665</f>
        <v>Lantai 3</v>
      </c>
      <c r="B5674">
        <f>B5665</f>
        <v>47</v>
      </c>
      <c r="C5674" t="str">
        <v>Tul Atas Tumpuan</v>
      </c>
      <c r="D5674">
        <f>VLOOKUP(D5665,'Detail Balok'!$C$10:$AU$140,10,FALSE)</f>
        <v>3</v>
      </c>
      <c r="E5674" t="str">
        <v>D</v>
      </c>
      <c r="F5674">
        <f>VLOOKUP(D5665,'Detail Balok'!$C$10:$AU$140,12,FALSE)</f>
        <v>16</v>
      </c>
      <c r="I5674" t="str">
        <v>(</v>
      </c>
      <c r="J5674">
        <f>+D5667/4/1000</f>
        <v>3.1625</v>
      </c>
      <c r="K5674" t="str">
        <v>+</v>
      </c>
      <c r="L5674">
        <f>MAX(VLOOKUP(F5674,N$6:P$15,3,FALSE)/1000,2/3*D5669/1000)+F$16*F5674/1000</f>
        <v>0.192</v>
      </c>
      <c r="M5674" t="str">
        <v>=</v>
      </c>
      <c r="N5674">
        <f>J5674+L5674</f>
        <v>3.3545000000000003</v>
      </c>
      <c r="O5674" t="str">
        <v>+</v>
      </c>
      <c r="P5674">
        <f>D5674-D5673</f>
        <v>0</v>
      </c>
      <c r="Q5674" t="str">
        <v>x</v>
      </c>
      <c r="R5674">
        <f>IF(P5674&gt;0,$F$18*F5674/1000,0)</f>
        <v>0</v>
      </c>
      <c r="S5674" t="str">
        <v>)</v>
      </c>
      <c r="T5674" t="str">
        <v>x</v>
      </c>
      <c r="U5674">
        <f>0.006165*F5674^2</f>
        <v>1.57824</v>
      </c>
      <c r="X5674" t="str">
        <v>x</v>
      </c>
      <c r="Y5674">
        <f>D5671</f>
        <v>1</v>
      </c>
      <c r="Z5674" t="str">
        <v>=</v>
      </c>
      <c r="AA5674">
        <f>IF(AA5675=0,(D5674*N5674+P5674*R5674)*U5674*Y5674,0)</f>
        <v>0</v>
      </c>
    </row>
    <row r="5675">
      <c r="A5675" t="str">
        <f>A5665</f>
        <v>Lantai 3</v>
      </c>
      <c r="B5675">
        <f>B5665</f>
        <v>47</v>
      </c>
      <c r="D5675">
        <f>IF(AND(D5672=D5673,D5673=D5674,D5672=D5674),D5672,0)</f>
        <v>3</v>
      </c>
      <c r="E5675" t="str">
        <v>D</v>
      </c>
      <c r="F5675">
        <f>IF(AND(F5672=F5673,F5672=F5674,F5673=F5674),F5672,0)</f>
        <v>16</v>
      </c>
      <c r="L5675" t="str">
        <v>Total panjang per balok</v>
      </c>
      <c r="M5675" t="str">
        <v>=</v>
      </c>
      <c r="N5675">
        <f>IF(AND(D5672=D5673,D5672=D5674,D5673=D5674,F5672=F5673,F5672=F5674,F5673=F5674),SUM(N5672:N5674),0)</f>
        <v>13.034</v>
      </c>
      <c r="O5675" t="str">
        <v>+</v>
      </c>
      <c r="P5675">
        <f>IF(N5675&gt;12,ROUNDDOWN(N5675/12,0),0)</f>
        <v>1</v>
      </c>
      <c r="Q5675" t="str">
        <v>x</v>
      </c>
      <c r="R5675">
        <f>IF(P5675&gt;0,MAX(VLOOKUP(F5675,$D$6:$G$15,3,FALSE),600),0)/1000</f>
        <v>0.8</v>
      </c>
      <c r="T5675" t="str">
        <v>x</v>
      </c>
      <c r="U5675">
        <f>U5674</f>
        <v>1.57824</v>
      </c>
      <c r="V5675" t="str">
        <v>x</v>
      </c>
      <c r="W5675">
        <f>D5675</f>
        <v>3</v>
      </c>
      <c r="X5675" t="str">
        <v>x</v>
      </c>
      <c r="Y5675">
        <f>Y5674</f>
        <v>1</v>
      </c>
      <c r="Z5675" t="str">
        <v>=</v>
      </c>
      <c r="AA5675">
        <f>(N5675+P5675*R5675/1000)*U5675*W5675*Y5675</f>
        <v>61.716128256000005</v>
      </c>
    </row>
    <row r="5677">
      <c r="A5677" t="str">
        <f>A5665</f>
        <v>Lantai 3</v>
      </c>
      <c r="B5677">
        <f>B5665</f>
        <v>47</v>
      </c>
      <c r="C5677" t="str">
        <v>Tul Peminggang</v>
      </c>
      <c r="D5677">
        <f>VLOOKUP(D5665,'Detail Balok'!$C$10:$AU$140,13,FALSE)</f>
        <v>0</v>
      </c>
      <c r="E5677" t="str">
        <v>D</v>
      </c>
      <c r="F5677">
        <f>VLOOKUP(D5665,'Detail Balok'!$C$10:$AU$140,15,FALSE)</f>
        <v>8</v>
      </c>
      <c r="J5677">
        <f>+D5667/1000</f>
        <v>12.65</v>
      </c>
      <c r="K5677" t="str">
        <v>+</v>
      </c>
      <c r="L5677">
        <f>2*$F$16*F5677/1000</f>
        <v>0.192</v>
      </c>
      <c r="M5677" t="str">
        <v>=</v>
      </c>
      <c r="N5677">
        <f>J5677+L5677</f>
        <v>12.842</v>
      </c>
      <c r="O5677" t="str">
        <v>+</v>
      </c>
      <c r="P5677">
        <f>IF(N5677&gt;12,ROUNDDOWN(N5677/12,0),0)</f>
        <v>1</v>
      </c>
      <c r="Q5677" t="str">
        <v>x</v>
      </c>
      <c r="R5677">
        <f>IF(P5677&gt;0,MAX(VLOOKUP(F5677,$D$6:$G$15,3,FALSE),600),0)/1000</f>
        <v>0.6</v>
      </c>
      <c r="T5677" t="str">
        <v>x</v>
      </c>
      <c r="U5677">
        <f>0.006165*F5677^2</f>
        <v>0.39456</v>
      </c>
      <c r="V5677" t="str">
        <v>x</v>
      </c>
      <c r="W5677">
        <f>+D5677</f>
        <v>0</v>
      </c>
      <c r="X5677" t="str">
        <v>x</v>
      </c>
      <c r="Y5677">
        <f>D5671</f>
        <v>1</v>
      </c>
      <c r="Z5677" t="str">
        <v>=</v>
      </c>
      <c r="AA5677">
        <f>(N5677+P5677*R5677/1000)*U5677*W5677*Y5677</f>
        <v>0</v>
      </c>
    </row>
    <row r="5680">
      <c r="A5680" t="str">
        <f>A5665</f>
        <v>Lantai 3</v>
      </c>
      <c r="B5680">
        <f>B5665</f>
        <v>47</v>
      </c>
      <c r="C5680" t="str">
        <v>Tul Bawah Tumpuan</v>
      </c>
      <c r="D5680">
        <f>VLOOKUP(D5665,'Detail Balok'!$C$10:$AU$140,22,FALSE)</f>
        <v>3</v>
      </c>
      <c r="E5680" t="str">
        <v>D</v>
      </c>
      <c r="F5680">
        <f>VLOOKUP(D5665,'Detail Balok'!$C$10:$AU$140,24,FALSE)</f>
        <v>16</v>
      </c>
      <c r="I5680" t="str">
        <v>(</v>
      </c>
      <c r="J5680">
        <f>+J5672</f>
        <v>3.1625</v>
      </c>
      <c r="K5680" t="str">
        <v>+</v>
      </c>
      <c r="L5680">
        <f>MAX(VLOOKUP(F5680,N$6:P$15,3,FALSE)/1000,2/3*D5670/1000)+F$16*F5680/1000</f>
        <v>0.192</v>
      </c>
      <c r="M5680" t="str">
        <v>=</v>
      </c>
      <c r="N5680">
        <f>J5680+L5680</f>
        <v>3.3545000000000003</v>
      </c>
      <c r="O5680" t="str">
        <v>+</v>
      </c>
      <c r="P5680">
        <f>D5680-D5681</f>
        <v>0</v>
      </c>
      <c r="Q5680" t="str">
        <v>x</v>
      </c>
      <c r="R5680">
        <f>IF(P5680&gt;0,$F$18*F5680/1000,0)</f>
        <v>0</v>
      </c>
      <c r="S5680" t="str">
        <v>)</v>
      </c>
      <c r="T5680" t="str">
        <v>x</v>
      </c>
      <c r="U5680">
        <f>0.006165*F5680^2</f>
        <v>1.57824</v>
      </c>
      <c r="X5680" t="str">
        <v>x</v>
      </c>
      <c r="Y5680">
        <f>D5671</f>
        <v>1</v>
      </c>
      <c r="Z5680" t="str">
        <v>=</v>
      </c>
      <c r="AA5680">
        <f>IF(AA5683=0,(D5680*N5680+P5680*R5680)*U5680*Y5680,0)</f>
        <v>0</v>
      </c>
    </row>
    <row r="5681">
      <c r="A5681" t="str">
        <f>A5665</f>
        <v>Lantai 3</v>
      </c>
      <c r="B5681">
        <f>B5665</f>
        <v>47</v>
      </c>
      <c r="C5681" t="str">
        <v>Tul Bawah Lapangan</v>
      </c>
      <c r="D5681">
        <f>VLOOKUP(D5665,'Detail Balok'!$C$10:$AU$140,25,FALSE)</f>
        <v>3</v>
      </c>
      <c r="E5681" t="str">
        <v>D</v>
      </c>
      <c r="F5681">
        <f>VLOOKUP(D5665,'Detail Balok'!$C$10:$AU$140,27,FALSE)</f>
        <v>16</v>
      </c>
      <c r="I5681" t="str">
        <v>(</v>
      </c>
      <c r="J5681">
        <f>+J5673</f>
        <v>6.325</v>
      </c>
      <c r="K5681" t="str">
        <v>+</v>
      </c>
      <c r="M5681" t="str">
        <v>=</v>
      </c>
      <c r="N5681">
        <f>J5681+L5681</f>
        <v>6.325</v>
      </c>
      <c r="O5681" t="str">
        <v>+</v>
      </c>
      <c r="P5681">
        <f>MAX(D5681-D5680,D5681-D5682)</f>
        <v>0</v>
      </c>
      <c r="Q5681" t="str">
        <v>x</v>
      </c>
      <c r="R5681">
        <f>IF(P5681&gt;0,2*(1-2*$F$19-1/2)*D5668/1000,0)</f>
        <v>0</v>
      </c>
      <c r="S5681" t="str">
        <v>)</v>
      </c>
      <c r="T5681" t="str">
        <v>x</v>
      </c>
      <c r="U5681">
        <f>0.006165*F5681^2</f>
        <v>1.57824</v>
      </c>
      <c r="X5681" t="str">
        <v>x</v>
      </c>
      <c r="Y5681">
        <f>D5671</f>
        <v>1</v>
      </c>
      <c r="Z5681" t="str">
        <v>=</v>
      </c>
      <c r="AA5681">
        <f>IF(AA5683=0,(D5681*N5681+P5681*R5681)*U5681*Y5681,0)</f>
        <v>0</v>
      </c>
    </row>
    <row r="5682">
      <c r="A5682" t="str">
        <f>A5665</f>
        <v>Lantai 3</v>
      </c>
      <c r="B5682">
        <f>B5665</f>
        <v>47</v>
      </c>
      <c r="C5682" t="str">
        <v>Tul Bawah Tumpuan</v>
      </c>
      <c r="D5682">
        <f>VLOOKUP(D5665,'Detail Balok'!$C$10:$AU$140,28,FALSE)</f>
        <v>3</v>
      </c>
      <c r="E5682" t="str">
        <v>D</v>
      </c>
      <c r="F5682">
        <f>VLOOKUP(D5665,'Detail Balok'!$C$10:$AU$140,30,FALSE)</f>
        <v>16</v>
      </c>
      <c r="I5682" t="str">
        <v>(</v>
      </c>
      <c r="J5682">
        <f>+J5674</f>
        <v>3.1625</v>
      </c>
      <c r="K5682" t="str">
        <v>+</v>
      </c>
      <c r="L5682">
        <f>MAX(VLOOKUP(F5682,N$6:P$15,3,FALSE)/1000,2/3*D5670/1000)+F$16*F5682/1000</f>
        <v>0.192</v>
      </c>
      <c r="M5682" t="str">
        <v>=</v>
      </c>
      <c r="N5682">
        <f>J5682+L5682</f>
        <v>3.3545000000000003</v>
      </c>
      <c r="O5682" t="str">
        <v>+</v>
      </c>
      <c r="P5682">
        <f>D5682-D5681</f>
        <v>0</v>
      </c>
      <c r="Q5682" t="str">
        <v>x</v>
      </c>
      <c r="R5682">
        <f>IF(P5682&gt;0,$F$18*F5682/1000,0)</f>
        <v>0</v>
      </c>
      <c r="S5682" t="str">
        <v>)</v>
      </c>
      <c r="T5682" t="str">
        <v>x</v>
      </c>
      <c r="U5682">
        <f>0.006165*F5682^2</f>
        <v>1.57824</v>
      </c>
      <c r="X5682" t="str">
        <v>x</v>
      </c>
      <c r="Y5682">
        <f>D5671</f>
        <v>1</v>
      </c>
      <c r="Z5682" t="str">
        <v>=</v>
      </c>
      <c r="AA5682">
        <f>IF(AA5683=0,(D5682*N5682+P5682*R5682)*U5682*Y5682,0)</f>
        <v>0</v>
      </c>
    </row>
    <row r="5683">
      <c r="A5683" t="str">
        <f>A5665</f>
        <v>Lantai 3</v>
      </c>
      <c r="B5683">
        <f>B5665</f>
        <v>47</v>
      </c>
      <c r="D5683">
        <f>IF(AND(D5680=D5681,D5681=D5682,D5680=D5682),D5680,0)</f>
        <v>3</v>
      </c>
      <c r="E5683" t="str">
        <v>D</v>
      </c>
      <c r="F5683">
        <f>IF(AND(F5680=F5681,F5680=F5682,F5681=F5682),F5680,0)</f>
        <v>16</v>
      </c>
      <c r="L5683" t="str">
        <v>Total panjang per balok</v>
      </c>
      <c r="M5683" t="str">
        <v>=</v>
      </c>
      <c r="N5683">
        <f>IF(AND(D5680=D5681,D5680=D5682,D5681=D5682,F5680=F5681,F5680=F5682,F5681=F5682),SUM(N5680:N5682),0)</f>
        <v>13.034</v>
      </c>
      <c r="O5683" t="str">
        <v>+</v>
      </c>
      <c r="P5683">
        <f>IF(N5683&gt;12,ROUNDDOWN(N5683/12,0),0)</f>
        <v>1</v>
      </c>
      <c r="Q5683" t="str">
        <v>x</v>
      </c>
      <c r="R5683">
        <f>IF(P5683&gt;0,MAX(VLOOKUP(F5683,$D$6:$G$15,3,FALSE),600),0)/1000</f>
        <v>0.8</v>
      </c>
      <c r="T5683" t="str">
        <v>x</v>
      </c>
      <c r="U5683">
        <f>U5682</f>
        <v>1.57824</v>
      </c>
      <c r="V5683" t="str">
        <v>x</v>
      </c>
      <c r="W5683">
        <f>D5683</f>
        <v>3</v>
      </c>
      <c r="X5683" t="str">
        <v>x</v>
      </c>
      <c r="Y5683">
        <f>Y5682</f>
        <v>1</v>
      </c>
      <c r="Z5683" t="str">
        <v>=</v>
      </c>
      <c r="AA5683">
        <f>(N5683+P5683*R5683/1000)*U5683*W5683*Y5683</f>
        <v>61.716128256000005</v>
      </c>
    </row>
    <row r="5685">
      <c r="A5685" t="str">
        <f>A5665</f>
        <v>Lantai 3</v>
      </c>
      <c r="B5685">
        <f>B5665</f>
        <v>47</v>
      </c>
      <c r="C5685" t="str">
        <v>Sengkang Tumpuan</v>
      </c>
      <c r="D5685">
        <f>VLOOKUP(D5665,'Detail Balok'!$C$10:$AU$140,31,FALSE)</f>
        <v>0</v>
      </c>
      <c r="E5685" t="str">
        <v>D</v>
      </c>
      <c r="F5685">
        <f>VLOOKUP(D5665,'Detail Balok'!$C$10:$AU$140,33,FALSE)</f>
        <v>10</v>
      </c>
      <c r="G5685" t="str">
        <v>-</v>
      </c>
      <c r="H5685">
        <f>VLOOKUP(D5665,'Detail Balok'!$C$10:$AU$140,35,FALSE)</f>
        <v>100</v>
      </c>
      <c r="J5685">
        <f>(IF(D5685=0,(2*(D5666+G5666))-(F$5*8),IF(D5685=3,(2*(D5666+G5666))-(F$5*8)+(G5666-2*F$5),IF(D5685=4,(2*(D5666+G5666))-(F$5*8)+2*(G5666-2*F$5)))))/1000</f>
        <v>0.88</v>
      </c>
      <c r="K5685" t="str">
        <v>+</v>
      </c>
      <c r="L5685">
        <f>IF(D5685=0,2*MAX(6*F5685,75),(D5685-1)*2*MAX(6*F5685,75))/1000</f>
        <v>0.15</v>
      </c>
      <c r="M5685" t="str">
        <v>=</v>
      </c>
      <c r="N5685">
        <f>J5685+L5685</f>
        <v>1.03</v>
      </c>
      <c r="T5685" t="str">
        <v>x</v>
      </c>
      <c r="U5685">
        <f>0.006165*F5685^2</f>
        <v>0.6165</v>
      </c>
      <c r="V5685" t="str">
        <v>x</v>
      </c>
      <c r="W5685">
        <f>IF(D5668&gt;4*G5666,ROUND(MAX(D5668/4,2*G5666)/H5685,0)+1,ROUND(D5668/H5685,0)+1)</f>
        <v>33</v>
      </c>
      <c r="X5685" t="str">
        <v>x</v>
      </c>
      <c r="Y5685">
        <f>D5671</f>
        <v>1</v>
      </c>
      <c r="Z5685" t="str">
        <v>=</v>
      </c>
      <c r="AA5685">
        <f>N5685*U5685*W5685*Y5685</f>
        <v>20.954835000000003</v>
      </c>
    </row>
    <row r="5686">
      <c r="A5686" t="str">
        <f>A5665</f>
        <v>Lantai 3</v>
      </c>
      <c r="B5686">
        <f>B5665</f>
        <v>47</v>
      </c>
      <c r="C5686" t="str">
        <v>Sengkang Lapangan</v>
      </c>
      <c r="D5686">
        <f>VLOOKUP(D5665,'Detail Balok'!$C$10:$AU$140,36,FALSE)</f>
        <v>0</v>
      </c>
      <c r="E5686" t="str">
        <v>D</v>
      </c>
      <c r="F5686">
        <f>VLOOKUP(D5665,'Detail Balok'!$C$10:$AU$140,38,FALSE)</f>
        <v>10</v>
      </c>
      <c r="G5686" t="str">
        <v>-</v>
      </c>
      <c r="H5686">
        <f>VLOOKUP(D5665,'Detail Balok'!$C$10:$AU$140,40,FALSE)</f>
        <v>100</v>
      </c>
      <c r="J5686">
        <f>(IF(D5686=0,(2*(D5666+G5666))-(F$5*8),IF(D5686=3,(2*(D5666+G5666))-(F$5*8)+(G5666-2*F$5),IF(D5686=4,(2*(D5666+G5666))-(F$5*8)+2*(G5666-2*F$5)))))/1000</f>
        <v>0.88</v>
      </c>
      <c r="K5686" t="str">
        <v>+</v>
      </c>
      <c r="L5686">
        <f>IF(D5686=0,2*MAX(6*F5686,75),(D5686-1)*2*MAX(6*F5686,75))/1000</f>
        <v>0.15</v>
      </c>
      <c r="M5686" t="str">
        <v>=</v>
      </c>
      <c r="N5686">
        <f>J5686+L5686</f>
        <v>1.03</v>
      </c>
      <c r="T5686" t="str">
        <v>x</v>
      </c>
      <c r="U5686">
        <f>0.006165*F5686^2</f>
        <v>0.6165</v>
      </c>
      <c r="V5686" t="str">
        <v>x</v>
      </c>
      <c r="W5686">
        <f>IF(D5668-MAX(D5668/4,2*G5666)*2&gt;0,ROUND((D5668-MAX(D5668/4,2*G5666)*2)/H5686,0),0)</f>
        <v>63</v>
      </c>
      <c r="X5686" t="str">
        <v>x</v>
      </c>
      <c r="Y5686">
        <f>D5671</f>
        <v>1</v>
      </c>
      <c r="Z5686" t="str">
        <v>=</v>
      </c>
      <c r="AA5686">
        <f>N5686*U5686*W5686*Y5686</f>
        <v>40.004685</v>
      </c>
    </row>
    <row r="5687">
      <c r="A5687" t="str">
        <f>A5665</f>
        <v>Lantai 3</v>
      </c>
      <c r="B5687">
        <f>B5665</f>
        <v>47</v>
      </c>
      <c r="C5687" t="str">
        <v>Sengkang Tumpuan</v>
      </c>
      <c r="D5687">
        <f>VLOOKUP(D5665,'Detail Balok'!$C$10:$AU$140,41,FALSE)</f>
        <v>0</v>
      </c>
      <c r="E5687" t="str">
        <v>D</v>
      </c>
      <c r="F5687">
        <f>VLOOKUP(D5665,'Detail Balok'!$C$10:$AU$140,43,FALSE)</f>
        <v>10</v>
      </c>
      <c r="G5687" t="str">
        <v>-</v>
      </c>
      <c r="H5687">
        <f>VLOOKUP(D5665,'Detail Balok'!$C$10:$AU$140,45,FALSE)</f>
        <v>100</v>
      </c>
      <c r="J5687">
        <f>(IF(D5687=0,(2*(D5666+G5666))-(F$5*8),IF(D5687=3,(2*(D5666+G5666))-(F$5*8)+(G5666-2*F$5),IF(D5687=4,(2*(D5666+G5666))-(F$5*8)+2*(G5666-2*F$5)))))/1000</f>
        <v>0.88</v>
      </c>
      <c r="K5687" t="str">
        <v>+</v>
      </c>
      <c r="L5687">
        <f>IF(D5687=0,2*MAX(6*F5687,75),(D5687-1)*2*MAX(6*F5687,75))/1000</f>
        <v>0.15</v>
      </c>
      <c r="M5687" t="str">
        <v>=</v>
      </c>
      <c r="N5687">
        <f>J5687+L5687</f>
        <v>1.03</v>
      </c>
      <c r="T5687" t="str">
        <v>x</v>
      </c>
      <c r="U5687">
        <f>0.006165*F5687^2</f>
        <v>0.6165</v>
      </c>
      <c r="V5687" t="str">
        <v>x</v>
      </c>
      <c r="W5687">
        <f>IF(D5668&gt;4*G5666,ROUND(MAX(D5668/4,2*G5666)/H5687,0)+1,0)</f>
        <v>33</v>
      </c>
      <c r="X5687" t="str">
        <v>x</v>
      </c>
      <c r="Y5687">
        <f>D5671</f>
        <v>1</v>
      </c>
      <c r="Z5687" t="str">
        <v>=</v>
      </c>
      <c r="AA5687">
        <f>N5687*U5687*W5687*Y5687</f>
        <v>20.954835000000003</v>
      </c>
    </row>
    <row r="5689">
      <c r="A5689" t="str">
        <f>A5665</f>
        <v>Lantai 3</v>
      </c>
      <c r="B5689">
        <f>B5665</f>
        <v>47</v>
      </c>
      <c r="C5689" t="str">
        <v>Kait Horizontal Tump.</v>
      </c>
      <c r="D5689">
        <f>VLOOKUP(D5665,'Detail Balok'!$C$10:$BJ$140,46,FALSE)</f>
        <v>0</v>
      </c>
      <c r="E5689" t="str">
        <v>D</v>
      </c>
      <c r="F5689">
        <f>VLOOKUP(D5665,'Detail Balok'!$C$10:$BJ$140,48,FALSE)</f>
        <v>0</v>
      </c>
      <c r="G5689" t="str">
        <v>-</v>
      </c>
      <c r="H5689">
        <f>VLOOKUP(D5665,'Detail Balok'!$C$10:$BJ$140,50,FALSE)</f>
        <v>100</v>
      </c>
      <c r="J5689">
        <f>(D5666-2*F$5)/1000</f>
        <v>0.12</v>
      </c>
      <c r="K5689" t="str">
        <v>+</v>
      </c>
      <c r="L5689">
        <f>IF(D5689=0,2*MAX(6*F5689,75),(D5689-1)*2*MAX(6*F5689,75))/1000</f>
        <v>0.15</v>
      </c>
      <c r="M5689" t="str">
        <v>=</v>
      </c>
      <c r="N5689">
        <f>J5689+L5689</f>
        <v>0.27</v>
      </c>
      <c r="T5689" t="str">
        <v>x</v>
      </c>
      <c r="U5689">
        <f>0.006165*F5689^2</f>
        <v>0</v>
      </c>
      <c r="V5689" t="str">
        <v>x</v>
      </c>
      <c r="W5689">
        <f>W5685</f>
        <v>33</v>
      </c>
      <c r="X5689" t="str">
        <v>x</v>
      </c>
      <c r="Y5689">
        <f>D5675</f>
        <v>3</v>
      </c>
      <c r="Z5689" t="str">
        <v>=</v>
      </c>
      <c r="AA5689">
        <f>N5689*U5689*W5689*Y5689</f>
        <v>0</v>
      </c>
    </row>
    <row r="5690">
      <c r="A5690" t="str">
        <f>A5665</f>
        <v>Lantai 3</v>
      </c>
      <c r="B5690">
        <f>B5665</f>
        <v>47</v>
      </c>
      <c r="C5690" t="str">
        <v>Kait Horizontal Lap.</v>
      </c>
      <c r="D5690">
        <f>VLOOKUP(D5665,'Detail Balok'!$C$10:$BJ$140,51,FALSE)</f>
        <v>0</v>
      </c>
      <c r="E5690" t="str">
        <v>D</v>
      </c>
      <c r="F5690">
        <f>VLOOKUP(D5665,'Detail Balok'!$C$10:$BJ$140,53,FALSE)</f>
        <v>0</v>
      </c>
      <c r="G5690" t="str">
        <v>-</v>
      </c>
      <c r="H5690">
        <f>VLOOKUP(D5665,'Detail Balok'!$C$10:$BJ$140,55,FALSE)</f>
        <v>100</v>
      </c>
      <c r="J5690">
        <f>(D5666-2*F$5)/1000</f>
        <v>0.12</v>
      </c>
      <c r="K5690" t="str">
        <v>+</v>
      </c>
      <c r="L5690">
        <f>IF(D5690=0,2*MAX(6*F5690,75),(D5690-1)*2*MAX(6*F5690,75))/1000</f>
        <v>0.15</v>
      </c>
      <c r="M5690" t="str">
        <v>=</v>
      </c>
      <c r="N5690">
        <f>J5690+L5690</f>
        <v>0.27</v>
      </c>
      <c r="T5690" t="str">
        <v>x</v>
      </c>
      <c r="U5690">
        <f>0.006165*F5690^2</f>
        <v>0</v>
      </c>
      <c r="V5690" t="str">
        <v>x</v>
      </c>
      <c r="W5690">
        <f>W5686</f>
        <v>63</v>
      </c>
      <c r="X5690" t="str">
        <v>x</v>
      </c>
      <c r="Y5690">
        <f>D5675</f>
        <v>3</v>
      </c>
      <c r="Z5690" t="str">
        <v>=</v>
      </c>
      <c r="AA5690">
        <f>N5690*U5690*W5690*Y5690</f>
        <v>0</v>
      </c>
    </row>
    <row r="5691">
      <c r="A5691" t="str">
        <f>A5665</f>
        <v>Lantai 3</v>
      </c>
      <c r="B5691">
        <f>B5665</f>
        <v>47</v>
      </c>
      <c r="C5691" t="str">
        <v>Kait Horizontal Tump.</v>
      </c>
      <c r="D5691">
        <f>VLOOKUP(D5665,'Detail Balok'!$C$10:$BJ$140,56,FALSE)</f>
        <v>0</v>
      </c>
      <c r="E5691" t="str">
        <v>D</v>
      </c>
      <c r="F5691">
        <f>VLOOKUP(D5665,'Detail Balok'!$C$10:$BJ$140,58,FALSE)</f>
        <v>0</v>
      </c>
      <c r="G5691" t="str">
        <v>-</v>
      </c>
      <c r="H5691">
        <f>VLOOKUP(D5665,'Detail Balok'!$C$10:$BJ$140,60,FALSE)</f>
        <v>100</v>
      </c>
      <c r="J5691">
        <f>(D5666-2*F$5)/1000</f>
        <v>0.12</v>
      </c>
      <c r="K5691" t="str">
        <v>+</v>
      </c>
      <c r="L5691">
        <f>IF(D5691=0,2*MAX(6*F5691,75),(D5691-1)*2*MAX(6*F5691,75))/1000</f>
        <v>0.15</v>
      </c>
      <c r="M5691" t="str">
        <v>=</v>
      </c>
      <c r="N5691">
        <f>J5691+L5691</f>
        <v>0.27</v>
      </c>
      <c r="T5691" t="str">
        <v>x</v>
      </c>
      <c r="U5691">
        <f>0.006165*F5691^2</f>
        <v>0</v>
      </c>
      <c r="V5691" t="str">
        <v>x</v>
      </c>
      <c r="W5691">
        <f>W5687</f>
        <v>33</v>
      </c>
      <c r="X5691" t="str">
        <v>x</v>
      </c>
      <c r="Y5691">
        <f>D5675</f>
        <v>3</v>
      </c>
      <c r="Z5691" t="str">
        <v>=</v>
      </c>
      <c r="AA5691">
        <f>N5691*U5691*W5691*Y5691</f>
        <v>0</v>
      </c>
    </row>
    <row r="5695">
      <c r="A5695" t="str">
        <f>A5665</f>
        <v>Lantai 3</v>
      </c>
      <c r="B5695">
        <f>B5665+1</f>
        <v>48</v>
      </c>
      <c r="C5695" t="str">
        <f>CONCATENATE(A5695," no. ",B5695)</f>
        <v>Lantai 3 no. 48</v>
      </c>
      <c r="D5695" t="str">
        <f>VLOOKUP(C5695,'Data Panjang Balok'!$C$9:$N$254,2,FALSE)</f>
        <v>B25-1</v>
      </c>
    </row>
    <row r="5696">
      <c r="C5696" t="str">
        <v>Dimensi</v>
      </c>
      <c r="D5696">
        <f>VLOOKUP(D5695,'Detail Balok'!$C$10:$AU$140,2,FALSE)</f>
        <v>200</v>
      </c>
      <c r="F5696" t="str">
        <v>x</v>
      </c>
      <c r="G5696">
        <f>VLOOKUP(D5695,'Detail Balok'!$C$10:$AU$140,3,FALSE)</f>
        <v>500</v>
      </c>
    </row>
    <row r="5697">
      <c r="C5697" t="str">
        <v>Panjang as ke as</v>
      </c>
      <c r="D5697">
        <f>VLOOKUP(C5695,'Data Panjang Balok'!$C$9:$N$254,4,FALSE)</f>
        <v>5825</v>
      </c>
    </row>
    <row r="5698">
      <c r="C5698" t="str">
        <v>Panjang netto</v>
      </c>
      <c r="D5698">
        <f>VLOOKUP(C5695,'Data Panjang Balok'!$C$9:$N$254,7,FALSE)</f>
        <v>5825</v>
      </c>
    </row>
    <row r="5699">
      <c r="C5699" t="str">
        <v>Kolom / balok kiri</v>
      </c>
      <c r="D5699">
        <f>VLOOKUP(C5695,'Data Panjang Balok'!$C$9:$N$254,9,FALSE)</f>
        <v>0</v>
      </c>
    </row>
    <row r="5700">
      <c r="C5700" t="str">
        <v>Kolom / balok kanan</v>
      </c>
      <c r="D5700">
        <f>VLOOKUP(C5695,'Data Panjang Balok'!$C$9:$N$254,10,FALSE)</f>
        <v>0</v>
      </c>
    </row>
    <row r="5701">
      <c r="C5701" t="str">
        <v>Jumlah</v>
      </c>
      <c r="D5701">
        <f>VLOOKUP(C5695,'Data Panjang Balok'!$C$9:$N$254,3,FALSE)</f>
        <v>1</v>
      </c>
    </row>
    <row r="5702">
      <c r="A5702" t="str">
        <f>A5695</f>
        <v>Lantai 3</v>
      </c>
      <c r="B5702">
        <f>B5695</f>
        <v>48</v>
      </c>
      <c r="C5702" t="str">
        <v>Tul Atas Tumpuan</v>
      </c>
      <c r="D5702">
        <f>VLOOKUP(D5695,'Detail Balok'!$C$10:$AU$140,4,FALSE)</f>
        <v>4</v>
      </c>
      <c r="E5702" t="str">
        <v>D</v>
      </c>
      <c r="F5702">
        <f>VLOOKUP(D5695,'Detail Balok'!$C$10:$AU$140,6,FALSE)</f>
        <v>16</v>
      </c>
      <c r="I5702" t="str">
        <v>(</v>
      </c>
      <c r="J5702">
        <f>+D5697/4/1000</f>
        <v>1.45625</v>
      </c>
      <c r="K5702" t="str">
        <v>+</v>
      </c>
      <c r="L5702">
        <f>MAX(VLOOKUP(F5702,N$6:P$15,3,FALSE)/1000,2/3*D5699/1000)+F$16*F5702/1000</f>
        <v>0.192</v>
      </c>
      <c r="M5702" t="str">
        <v>=</v>
      </c>
      <c r="N5702">
        <f>J5702+L5702</f>
        <v>1.64825</v>
      </c>
      <c r="O5702" t="str">
        <v>+</v>
      </c>
      <c r="P5702">
        <f>D5702-D5703</f>
        <v>0</v>
      </c>
      <c r="Q5702" t="str">
        <v>x</v>
      </c>
      <c r="R5702">
        <f>IF(P5702&gt;0,$F$18*F5702/1000,0)</f>
        <v>0</v>
      </c>
      <c r="S5702" t="str">
        <v>)</v>
      </c>
      <c r="T5702" t="str">
        <v>x</v>
      </c>
      <c r="U5702">
        <f>0.006165*F5702^2</f>
        <v>1.57824</v>
      </c>
      <c r="X5702" t="str">
        <v>x</v>
      </c>
      <c r="Y5702">
        <f>D5701</f>
        <v>1</v>
      </c>
      <c r="Z5702" t="str">
        <v>=</v>
      </c>
      <c r="AA5702">
        <f>IF(AA5705=0,(D5702*N5702+P5702*R5702)*U5702*Y5702,0)</f>
        <v>0</v>
      </c>
    </row>
    <row r="5703">
      <c r="A5703" t="str">
        <f>A5695</f>
        <v>Lantai 3</v>
      </c>
      <c r="B5703">
        <f>B5695</f>
        <v>48</v>
      </c>
      <c r="C5703" t="str">
        <v>Tul Atas Lapangan</v>
      </c>
      <c r="D5703">
        <f>VLOOKUP(D5695,'Detail Balok'!$C$10:$AU$140,7,FALSE)</f>
        <v>4</v>
      </c>
      <c r="E5703" t="str">
        <v>D</v>
      </c>
      <c r="F5703">
        <f>VLOOKUP(D5695,'Detail Balok'!$C$10:$AU$140,9,FALSE)</f>
        <v>16</v>
      </c>
      <c r="I5703" t="str">
        <v>(</v>
      </c>
      <c r="J5703">
        <f>+D5697/2/1000</f>
        <v>2.9125</v>
      </c>
      <c r="K5703" t="str">
        <v>+</v>
      </c>
      <c r="M5703" t="str">
        <v>=</v>
      </c>
      <c r="N5703">
        <f>J5703+L5703</f>
        <v>2.9125</v>
      </c>
      <c r="O5703" t="str">
        <v>+</v>
      </c>
      <c r="P5703">
        <f>MAX(D5703-D5702,D5703-D5704)</f>
        <v>0</v>
      </c>
      <c r="Q5703" t="str">
        <v>x</v>
      </c>
      <c r="R5703">
        <f>IF(P5703&gt;0,2*(1-2*$F$19-1/2)*D5698/1000,0)</f>
        <v>0</v>
      </c>
      <c r="S5703" t="str">
        <v>)</v>
      </c>
      <c r="T5703" t="str">
        <v>x</v>
      </c>
      <c r="U5703">
        <f>0.006165*F5703^2</f>
        <v>1.57824</v>
      </c>
      <c r="X5703" t="str">
        <v>x</v>
      </c>
      <c r="Y5703">
        <f>D5701</f>
        <v>1</v>
      </c>
      <c r="Z5703" t="str">
        <v>=</v>
      </c>
      <c r="AA5703">
        <f>IF(AA5705=0,(D5703*N5703+P5703*R5703)*U5703*Y5703,0)</f>
        <v>0</v>
      </c>
    </row>
    <row r="5704">
      <c r="A5704" t="str">
        <f>A5695</f>
        <v>Lantai 3</v>
      </c>
      <c r="B5704">
        <f>B5695</f>
        <v>48</v>
      </c>
      <c r="C5704" t="str">
        <v>Tul Atas Tumpuan</v>
      </c>
      <c r="D5704">
        <f>VLOOKUP(D5695,'Detail Balok'!$C$10:$AU$140,10,FALSE)</f>
        <v>4</v>
      </c>
      <c r="E5704" t="str">
        <v>D</v>
      </c>
      <c r="F5704">
        <f>VLOOKUP(D5695,'Detail Balok'!$C$10:$AU$140,12,FALSE)</f>
        <v>16</v>
      </c>
      <c r="I5704" t="str">
        <v>(</v>
      </c>
      <c r="J5704">
        <f>+D5697/4/1000</f>
        <v>1.45625</v>
      </c>
      <c r="K5704" t="str">
        <v>+</v>
      </c>
      <c r="L5704">
        <f>MAX(VLOOKUP(F5704,N$6:P$15,3,FALSE)/1000,2/3*D5699/1000)+F$16*F5704/1000</f>
        <v>0.192</v>
      </c>
      <c r="M5704" t="str">
        <v>=</v>
      </c>
      <c r="N5704">
        <f>J5704+L5704</f>
        <v>1.64825</v>
      </c>
      <c r="O5704" t="str">
        <v>+</v>
      </c>
      <c r="P5704">
        <f>D5704-D5703</f>
        <v>0</v>
      </c>
      <c r="Q5704" t="str">
        <v>x</v>
      </c>
      <c r="R5704">
        <f>IF(P5704&gt;0,$F$18*F5704/1000,0)</f>
        <v>0</v>
      </c>
      <c r="S5704" t="str">
        <v>)</v>
      </c>
      <c r="T5704" t="str">
        <v>x</v>
      </c>
      <c r="U5704">
        <f>0.006165*F5704^2</f>
        <v>1.57824</v>
      </c>
      <c r="X5704" t="str">
        <v>x</v>
      </c>
      <c r="Y5704">
        <f>D5701</f>
        <v>1</v>
      </c>
      <c r="Z5704" t="str">
        <v>=</v>
      </c>
      <c r="AA5704">
        <f>IF(AA5705=0,(D5704*N5704+P5704*R5704)*U5704*Y5704,0)</f>
        <v>0</v>
      </c>
    </row>
    <row r="5705">
      <c r="A5705" t="str">
        <f>A5695</f>
        <v>Lantai 3</v>
      </c>
      <c r="B5705">
        <f>B5695</f>
        <v>48</v>
      </c>
      <c r="D5705">
        <f>IF(AND(D5702=D5703,D5703=D5704,D5702=D5704),D5702,0)</f>
        <v>4</v>
      </c>
      <c r="E5705" t="str">
        <v>D</v>
      </c>
      <c r="F5705">
        <f>IF(AND(F5702=F5703,F5702=F5704,F5703=F5704),F5702,0)</f>
        <v>16</v>
      </c>
      <c r="L5705" t="str">
        <v>Total panjang per balok</v>
      </c>
      <c r="M5705" t="str">
        <v>=</v>
      </c>
      <c r="N5705">
        <f>IF(AND(D5702=D5703,D5702=D5704,D5703=D5704,F5702=F5703,F5702=F5704,F5703=F5704),SUM(N5702:N5704),0)</f>
        <v>6.2090000000000005</v>
      </c>
      <c r="O5705" t="str">
        <v>+</v>
      </c>
      <c r="P5705">
        <f>IF(N5705&gt;12,ROUNDDOWN(N5705/12,0),0)</f>
        <v>0</v>
      </c>
      <c r="Q5705" t="str">
        <v>x</v>
      </c>
      <c r="R5705">
        <f>IF(P5705&gt;0,MAX(VLOOKUP(F5705,$D$6:$G$15,3,FALSE),600),0)/1000</f>
        <v>0</v>
      </c>
      <c r="T5705" t="str">
        <v>x</v>
      </c>
      <c r="U5705">
        <f>U5704</f>
        <v>1.57824</v>
      </c>
      <c r="V5705" t="str">
        <v>x</v>
      </c>
      <c r="W5705">
        <f>D5705</f>
        <v>4</v>
      </c>
      <c r="X5705" t="str">
        <v>x</v>
      </c>
      <c r="Y5705">
        <f>Y5704</f>
        <v>1</v>
      </c>
      <c r="Z5705" t="str">
        <v>=</v>
      </c>
      <c r="AA5705">
        <f>(N5705+P5705*R5705/1000)*U5705*W5705*Y5705</f>
        <v>39.19716864000001</v>
      </c>
    </row>
    <row r="5707">
      <c r="A5707" t="str">
        <f>A5695</f>
        <v>Lantai 3</v>
      </c>
      <c r="B5707">
        <f>B5695</f>
        <v>48</v>
      </c>
      <c r="C5707" t="str">
        <v>Tul Peminggang</v>
      </c>
      <c r="D5707">
        <f>VLOOKUP(D5695,'Detail Balok'!$C$10:$AU$140,13,FALSE)</f>
        <v>2</v>
      </c>
      <c r="E5707" t="str">
        <v>D</v>
      </c>
      <c r="F5707">
        <f>VLOOKUP(D5695,'Detail Balok'!$C$10:$AU$140,15,FALSE)</f>
        <v>10</v>
      </c>
      <c r="J5707">
        <f>+D5697/1000</f>
        <v>5.825</v>
      </c>
      <c r="K5707" t="str">
        <v>+</v>
      </c>
      <c r="L5707">
        <f>2*$F$16*F5707/1000</f>
        <v>0.24</v>
      </c>
      <c r="M5707" t="str">
        <v>=</v>
      </c>
      <c r="N5707">
        <f>J5707+L5707</f>
        <v>6.065</v>
      </c>
      <c r="O5707" t="str">
        <v>+</v>
      </c>
      <c r="P5707">
        <f>IF(N5707&gt;12,ROUNDDOWN(N5707/12,0),0)</f>
        <v>0</v>
      </c>
      <c r="Q5707" t="str">
        <v>x</v>
      </c>
      <c r="R5707">
        <f>IF(P5707&gt;0,MAX(VLOOKUP(F5707,$D$6:$G$15,3,FALSE),600),0)/1000</f>
        <v>0</v>
      </c>
      <c r="T5707" t="str">
        <v>x</v>
      </c>
      <c r="U5707">
        <f>0.006165*F5707^2</f>
        <v>0.6165</v>
      </c>
      <c r="V5707" t="str">
        <v>x</v>
      </c>
      <c r="W5707">
        <f>+D5707</f>
        <v>2</v>
      </c>
      <c r="X5707" t="str">
        <v>x</v>
      </c>
      <c r="Y5707">
        <f>D5701</f>
        <v>1</v>
      </c>
      <c r="Z5707" t="str">
        <v>=</v>
      </c>
      <c r="AA5707">
        <f>(N5707+P5707*R5707/1000)*U5707*W5707*Y5707</f>
        <v>7.478145000000001</v>
      </c>
    </row>
    <row r="5710">
      <c r="A5710" t="str">
        <f>A5695</f>
        <v>Lantai 3</v>
      </c>
      <c r="B5710">
        <f>B5695</f>
        <v>48</v>
      </c>
      <c r="C5710" t="str">
        <v>Tul Bawah Tumpuan</v>
      </c>
      <c r="D5710">
        <f>VLOOKUP(D5695,'Detail Balok'!$C$10:$AU$140,22,FALSE)</f>
        <v>4</v>
      </c>
      <c r="E5710" t="str">
        <v>D</v>
      </c>
      <c r="F5710">
        <f>VLOOKUP(D5695,'Detail Balok'!$C$10:$AU$140,24,FALSE)</f>
        <v>16</v>
      </c>
      <c r="I5710" t="str">
        <v>(</v>
      </c>
      <c r="J5710">
        <f>+J5702</f>
        <v>1.45625</v>
      </c>
      <c r="K5710" t="str">
        <v>+</v>
      </c>
      <c r="L5710">
        <f>MAX(VLOOKUP(F5710,N$6:P$15,3,FALSE)/1000,2/3*D5700/1000)+F$16*F5710/1000</f>
        <v>0.192</v>
      </c>
      <c r="M5710" t="str">
        <v>=</v>
      </c>
      <c r="N5710">
        <f>J5710+L5710</f>
        <v>1.64825</v>
      </c>
      <c r="O5710" t="str">
        <v>+</v>
      </c>
      <c r="P5710">
        <f>D5710-D5711</f>
        <v>0</v>
      </c>
      <c r="Q5710" t="str">
        <v>x</v>
      </c>
      <c r="R5710">
        <f>IF(P5710&gt;0,$F$18*F5710/1000,0)</f>
        <v>0</v>
      </c>
      <c r="S5710" t="str">
        <v>)</v>
      </c>
      <c r="T5710" t="str">
        <v>x</v>
      </c>
      <c r="U5710">
        <f>0.006165*F5710^2</f>
        <v>1.57824</v>
      </c>
      <c r="X5710" t="str">
        <v>x</v>
      </c>
      <c r="Y5710">
        <f>D5701</f>
        <v>1</v>
      </c>
      <c r="Z5710" t="str">
        <v>=</v>
      </c>
      <c r="AA5710">
        <f>IF(AA5713=0,(D5710*N5710+P5710*R5710)*U5710*Y5710,0)</f>
        <v>0</v>
      </c>
    </row>
    <row r="5711">
      <c r="A5711" t="str">
        <f>A5695</f>
        <v>Lantai 3</v>
      </c>
      <c r="B5711">
        <f>B5695</f>
        <v>48</v>
      </c>
      <c r="C5711" t="str">
        <v>Tul Bawah Lapangan</v>
      </c>
      <c r="D5711">
        <f>VLOOKUP(D5695,'Detail Balok'!$C$10:$AU$140,25,FALSE)</f>
        <v>4</v>
      </c>
      <c r="E5711" t="str">
        <v>D</v>
      </c>
      <c r="F5711">
        <f>VLOOKUP(D5695,'Detail Balok'!$C$10:$AU$140,27,FALSE)</f>
        <v>16</v>
      </c>
      <c r="I5711" t="str">
        <v>(</v>
      </c>
      <c r="J5711">
        <f>+J5703</f>
        <v>2.9125</v>
      </c>
      <c r="K5711" t="str">
        <v>+</v>
      </c>
      <c r="M5711" t="str">
        <v>=</v>
      </c>
      <c r="N5711">
        <f>J5711+L5711</f>
        <v>2.9125</v>
      </c>
      <c r="O5711" t="str">
        <v>+</v>
      </c>
      <c r="P5711">
        <f>MAX(D5711-D5710,D5711-D5712)</f>
        <v>0</v>
      </c>
      <c r="Q5711" t="str">
        <v>x</v>
      </c>
      <c r="R5711">
        <f>IF(P5711&gt;0,2*(1-2*$F$19-1/2)*D5698/1000,0)</f>
        <v>0</v>
      </c>
      <c r="S5711" t="str">
        <v>)</v>
      </c>
      <c r="T5711" t="str">
        <v>x</v>
      </c>
      <c r="U5711">
        <f>0.006165*F5711^2</f>
        <v>1.57824</v>
      </c>
      <c r="X5711" t="str">
        <v>x</v>
      </c>
      <c r="Y5711">
        <f>D5701</f>
        <v>1</v>
      </c>
      <c r="Z5711" t="str">
        <v>=</v>
      </c>
      <c r="AA5711">
        <f>IF(AA5713=0,(D5711*N5711+P5711*R5711)*U5711*Y5711,0)</f>
        <v>0</v>
      </c>
    </row>
    <row r="5712">
      <c r="A5712" t="str">
        <f>A5695</f>
        <v>Lantai 3</v>
      </c>
      <c r="B5712">
        <f>B5695</f>
        <v>48</v>
      </c>
      <c r="C5712" t="str">
        <v>Tul Bawah Tumpuan</v>
      </c>
      <c r="D5712">
        <f>VLOOKUP(D5695,'Detail Balok'!$C$10:$AU$140,28,FALSE)</f>
        <v>4</v>
      </c>
      <c r="E5712" t="str">
        <v>D</v>
      </c>
      <c r="F5712">
        <f>VLOOKUP(D5695,'Detail Balok'!$C$10:$AU$140,30,FALSE)</f>
        <v>16</v>
      </c>
      <c r="I5712" t="str">
        <v>(</v>
      </c>
      <c r="J5712">
        <f>+J5704</f>
        <v>1.45625</v>
      </c>
      <c r="K5712" t="str">
        <v>+</v>
      </c>
      <c r="L5712">
        <f>MAX(VLOOKUP(F5712,N$6:P$15,3,FALSE)/1000,2/3*D5700/1000)+F$16*F5712/1000</f>
        <v>0.192</v>
      </c>
      <c r="M5712" t="str">
        <v>=</v>
      </c>
      <c r="N5712">
        <f>J5712+L5712</f>
        <v>1.64825</v>
      </c>
      <c r="O5712" t="str">
        <v>+</v>
      </c>
      <c r="P5712">
        <f>D5712-D5711</f>
        <v>0</v>
      </c>
      <c r="Q5712" t="str">
        <v>x</v>
      </c>
      <c r="R5712">
        <f>IF(P5712&gt;0,$F$18*F5712/1000,0)</f>
        <v>0</v>
      </c>
      <c r="S5712" t="str">
        <v>)</v>
      </c>
      <c r="T5712" t="str">
        <v>x</v>
      </c>
      <c r="U5712">
        <f>0.006165*F5712^2</f>
        <v>1.57824</v>
      </c>
      <c r="X5712" t="str">
        <v>x</v>
      </c>
      <c r="Y5712">
        <f>D5701</f>
        <v>1</v>
      </c>
      <c r="Z5712" t="str">
        <v>=</v>
      </c>
      <c r="AA5712">
        <f>IF(AA5713=0,(D5712*N5712+P5712*R5712)*U5712*Y5712,0)</f>
        <v>0</v>
      </c>
    </row>
    <row r="5713">
      <c r="A5713" t="str">
        <f>A5695</f>
        <v>Lantai 3</v>
      </c>
      <c r="B5713">
        <f>B5695</f>
        <v>48</v>
      </c>
      <c r="D5713">
        <f>IF(AND(D5710=D5711,D5711=D5712,D5710=D5712),D5710,0)</f>
        <v>4</v>
      </c>
      <c r="E5713" t="str">
        <v>D</v>
      </c>
      <c r="F5713">
        <f>IF(AND(F5710=F5711,F5710=F5712,F5711=F5712),F5710,0)</f>
        <v>16</v>
      </c>
      <c r="L5713" t="str">
        <v>Total panjang per balok</v>
      </c>
      <c r="M5713" t="str">
        <v>=</v>
      </c>
      <c r="N5713">
        <f>IF(AND(D5710=D5711,D5710=D5712,D5711=D5712,F5710=F5711,F5710=F5712,F5711=F5712),SUM(N5710:N5712),0)</f>
        <v>6.2090000000000005</v>
      </c>
      <c r="O5713" t="str">
        <v>+</v>
      </c>
      <c r="P5713">
        <f>IF(N5713&gt;12,ROUNDDOWN(N5713/12,0),0)</f>
        <v>0</v>
      </c>
      <c r="Q5713" t="str">
        <v>x</v>
      </c>
      <c r="R5713">
        <f>IF(P5713&gt;0,MAX(VLOOKUP(F5713,$D$6:$G$15,3,FALSE),600),0)/1000</f>
        <v>0</v>
      </c>
      <c r="T5713" t="str">
        <v>x</v>
      </c>
      <c r="U5713">
        <f>U5712</f>
        <v>1.57824</v>
      </c>
      <c r="V5713" t="str">
        <v>x</v>
      </c>
      <c r="W5713">
        <f>D5713</f>
        <v>4</v>
      </c>
      <c r="X5713" t="str">
        <v>x</v>
      </c>
      <c r="Y5713">
        <f>Y5712</f>
        <v>1</v>
      </c>
      <c r="Z5713" t="str">
        <v>=</v>
      </c>
      <c r="AA5713">
        <f>(N5713+P5713*R5713/1000)*U5713*W5713*Y5713</f>
        <v>39.19716864000001</v>
      </c>
    </row>
    <row r="5715">
      <c r="A5715" t="str">
        <f>A5695</f>
        <v>Lantai 3</v>
      </c>
      <c r="B5715">
        <f>B5695</f>
        <v>48</v>
      </c>
      <c r="C5715" t="str">
        <v>Sengkang Tumpuan</v>
      </c>
      <c r="D5715">
        <f>VLOOKUP(D5695,'Detail Balok'!$C$10:$AU$140,31,FALSE)</f>
        <v>0</v>
      </c>
      <c r="E5715" t="str">
        <v>D</v>
      </c>
      <c r="F5715">
        <f>VLOOKUP(D5695,'Detail Balok'!$C$10:$AU$140,33,FALSE)</f>
        <v>10</v>
      </c>
      <c r="G5715" t="str">
        <v>-</v>
      </c>
      <c r="H5715">
        <f>VLOOKUP(D5695,'Detail Balok'!$C$10:$AU$140,35,FALSE)</f>
        <v>150</v>
      </c>
      <c r="J5715">
        <f>(IF(D5715=0,(2*(D5696+G5696))-(F$5*8),IF(D5715=3,(2*(D5696+G5696))-(F$5*8)+(G5696-2*F$5),IF(D5715=4,(2*(D5696+G5696))-(F$5*8)+2*(G5696-2*F$5)))))/1000</f>
        <v>1.08</v>
      </c>
      <c r="K5715" t="str">
        <v>+</v>
      </c>
      <c r="L5715">
        <f>IF(D5715=0,2*MAX(6*F5715,75),(D5715-1)*2*MAX(6*F5715,75))/1000</f>
        <v>0.15</v>
      </c>
      <c r="M5715" t="str">
        <v>=</v>
      </c>
      <c r="N5715">
        <f>J5715+L5715</f>
        <v>1.23</v>
      </c>
      <c r="T5715" t="str">
        <v>x</v>
      </c>
      <c r="U5715">
        <f>0.006165*F5715^2</f>
        <v>0.6165</v>
      </c>
      <c r="V5715" t="str">
        <v>x</v>
      </c>
      <c r="W5715">
        <f>IF(D5698&gt;4*G5696,ROUND(MAX(D5698/4,2*G5696)/H5715,0)+1,ROUND(D5698/H5715,0)+1)</f>
        <v>11</v>
      </c>
      <c r="X5715" t="str">
        <v>x</v>
      </c>
      <c r="Y5715">
        <f>D5701</f>
        <v>1</v>
      </c>
      <c r="Z5715" t="str">
        <v>=</v>
      </c>
      <c r="AA5715">
        <f>N5715*U5715*W5715*Y5715</f>
        <v>8.341245</v>
      </c>
    </row>
    <row r="5716">
      <c r="A5716" t="str">
        <f>A5695</f>
        <v>Lantai 3</v>
      </c>
      <c r="B5716">
        <f>B5695</f>
        <v>48</v>
      </c>
      <c r="C5716" t="str">
        <v>Sengkang Lapangan</v>
      </c>
      <c r="D5716">
        <f>VLOOKUP(D5695,'Detail Balok'!$C$10:$AU$140,36,FALSE)</f>
        <v>0</v>
      </c>
      <c r="E5716" t="str">
        <v>D</v>
      </c>
      <c r="F5716">
        <f>VLOOKUP(D5695,'Detail Balok'!$C$10:$AU$140,38,FALSE)</f>
        <v>10</v>
      </c>
      <c r="G5716" t="str">
        <v>-</v>
      </c>
      <c r="H5716">
        <f>VLOOKUP(D5695,'Detail Balok'!$C$10:$AU$140,40,FALSE)</f>
        <v>200</v>
      </c>
      <c r="J5716">
        <f>(IF(D5716=0,(2*(D5696+G5696))-(F$5*8),IF(D5716=3,(2*(D5696+G5696))-(F$5*8)+(G5696-2*F$5),IF(D5716=4,(2*(D5696+G5696))-(F$5*8)+2*(G5696-2*F$5)))))/1000</f>
        <v>1.08</v>
      </c>
      <c r="K5716" t="str">
        <v>+</v>
      </c>
      <c r="L5716">
        <f>IF(D5716=0,2*MAX(6*F5716,75),(D5716-1)*2*MAX(6*F5716,75))/1000</f>
        <v>0.15</v>
      </c>
      <c r="M5716" t="str">
        <v>=</v>
      </c>
      <c r="N5716">
        <f>J5716+L5716</f>
        <v>1.23</v>
      </c>
      <c r="T5716" t="str">
        <v>x</v>
      </c>
      <c r="U5716">
        <f>0.006165*F5716^2</f>
        <v>0.6165</v>
      </c>
      <c r="V5716" t="str">
        <v>x</v>
      </c>
      <c r="W5716">
        <f>IF(D5698-MAX(D5698/4,2*G5696)*2&gt;0,ROUND((D5698-MAX(D5698/4,2*G5696)*2)/H5716,0),0)</f>
        <v>15</v>
      </c>
      <c r="X5716" t="str">
        <v>x</v>
      </c>
      <c r="Y5716">
        <f>D5701</f>
        <v>1</v>
      </c>
      <c r="Z5716" t="str">
        <v>=</v>
      </c>
      <c r="AA5716">
        <f>N5716*U5716*W5716*Y5716</f>
        <v>11.374425</v>
      </c>
    </row>
    <row r="5717">
      <c r="A5717" t="str">
        <f>A5695</f>
        <v>Lantai 3</v>
      </c>
      <c r="B5717">
        <f>B5695</f>
        <v>48</v>
      </c>
      <c r="C5717" t="str">
        <v>Sengkang Tumpuan</v>
      </c>
      <c r="D5717">
        <f>VLOOKUP(D5695,'Detail Balok'!$C$10:$AU$140,41,FALSE)</f>
        <v>0</v>
      </c>
      <c r="E5717" t="str">
        <v>D</v>
      </c>
      <c r="F5717">
        <f>VLOOKUP(D5695,'Detail Balok'!$C$10:$AU$140,43,FALSE)</f>
        <v>10</v>
      </c>
      <c r="G5717" t="str">
        <v>-</v>
      </c>
      <c r="H5717">
        <f>VLOOKUP(D5695,'Detail Balok'!$C$10:$AU$140,45,FALSE)</f>
        <v>150</v>
      </c>
      <c r="J5717">
        <f>(IF(D5717=0,(2*(D5696+G5696))-(F$5*8),IF(D5717=3,(2*(D5696+G5696))-(F$5*8)+(G5696-2*F$5),IF(D5717=4,(2*(D5696+G5696))-(F$5*8)+2*(G5696-2*F$5)))))/1000</f>
        <v>1.08</v>
      </c>
      <c r="K5717" t="str">
        <v>+</v>
      </c>
      <c r="L5717">
        <f>IF(D5717=0,2*MAX(6*F5717,75),(D5717-1)*2*MAX(6*F5717,75))/1000</f>
        <v>0.15</v>
      </c>
      <c r="M5717" t="str">
        <v>=</v>
      </c>
      <c r="N5717">
        <f>J5717+L5717</f>
        <v>1.23</v>
      </c>
      <c r="T5717" t="str">
        <v>x</v>
      </c>
      <c r="U5717">
        <f>0.006165*F5717^2</f>
        <v>0.6165</v>
      </c>
      <c r="V5717" t="str">
        <v>x</v>
      </c>
      <c r="W5717">
        <f>IF(D5698&gt;4*G5696,ROUND(MAX(D5698/4,2*G5696)/H5717,0)+1,0)</f>
        <v>11</v>
      </c>
      <c r="X5717" t="str">
        <v>x</v>
      </c>
      <c r="Y5717">
        <f>D5701</f>
        <v>1</v>
      </c>
      <c r="Z5717" t="str">
        <v>=</v>
      </c>
      <c r="AA5717">
        <f>N5717*U5717*W5717*Y5717</f>
        <v>8.341245</v>
      </c>
    </row>
    <row r="5719">
      <c r="A5719" t="str">
        <f>A5695</f>
        <v>Lantai 3</v>
      </c>
      <c r="B5719">
        <f>B5695</f>
        <v>48</v>
      </c>
      <c r="C5719" t="str">
        <v>Kait Horizontal Tump.</v>
      </c>
      <c r="D5719">
        <f>VLOOKUP(D5695,'Detail Balok'!$C$10:$BJ$140,46,FALSE)</f>
        <v>0</v>
      </c>
      <c r="E5719" t="str">
        <v>D</v>
      </c>
      <c r="F5719">
        <f>VLOOKUP(D5695,'Detail Balok'!$C$10:$BJ$140,48,FALSE)</f>
        <v>0</v>
      </c>
      <c r="G5719" t="str">
        <v>-</v>
      </c>
      <c r="H5719">
        <f>VLOOKUP(D5695,'Detail Balok'!$C$10:$BJ$140,50,FALSE)</f>
        <v>100</v>
      </c>
      <c r="J5719">
        <f>(D5696-2*F$5)/1000</f>
        <v>0.12</v>
      </c>
      <c r="K5719" t="str">
        <v>+</v>
      </c>
      <c r="L5719">
        <f>IF(D5719=0,2*MAX(6*F5719,75),(D5719-1)*2*MAX(6*F5719,75))/1000</f>
        <v>0.15</v>
      </c>
      <c r="M5719" t="str">
        <v>=</v>
      </c>
      <c r="N5719">
        <f>J5719+L5719</f>
        <v>0.27</v>
      </c>
      <c r="T5719" t="str">
        <v>x</v>
      </c>
      <c r="U5719">
        <f>0.006165*F5719^2</f>
        <v>0</v>
      </c>
      <c r="V5719" t="str">
        <v>x</v>
      </c>
      <c r="W5719">
        <f>W5715</f>
        <v>11</v>
      </c>
      <c r="X5719" t="str">
        <v>x</v>
      </c>
      <c r="Y5719">
        <f>D5705</f>
        <v>4</v>
      </c>
      <c r="Z5719" t="str">
        <v>=</v>
      </c>
      <c r="AA5719">
        <f>N5719*U5719*W5719*Y5719</f>
        <v>0</v>
      </c>
    </row>
    <row r="5720">
      <c r="A5720" t="str">
        <f>A5695</f>
        <v>Lantai 3</v>
      </c>
      <c r="B5720">
        <f>B5695</f>
        <v>48</v>
      </c>
      <c r="C5720" t="str">
        <v>Kait Horizontal Lap.</v>
      </c>
      <c r="D5720">
        <f>VLOOKUP(D5695,'Detail Balok'!$C$10:$BJ$140,51,FALSE)</f>
        <v>0</v>
      </c>
      <c r="E5720" t="str">
        <v>D</v>
      </c>
      <c r="F5720">
        <f>VLOOKUP(D5695,'Detail Balok'!$C$10:$BJ$140,53,FALSE)</f>
        <v>0</v>
      </c>
      <c r="G5720" t="str">
        <v>-</v>
      </c>
      <c r="H5720">
        <f>VLOOKUP(D5695,'Detail Balok'!$C$10:$BJ$140,55,FALSE)</f>
        <v>100</v>
      </c>
      <c r="J5720">
        <f>(D5696-2*F$5)/1000</f>
        <v>0.12</v>
      </c>
      <c r="K5720" t="str">
        <v>+</v>
      </c>
      <c r="L5720">
        <f>IF(D5720=0,2*MAX(6*F5720,75),(D5720-1)*2*MAX(6*F5720,75))/1000</f>
        <v>0.15</v>
      </c>
      <c r="M5720" t="str">
        <v>=</v>
      </c>
      <c r="N5720">
        <f>J5720+L5720</f>
        <v>0.27</v>
      </c>
      <c r="T5720" t="str">
        <v>x</v>
      </c>
      <c r="U5720">
        <f>0.006165*F5720^2</f>
        <v>0</v>
      </c>
      <c r="V5720" t="str">
        <v>x</v>
      </c>
      <c r="W5720">
        <f>W5716</f>
        <v>15</v>
      </c>
      <c r="X5720" t="str">
        <v>x</v>
      </c>
      <c r="Y5720">
        <f>D5705</f>
        <v>4</v>
      </c>
      <c r="Z5720" t="str">
        <v>=</v>
      </c>
      <c r="AA5720">
        <f>N5720*U5720*W5720*Y5720</f>
        <v>0</v>
      </c>
    </row>
    <row r="5721">
      <c r="A5721" t="str">
        <f>A5695</f>
        <v>Lantai 3</v>
      </c>
      <c r="B5721">
        <f>B5695</f>
        <v>48</v>
      </c>
      <c r="C5721" t="str">
        <v>Kait Horizontal Tump.</v>
      </c>
      <c r="D5721">
        <f>VLOOKUP(D5695,'Detail Balok'!$C$10:$BJ$140,56,FALSE)</f>
        <v>0</v>
      </c>
      <c r="E5721" t="str">
        <v>D</v>
      </c>
      <c r="F5721">
        <f>VLOOKUP(D5695,'Detail Balok'!$C$10:$BJ$140,58,FALSE)</f>
        <v>0</v>
      </c>
      <c r="G5721" t="str">
        <v>-</v>
      </c>
      <c r="H5721">
        <f>VLOOKUP(D5695,'Detail Balok'!$C$10:$BJ$140,60,FALSE)</f>
        <v>100</v>
      </c>
      <c r="J5721">
        <f>(D5696-2*F$5)/1000</f>
        <v>0.12</v>
      </c>
      <c r="K5721" t="str">
        <v>+</v>
      </c>
      <c r="L5721">
        <f>IF(D5721=0,2*MAX(6*F5721,75),(D5721-1)*2*MAX(6*F5721,75))/1000</f>
        <v>0.15</v>
      </c>
      <c r="M5721" t="str">
        <v>=</v>
      </c>
      <c r="N5721">
        <f>J5721+L5721</f>
        <v>0.27</v>
      </c>
      <c r="T5721" t="str">
        <v>x</v>
      </c>
      <c r="U5721">
        <f>0.006165*F5721^2</f>
        <v>0</v>
      </c>
      <c r="V5721" t="str">
        <v>x</v>
      </c>
      <c r="W5721">
        <f>W5717</f>
        <v>11</v>
      </c>
      <c r="X5721" t="str">
        <v>x</v>
      </c>
      <c r="Y5721">
        <f>D5705</f>
        <v>4</v>
      </c>
      <c r="Z5721" t="str">
        <v>=</v>
      </c>
      <c r="AA5721">
        <f>N5721*U5721*W5721*Y5721</f>
        <v>0</v>
      </c>
    </row>
    <row r="5725">
      <c r="A5725" t="str">
        <f>A5695</f>
        <v>Lantai 3</v>
      </c>
      <c r="B5725">
        <f>B5695+1</f>
        <v>49</v>
      </c>
      <c r="C5725" t="str">
        <f>CONCATENATE(A5725," no. ",B5725)</f>
        <v>Lantai 3 no. 49</v>
      </c>
      <c r="D5725" t="str">
        <f>VLOOKUP(C5725,'Data Panjang Balok'!$C$9:$N$254,2,FALSE)</f>
        <v>B24-1</v>
      </c>
    </row>
    <row r="5726">
      <c r="C5726" t="str">
        <v>Dimensi</v>
      </c>
      <c r="D5726">
        <f>VLOOKUP(D5725,'Detail Balok'!$C$10:$AU$140,2,FALSE)</f>
        <v>200</v>
      </c>
      <c r="F5726" t="str">
        <v>x</v>
      </c>
      <c r="G5726">
        <f>VLOOKUP(D5725,'Detail Balok'!$C$10:$AU$140,3,FALSE)</f>
        <v>400</v>
      </c>
    </row>
    <row r="5727">
      <c r="C5727" t="str">
        <v>Panjang as ke as</v>
      </c>
      <c r="D5727">
        <f>VLOOKUP(C5725,'Data Panjang Balok'!$C$9:$N$254,4,FALSE)</f>
        <v>1705</v>
      </c>
    </row>
    <row r="5728">
      <c r="C5728" t="str">
        <v>Panjang netto</v>
      </c>
      <c r="D5728">
        <f>VLOOKUP(C5725,'Data Panjang Balok'!$C$9:$N$254,7,FALSE)</f>
        <v>1705</v>
      </c>
    </row>
    <row r="5729">
      <c r="C5729" t="str">
        <v>Kolom / balok kiri</v>
      </c>
      <c r="D5729">
        <f>VLOOKUP(C5725,'Data Panjang Balok'!$C$9:$N$254,9,FALSE)</f>
        <v>0</v>
      </c>
    </row>
    <row r="5730">
      <c r="C5730" t="str">
        <v>Kolom / balok kanan</v>
      </c>
      <c r="D5730">
        <f>VLOOKUP(C5725,'Data Panjang Balok'!$C$9:$N$254,10,FALSE)</f>
        <v>0</v>
      </c>
    </row>
    <row r="5731">
      <c r="C5731" t="str">
        <v>Jumlah</v>
      </c>
      <c r="D5731">
        <f>VLOOKUP(C5725,'Data Panjang Balok'!$C$9:$N$254,3,FALSE)</f>
        <v>1</v>
      </c>
    </row>
    <row r="5732">
      <c r="A5732" t="str">
        <f>A5725</f>
        <v>Lantai 3</v>
      </c>
      <c r="B5732">
        <f>B5725</f>
        <v>49</v>
      </c>
      <c r="C5732" t="str">
        <v>Tul Atas Tumpuan</v>
      </c>
      <c r="D5732">
        <f>VLOOKUP(D5725,'Detail Balok'!$C$10:$AU$140,4,FALSE)</f>
        <v>3</v>
      </c>
      <c r="E5732" t="str">
        <v>D</v>
      </c>
      <c r="F5732">
        <f>VLOOKUP(D5725,'Detail Balok'!$C$10:$AU$140,6,FALSE)</f>
        <v>13</v>
      </c>
      <c r="I5732" t="str">
        <v>(</v>
      </c>
      <c r="J5732">
        <f>+D5727/4/1000</f>
        <v>0.42625</v>
      </c>
      <c r="K5732" t="str">
        <v>+</v>
      </c>
      <c r="L5732">
        <f>MAX(VLOOKUP(F5732,N$6:P$15,3,FALSE)/1000,2/3*D5729/1000)+F$16*F5732/1000</f>
        <v>0.156</v>
      </c>
      <c r="M5732" t="str">
        <v>=</v>
      </c>
      <c r="N5732">
        <f>J5732+L5732</f>
        <v>0.58225</v>
      </c>
      <c r="O5732" t="str">
        <v>+</v>
      </c>
      <c r="P5732">
        <f>D5732-D5733</f>
        <v>0</v>
      </c>
      <c r="Q5732" t="str">
        <v>x</v>
      </c>
      <c r="R5732">
        <f>IF(P5732&gt;0,$F$18*F5732/1000,0)</f>
        <v>0</v>
      </c>
      <c r="S5732" t="str">
        <v>)</v>
      </c>
      <c r="T5732" t="str">
        <v>x</v>
      </c>
      <c r="U5732">
        <f>0.006165*F5732^2</f>
        <v>1.041885</v>
      </c>
      <c r="X5732" t="str">
        <v>x</v>
      </c>
      <c r="Y5732">
        <f>D5731</f>
        <v>1</v>
      </c>
      <c r="Z5732" t="str">
        <v>=</v>
      </c>
      <c r="AA5732">
        <f>IF(AA5735=0,(D5732*N5732+P5732*R5732)*U5732*Y5732,0)</f>
        <v>0</v>
      </c>
    </row>
    <row r="5733">
      <c r="A5733" t="str">
        <f>A5725</f>
        <v>Lantai 3</v>
      </c>
      <c r="B5733">
        <f>B5725</f>
        <v>49</v>
      </c>
      <c r="C5733" t="str">
        <v>Tul Atas Lapangan</v>
      </c>
      <c r="D5733">
        <f>VLOOKUP(D5725,'Detail Balok'!$C$10:$AU$140,7,FALSE)</f>
        <v>3</v>
      </c>
      <c r="E5733" t="str">
        <v>D</v>
      </c>
      <c r="F5733">
        <f>VLOOKUP(D5725,'Detail Balok'!$C$10:$AU$140,9,FALSE)</f>
        <v>13</v>
      </c>
      <c r="I5733" t="str">
        <v>(</v>
      </c>
      <c r="J5733">
        <f>+D5727/2/1000</f>
        <v>0.8525</v>
      </c>
      <c r="K5733" t="str">
        <v>+</v>
      </c>
      <c r="M5733" t="str">
        <v>=</v>
      </c>
      <c r="N5733">
        <f>J5733+L5733</f>
        <v>0.8525</v>
      </c>
      <c r="O5733" t="str">
        <v>+</v>
      </c>
      <c r="P5733">
        <f>MAX(D5733-D5732,D5733-D5734)</f>
        <v>0</v>
      </c>
      <c r="Q5733" t="str">
        <v>x</v>
      </c>
      <c r="R5733">
        <f>IF(P5733&gt;0,2*(1-2*$F$19-1/2)*D5728/1000,0)</f>
        <v>0</v>
      </c>
      <c r="S5733" t="str">
        <v>)</v>
      </c>
      <c r="T5733" t="str">
        <v>x</v>
      </c>
      <c r="U5733">
        <f>0.006165*F5733^2</f>
        <v>1.041885</v>
      </c>
      <c r="X5733" t="str">
        <v>x</v>
      </c>
      <c r="Y5733">
        <f>D5731</f>
        <v>1</v>
      </c>
      <c r="Z5733" t="str">
        <v>=</v>
      </c>
      <c r="AA5733">
        <f>IF(AA5735=0,(D5733*N5733+P5733*R5733)*U5733*Y5733,0)</f>
        <v>0</v>
      </c>
    </row>
    <row r="5734">
      <c r="A5734" t="str">
        <f>A5725</f>
        <v>Lantai 3</v>
      </c>
      <c r="B5734">
        <f>B5725</f>
        <v>49</v>
      </c>
      <c r="C5734" t="str">
        <v>Tul Atas Tumpuan</v>
      </c>
      <c r="D5734">
        <f>VLOOKUP(D5725,'Detail Balok'!$C$10:$AU$140,10,FALSE)</f>
        <v>3</v>
      </c>
      <c r="E5734" t="str">
        <v>D</v>
      </c>
      <c r="F5734">
        <f>VLOOKUP(D5725,'Detail Balok'!$C$10:$AU$140,12,FALSE)</f>
        <v>13</v>
      </c>
      <c r="I5734" t="str">
        <v>(</v>
      </c>
      <c r="J5734">
        <f>+D5727/4/1000</f>
        <v>0.42625</v>
      </c>
      <c r="K5734" t="str">
        <v>+</v>
      </c>
      <c r="L5734">
        <f>MAX(VLOOKUP(F5734,N$6:P$15,3,FALSE)/1000,2/3*D5729/1000)+F$16*F5734/1000</f>
        <v>0.156</v>
      </c>
      <c r="M5734" t="str">
        <v>=</v>
      </c>
      <c r="N5734">
        <f>J5734+L5734</f>
        <v>0.58225</v>
      </c>
      <c r="O5734" t="str">
        <v>+</v>
      </c>
      <c r="P5734">
        <f>D5734-D5733</f>
        <v>0</v>
      </c>
      <c r="Q5734" t="str">
        <v>x</v>
      </c>
      <c r="R5734">
        <f>IF(P5734&gt;0,$F$18*F5734/1000,0)</f>
        <v>0</v>
      </c>
      <c r="S5734" t="str">
        <v>)</v>
      </c>
      <c r="T5734" t="str">
        <v>x</v>
      </c>
      <c r="U5734">
        <f>0.006165*F5734^2</f>
        <v>1.041885</v>
      </c>
      <c r="X5734" t="str">
        <v>x</v>
      </c>
      <c r="Y5734">
        <f>D5731</f>
        <v>1</v>
      </c>
      <c r="Z5734" t="str">
        <v>=</v>
      </c>
      <c r="AA5734">
        <f>IF(AA5735=0,(D5734*N5734+P5734*R5734)*U5734*Y5734,0)</f>
        <v>0</v>
      </c>
    </row>
    <row r="5735">
      <c r="A5735" t="str">
        <f>A5725</f>
        <v>Lantai 3</v>
      </c>
      <c r="B5735">
        <f>B5725</f>
        <v>49</v>
      </c>
      <c r="D5735">
        <f>IF(AND(D5732=D5733,D5733=D5734,D5732=D5734),D5732,0)</f>
        <v>3</v>
      </c>
      <c r="E5735" t="str">
        <v>D</v>
      </c>
      <c r="F5735">
        <f>IF(AND(F5732=F5733,F5732=F5734,F5733=F5734),F5732,0)</f>
        <v>13</v>
      </c>
      <c r="L5735" t="str">
        <v>Total panjang per balok</v>
      </c>
      <c r="M5735" t="str">
        <v>=</v>
      </c>
      <c r="N5735">
        <f>IF(AND(D5732=D5733,D5732=D5734,D5733=D5734,F5732=F5733,F5732=F5734,F5733=F5734),SUM(N5732:N5734),0)</f>
        <v>2.0170000000000003</v>
      </c>
      <c r="O5735" t="str">
        <v>+</v>
      </c>
      <c r="P5735">
        <f>IF(N5735&gt;12,ROUNDDOWN(N5735/12,0),0)</f>
        <v>0</v>
      </c>
      <c r="Q5735" t="str">
        <v>x</v>
      </c>
      <c r="R5735">
        <f>IF(P5735&gt;0,MAX(VLOOKUP(F5735,$D$6:$G$15,3,FALSE),600),0)/1000</f>
        <v>0</v>
      </c>
      <c r="T5735" t="str">
        <v>x</v>
      </c>
      <c r="U5735">
        <f>U5734</f>
        <v>1.041885</v>
      </c>
      <c r="V5735" t="str">
        <v>x</v>
      </c>
      <c r="W5735">
        <f>D5735</f>
        <v>3</v>
      </c>
      <c r="X5735" t="str">
        <v>x</v>
      </c>
      <c r="Y5735">
        <f>Y5734</f>
        <v>1</v>
      </c>
      <c r="Z5735" t="str">
        <v>=</v>
      </c>
      <c r="AA5735">
        <f>(N5735+P5735*R5735/1000)*U5735*W5735*Y5735</f>
        <v>6.304446135000001</v>
      </c>
    </row>
    <row r="5737">
      <c r="A5737" t="str">
        <f>A5725</f>
        <v>Lantai 3</v>
      </c>
      <c r="B5737">
        <f>B5725</f>
        <v>49</v>
      </c>
      <c r="C5737" t="str">
        <v>Tul Peminggang</v>
      </c>
      <c r="D5737">
        <f>VLOOKUP(D5725,'Detail Balok'!$C$10:$AU$140,13,FALSE)</f>
        <v>0</v>
      </c>
      <c r="E5737" t="str">
        <v>D</v>
      </c>
      <c r="F5737">
        <f>VLOOKUP(D5725,'Detail Balok'!$C$10:$AU$140,15,FALSE)</f>
        <v>8</v>
      </c>
      <c r="J5737">
        <f>+D5727/1000</f>
        <v>1.705</v>
      </c>
      <c r="K5737" t="str">
        <v>+</v>
      </c>
      <c r="L5737">
        <f>2*$F$16*F5737/1000</f>
        <v>0.192</v>
      </c>
      <c r="M5737" t="str">
        <v>=</v>
      </c>
      <c r="N5737">
        <f>J5737+L5737</f>
        <v>1.897</v>
      </c>
      <c r="O5737" t="str">
        <v>+</v>
      </c>
      <c r="P5737">
        <f>IF(N5737&gt;12,ROUNDDOWN(N5737/12,0),0)</f>
        <v>0</v>
      </c>
      <c r="Q5737" t="str">
        <v>x</v>
      </c>
      <c r="R5737">
        <f>IF(P5737&gt;0,MAX(VLOOKUP(F5737,$D$6:$G$15,3,FALSE),600),0)/1000</f>
        <v>0</v>
      </c>
      <c r="T5737" t="str">
        <v>x</v>
      </c>
      <c r="U5737">
        <f>0.006165*F5737^2</f>
        <v>0.39456</v>
      </c>
      <c r="V5737" t="str">
        <v>x</v>
      </c>
      <c r="W5737">
        <f>+D5737</f>
        <v>0</v>
      </c>
      <c r="X5737" t="str">
        <v>x</v>
      </c>
      <c r="Y5737">
        <f>D5731</f>
        <v>1</v>
      </c>
      <c r="Z5737" t="str">
        <v>=</v>
      </c>
      <c r="AA5737">
        <f>(N5737+P5737*R5737/1000)*U5737*W5737*Y5737</f>
        <v>0</v>
      </c>
    </row>
    <row r="5740">
      <c r="A5740" t="str">
        <f>A5725</f>
        <v>Lantai 3</v>
      </c>
      <c r="B5740">
        <f>B5725</f>
        <v>49</v>
      </c>
      <c r="C5740" t="str">
        <v>Tul Bawah Tumpuan</v>
      </c>
      <c r="D5740">
        <f>VLOOKUP(D5725,'Detail Balok'!$C$10:$AU$140,22,FALSE)</f>
        <v>3</v>
      </c>
      <c r="E5740" t="str">
        <v>D</v>
      </c>
      <c r="F5740">
        <f>VLOOKUP(D5725,'Detail Balok'!$C$10:$AU$140,24,FALSE)</f>
        <v>13</v>
      </c>
      <c r="I5740" t="str">
        <v>(</v>
      </c>
      <c r="J5740">
        <f>+J5732</f>
        <v>0.42625</v>
      </c>
      <c r="K5740" t="str">
        <v>+</v>
      </c>
      <c r="L5740">
        <f>MAX(VLOOKUP(F5740,N$6:P$15,3,FALSE)/1000,2/3*D5730/1000)+F$16*F5740/1000</f>
        <v>0.156</v>
      </c>
      <c r="M5740" t="str">
        <v>=</v>
      </c>
      <c r="N5740">
        <f>J5740+L5740</f>
        <v>0.58225</v>
      </c>
      <c r="O5740" t="str">
        <v>+</v>
      </c>
      <c r="P5740">
        <f>D5740-D5741</f>
        <v>0</v>
      </c>
      <c r="Q5740" t="str">
        <v>x</v>
      </c>
      <c r="R5740">
        <f>IF(P5740&gt;0,$F$18*F5740/1000,0)</f>
        <v>0</v>
      </c>
      <c r="S5740" t="str">
        <v>)</v>
      </c>
      <c r="T5740" t="str">
        <v>x</v>
      </c>
      <c r="U5740">
        <f>0.006165*F5740^2</f>
        <v>1.041885</v>
      </c>
      <c r="X5740" t="str">
        <v>x</v>
      </c>
      <c r="Y5740">
        <f>D5731</f>
        <v>1</v>
      </c>
      <c r="Z5740" t="str">
        <v>=</v>
      </c>
      <c r="AA5740">
        <f>IF(AA5743=0,(D5740*N5740+P5740*R5740)*U5740*Y5740,0)</f>
        <v>0</v>
      </c>
    </row>
    <row r="5741">
      <c r="A5741" t="str">
        <f>A5725</f>
        <v>Lantai 3</v>
      </c>
      <c r="B5741">
        <f>B5725</f>
        <v>49</v>
      </c>
      <c r="C5741" t="str">
        <v>Tul Bawah Lapangan</v>
      </c>
      <c r="D5741">
        <f>VLOOKUP(D5725,'Detail Balok'!$C$10:$AU$140,25,FALSE)</f>
        <v>3</v>
      </c>
      <c r="E5741" t="str">
        <v>D</v>
      </c>
      <c r="F5741">
        <f>VLOOKUP(D5725,'Detail Balok'!$C$10:$AU$140,27,FALSE)</f>
        <v>13</v>
      </c>
      <c r="I5741" t="str">
        <v>(</v>
      </c>
      <c r="J5741">
        <f>+J5733</f>
        <v>0.8525</v>
      </c>
      <c r="K5741" t="str">
        <v>+</v>
      </c>
      <c r="M5741" t="str">
        <v>=</v>
      </c>
      <c r="N5741">
        <f>J5741+L5741</f>
        <v>0.8525</v>
      </c>
      <c r="O5741" t="str">
        <v>+</v>
      </c>
      <c r="P5741">
        <f>MAX(D5741-D5740,D5741-D5742)</f>
        <v>0</v>
      </c>
      <c r="Q5741" t="str">
        <v>x</v>
      </c>
      <c r="R5741">
        <f>IF(P5741&gt;0,2*(1-2*$F$19-1/2)*D5728/1000,0)</f>
        <v>0</v>
      </c>
      <c r="S5741" t="str">
        <v>)</v>
      </c>
      <c r="T5741" t="str">
        <v>x</v>
      </c>
      <c r="U5741">
        <f>0.006165*F5741^2</f>
        <v>1.041885</v>
      </c>
      <c r="X5741" t="str">
        <v>x</v>
      </c>
      <c r="Y5741">
        <f>D5731</f>
        <v>1</v>
      </c>
      <c r="Z5741" t="str">
        <v>=</v>
      </c>
      <c r="AA5741">
        <f>IF(AA5743=0,(D5741*N5741+P5741*R5741)*U5741*Y5741,0)</f>
        <v>0</v>
      </c>
    </row>
    <row r="5742">
      <c r="A5742" t="str">
        <f>A5725</f>
        <v>Lantai 3</v>
      </c>
      <c r="B5742">
        <f>B5725</f>
        <v>49</v>
      </c>
      <c r="C5742" t="str">
        <v>Tul Bawah Tumpuan</v>
      </c>
      <c r="D5742">
        <f>VLOOKUP(D5725,'Detail Balok'!$C$10:$AU$140,28,FALSE)</f>
        <v>3</v>
      </c>
      <c r="E5742" t="str">
        <v>D</v>
      </c>
      <c r="F5742">
        <f>VLOOKUP(D5725,'Detail Balok'!$C$10:$AU$140,30,FALSE)</f>
        <v>13</v>
      </c>
      <c r="I5742" t="str">
        <v>(</v>
      </c>
      <c r="J5742">
        <f>+J5734</f>
        <v>0.42625</v>
      </c>
      <c r="K5742" t="str">
        <v>+</v>
      </c>
      <c r="L5742">
        <f>MAX(VLOOKUP(F5742,N$6:P$15,3,FALSE)/1000,2/3*D5730/1000)+F$16*F5742/1000</f>
        <v>0.156</v>
      </c>
      <c r="M5742" t="str">
        <v>=</v>
      </c>
      <c r="N5742">
        <f>J5742+L5742</f>
        <v>0.58225</v>
      </c>
      <c r="O5742" t="str">
        <v>+</v>
      </c>
      <c r="P5742">
        <f>D5742-D5741</f>
        <v>0</v>
      </c>
      <c r="Q5742" t="str">
        <v>x</v>
      </c>
      <c r="R5742">
        <f>IF(P5742&gt;0,$F$18*F5742/1000,0)</f>
        <v>0</v>
      </c>
      <c r="S5742" t="str">
        <v>)</v>
      </c>
      <c r="T5742" t="str">
        <v>x</v>
      </c>
      <c r="U5742">
        <f>0.006165*F5742^2</f>
        <v>1.041885</v>
      </c>
      <c r="X5742" t="str">
        <v>x</v>
      </c>
      <c r="Y5742">
        <f>D5731</f>
        <v>1</v>
      </c>
      <c r="Z5742" t="str">
        <v>=</v>
      </c>
      <c r="AA5742">
        <f>IF(AA5743=0,(D5742*N5742+P5742*R5742)*U5742*Y5742,0)</f>
        <v>0</v>
      </c>
    </row>
    <row r="5743">
      <c r="A5743" t="str">
        <f>A5725</f>
        <v>Lantai 3</v>
      </c>
      <c r="B5743">
        <f>B5725</f>
        <v>49</v>
      </c>
      <c r="D5743">
        <f>IF(AND(D5740=D5741,D5741=D5742,D5740=D5742),D5740,0)</f>
        <v>3</v>
      </c>
      <c r="E5743" t="str">
        <v>D</v>
      </c>
      <c r="F5743">
        <f>IF(AND(F5740=F5741,F5740=F5742,F5741=F5742),F5740,0)</f>
        <v>13</v>
      </c>
      <c r="L5743" t="str">
        <v>Total panjang per balok</v>
      </c>
      <c r="M5743" t="str">
        <v>=</v>
      </c>
      <c r="N5743">
        <f>IF(AND(D5740=D5741,D5740=D5742,D5741=D5742,F5740=F5741,F5740=F5742,F5741=F5742),SUM(N5740:N5742),0)</f>
        <v>2.0170000000000003</v>
      </c>
      <c r="O5743" t="str">
        <v>+</v>
      </c>
      <c r="P5743">
        <f>IF(N5743&gt;12,ROUNDDOWN(N5743/12,0),0)</f>
        <v>0</v>
      </c>
      <c r="Q5743" t="str">
        <v>x</v>
      </c>
      <c r="R5743">
        <f>IF(P5743&gt;0,MAX(VLOOKUP(F5743,$D$6:$G$15,3,FALSE),600),0)/1000</f>
        <v>0</v>
      </c>
      <c r="T5743" t="str">
        <v>x</v>
      </c>
      <c r="U5743">
        <f>U5742</f>
        <v>1.041885</v>
      </c>
      <c r="V5743" t="str">
        <v>x</v>
      </c>
      <c r="W5743">
        <f>D5743</f>
        <v>3</v>
      </c>
      <c r="X5743" t="str">
        <v>x</v>
      </c>
      <c r="Y5743">
        <f>Y5742</f>
        <v>1</v>
      </c>
      <c r="Z5743" t="str">
        <v>=</v>
      </c>
      <c r="AA5743">
        <f>(N5743+P5743*R5743/1000)*U5743*W5743*Y5743</f>
        <v>6.304446135000001</v>
      </c>
    </row>
    <row r="5745">
      <c r="A5745" t="str">
        <f>A5725</f>
        <v>Lantai 3</v>
      </c>
      <c r="B5745">
        <f>B5725</f>
        <v>49</v>
      </c>
      <c r="C5745" t="str">
        <v>Sengkang Tumpuan</v>
      </c>
      <c r="D5745">
        <f>VLOOKUP(D5725,'Detail Balok'!$C$10:$AU$140,31,FALSE)</f>
        <v>0</v>
      </c>
      <c r="E5745" t="str">
        <v>D</v>
      </c>
      <c r="F5745">
        <f>VLOOKUP(D5725,'Detail Balok'!$C$10:$AU$140,33,FALSE)</f>
        <v>10</v>
      </c>
      <c r="G5745" t="str">
        <v>-</v>
      </c>
      <c r="H5745">
        <f>VLOOKUP(D5725,'Detail Balok'!$C$10:$AU$140,35,FALSE)</f>
        <v>100</v>
      </c>
      <c r="J5745">
        <f>(IF(D5745=0,(2*(D5726+G5726))-(F$5*8),IF(D5745=3,(2*(D5726+G5726))-(F$5*8)+(G5726-2*F$5),IF(D5745=4,(2*(D5726+G5726))-(F$5*8)+2*(G5726-2*F$5)))))/1000</f>
        <v>0.88</v>
      </c>
      <c r="K5745" t="str">
        <v>+</v>
      </c>
      <c r="L5745">
        <f>IF(D5745=0,2*MAX(6*F5745,75),(D5745-1)*2*MAX(6*F5745,75))/1000</f>
        <v>0.15</v>
      </c>
      <c r="M5745" t="str">
        <v>=</v>
      </c>
      <c r="N5745">
        <f>J5745+L5745</f>
        <v>1.03</v>
      </c>
      <c r="T5745" t="str">
        <v>x</v>
      </c>
      <c r="U5745">
        <f>0.006165*F5745^2</f>
        <v>0.6165</v>
      </c>
      <c r="V5745" t="str">
        <v>x</v>
      </c>
      <c r="W5745">
        <f>IF(D5728&gt;4*G5726,ROUND(MAX(D5728/4,2*G5726)/H5745,0)+1,ROUND(D5728/H5745,0)+1)</f>
        <v>9</v>
      </c>
      <c r="X5745" t="str">
        <v>x</v>
      </c>
      <c r="Y5745">
        <f>D5731</f>
        <v>1</v>
      </c>
      <c r="Z5745" t="str">
        <v>=</v>
      </c>
      <c r="AA5745">
        <f>N5745*U5745*W5745*Y5745</f>
        <v>5.714955000000001</v>
      </c>
    </row>
    <row r="5746">
      <c r="A5746" t="str">
        <f>A5725</f>
        <v>Lantai 3</v>
      </c>
      <c r="B5746">
        <f>B5725</f>
        <v>49</v>
      </c>
      <c r="C5746" t="str">
        <v>Sengkang Lapangan</v>
      </c>
      <c r="D5746">
        <f>VLOOKUP(D5725,'Detail Balok'!$C$10:$AU$140,36,FALSE)</f>
        <v>0</v>
      </c>
      <c r="E5746" t="str">
        <v>D</v>
      </c>
      <c r="F5746">
        <f>VLOOKUP(D5725,'Detail Balok'!$C$10:$AU$140,38,FALSE)</f>
        <v>10</v>
      </c>
      <c r="G5746" t="str">
        <v>-</v>
      </c>
      <c r="H5746">
        <f>VLOOKUP(D5725,'Detail Balok'!$C$10:$AU$140,40,FALSE)</f>
        <v>200</v>
      </c>
      <c r="J5746">
        <f>(IF(D5746=0,(2*(D5726+G5726))-(F$5*8),IF(D5746=3,(2*(D5726+G5726))-(F$5*8)+(G5726-2*F$5),IF(D5746=4,(2*(D5726+G5726))-(F$5*8)+2*(G5726-2*F$5)))))/1000</f>
        <v>0.88</v>
      </c>
      <c r="K5746" t="str">
        <v>+</v>
      </c>
      <c r="L5746">
        <f>IF(D5746=0,2*MAX(6*F5746,75),(D5746-1)*2*MAX(6*F5746,75))/1000</f>
        <v>0.15</v>
      </c>
      <c r="M5746" t="str">
        <v>=</v>
      </c>
      <c r="N5746">
        <f>J5746+L5746</f>
        <v>1.03</v>
      </c>
      <c r="T5746" t="str">
        <v>x</v>
      </c>
      <c r="U5746">
        <f>0.006165*F5746^2</f>
        <v>0.6165</v>
      </c>
      <c r="V5746" t="str">
        <v>x</v>
      </c>
      <c r="W5746">
        <f>IF(D5728-MAX(D5728/4,2*G5726)*2&gt;0,ROUND((D5728-MAX(D5728/4,2*G5726)*2)/H5746,0),0)</f>
        <v>1</v>
      </c>
      <c r="X5746" t="str">
        <v>x</v>
      </c>
      <c r="Y5746">
        <f>D5731</f>
        <v>1</v>
      </c>
      <c r="Z5746" t="str">
        <v>=</v>
      </c>
      <c r="AA5746">
        <f>N5746*U5746*W5746*Y5746</f>
        <v>0.6349950000000001</v>
      </c>
    </row>
    <row r="5747">
      <c r="A5747" t="str">
        <f>A5725</f>
        <v>Lantai 3</v>
      </c>
      <c r="B5747">
        <f>B5725</f>
        <v>49</v>
      </c>
      <c r="C5747" t="str">
        <v>Sengkang Tumpuan</v>
      </c>
      <c r="D5747">
        <f>VLOOKUP(D5725,'Detail Balok'!$C$10:$AU$140,41,FALSE)</f>
        <v>0</v>
      </c>
      <c r="E5747" t="str">
        <v>D</v>
      </c>
      <c r="F5747">
        <f>VLOOKUP(D5725,'Detail Balok'!$C$10:$AU$140,43,FALSE)</f>
        <v>10</v>
      </c>
      <c r="G5747" t="str">
        <v>-</v>
      </c>
      <c r="H5747">
        <f>VLOOKUP(D5725,'Detail Balok'!$C$10:$AU$140,45,FALSE)</f>
        <v>100</v>
      </c>
      <c r="J5747">
        <f>(IF(D5747=0,(2*(D5726+G5726))-(F$5*8),IF(D5747=3,(2*(D5726+G5726))-(F$5*8)+(G5726-2*F$5),IF(D5747=4,(2*(D5726+G5726))-(F$5*8)+2*(G5726-2*F$5)))))/1000</f>
        <v>0.88</v>
      </c>
      <c r="K5747" t="str">
        <v>+</v>
      </c>
      <c r="L5747">
        <f>IF(D5747=0,2*MAX(6*F5747,75),(D5747-1)*2*MAX(6*F5747,75))/1000</f>
        <v>0.15</v>
      </c>
      <c r="M5747" t="str">
        <v>=</v>
      </c>
      <c r="N5747">
        <f>J5747+L5747</f>
        <v>1.03</v>
      </c>
      <c r="T5747" t="str">
        <v>x</v>
      </c>
      <c r="U5747">
        <f>0.006165*F5747^2</f>
        <v>0.6165</v>
      </c>
      <c r="V5747" t="str">
        <v>x</v>
      </c>
      <c r="W5747">
        <f>IF(D5728&gt;4*G5726,ROUND(MAX(D5728/4,2*G5726)/H5747,0)+1,0)</f>
        <v>9</v>
      </c>
      <c r="X5747" t="str">
        <v>x</v>
      </c>
      <c r="Y5747">
        <f>D5731</f>
        <v>1</v>
      </c>
      <c r="Z5747" t="str">
        <v>=</v>
      </c>
      <c r="AA5747">
        <f>N5747*U5747*W5747*Y5747</f>
        <v>5.714955000000001</v>
      </c>
    </row>
    <row r="5749">
      <c r="A5749" t="str">
        <f>A5725</f>
        <v>Lantai 3</v>
      </c>
      <c r="B5749">
        <f>B5725</f>
        <v>49</v>
      </c>
      <c r="C5749" t="str">
        <v>Kait Horizontal Tump.</v>
      </c>
      <c r="D5749">
        <f>VLOOKUP(D5725,'Detail Balok'!$C$10:$BJ$140,46,FALSE)</f>
        <v>0</v>
      </c>
      <c r="E5749" t="str">
        <v>D</v>
      </c>
      <c r="F5749">
        <f>VLOOKUP(D5725,'Detail Balok'!$C$10:$BJ$140,48,FALSE)</f>
        <v>0</v>
      </c>
      <c r="G5749" t="str">
        <v>-</v>
      </c>
      <c r="H5749">
        <f>VLOOKUP(D5725,'Detail Balok'!$C$10:$BJ$140,50,FALSE)</f>
        <v>100</v>
      </c>
      <c r="J5749">
        <f>(D5726-2*F$5)/1000</f>
        <v>0.12</v>
      </c>
      <c r="K5749" t="str">
        <v>+</v>
      </c>
      <c r="L5749">
        <f>IF(D5749=0,2*MAX(6*F5749,75),(D5749-1)*2*MAX(6*F5749,75))/1000</f>
        <v>0.15</v>
      </c>
      <c r="M5749" t="str">
        <v>=</v>
      </c>
      <c r="N5749">
        <f>J5749+L5749</f>
        <v>0.27</v>
      </c>
      <c r="T5749" t="str">
        <v>x</v>
      </c>
      <c r="U5749">
        <f>0.006165*F5749^2</f>
        <v>0</v>
      </c>
      <c r="V5749" t="str">
        <v>x</v>
      </c>
      <c r="W5749">
        <f>W5745</f>
        <v>9</v>
      </c>
      <c r="X5749" t="str">
        <v>x</v>
      </c>
      <c r="Y5749">
        <f>D5735</f>
        <v>3</v>
      </c>
      <c r="Z5749" t="str">
        <v>=</v>
      </c>
      <c r="AA5749">
        <f>N5749*U5749*W5749*Y5749</f>
        <v>0</v>
      </c>
    </row>
    <row r="5750">
      <c r="A5750" t="str">
        <f>A5725</f>
        <v>Lantai 3</v>
      </c>
      <c r="B5750">
        <f>B5725</f>
        <v>49</v>
      </c>
      <c r="C5750" t="str">
        <v>Kait Horizontal Lap.</v>
      </c>
      <c r="D5750">
        <f>VLOOKUP(D5725,'Detail Balok'!$C$10:$BJ$140,51,FALSE)</f>
        <v>0</v>
      </c>
      <c r="E5750" t="str">
        <v>D</v>
      </c>
      <c r="F5750">
        <f>VLOOKUP(D5725,'Detail Balok'!$C$10:$BJ$140,53,FALSE)</f>
        <v>0</v>
      </c>
      <c r="G5750" t="str">
        <v>-</v>
      </c>
      <c r="H5750">
        <f>VLOOKUP(D5725,'Detail Balok'!$C$10:$BJ$140,55,FALSE)</f>
        <v>100</v>
      </c>
      <c r="J5750">
        <f>(D5726-2*F$5)/1000</f>
        <v>0.12</v>
      </c>
      <c r="K5750" t="str">
        <v>+</v>
      </c>
      <c r="L5750">
        <f>IF(D5750=0,2*MAX(6*F5750,75),(D5750-1)*2*MAX(6*F5750,75))/1000</f>
        <v>0.15</v>
      </c>
      <c r="M5750" t="str">
        <v>=</v>
      </c>
      <c r="N5750">
        <f>J5750+L5750</f>
        <v>0.27</v>
      </c>
      <c r="T5750" t="str">
        <v>x</v>
      </c>
      <c r="U5750">
        <f>0.006165*F5750^2</f>
        <v>0</v>
      </c>
      <c r="V5750" t="str">
        <v>x</v>
      </c>
      <c r="W5750">
        <f>W5746</f>
        <v>1</v>
      </c>
      <c r="X5750" t="str">
        <v>x</v>
      </c>
      <c r="Y5750">
        <f>D5735</f>
        <v>3</v>
      </c>
      <c r="Z5750" t="str">
        <v>=</v>
      </c>
      <c r="AA5750">
        <f>N5750*U5750*W5750*Y5750</f>
        <v>0</v>
      </c>
    </row>
    <row r="5751">
      <c r="A5751" t="str">
        <f>A5725</f>
        <v>Lantai 3</v>
      </c>
      <c r="B5751">
        <f>B5725</f>
        <v>49</v>
      </c>
      <c r="C5751" t="str">
        <v>Kait Horizontal Tump.</v>
      </c>
      <c r="D5751">
        <f>VLOOKUP(D5725,'Detail Balok'!$C$10:$BJ$140,56,FALSE)</f>
        <v>0</v>
      </c>
      <c r="E5751" t="str">
        <v>D</v>
      </c>
      <c r="F5751">
        <f>VLOOKUP(D5725,'Detail Balok'!$C$10:$BJ$140,58,FALSE)</f>
        <v>0</v>
      </c>
      <c r="G5751" t="str">
        <v>-</v>
      </c>
      <c r="H5751">
        <f>VLOOKUP(D5725,'Detail Balok'!$C$10:$BJ$140,60,FALSE)</f>
        <v>100</v>
      </c>
      <c r="J5751">
        <f>(D5726-2*F$5)/1000</f>
        <v>0.12</v>
      </c>
      <c r="K5751" t="str">
        <v>+</v>
      </c>
      <c r="L5751">
        <f>IF(D5751=0,2*MAX(6*F5751,75),(D5751-1)*2*MAX(6*F5751,75))/1000</f>
        <v>0.15</v>
      </c>
      <c r="M5751" t="str">
        <v>=</v>
      </c>
      <c r="N5751">
        <f>J5751+L5751</f>
        <v>0.27</v>
      </c>
      <c r="T5751" t="str">
        <v>x</v>
      </c>
      <c r="U5751">
        <f>0.006165*F5751^2</f>
        <v>0</v>
      </c>
      <c r="V5751" t="str">
        <v>x</v>
      </c>
      <c r="W5751">
        <f>W5747</f>
        <v>9</v>
      </c>
      <c r="X5751" t="str">
        <v>x</v>
      </c>
      <c r="Y5751">
        <f>D5735</f>
        <v>3</v>
      </c>
      <c r="Z5751" t="str">
        <v>=</v>
      </c>
      <c r="AA5751">
        <f>N5751*U5751*W5751*Y5751</f>
        <v>0</v>
      </c>
    </row>
    <row r="5755">
      <c r="A5755" t="str">
        <f>A5725</f>
        <v>Lantai 3</v>
      </c>
      <c r="B5755">
        <f>B5725+1</f>
        <v>50</v>
      </c>
      <c r="C5755" t="str">
        <f>CONCATENATE(A5755," no. ",B5755)</f>
        <v>Lantai 3 no. 50</v>
      </c>
      <c r="D5755" t="str">
        <f>VLOOKUP(C5755,'Data Panjang Balok'!$C$9:$N$254,2,FALSE)</f>
        <v>B24-1</v>
      </c>
    </row>
    <row r="5756">
      <c r="C5756" t="str">
        <v>Dimensi</v>
      </c>
      <c r="D5756">
        <f>VLOOKUP(D5755,'Detail Balok'!$C$10:$AU$140,2,FALSE)</f>
        <v>200</v>
      </c>
      <c r="F5756" t="str">
        <v>x</v>
      </c>
      <c r="G5756">
        <f>VLOOKUP(D5755,'Detail Balok'!$C$10:$AU$140,3,FALSE)</f>
        <v>400</v>
      </c>
    </row>
    <row r="5757">
      <c r="C5757" t="str">
        <v>Panjang as ke as</v>
      </c>
      <c r="D5757">
        <f>VLOOKUP(C5755,'Data Panjang Balok'!$C$9:$N$254,4,FALSE)</f>
        <v>1705</v>
      </c>
    </row>
    <row r="5758">
      <c r="C5758" t="str">
        <v>Panjang netto</v>
      </c>
      <c r="D5758">
        <f>VLOOKUP(C5755,'Data Panjang Balok'!$C$9:$N$254,7,FALSE)</f>
        <v>1705</v>
      </c>
    </row>
    <row r="5759">
      <c r="C5759" t="str">
        <v>Kolom / balok kiri</v>
      </c>
      <c r="D5759">
        <f>VLOOKUP(C5755,'Data Panjang Balok'!$C$9:$N$254,9,FALSE)</f>
        <v>0</v>
      </c>
    </row>
    <row r="5760">
      <c r="C5760" t="str">
        <v>Kolom / balok kanan</v>
      </c>
      <c r="D5760">
        <f>VLOOKUP(C5755,'Data Panjang Balok'!$C$9:$N$254,10,FALSE)</f>
        <v>0</v>
      </c>
    </row>
    <row r="5761">
      <c r="C5761" t="str">
        <v>Jumlah</v>
      </c>
      <c r="D5761">
        <f>VLOOKUP(C5755,'Data Panjang Balok'!$C$9:$N$254,3,FALSE)</f>
        <v>1</v>
      </c>
    </row>
    <row r="5762">
      <c r="A5762" t="str">
        <f>A5755</f>
        <v>Lantai 3</v>
      </c>
      <c r="B5762">
        <f>B5755</f>
        <v>50</v>
      </c>
      <c r="C5762" t="str">
        <v>Tul Atas Tumpuan</v>
      </c>
      <c r="D5762">
        <f>VLOOKUP(D5755,'Detail Balok'!$C$10:$AU$140,4,FALSE)</f>
        <v>3</v>
      </c>
      <c r="E5762" t="str">
        <v>D</v>
      </c>
      <c r="F5762">
        <f>VLOOKUP(D5755,'Detail Balok'!$C$10:$AU$140,6,FALSE)</f>
        <v>13</v>
      </c>
      <c r="I5762" t="str">
        <v>(</v>
      </c>
      <c r="J5762">
        <f>+D5757/4/1000</f>
        <v>0.42625</v>
      </c>
      <c r="K5762" t="str">
        <v>+</v>
      </c>
      <c r="L5762">
        <f>MAX(VLOOKUP(F5762,N$6:P$15,3,FALSE)/1000,2/3*D5759/1000)+F$16*F5762/1000</f>
        <v>0.156</v>
      </c>
      <c r="M5762" t="str">
        <v>=</v>
      </c>
      <c r="N5762">
        <f>J5762+L5762</f>
        <v>0.58225</v>
      </c>
      <c r="O5762" t="str">
        <v>+</v>
      </c>
      <c r="P5762">
        <f>D5762-D5763</f>
        <v>0</v>
      </c>
      <c r="Q5762" t="str">
        <v>x</v>
      </c>
      <c r="R5762">
        <f>IF(P5762&gt;0,$F$18*F5762/1000,0)</f>
        <v>0</v>
      </c>
      <c r="S5762" t="str">
        <v>)</v>
      </c>
      <c r="T5762" t="str">
        <v>x</v>
      </c>
      <c r="U5762">
        <f>0.006165*F5762^2</f>
        <v>1.041885</v>
      </c>
      <c r="X5762" t="str">
        <v>x</v>
      </c>
      <c r="Y5762">
        <f>D5761</f>
        <v>1</v>
      </c>
      <c r="Z5762" t="str">
        <v>=</v>
      </c>
      <c r="AA5762">
        <f>IF(AA5765=0,(D5762*N5762+P5762*R5762)*U5762*Y5762,0)</f>
        <v>0</v>
      </c>
    </row>
    <row r="5763">
      <c r="A5763" t="str">
        <f>A5755</f>
        <v>Lantai 3</v>
      </c>
      <c r="B5763">
        <f>B5755</f>
        <v>50</v>
      </c>
      <c r="C5763" t="str">
        <v>Tul Atas Lapangan</v>
      </c>
      <c r="D5763">
        <f>VLOOKUP(D5755,'Detail Balok'!$C$10:$AU$140,7,FALSE)</f>
        <v>3</v>
      </c>
      <c r="E5763" t="str">
        <v>D</v>
      </c>
      <c r="F5763">
        <f>VLOOKUP(D5755,'Detail Balok'!$C$10:$AU$140,9,FALSE)</f>
        <v>13</v>
      </c>
      <c r="I5763" t="str">
        <v>(</v>
      </c>
      <c r="J5763">
        <f>+D5757/2/1000</f>
        <v>0.8525</v>
      </c>
      <c r="K5763" t="str">
        <v>+</v>
      </c>
      <c r="M5763" t="str">
        <v>=</v>
      </c>
      <c r="N5763">
        <f>J5763+L5763</f>
        <v>0.8525</v>
      </c>
      <c r="O5763" t="str">
        <v>+</v>
      </c>
      <c r="P5763">
        <f>MAX(D5763-D5762,D5763-D5764)</f>
        <v>0</v>
      </c>
      <c r="Q5763" t="str">
        <v>x</v>
      </c>
      <c r="R5763">
        <f>IF(P5763&gt;0,2*(1-2*$F$19-1/2)*D5758/1000,0)</f>
        <v>0</v>
      </c>
      <c r="S5763" t="str">
        <v>)</v>
      </c>
      <c r="T5763" t="str">
        <v>x</v>
      </c>
      <c r="U5763">
        <f>0.006165*F5763^2</f>
        <v>1.041885</v>
      </c>
      <c r="X5763" t="str">
        <v>x</v>
      </c>
      <c r="Y5763">
        <f>D5761</f>
        <v>1</v>
      </c>
      <c r="Z5763" t="str">
        <v>=</v>
      </c>
      <c r="AA5763">
        <f>IF(AA5765=0,(D5763*N5763+P5763*R5763)*U5763*Y5763,0)</f>
        <v>0</v>
      </c>
    </row>
    <row r="5764">
      <c r="A5764" t="str">
        <f>A5755</f>
        <v>Lantai 3</v>
      </c>
      <c r="B5764">
        <f>B5755</f>
        <v>50</v>
      </c>
      <c r="C5764" t="str">
        <v>Tul Atas Tumpuan</v>
      </c>
      <c r="D5764">
        <f>VLOOKUP(D5755,'Detail Balok'!$C$10:$AU$140,10,FALSE)</f>
        <v>3</v>
      </c>
      <c r="E5764" t="str">
        <v>D</v>
      </c>
      <c r="F5764">
        <f>VLOOKUP(D5755,'Detail Balok'!$C$10:$AU$140,12,FALSE)</f>
        <v>13</v>
      </c>
      <c r="I5764" t="str">
        <v>(</v>
      </c>
      <c r="J5764">
        <f>+D5757/4/1000</f>
        <v>0.42625</v>
      </c>
      <c r="K5764" t="str">
        <v>+</v>
      </c>
      <c r="L5764">
        <f>MAX(VLOOKUP(F5764,N$6:P$15,3,FALSE)/1000,2/3*D5759/1000)+F$16*F5764/1000</f>
        <v>0.156</v>
      </c>
      <c r="M5764" t="str">
        <v>=</v>
      </c>
      <c r="N5764">
        <f>J5764+L5764</f>
        <v>0.58225</v>
      </c>
      <c r="O5764" t="str">
        <v>+</v>
      </c>
      <c r="P5764">
        <f>D5764-D5763</f>
        <v>0</v>
      </c>
      <c r="Q5764" t="str">
        <v>x</v>
      </c>
      <c r="R5764">
        <f>IF(P5764&gt;0,$F$18*F5764/1000,0)</f>
        <v>0</v>
      </c>
      <c r="S5764" t="str">
        <v>)</v>
      </c>
      <c r="T5764" t="str">
        <v>x</v>
      </c>
      <c r="U5764">
        <f>0.006165*F5764^2</f>
        <v>1.041885</v>
      </c>
      <c r="X5764" t="str">
        <v>x</v>
      </c>
      <c r="Y5764">
        <f>D5761</f>
        <v>1</v>
      </c>
      <c r="Z5764" t="str">
        <v>=</v>
      </c>
      <c r="AA5764">
        <f>IF(AA5765=0,(D5764*N5764+P5764*R5764)*U5764*Y5764,0)</f>
        <v>0</v>
      </c>
    </row>
    <row r="5765">
      <c r="A5765" t="str">
        <f>A5755</f>
        <v>Lantai 3</v>
      </c>
      <c r="B5765">
        <f>B5755</f>
        <v>50</v>
      </c>
      <c r="D5765">
        <f>IF(AND(D5762=D5763,D5763=D5764,D5762=D5764),D5762,0)</f>
        <v>3</v>
      </c>
      <c r="E5765" t="str">
        <v>D</v>
      </c>
      <c r="F5765">
        <f>IF(AND(F5762=F5763,F5762=F5764,F5763=F5764),F5762,0)</f>
        <v>13</v>
      </c>
      <c r="L5765" t="str">
        <v>Total panjang per balok</v>
      </c>
      <c r="M5765" t="str">
        <v>=</v>
      </c>
      <c r="N5765">
        <f>IF(AND(D5762=D5763,D5762=D5764,D5763=D5764,F5762=F5763,F5762=F5764,F5763=F5764),SUM(N5762:N5764),0)</f>
        <v>2.0170000000000003</v>
      </c>
      <c r="O5765" t="str">
        <v>+</v>
      </c>
      <c r="P5765">
        <f>IF(N5765&gt;12,ROUNDDOWN(N5765/12,0),0)</f>
        <v>0</v>
      </c>
      <c r="Q5765" t="str">
        <v>x</v>
      </c>
      <c r="R5765">
        <f>IF(P5765&gt;0,MAX(VLOOKUP(F5765,$D$6:$G$15,3,FALSE),600),0)/1000</f>
        <v>0</v>
      </c>
      <c r="T5765" t="str">
        <v>x</v>
      </c>
      <c r="U5765">
        <f>U5764</f>
        <v>1.041885</v>
      </c>
      <c r="V5765" t="str">
        <v>x</v>
      </c>
      <c r="W5765">
        <f>D5765</f>
        <v>3</v>
      </c>
      <c r="X5765" t="str">
        <v>x</v>
      </c>
      <c r="Y5765">
        <f>Y5764</f>
        <v>1</v>
      </c>
      <c r="Z5765" t="str">
        <v>=</v>
      </c>
      <c r="AA5765">
        <f>(N5765+P5765*R5765/1000)*U5765*W5765*Y5765</f>
        <v>6.304446135000001</v>
      </c>
    </row>
    <row r="5767">
      <c r="A5767" t="str">
        <f>A5755</f>
        <v>Lantai 3</v>
      </c>
      <c r="B5767">
        <f>B5755</f>
        <v>50</v>
      </c>
      <c r="C5767" t="str">
        <v>Tul Peminggang</v>
      </c>
      <c r="D5767">
        <f>VLOOKUP(D5755,'Detail Balok'!$C$10:$AU$140,13,FALSE)</f>
        <v>0</v>
      </c>
      <c r="E5767" t="str">
        <v>D</v>
      </c>
      <c r="F5767">
        <f>VLOOKUP(D5755,'Detail Balok'!$C$10:$AU$140,15,FALSE)</f>
        <v>8</v>
      </c>
      <c r="J5767">
        <f>+D5757/1000</f>
        <v>1.705</v>
      </c>
      <c r="K5767" t="str">
        <v>+</v>
      </c>
      <c r="L5767">
        <f>2*$F$16*F5767/1000</f>
        <v>0.192</v>
      </c>
      <c r="M5767" t="str">
        <v>=</v>
      </c>
      <c r="N5767">
        <f>J5767+L5767</f>
        <v>1.897</v>
      </c>
      <c r="O5767" t="str">
        <v>+</v>
      </c>
      <c r="P5767">
        <f>IF(N5767&gt;12,ROUNDDOWN(N5767/12,0),0)</f>
        <v>0</v>
      </c>
      <c r="Q5767" t="str">
        <v>x</v>
      </c>
      <c r="R5767">
        <f>IF(P5767&gt;0,MAX(VLOOKUP(F5767,$D$6:$G$15,3,FALSE),600),0)/1000</f>
        <v>0</v>
      </c>
      <c r="T5767" t="str">
        <v>x</v>
      </c>
      <c r="U5767">
        <f>0.006165*F5767^2</f>
        <v>0.39456</v>
      </c>
      <c r="V5767" t="str">
        <v>x</v>
      </c>
      <c r="W5767">
        <f>+D5767</f>
        <v>0</v>
      </c>
      <c r="X5767" t="str">
        <v>x</v>
      </c>
      <c r="Y5767">
        <f>D5761</f>
        <v>1</v>
      </c>
      <c r="Z5767" t="str">
        <v>=</v>
      </c>
      <c r="AA5767">
        <f>(N5767+P5767*R5767/1000)*U5767*W5767*Y5767</f>
        <v>0</v>
      </c>
    </row>
    <row r="5770">
      <c r="A5770" t="str">
        <f>A5755</f>
        <v>Lantai 3</v>
      </c>
      <c r="B5770">
        <f>B5755</f>
        <v>50</v>
      </c>
      <c r="C5770" t="str">
        <v>Tul Bawah Tumpuan</v>
      </c>
      <c r="D5770">
        <f>VLOOKUP(D5755,'Detail Balok'!$C$10:$AU$140,22,FALSE)</f>
        <v>3</v>
      </c>
      <c r="E5770" t="str">
        <v>D</v>
      </c>
      <c r="F5770">
        <f>VLOOKUP(D5755,'Detail Balok'!$C$10:$AU$140,24,FALSE)</f>
        <v>13</v>
      </c>
      <c r="I5770" t="str">
        <v>(</v>
      </c>
      <c r="J5770">
        <f>+J5762</f>
        <v>0.42625</v>
      </c>
      <c r="K5770" t="str">
        <v>+</v>
      </c>
      <c r="L5770">
        <f>MAX(VLOOKUP(F5770,N$6:P$15,3,FALSE)/1000,2/3*D5760/1000)+F$16*F5770/1000</f>
        <v>0.156</v>
      </c>
      <c r="M5770" t="str">
        <v>=</v>
      </c>
      <c r="N5770">
        <f>J5770+L5770</f>
        <v>0.58225</v>
      </c>
      <c r="O5770" t="str">
        <v>+</v>
      </c>
      <c r="P5770">
        <f>D5770-D5771</f>
        <v>0</v>
      </c>
      <c r="Q5770" t="str">
        <v>x</v>
      </c>
      <c r="R5770">
        <f>IF(P5770&gt;0,$F$18*F5770/1000,0)</f>
        <v>0</v>
      </c>
      <c r="S5770" t="str">
        <v>)</v>
      </c>
      <c r="T5770" t="str">
        <v>x</v>
      </c>
      <c r="U5770">
        <f>0.006165*F5770^2</f>
        <v>1.041885</v>
      </c>
      <c r="X5770" t="str">
        <v>x</v>
      </c>
      <c r="Y5770">
        <f>D5761</f>
        <v>1</v>
      </c>
      <c r="Z5770" t="str">
        <v>=</v>
      </c>
      <c r="AA5770">
        <f>IF(AA5773=0,(D5770*N5770+P5770*R5770)*U5770*Y5770,0)</f>
        <v>0</v>
      </c>
    </row>
    <row r="5771">
      <c r="A5771" t="str">
        <f>A5755</f>
        <v>Lantai 3</v>
      </c>
      <c r="B5771">
        <f>B5755</f>
        <v>50</v>
      </c>
      <c r="C5771" t="str">
        <v>Tul Bawah Lapangan</v>
      </c>
      <c r="D5771">
        <f>VLOOKUP(D5755,'Detail Balok'!$C$10:$AU$140,25,FALSE)</f>
        <v>3</v>
      </c>
      <c r="E5771" t="str">
        <v>D</v>
      </c>
      <c r="F5771">
        <f>VLOOKUP(D5755,'Detail Balok'!$C$10:$AU$140,27,FALSE)</f>
        <v>13</v>
      </c>
      <c r="I5771" t="str">
        <v>(</v>
      </c>
      <c r="J5771">
        <f>+J5763</f>
        <v>0.8525</v>
      </c>
      <c r="K5771" t="str">
        <v>+</v>
      </c>
      <c r="M5771" t="str">
        <v>=</v>
      </c>
      <c r="N5771">
        <f>J5771+L5771</f>
        <v>0.8525</v>
      </c>
      <c r="O5771" t="str">
        <v>+</v>
      </c>
      <c r="P5771">
        <f>MAX(D5771-D5770,D5771-D5772)</f>
        <v>0</v>
      </c>
      <c r="Q5771" t="str">
        <v>x</v>
      </c>
      <c r="R5771">
        <f>IF(P5771&gt;0,2*(1-2*$F$19-1/2)*D5758/1000,0)</f>
        <v>0</v>
      </c>
      <c r="S5771" t="str">
        <v>)</v>
      </c>
      <c r="T5771" t="str">
        <v>x</v>
      </c>
      <c r="U5771">
        <f>0.006165*F5771^2</f>
        <v>1.041885</v>
      </c>
      <c r="X5771" t="str">
        <v>x</v>
      </c>
      <c r="Y5771">
        <f>D5761</f>
        <v>1</v>
      </c>
      <c r="Z5771" t="str">
        <v>=</v>
      </c>
      <c r="AA5771">
        <f>IF(AA5773=0,(D5771*N5771+P5771*R5771)*U5771*Y5771,0)</f>
        <v>0</v>
      </c>
    </row>
    <row r="5772">
      <c r="A5772" t="str">
        <f>A5755</f>
        <v>Lantai 3</v>
      </c>
      <c r="B5772">
        <f>B5755</f>
        <v>50</v>
      </c>
      <c r="C5772" t="str">
        <v>Tul Bawah Tumpuan</v>
      </c>
      <c r="D5772">
        <f>VLOOKUP(D5755,'Detail Balok'!$C$10:$AU$140,28,FALSE)</f>
        <v>3</v>
      </c>
      <c r="E5772" t="str">
        <v>D</v>
      </c>
      <c r="F5772">
        <f>VLOOKUP(D5755,'Detail Balok'!$C$10:$AU$140,30,FALSE)</f>
        <v>13</v>
      </c>
      <c r="I5772" t="str">
        <v>(</v>
      </c>
      <c r="J5772">
        <f>+J5764</f>
        <v>0.42625</v>
      </c>
      <c r="K5772" t="str">
        <v>+</v>
      </c>
      <c r="L5772">
        <f>MAX(VLOOKUP(F5772,N$6:P$15,3,FALSE)/1000,2/3*D5760/1000)+F$16*F5772/1000</f>
        <v>0.156</v>
      </c>
      <c r="M5772" t="str">
        <v>=</v>
      </c>
      <c r="N5772">
        <f>J5772+L5772</f>
        <v>0.58225</v>
      </c>
      <c r="O5772" t="str">
        <v>+</v>
      </c>
      <c r="P5772">
        <f>D5772-D5771</f>
        <v>0</v>
      </c>
      <c r="Q5772" t="str">
        <v>x</v>
      </c>
      <c r="R5772">
        <f>IF(P5772&gt;0,$F$18*F5772/1000,0)</f>
        <v>0</v>
      </c>
      <c r="S5772" t="str">
        <v>)</v>
      </c>
      <c r="T5772" t="str">
        <v>x</v>
      </c>
      <c r="U5772">
        <f>0.006165*F5772^2</f>
        <v>1.041885</v>
      </c>
      <c r="X5772" t="str">
        <v>x</v>
      </c>
      <c r="Y5772">
        <f>D5761</f>
        <v>1</v>
      </c>
      <c r="Z5772" t="str">
        <v>=</v>
      </c>
      <c r="AA5772">
        <f>IF(AA5773=0,(D5772*N5772+P5772*R5772)*U5772*Y5772,0)</f>
        <v>0</v>
      </c>
    </row>
    <row r="5773">
      <c r="A5773" t="str">
        <f>A5755</f>
        <v>Lantai 3</v>
      </c>
      <c r="B5773">
        <f>B5755</f>
        <v>50</v>
      </c>
      <c r="D5773">
        <f>IF(AND(D5770=D5771,D5771=D5772,D5770=D5772),D5770,0)</f>
        <v>3</v>
      </c>
      <c r="E5773" t="str">
        <v>D</v>
      </c>
      <c r="F5773">
        <f>IF(AND(F5770=F5771,F5770=F5772,F5771=F5772),F5770,0)</f>
        <v>13</v>
      </c>
      <c r="L5773" t="str">
        <v>Total panjang per balok</v>
      </c>
      <c r="M5773" t="str">
        <v>=</v>
      </c>
      <c r="N5773">
        <f>IF(AND(D5770=D5771,D5770=D5772,D5771=D5772,F5770=F5771,F5770=F5772,F5771=F5772),SUM(N5770:N5772),0)</f>
        <v>2.0170000000000003</v>
      </c>
      <c r="O5773" t="str">
        <v>+</v>
      </c>
      <c r="P5773">
        <f>IF(N5773&gt;12,ROUNDDOWN(N5773/12,0),0)</f>
        <v>0</v>
      </c>
      <c r="Q5773" t="str">
        <v>x</v>
      </c>
      <c r="R5773">
        <f>IF(P5773&gt;0,MAX(VLOOKUP(F5773,$D$6:$G$15,3,FALSE),600),0)/1000</f>
        <v>0</v>
      </c>
      <c r="T5773" t="str">
        <v>x</v>
      </c>
      <c r="U5773">
        <f>U5772</f>
        <v>1.041885</v>
      </c>
      <c r="V5773" t="str">
        <v>x</v>
      </c>
      <c r="W5773">
        <f>D5773</f>
        <v>3</v>
      </c>
      <c r="X5773" t="str">
        <v>x</v>
      </c>
      <c r="Y5773">
        <f>Y5772</f>
        <v>1</v>
      </c>
      <c r="Z5773" t="str">
        <v>=</v>
      </c>
      <c r="AA5773">
        <f>(N5773+P5773*R5773/1000)*U5773*W5773*Y5773</f>
        <v>6.304446135000001</v>
      </c>
    </row>
    <row r="5775">
      <c r="A5775" t="str">
        <f>A5755</f>
        <v>Lantai 3</v>
      </c>
      <c r="B5775">
        <f>B5755</f>
        <v>50</v>
      </c>
      <c r="C5775" t="str">
        <v>Sengkang Tumpuan</v>
      </c>
      <c r="D5775">
        <f>VLOOKUP(D5755,'Detail Balok'!$C$10:$AU$140,31,FALSE)</f>
        <v>0</v>
      </c>
      <c r="E5775" t="str">
        <v>D</v>
      </c>
      <c r="F5775">
        <f>VLOOKUP(D5755,'Detail Balok'!$C$10:$AU$140,33,FALSE)</f>
        <v>10</v>
      </c>
      <c r="G5775" t="str">
        <v>-</v>
      </c>
      <c r="H5775">
        <f>VLOOKUP(D5755,'Detail Balok'!$C$10:$AU$140,35,FALSE)</f>
        <v>100</v>
      </c>
      <c r="J5775">
        <f>(IF(D5775=0,(2*(D5756+G5756))-(F$5*8),IF(D5775=3,(2*(D5756+G5756))-(F$5*8)+(G5756-2*F$5),IF(D5775=4,(2*(D5756+G5756))-(F$5*8)+2*(G5756-2*F$5)))))/1000</f>
        <v>0.88</v>
      </c>
      <c r="K5775" t="str">
        <v>+</v>
      </c>
      <c r="L5775">
        <f>IF(D5775=0,2*MAX(6*F5775,75),(D5775-1)*2*MAX(6*F5775,75))/1000</f>
        <v>0.15</v>
      </c>
      <c r="M5775" t="str">
        <v>=</v>
      </c>
      <c r="N5775">
        <f>J5775+L5775</f>
        <v>1.03</v>
      </c>
      <c r="T5775" t="str">
        <v>x</v>
      </c>
      <c r="U5775">
        <f>0.006165*F5775^2</f>
        <v>0.6165</v>
      </c>
      <c r="V5775" t="str">
        <v>x</v>
      </c>
      <c r="W5775">
        <f>IF(D5758&gt;4*G5756,ROUND(MAX(D5758/4,2*G5756)/H5775,0)+1,ROUND(D5758/H5775,0)+1)</f>
        <v>9</v>
      </c>
      <c r="X5775" t="str">
        <v>x</v>
      </c>
      <c r="Y5775">
        <f>D5761</f>
        <v>1</v>
      </c>
      <c r="Z5775" t="str">
        <v>=</v>
      </c>
      <c r="AA5775">
        <f>N5775*U5775*W5775*Y5775</f>
        <v>5.714955000000001</v>
      </c>
    </row>
    <row r="5776">
      <c r="A5776" t="str">
        <f>A5755</f>
        <v>Lantai 3</v>
      </c>
      <c r="B5776">
        <f>B5755</f>
        <v>50</v>
      </c>
      <c r="C5776" t="str">
        <v>Sengkang Lapangan</v>
      </c>
      <c r="D5776">
        <f>VLOOKUP(D5755,'Detail Balok'!$C$10:$AU$140,36,FALSE)</f>
        <v>0</v>
      </c>
      <c r="E5776" t="str">
        <v>D</v>
      </c>
      <c r="F5776">
        <f>VLOOKUP(D5755,'Detail Balok'!$C$10:$AU$140,38,FALSE)</f>
        <v>10</v>
      </c>
      <c r="G5776" t="str">
        <v>-</v>
      </c>
      <c r="H5776">
        <f>VLOOKUP(D5755,'Detail Balok'!$C$10:$AU$140,40,FALSE)</f>
        <v>200</v>
      </c>
      <c r="J5776">
        <f>(IF(D5776=0,(2*(D5756+G5756))-(F$5*8),IF(D5776=3,(2*(D5756+G5756))-(F$5*8)+(G5756-2*F$5),IF(D5776=4,(2*(D5756+G5756))-(F$5*8)+2*(G5756-2*F$5)))))/1000</f>
        <v>0.88</v>
      </c>
      <c r="K5776" t="str">
        <v>+</v>
      </c>
      <c r="L5776">
        <f>IF(D5776=0,2*MAX(6*F5776,75),(D5776-1)*2*MAX(6*F5776,75))/1000</f>
        <v>0.15</v>
      </c>
      <c r="M5776" t="str">
        <v>=</v>
      </c>
      <c r="N5776">
        <f>J5776+L5776</f>
        <v>1.03</v>
      </c>
      <c r="T5776" t="str">
        <v>x</v>
      </c>
      <c r="U5776">
        <f>0.006165*F5776^2</f>
        <v>0.6165</v>
      </c>
      <c r="V5776" t="str">
        <v>x</v>
      </c>
      <c r="W5776">
        <f>IF(D5758-MAX(D5758/4,2*G5756)*2&gt;0,ROUND((D5758-MAX(D5758/4,2*G5756)*2)/H5776,0),0)</f>
        <v>1</v>
      </c>
      <c r="X5776" t="str">
        <v>x</v>
      </c>
      <c r="Y5776">
        <f>D5761</f>
        <v>1</v>
      </c>
      <c r="Z5776" t="str">
        <v>=</v>
      </c>
      <c r="AA5776">
        <f>N5776*U5776*W5776*Y5776</f>
        <v>0.6349950000000001</v>
      </c>
    </row>
    <row r="5777">
      <c r="A5777" t="str">
        <f>A5755</f>
        <v>Lantai 3</v>
      </c>
      <c r="B5777">
        <f>B5755</f>
        <v>50</v>
      </c>
      <c r="C5777" t="str">
        <v>Sengkang Tumpuan</v>
      </c>
      <c r="D5777">
        <f>VLOOKUP(D5755,'Detail Balok'!$C$10:$AU$140,41,FALSE)</f>
        <v>0</v>
      </c>
      <c r="E5777" t="str">
        <v>D</v>
      </c>
      <c r="F5777">
        <f>VLOOKUP(D5755,'Detail Balok'!$C$10:$AU$140,43,FALSE)</f>
        <v>10</v>
      </c>
      <c r="G5777" t="str">
        <v>-</v>
      </c>
      <c r="H5777">
        <f>VLOOKUP(D5755,'Detail Balok'!$C$10:$AU$140,45,FALSE)</f>
        <v>100</v>
      </c>
      <c r="J5777">
        <f>(IF(D5777=0,(2*(D5756+G5756))-(F$5*8),IF(D5777=3,(2*(D5756+G5756))-(F$5*8)+(G5756-2*F$5),IF(D5777=4,(2*(D5756+G5756))-(F$5*8)+2*(G5756-2*F$5)))))/1000</f>
        <v>0.88</v>
      </c>
      <c r="K5777" t="str">
        <v>+</v>
      </c>
      <c r="L5777">
        <f>IF(D5777=0,2*MAX(6*F5777,75),(D5777-1)*2*MAX(6*F5777,75))/1000</f>
        <v>0.15</v>
      </c>
      <c r="M5777" t="str">
        <v>=</v>
      </c>
      <c r="N5777">
        <f>J5777+L5777</f>
        <v>1.03</v>
      </c>
      <c r="T5777" t="str">
        <v>x</v>
      </c>
      <c r="U5777">
        <f>0.006165*F5777^2</f>
        <v>0.6165</v>
      </c>
      <c r="V5777" t="str">
        <v>x</v>
      </c>
      <c r="W5777">
        <f>IF(D5758&gt;4*G5756,ROUND(MAX(D5758/4,2*G5756)/H5777,0)+1,0)</f>
        <v>9</v>
      </c>
      <c r="X5777" t="str">
        <v>x</v>
      </c>
      <c r="Y5777">
        <f>D5761</f>
        <v>1</v>
      </c>
      <c r="Z5777" t="str">
        <v>=</v>
      </c>
      <c r="AA5777">
        <f>N5777*U5777*W5777*Y5777</f>
        <v>5.714955000000001</v>
      </c>
    </row>
    <row r="5779">
      <c r="A5779" t="str">
        <f>A5755</f>
        <v>Lantai 3</v>
      </c>
      <c r="B5779">
        <f>B5755</f>
        <v>50</v>
      </c>
      <c r="C5779" t="str">
        <v>Kait Horizontal Tump.</v>
      </c>
      <c r="D5779">
        <f>VLOOKUP(D5755,'Detail Balok'!$C$10:$BJ$140,46,FALSE)</f>
        <v>0</v>
      </c>
      <c r="E5779" t="str">
        <v>D</v>
      </c>
      <c r="F5779">
        <f>VLOOKUP(D5755,'Detail Balok'!$C$10:$BJ$140,48,FALSE)</f>
        <v>0</v>
      </c>
      <c r="G5779" t="str">
        <v>-</v>
      </c>
      <c r="H5779">
        <f>VLOOKUP(D5755,'Detail Balok'!$C$10:$BJ$140,50,FALSE)</f>
        <v>100</v>
      </c>
      <c r="J5779">
        <f>(D5756-2*F$5)/1000</f>
        <v>0.12</v>
      </c>
      <c r="K5779" t="str">
        <v>+</v>
      </c>
      <c r="L5779">
        <f>IF(D5779=0,2*MAX(6*F5779,75),(D5779-1)*2*MAX(6*F5779,75))/1000</f>
        <v>0.15</v>
      </c>
      <c r="M5779" t="str">
        <v>=</v>
      </c>
      <c r="N5779">
        <f>J5779+L5779</f>
        <v>0.27</v>
      </c>
      <c r="T5779" t="str">
        <v>x</v>
      </c>
      <c r="U5779">
        <f>0.006165*F5779^2</f>
        <v>0</v>
      </c>
      <c r="V5779" t="str">
        <v>x</v>
      </c>
      <c r="W5779">
        <f>W5775</f>
        <v>9</v>
      </c>
      <c r="X5779" t="str">
        <v>x</v>
      </c>
      <c r="Y5779">
        <f>D5765</f>
        <v>3</v>
      </c>
      <c r="Z5779" t="str">
        <v>=</v>
      </c>
      <c r="AA5779">
        <f>N5779*U5779*W5779*Y5779</f>
        <v>0</v>
      </c>
    </row>
    <row r="5780">
      <c r="A5780" t="str">
        <f>A5755</f>
        <v>Lantai 3</v>
      </c>
      <c r="B5780">
        <f>B5755</f>
        <v>50</v>
      </c>
      <c r="C5780" t="str">
        <v>Kait Horizontal Lap.</v>
      </c>
      <c r="D5780">
        <f>VLOOKUP(D5755,'Detail Balok'!$C$10:$BJ$140,51,FALSE)</f>
        <v>0</v>
      </c>
      <c r="E5780" t="str">
        <v>D</v>
      </c>
      <c r="F5780">
        <f>VLOOKUP(D5755,'Detail Balok'!$C$10:$BJ$140,53,FALSE)</f>
        <v>0</v>
      </c>
      <c r="G5780" t="str">
        <v>-</v>
      </c>
      <c r="H5780">
        <f>VLOOKUP(D5755,'Detail Balok'!$C$10:$BJ$140,55,FALSE)</f>
        <v>100</v>
      </c>
      <c r="J5780">
        <f>(D5756-2*F$5)/1000</f>
        <v>0.12</v>
      </c>
      <c r="K5780" t="str">
        <v>+</v>
      </c>
      <c r="L5780">
        <f>IF(D5780=0,2*MAX(6*F5780,75),(D5780-1)*2*MAX(6*F5780,75))/1000</f>
        <v>0.15</v>
      </c>
      <c r="M5780" t="str">
        <v>=</v>
      </c>
      <c r="N5780">
        <f>J5780+L5780</f>
        <v>0.27</v>
      </c>
      <c r="T5780" t="str">
        <v>x</v>
      </c>
      <c r="U5780">
        <f>0.006165*F5780^2</f>
        <v>0</v>
      </c>
      <c r="V5780" t="str">
        <v>x</v>
      </c>
      <c r="W5780">
        <f>W5776</f>
        <v>1</v>
      </c>
      <c r="X5780" t="str">
        <v>x</v>
      </c>
      <c r="Y5780">
        <f>D5765</f>
        <v>3</v>
      </c>
      <c r="Z5780" t="str">
        <v>=</v>
      </c>
      <c r="AA5780">
        <f>N5780*U5780*W5780*Y5780</f>
        <v>0</v>
      </c>
    </row>
    <row r="5781">
      <c r="A5781" t="str">
        <f>A5755</f>
        <v>Lantai 3</v>
      </c>
      <c r="B5781">
        <f>B5755</f>
        <v>50</v>
      </c>
      <c r="C5781" t="str">
        <v>Kait Horizontal Tump.</v>
      </c>
      <c r="D5781">
        <f>VLOOKUP(D5755,'Detail Balok'!$C$10:$BJ$140,56,FALSE)</f>
        <v>0</v>
      </c>
      <c r="E5781" t="str">
        <v>D</v>
      </c>
      <c r="F5781">
        <f>VLOOKUP(D5755,'Detail Balok'!$C$10:$BJ$140,58,FALSE)</f>
        <v>0</v>
      </c>
      <c r="G5781" t="str">
        <v>-</v>
      </c>
      <c r="H5781">
        <f>VLOOKUP(D5755,'Detail Balok'!$C$10:$BJ$140,60,FALSE)</f>
        <v>100</v>
      </c>
      <c r="J5781">
        <f>(D5756-2*F$5)/1000</f>
        <v>0.12</v>
      </c>
      <c r="K5781" t="str">
        <v>+</v>
      </c>
      <c r="L5781">
        <f>IF(D5781=0,2*MAX(6*F5781,75),(D5781-1)*2*MAX(6*F5781,75))/1000</f>
        <v>0.15</v>
      </c>
      <c r="M5781" t="str">
        <v>=</v>
      </c>
      <c r="N5781">
        <f>J5781+L5781</f>
        <v>0.27</v>
      </c>
      <c r="T5781" t="str">
        <v>x</v>
      </c>
      <c r="U5781">
        <f>0.006165*F5781^2</f>
        <v>0</v>
      </c>
      <c r="V5781" t="str">
        <v>x</v>
      </c>
      <c r="W5781">
        <f>W5777</f>
        <v>9</v>
      </c>
      <c r="X5781" t="str">
        <v>x</v>
      </c>
      <c r="Y5781">
        <f>D5765</f>
        <v>3</v>
      </c>
      <c r="Z5781" t="str">
        <v>=</v>
      </c>
      <c r="AA5781">
        <f>N5781*U5781*W5781*Y5781</f>
        <v>0</v>
      </c>
    </row>
    <row r="5785">
      <c r="A5785" t="str">
        <f>A5755</f>
        <v>Lantai 3</v>
      </c>
      <c r="B5785">
        <f>B5755+1</f>
        <v>51</v>
      </c>
      <c r="C5785" t="str">
        <f>CONCATENATE(A5785," no. ",B5785)</f>
        <v>Lantai 3 no. 51</v>
      </c>
      <c r="D5785" t="str">
        <f>VLOOKUP(C5785,'Data Panjang Balok'!$C$9:$N$254,2,FALSE)</f>
        <v>CL24-1</v>
      </c>
    </row>
    <row r="5786">
      <c r="C5786" t="str">
        <v>Dimensi</v>
      </c>
      <c r="D5786">
        <f>VLOOKUP(D5785,'Detail Balok'!$C$10:$AU$140,2,FALSE)</f>
        <v>200</v>
      </c>
      <c r="F5786" t="str">
        <v>x</v>
      </c>
      <c r="G5786">
        <f>VLOOKUP(D5785,'Detail Balok'!$C$10:$AU$140,3,FALSE)</f>
        <v>400</v>
      </c>
    </row>
    <row r="5787">
      <c r="C5787" t="str">
        <v>Panjang as ke as</v>
      </c>
      <c r="D5787">
        <f>VLOOKUP(C5785,'Data Panjang Balok'!$C$9:$N$254,4,FALSE)</f>
        <v>925</v>
      </c>
    </row>
    <row r="5788">
      <c r="C5788" t="str">
        <v>Panjang netto</v>
      </c>
      <c r="D5788">
        <f>VLOOKUP(C5785,'Data Panjang Balok'!$C$9:$N$254,7,FALSE)</f>
        <v>925</v>
      </c>
    </row>
    <row r="5789">
      <c r="C5789" t="str">
        <v>Kolom / balok kiri</v>
      </c>
      <c r="D5789">
        <f>VLOOKUP(C5785,'Data Panjang Balok'!$C$9:$N$254,9,FALSE)</f>
        <v>0</v>
      </c>
    </row>
    <row r="5790">
      <c r="C5790" t="str">
        <v>Kolom / balok kanan</v>
      </c>
      <c r="D5790">
        <f>VLOOKUP(C5785,'Data Panjang Balok'!$C$9:$N$254,10,FALSE)</f>
        <v>0</v>
      </c>
    </row>
    <row r="5791">
      <c r="C5791" t="str">
        <v>Jumlah</v>
      </c>
      <c r="D5791">
        <f>VLOOKUP(C5785,'Data Panjang Balok'!$C$9:$N$254,3,FALSE)</f>
        <v>1</v>
      </c>
    </row>
    <row r="5792">
      <c r="A5792" t="str">
        <f>A5785</f>
        <v>Lantai 3</v>
      </c>
      <c r="B5792">
        <f>B5785</f>
        <v>51</v>
      </c>
      <c r="C5792" t="str">
        <v>Tul Atas Tumpuan</v>
      </c>
      <c r="D5792">
        <f>VLOOKUP(D5785,'Detail Balok'!$C$10:$AU$140,4,FALSE)</f>
        <v>3</v>
      </c>
      <c r="E5792" t="str">
        <v>D</v>
      </c>
      <c r="F5792">
        <f>VLOOKUP(D5785,'Detail Balok'!$C$10:$AU$140,6,FALSE)</f>
        <v>16</v>
      </c>
      <c r="I5792" t="str">
        <v>(</v>
      </c>
      <c r="J5792">
        <f>+D5787/4/1000</f>
        <v>0.23125</v>
      </c>
      <c r="K5792" t="str">
        <v>+</v>
      </c>
      <c r="L5792">
        <f>MAX(VLOOKUP(F5792,N$6:P$15,3,FALSE)/1000,2/3*D5789/1000)+F$16*F5792/1000</f>
        <v>0.192</v>
      </c>
      <c r="M5792" t="str">
        <v>=</v>
      </c>
      <c r="N5792">
        <f>J5792+L5792</f>
        <v>0.42325</v>
      </c>
      <c r="O5792" t="str">
        <v>+</v>
      </c>
      <c r="P5792">
        <f>D5792-D5793</f>
        <v>0</v>
      </c>
      <c r="Q5792" t="str">
        <v>x</v>
      </c>
      <c r="R5792">
        <f>IF(P5792&gt;0,$F$18*F5792/1000,0)</f>
        <v>0</v>
      </c>
      <c r="S5792" t="str">
        <v>)</v>
      </c>
      <c r="T5792" t="str">
        <v>x</v>
      </c>
      <c r="U5792">
        <f>0.006165*F5792^2</f>
        <v>1.57824</v>
      </c>
      <c r="X5792" t="str">
        <v>x</v>
      </c>
      <c r="Y5792">
        <f>D5791</f>
        <v>1</v>
      </c>
      <c r="Z5792" t="str">
        <v>=</v>
      </c>
      <c r="AA5792">
        <f>IF(AA5795=0,(D5792*N5792+P5792*R5792)*U5792*Y5792,0)</f>
        <v>0</v>
      </c>
    </row>
    <row r="5793">
      <c r="A5793" t="str">
        <f>A5785</f>
        <v>Lantai 3</v>
      </c>
      <c r="B5793">
        <f>B5785</f>
        <v>51</v>
      </c>
      <c r="C5793" t="str">
        <v>Tul Atas Lapangan</v>
      </c>
      <c r="D5793">
        <f>VLOOKUP(D5785,'Detail Balok'!$C$10:$AU$140,7,FALSE)</f>
        <v>3</v>
      </c>
      <c r="E5793" t="str">
        <v>D</v>
      </c>
      <c r="F5793">
        <f>VLOOKUP(D5785,'Detail Balok'!$C$10:$AU$140,9,FALSE)</f>
        <v>16</v>
      </c>
      <c r="I5793" t="str">
        <v>(</v>
      </c>
      <c r="J5793">
        <f>+D5787/2/1000</f>
        <v>0.4625</v>
      </c>
      <c r="K5793" t="str">
        <v>+</v>
      </c>
      <c r="M5793" t="str">
        <v>=</v>
      </c>
      <c r="N5793">
        <f>J5793+L5793</f>
        <v>0.4625</v>
      </c>
      <c r="O5793" t="str">
        <v>+</v>
      </c>
      <c r="P5793">
        <f>MAX(D5793-D5792,D5793-D5794)</f>
        <v>0</v>
      </c>
      <c r="Q5793" t="str">
        <v>x</v>
      </c>
      <c r="R5793">
        <f>IF(P5793&gt;0,2*(1-2*$F$19-1/2)*D5788/1000,0)</f>
        <v>0</v>
      </c>
      <c r="S5793" t="str">
        <v>)</v>
      </c>
      <c r="T5793" t="str">
        <v>x</v>
      </c>
      <c r="U5793">
        <f>0.006165*F5793^2</f>
        <v>1.57824</v>
      </c>
      <c r="X5793" t="str">
        <v>x</v>
      </c>
      <c r="Y5793">
        <f>D5791</f>
        <v>1</v>
      </c>
      <c r="Z5793" t="str">
        <v>=</v>
      </c>
      <c r="AA5793">
        <f>IF(AA5795=0,(D5793*N5793+P5793*R5793)*U5793*Y5793,0)</f>
        <v>0</v>
      </c>
    </row>
    <row r="5794">
      <c r="A5794" t="str">
        <f>A5785</f>
        <v>Lantai 3</v>
      </c>
      <c r="B5794">
        <f>B5785</f>
        <v>51</v>
      </c>
      <c r="C5794" t="str">
        <v>Tul Atas Tumpuan</v>
      </c>
      <c r="D5794">
        <f>VLOOKUP(D5785,'Detail Balok'!$C$10:$AU$140,10,FALSE)</f>
        <v>3</v>
      </c>
      <c r="E5794" t="str">
        <v>D</v>
      </c>
      <c r="F5794">
        <f>VLOOKUP(D5785,'Detail Balok'!$C$10:$AU$140,12,FALSE)</f>
        <v>16</v>
      </c>
      <c r="I5794" t="str">
        <v>(</v>
      </c>
      <c r="J5794">
        <f>+D5787/4/1000</f>
        <v>0.23125</v>
      </c>
      <c r="K5794" t="str">
        <v>+</v>
      </c>
      <c r="L5794">
        <f>MAX(VLOOKUP(F5794,N$6:P$15,3,FALSE)/1000,2/3*D5789/1000)+F$16*F5794/1000</f>
        <v>0.192</v>
      </c>
      <c r="M5794" t="str">
        <v>=</v>
      </c>
      <c r="N5794">
        <f>J5794+L5794</f>
        <v>0.42325</v>
      </c>
      <c r="O5794" t="str">
        <v>+</v>
      </c>
      <c r="P5794">
        <f>D5794-D5793</f>
        <v>0</v>
      </c>
      <c r="Q5794" t="str">
        <v>x</v>
      </c>
      <c r="R5794">
        <f>IF(P5794&gt;0,$F$18*F5794/1000,0)</f>
        <v>0</v>
      </c>
      <c r="S5794" t="str">
        <v>)</v>
      </c>
      <c r="T5794" t="str">
        <v>x</v>
      </c>
      <c r="U5794">
        <f>0.006165*F5794^2</f>
        <v>1.57824</v>
      </c>
      <c r="X5794" t="str">
        <v>x</v>
      </c>
      <c r="Y5794">
        <f>D5791</f>
        <v>1</v>
      </c>
      <c r="Z5794" t="str">
        <v>=</v>
      </c>
      <c r="AA5794">
        <f>IF(AA5795=0,(D5794*N5794+P5794*R5794)*U5794*Y5794,0)</f>
        <v>0</v>
      </c>
    </row>
    <row r="5795">
      <c r="A5795" t="str">
        <f>A5785</f>
        <v>Lantai 3</v>
      </c>
      <c r="B5795">
        <f>B5785</f>
        <v>51</v>
      </c>
      <c r="D5795">
        <f>IF(AND(D5792=D5793,D5793=D5794,D5792=D5794),D5792,0)</f>
        <v>3</v>
      </c>
      <c r="E5795" t="str">
        <v>D</v>
      </c>
      <c r="F5795">
        <f>IF(AND(F5792=F5793,F5792=F5794,F5793=F5794),F5792,0)</f>
        <v>16</v>
      </c>
      <c r="L5795" t="str">
        <v>Total panjang per balok</v>
      </c>
      <c r="M5795" t="str">
        <v>=</v>
      </c>
      <c r="N5795">
        <f>IF(AND(D5792=D5793,D5792=D5794,D5793=D5794,F5792=F5793,F5792=F5794,F5793=F5794),SUM(N5792:N5794),0)</f>
        <v>1.3090000000000002</v>
      </c>
      <c r="O5795" t="str">
        <v>+</v>
      </c>
      <c r="P5795">
        <f>IF(N5795&gt;12,ROUNDDOWN(N5795/12,0),0)</f>
        <v>0</v>
      </c>
      <c r="Q5795" t="str">
        <v>x</v>
      </c>
      <c r="R5795">
        <f>IF(P5795&gt;0,MAX(VLOOKUP(F5795,$D$6:$G$15,3,FALSE),600),0)/1000</f>
        <v>0</v>
      </c>
      <c r="T5795" t="str">
        <v>x</v>
      </c>
      <c r="U5795">
        <f>U5794</f>
        <v>1.57824</v>
      </c>
      <c r="V5795" t="str">
        <v>x</v>
      </c>
      <c r="W5795">
        <f>D5795</f>
        <v>3</v>
      </c>
      <c r="X5795" t="str">
        <v>x</v>
      </c>
      <c r="Y5795">
        <f>Y5794</f>
        <v>1</v>
      </c>
      <c r="Z5795" t="str">
        <v>=</v>
      </c>
      <c r="AA5795">
        <f>(N5795+P5795*R5795/1000)*U5795*W5795*Y5795</f>
        <v>6.197748480000001</v>
      </c>
    </row>
    <row r="5797">
      <c r="A5797" t="str">
        <f>A5785</f>
        <v>Lantai 3</v>
      </c>
      <c r="B5797">
        <f>B5785</f>
        <v>51</v>
      </c>
      <c r="C5797" t="str">
        <v>Tul Peminggang</v>
      </c>
      <c r="D5797">
        <f>VLOOKUP(D5785,'Detail Balok'!$C$10:$AU$140,13,FALSE)</f>
        <v>0</v>
      </c>
      <c r="E5797" t="str">
        <v>D</v>
      </c>
      <c r="F5797">
        <f>VLOOKUP(D5785,'Detail Balok'!$C$10:$AU$140,15,FALSE)</f>
        <v>8</v>
      </c>
      <c r="J5797">
        <f>+D5787/1000</f>
        <v>0.925</v>
      </c>
      <c r="K5797" t="str">
        <v>+</v>
      </c>
      <c r="L5797">
        <f>2*$F$16*F5797/1000</f>
        <v>0.192</v>
      </c>
      <c r="M5797" t="str">
        <v>=</v>
      </c>
      <c r="N5797">
        <f>J5797+L5797</f>
        <v>1.117</v>
      </c>
      <c r="O5797" t="str">
        <v>+</v>
      </c>
      <c r="P5797">
        <f>IF(N5797&gt;12,ROUNDDOWN(N5797/12,0),0)</f>
        <v>0</v>
      </c>
      <c r="Q5797" t="str">
        <v>x</v>
      </c>
      <c r="R5797">
        <f>IF(P5797&gt;0,MAX(VLOOKUP(F5797,$D$6:$G$15,3,FALSE),600),0)/1000</f>
        <v>0</v>
      </c>
      <c r="T5797" t="str">
        <v>x</v>
      </c>
      <c r="U5797">
        <f>0.006165*F5797^2</f>
        <v>0.39456</v>
      </c>
      <c r="V5797" t="str">
        <v>x</v>
      </c>
      <c r="W5797">
        <f>+D5797</f>
        <v>0</v>
      </c>
      <c r="X5797" t="str">
        <v>x</v>
      </c>
      <c r="Y5797">
        <f>D5791</f>
        <v>1</v>
      </c>
      <c r="Z5797" t="str">
        <v>=</v>
      </c>
      <c r="AA5797">
        <f>(N5797+P5797*R5797/1000)*U5797*W5797*Y5797</f>
        <v>0</v>
      </c>
    </row>
    <row r="5800">
      <c r="A5800" t="str">
        <f>A5785</f>
        <v>Lantai 3</v>
      </c>
      <c r="B5800">
        <f>B5785</f>
        <v>51</v>
      </c>
      <c r="C5800" t="str">
        <v>Tul Bawah Tumpuan</v>
      </c>
      <c r="D5800">
        <f>VLOOKUP(D5785,'Detail Balok'!$C$10:$AU$140,22,FALSE)</f>
        <v>3</v>
      </c>
      <c r="E5800" t="str">
        <v>D</v>
      </c>
      <c r="F5800">
        <f>VLOOKUP(D5785,'Detail Balok'!$C$10:$AU$140,24,FALSE)</f>
        <v>16</v>
      </c>
      <c r="I5800" t="str">
        <v>(</v>
      </c>
      <c r="J5800">
        <f>+J5792</f>
        <v>0.23125</v>
      </c>
      <c r="K5800" t="str">
        <v>+</v>
      </c>
      <c r="L5800">
        <f>MAX(VLOOKUP(F5800,N$6:P$15,3,FALSE)/1000,2/3*D5790/1000)+F$16*F5800/1000</f>
        <v>0.192</v>
      </c>
      <c r="M5800" t="str">
        <v>=</v>
      </c>
      <c r="N5800">
        <f>J5800+L5800</f>
        <v>0.42325</v>
      </c>
      <c r="O5800" t="str">
        <v>+</v>
      </c>
      <c r="P5800">
        <f>D5800-D5801</f>
        <v>0</v>
      </c>
      <c r="Q5800" t="str">
        <v>x</v>
      </c>
      <c r="R5800">
        <f>IF(P5800&gt;0,$F$18*F5800/1000,0)</f>
        <v>0</v>
      </c>
      <c r="S5800" t="str">
        <v>)</v>
      </c>
      <c r="T5800" t="str">
        <v>x</v>
      </c>
      <c r="U5800">
        <f>0.006165*F5800^2</f>
        <v>1.57824</v>
      </c>
      <c r="X5800" t="str">
        <v>x</v>
      </c>
      <c r="Y5800">
        <f>D5791</f>
        <v>1</v>
      </c>
      <c r="Z5800" t="str">
        <v>=</v>
      </c>
      <c r="AA5800">
        <f>IF(AA5803=0,(D5800*N5800+P5800*R5800)*U5800*Y5800,0)</f>
        <v>0</v>
      </c>
    </row>
    <row r="5801">
      <c r="A5801" t="str">
        <f>A5785</f>
        <v>Lantai 3</v>
      </c>
      <c r="B5801">
        <f>B5785</f>
        <v>51</v>
      </c>
      <c r="C5801" t="str">
        <v>Tul Bawah Lapangan</v>
      </c>
      <c r="D5801">
        <f>VLOOKUP(D5785,'Detail Balok'!$C$10:$AU$140,25,FALSE)</f>
        <v>3</v>
      </c>
      <c r="E5801" t="str">
        <v>D</v>
      </c>
      <c r="F5801">
        <f>VLOOKUP(D5785,'Detail Balok'!$C$10:$AU$140,27,FALSE)</f>
        <v>16</v>
      </c>
      <c r="I5801" t="str">
        <v>(</v>
      </c>
      <c r="J5801">
        <f>+J5793</f>
        <v>0.4625</v>
      </c>
      <c r="K5801" t="str">
        <v>+</v>
      </c>
      <c r="M5801" t="str">
        <v>=</v>
      </c>
      <c r="N5801">
        <f>J5801+L5801</f>
        <v>0.4625</v>
      </c>
      <c r="O5801" t="str">
        <v>+</v>
      </c>
      <c r="P5801">
        <f>MAX(D5801-D5800,D5801-D5802)</f>
        <v>0</v>
      </c>
      <c r="Q5801" t="str">
        <v>x</v>
      </c>
      <c r="R5801">
        <f>IF(P5801&gt;0,2*(1-2*$F$19-1/2)*D5788/1000,0)</f>
        <v>0</v>
      </c>
      <c r="S5801" t="str">
        <v>)</v>
      </c>
      <c r="T5801" t="str">
        <v>x</v>
      </c>
      <c r="U5801">
        <f>0.006165*F5801^2</f>
        <v>1.57824</v>
      </c>
      <c r="X5801" t="str">
        <v>x</v>
      </c>
      <c r="Y5801">
        <f>D5791</f>
        <v>1</v>
      </c>
      <c r="Z5801" t="str">
        <v>=</v>
      </c>
      <c r="AA5801">
        <f>IF(AA5803=0,(D5801*N5801+P5801*R5801)*U5801*Y5801,0)</f>
        <v>0</v>
      </c>
    </row>
    <row r="5802">
      <c r="A5802" t="str">
        <f>A5785</f>
        <v>Lantai 3</v>
      </c>
      <c r="B5802">
        <f>B5785</f>
        <v>51</v>
      </c>
      <c r="C5802" t="str">
        <v>Tul Bawah Tumpuan</v>
      </c>
      <c r="D5802">
        <f>VLOOKUP(D5785,'Detail Balok'!$C$10:$AU$140,28,FALSE)</f>
        <v>3</v>
      </c>
      <c r="E5802" t="str">
        <v>D</v>
      </c>
      <c r="F5802">
        <f>VLOOKUP(D5785,'Detail Balok'!$C$10:$AU$140,30,FALSE)</f>
        <v>16</v>
      </c>
      <c r="I5802" t="str">
        <v>(</v>
      </c>
      <c r="J5802">
        <f>+J5794</f>
        <v>0.23125</v>
      </c>
      <c r="K5802" t="str">
        <v>+</v>
      </c>
      <c r="L5802">
        <f>MAX(VLOOKUP(F5802,N$6:P$15,3,FALSE)/1000,2/3*D5790/1000)+F$16*F5802/1000</f>
        <v>0.192</v>
      </c>
      <c r="M5802" t="str">
        <v>=</v>
      </c>
      <c r="N5802">
        <f>J5802+L5802</f>
        <v>0.42325</v>
      </c>
      <c r="O5802" t="str">
        <v>+</v>
      </c>
      <c r="P5802">
        <f>D5802-D5801</f>
        <v>0</v>
      </c>
      <c r="Q5802" t="str">
        <v>x</v>
      </c>
      <c r="R5802">
        <f>IF(P5802&gt;0,$F$18*F5802/1000,0)</f>
        <v>0</v>
      </c>
      <c r="S5802" t="str">
        <v>)</v>
      </c>
      <c r="T5802" t="str">
        <v>x</v>
      </c>
      <c r="U5802">
        <f>0.006165*F5802^2</f>
        <v>1.57824</v>
      </c>
      <c r="X5802" t="str">
        <v>x</v>
      </c>
      <c r="Y5802">
        <f>D5791</f>
        <v>1</v>
      </c>
      <c r="Z5802" t="str">
        <v>=</v>
      </c>
      <c r="AA5802">
        <f>IF(AA5803=0,(D5802*N5802+P5802*R5802)*U5802*Y5802,0)</f>
        <v>0</v>
      </c>
    </row>
    <row r="5803">
      <c r="A5803" t="str">
        <f>A5785</f>
        <v>Lantai 3</v>
      </c>
      <c r="B5803">
        <f>B5785</f>
        <v>51</v>
      </c>
      <c r="D5803">
        <f>IF(AND(D5800=D5801,D5801=D5802,D5800=D5802),D5800,0)</f>
        <v>3</v>
      </c>
      <c r="E5803" t="str">
        <v>D</v>
      </c>
      <c r="F5803">
        <f>IF(AND(F5800=F5801,F5800=F5802,F5801=F5802),F5800,0)</f>
        <v>16</v>
      </c>
      <c r="L5803" t="str">
        <v>Total panjang per balok</v>
      </c>
      <c r="M5803" t="str">
        <v>=</v>
      </c>
      <c r="N5803">
        <f>IF(AND(D5800=D5801,D5800=D5802,D5801=D5802,F5800=F5801,F5800=F5802,F5801=F5802),SUM(N5800:N5802),0)</f>
        <v>1.3090000000000002</v>
      </c>
      <c r="O5803" t="str">
        <v>+</v>
      </c>
      <c r="P5803">
        <f>IF(N5803&gt;12,ROUNDDOWN(N5803/12,0),0)</f>
        <v>0</v>
      </c>
      <c r="Q5803" t="str">
        <v>x</v>
      </c>
      <c r="R5803">
        <f>IF(P5803&gt;0,MAX(VLOOKUP(F5803,$D$6:$G$15,3,FALSE),600),0)/1000</f>
        <v>0</v>
      </c>
      <c r="T5803" t="str">
        <v>x</v>
      </c>
      <c r="U5803">
        <f>U5802</f>
        <v>1.57824</v>
      </c>
      <c r="V5803" t="str">
        <v>x</v>
      </c>
      <c r="W5803">
        <f>D5803</f>
        <v>3</v>
      </c>
      <c r="X5803" t="str">
        <v>x</v>
      </c>
      <c r="Y5803">
        <f>Y5802</f>
        <v>1</v>
      </c>
      <c r="Z5803" t="str">
        <v>=</v>
      </c>
      <c r="AA5803">
        <f>(N5803+P5803*R5803/1000)*U5803*W5803*Y5803</f>
        <v>6.197748480000001</v>
      </c>
    </row>
    <row r="5805">
      <c r="A5805" t="str">
        <f>A5785</f>
        <v>Lantai 3</v>
      </c>
      <c r="B5805">
        <f>B5785</f>
        <v>51</v>
      </c>
      <c r="C5805" t="str">
        <v>Sengkang Tumpuan</v>
      </c>
      <c r="D5805">
        <f>VLOOKUP(D5785,'Detail Balok'!$C$10:$AU$140,31,FALSE)</f>
        <v>0</v>
      </c>
      <c r="E5805" t="str">
        <v>D</v>
      </c>
      <c r="F5805">
        <f>VLOOKUP(D5785,'Detail Balok'!$C$10:$AU$140,33,FALSE)</f>
        <v>10</v>
      </c>
      <c r="G5805" t="str">
        <v>-</v>
      </c>
      <c r="H5805">
        <f>VLOOKUP(D5785,'Detail Balok'!$C$10:$AU$140,35,FALSE)</f>
        <v>100</v>
      </c>
      <c r="J5805">
        <f>(IF(D5805=0,(2*(D5786+G5786))-(F$5*8),IF(D5805=3,(2*(D5786+G5786))-(F$5*8)+(G5786-2*F$5),IF(D5805=4,(2*(D5786+G5786))-(F$5*8)+2*(G5786-2*F$5)))))/1000</f>
        <v>0.88</v>
      </c>
      <c r="K5805" t="str">
        <v>+</v>
      </c>
      <c r="L5805">
        <f>IF(D5805=0,2*MAX(6*F5805,75),(D5805-1)*2*MAX(6*F5805,75))/1000</f>
        <v>0.15</v>
      </c>
      <c r="M5805" t="str">
        <v>=</v>
      </c>
      <c r="N5805">
        <f>J5805+L5805</f>
        <v>1.03</v>
      </c>
      <c r="T5805" t="str">
        <v>x</v>
      </c>
      <c r="U5805">
        <f>0.006165*F5805^2</f>
        <v>0.6165</v>
      </c>
      <c r="V5805" t="str">
        <v>x</v>
      </c>
      <c r="W5805">
        <f>IF(D5788&gt;4*G5786,ROUND(MAX(D5788/4,2*G5786)/H5805,0)+1,ROUND(D5788/H5805,0)+1)</f>
        <v>10</v>
      </c>
      <c r="X5805" t="str">
        <v>x</v>
      </c>
      <c r="Y5805">
        <f>D5791</f>
        <v>1</v>
      </c>
      <c r="Z5805" t="str">
        <v>=</v>
      </c>
      <c r="AA5805">
        <f>N5805*U5805*W5805*Y5805</f>
        <v>6.349950000000001</v>
      </c>
    </row>
    <row r="5806">
      <c r="A5806" t="str">
        <f>A5785</f>
        <v>Lantai 3</v>
      </c>
      <c r="B5806">
        <f>B5785</f>
        <v>51</v>
      </c>
      <c r="C5806" t="str">
        <v>Sengkang Lapangan</v>
      </c>
      <c r="D5806">
        <f>VLOOKUP(D5785,'Detail Balok'!$C$10:$AU$140,36,FALSE)</f>
        <v>0</v>
      </c>
      <c r="E5806" t="str">
        <v>D</v>
      </c>
      <c r="F5806">
        <f>VLOOKUP(D5785,'Detail Balok'!$C$10:$AU$140,38,FALSE)</f>
        <v>10</v>
      </c>
      <c r="G5806" t="str">
        <v>-</v>
      </c>
      <c r="H5806">
        <f>VLOOKUP(D5785,'Detail Balok'!$C$10:$AU$140,40,FALSE)</f>
        <v>100</v>
      </c>
      <c r="J5806">
        <f>(IF(D5806=0,(2*(D5786+G5786))-(F$5*8),IF(D5806=3,(2*(D5786+G5786))-(F$5*8)+(G5786-2*F$5),IF(D5806=4,(2*(D5786+G5786))-(F$5*8)+2*(G5786-2*F$5)))))/1000</f>
        <v>0.88</v>
      </c>
      <c r="K5806" t="str">
        <v>+</v>
      </c>
      <c r="L5806">
        <f>IF(D5806=0,2*MAX(6*F5806,75),(D5806-1)*2*MAX(6*F5806,75))/1000</f>
        <v>0.15</v>
      </c>
      <c r="M5806" t="str">
        <v>=</v>
      </c>
      <c r="N5806">
        <f>J5806+L5806</f>
        <v>1.03</v>
      </c>
      <c r="T5806" t="str">
        <v>x</v>
      </c>
      <c r="U5806">
        <f>0.006165*F5806^2</f>
        <v>0.6165</v>
      </c>
      <c r="V5806" t="str">
        <v>x</v>
      </c>
      <c r="W5806">
        <f>IF(D5788-MAX(D5788/4,2*G5786)*2&gt;0,ROUND((D5788-MAX(D5788/4,2*G5786)*2)/H5806,0),0)</f>
        <v>0</v>
      </c>
      <c r="X5806" t="str">
        <v>x</v>
      </c>
      <c r="Y5806">
        <f>D5791</f>
        <v>1</v>
      </c>
      <c r="Z5806" t="str">
        <v>=</v>
      </c>
      <c r="AA5806">
        <f>N5806*U5806*W5806*Y5806</f>
        <v>0</v>
      </c>
    </row>
    <row r="5807">
      <c r="A5807" t="str">
        <f>A5785</f>
        <v>Lantai 3</v>
      </c>
      <c r="B5807">
        <f>B5785</f>
        <v>51</v>
      </c>
      <c r="C5807" t="str">
        <v>Sengkang Tumpuan</v>
      </c>
      <c r="D5807">
        <f>VLOOKUP(D5785,'Detail Balok'!$C$10:$AU$140,41,FALSE)</f>
        <v>0</v>
      </c>
      <c r="E5807" t="str">
        <v>D</v>
      </c>
      <c r="F5807">
        <f>VLOOKUP(D5785,'Detail Balok'!$C$10:$AU$140,43,FALSE)</f>
        <v>10</v>
      </c>
      <c r="G5807" t="str">
        <v>-</v>
      </c>
      <c r="H5807">
        <f>VLOOKUP(D5785,'Detail Balok'!$C$10:$AU$140,45,FALSE)</f>
        <v>100</v>
      </c>
      <c r="J5807">
        <f>(IF(D5807=0,(2*(D5786+G5786))-(F$5*8),IF(D5807=3,(2*(D5786+G5786))-(F$5*8)+(G5786-2*F$5),IF(D5807=4,(2*(D5786+G5786))-(F$5*8)+2*(G5786-2*F$5)))))/1000</f>
        <v>0.88</v>
      </c>
      <c r="K5807" t="str">
        <v>+</v>
      </c>
      <c r="L5807">
        <f>IF(D5807=0,2*MAX(6*F5807,75),(D5807-1)*2*MAX(6*F5807,75))/1000</f>
        <v>0.15</v>
      </c>
      <c r="M5807" t="str">
        <v>=</v>
      </c>
      <c r="N5807">
        <f>J5807+L5807</f>
        <v>1.03</v>
      </c>
      <c r="T5807" t="str">
        <v>x</v>
      </c>
      <c r="U5807">
        <f>0.006165*F5807^2</f>
        <v>0.6165</v>
      </c>
      <c r="V5807" t="str">
        <v>x</v>
      </c>
      <c r="W5807">
        <f>IF(D5788&gt;4*G5786,ROUND(MAX(D5788/4,2*G5786)/H5807,0)+1,0)</f>
        <v>0</v>
      </c>
      <c r="X5807" t="str">
        <v>x</v>
      </c>
      <c r="Y5807">
        <f>D5791</f>
        <v>1</v>
      </c>
      <c r="Z5807" t="str">
        <v>=</v>
      </c>
      <c r="AA5807">
        <f>N5807*U5807*W5807*Y5807</f>
        <v>0</v>
      </c>
    </row>
    <row r="5809">
      <c r="A5809" t="str">
        <f>A5785</f>
        <v>Lantai 3</v>
      </c>
      <c r="B5809">
        <f>B5785</f>
        <v>51</v>
      </c>
      <c r="C5809" t="str">
        <v>Kait Horizontal Tump.</v>
      </c>
      <c r="D5809">
        <f>VLOOKUP(D5785,'Detail Balok'!$C$10:$BJ$140,46,FALSE)</f>
        <v>0</v>
      </c>
      <c r="E5809" t="str">
        <v>D</v>
      </c>
      <c r="F5809">
        <f>VLOOKUP(D5785,'Detail Balok'!$C$10:$BJ$140,48,FALSE)</f>
        <v>0</v>
      </c>
      <c r="G5809" t="str">
        <v>-</v>
      </c>
      <c r="H5809">
        <f>VLOOKUP(D5785,'Detail Balok'!$C$10:$BJ$140,50,FALSE)</f>
        <v>100</v>
      </c>
      <c r="J5809">
        <f>(D5786-2*F$5)/1000</f>
        <v>0.12</v>
      </c>
      <c r="K5809" t="str">
        <v>+</v>
      </c>
      <c r="L5809">
        <f>IF(D5809=0,2*MAX(6*F5809,75),(D5809-1)*2*MAX(6*F5809,75))/1000</f>
        <v>0.15</v>
      </c>
      <c r="M5809" t="str">
        <v>=</v>
      </c>
      <c r="N5809">
        <f>J5809+L5809</f>
        <v>0.27</v>
      </c>
      <c r="T5809" t="str">
        <v>x</v>
      </c>
      <c r="U5809">
        <f>0.006165*F5809^2</f>
        <v>0</v>
      </c>
      <c r="V5809" t="str">
        <v>x</v>
      </c>
      <c r="W5809">
        <f>W5805</f>
        <v>10</v>
      </c>
      <c r="X5809" t="str">
        <v>x</v>
      </c>
      <c r="Y5809">
        <f>D5795</f>
        <v>3</v>
      </c>
      <c r="Z5809" t="str">
        <v>=</v>
      </c>
      <c r="AA5809">
        <f>N5809*U5809*W5809*Y5809</f>
        <v>0</v>
      </c>
    </row>
    <row r="5810">
      <c r="A5810" t="str">
        <f>A5785</f>
        <v>Lantai 3</v>
      </c>
      <c r="B5810">
        <f>B5785</f>
        <v>51</v>
      </c>
      <c r="C5810" t="str">
        <v>Kait Horizontal Lap.</v>
      </c>
      <c r="D5810">
        <f>VLOOKUP(D5785,'Detail Balok'!$C$10:$BJ$140,51,FALSE)</f>
        <v>0</v>
      </c>
      <c r="E5810" t="str">
        <v>D</v>
      </c>
      <c r="F5810">
        <f>VLOOKUP(D5785,'Detail Balok'!$C$10:$BJ$140,53,FALSE)</f>
        <v>0</v>
      </c>
      <c r="G5810" t="str">
        <v>-</v>
      </c>
      <c r="H5810">
        <f>VLOOKUP(D5785,'Detail Balok'!$C$10:$BJ$140,55,FALSE)</f>
        <v>100</v>
      </c>
      <c r="J5810">
        <f>(D5786-2*F$5)/1000</f>
        <v>0.12</v>
      </c>
      <c r="K5810" t="str">
        <v>+</v>
      </c>
      <c r="L5810">
        <f>IF(D5810=0,2*MAX(6*F5810,75),(D5810-1)*2*MAX(6*F5810,75))/1000</f>
        <v>0.15</v>
      </c>
      <c r="M5810" t="str">
        <v>=</v>
      </c>
      <c r="N5810">
        <f>J5810+L5810</f>
        <v>0.27</v>
      </c>
      <c r="T5810" t="str">
        <v>x</v>
      </c>
      <c r="U5810">
        <f>0.006165*F5810^2</f>
        <v>0</v>
      </c>
      <c r="V5810" t="str">
        <v>x</v>
      </c>
      <c r="W5810">
        <f>W5806</f>
        <v>0</v>
      </c>
      <c r="X5810" t="str">
        <v>x</v>
      </c>
      <c r="Y5810">
        <f>D5795</f>
        <v>3</v>
      </c>
      <c r="Z5810" t="str">
        <v>=</v>
      </c>
      <c r="AA5810">
        <f>N5810*U5810*W5810*Y5810</f>
        <v>0</v>
      </c>
    </row>
    <row r="5811">
      <c r="A5811" t="str">
        <f>A5785</f>
        <v>Lantai 3</v>
      </c>
      <c r="B5811">
        <f>B5785</f>
        <v>51</v>
      </c>
      <c r="C5811" t="str">
        <v>Kait Horizontal Tump.</v>
      </c>
      <c r="D5811">
        <f>VLOOKUP(D5785,'Detail Balok'!$C$10:$BJ$140,56,FALSE)</f>
        <v>0</v>
      </c>
      <c r="E5811" t="str">
        <v>D</v>
      </c>
      <c r="F5811">
        <f>VLOOKUP(D5785,'Detail Balok'!$C$10:$BJ$140,58,FALSE)</f>
        <v>0</v>
      </c>
      <c r="G5811" t="str">
        <v>-</v>
      </c>
      <c r="H5811">
        <f>VLOOKUP(D5785,'Detail Balok'!$C$10:$BJ$140,60,FALSE)</f>
        <v>100</v>
      </c>
      <c r="J5811">
        <f>(D5786-2*F$5)/1000</f>
        <v>0.12</v>
      </c>
      <c r="K5811" t="str">
        <v>+</v>
      </c>
      <c r="L5811">
        <f>IF(D5811=0,2*MAX(6*F5811,75),(D5811-1)*2*MAX(6*F5811,75))/1000</f>
        <v>0.15</v>
      </c>
      <c r="M5811" t="str">
        <v>=</v>
      </c>
      <c r="N5811">
        <f>J5811+L5811</f>
        <v>0.27</v>
      </c>
      <c r="T5811" t="str">
        <v>x</v>
      </c>
      <c r="U5811">
        <f>0.006165*F5811^2</f>
        <v>0</v>
      </c>
      <c r="V5811" t="str">
        <v>x</v>
      </c>
      <c r="W5811">
        <f>W5807</f>
        <v>0</v>
      </c>
      <c r="X5811" t="str">
        <v>x</v>
      </c>
      <c r="Y5811">
        <f>D5795</f>
        <v>3</v>
      </c>
      <c r="Z5811" t="str">
        <v>=</v>
      </c>
      <c r="AA5811">
        <f>N5811*U5811*W5811*Y5811</f>
        <v>0</v>
      </c>
    </row>
    <row r="5815">
      <c r="A5815" t="str">
        <f>A5785</f>
        <v>Lantai 3</v>
      </c>
      <c r="B5815">
        <f>B5785+1</f>
        <v>52</v>
      </c>
      <c r="C5815" t="str">
        <f>CONCATENATE(A5815," no. ",B5815)</f>
        <v>Lantai 3 no. 52</v>
      </c>
      <c r="D5815" t="str">
        <f>VLOOKUP(C5815,'Data Panjang Balok'!$C$9:$N$254,2,FALSE)</f>
        <v>CL24-1</v>
      </c>
    </row>
    <row r="5816">
      <c r="C5816" t="str">
        <v>Dimensi</v>
      </c>
      <c r="D5816">
        <f>VLOOKUP(D5815,'Detail Balok'!$C$10:$AU$140,2,FALSE)</f>
        <v>200</v>
      </c>
      <c r="F5816" t="str">
        <v>x</v>
      </c>
      <c r="G5816">
        <f>VLOOKUP(D5815,'Detail Balok'!$C$10:$AU$140,3,FALSE)</f>
        <v>400</v>
      </c>
    </row>
    <row r="5817">
      <c r="C5817" t="str">
        <v>Panjang as ke as</v>
      </c>
      <c r="D5817">
        <f>VLOOKUP(C5815,'Data Panjang Balok'!$C$9:$N$254,4,FALSE)</f>
        <v>925</v>
      </c>
    </row>
    <row r="5818">
      <c r="C5818" t="str">
        <v>Panjang netto</v>
      </c>
      <c r="D5818">
        <f>VLOOKUP(C5815,'Data Panjang Balok'!$C$9:$N$254,7,FALSE)</f>
        <v>925</v>
      </c>
    </row>
    <row r="5819">
      <c r="C5819" t="str">
        <v>Kolom / balok kiri</v>
      </c>
      <c r="D5819">
        <f>VLOOKUP(C5815,'Data Panjang Balok'!$C$9:$N$254,9,FALSE)</f>
        <v>0</v>
      </c>
    </row>
    <row r="5820">
      <c r="C5820" t="str">
        <v>Kolom / balok kanan</v>
      </c>
      <c r="D5820">
        <f>VLOOKUP(C5815,'Data Panjang Balok'!$C$9:$N$254,10,FALSE)</f>
        <v>0</v>
      </c>
    </row>
    <row r="5821">
      <c r="C5821" t="str">
        <v>Jumlah</v>
      </c>
      <c r="D5821">
        <f>VLOOKUP(C5815,'Data Panjang Balok'!$C$9:$N$254,3,FALSE)</f>
        <v>1</v>
      </c>
    </row>
    <row r="5822">
      <c r="A5822" t="str">
        <f>A5815</f>
        <v>Lantai 3</v>
      </c>
      <c r="B5822">
        <f>B5815</f>
        <v>52</v>
      </c>
      <c r="C5822" t="str">
        <v>Tul Atas Tumpuan</v>
      </c>
      <c r="D5822">
        <f>VLOOKUP(D5815,'Detail Balok'!$C$10:$AU$140,4,FALSE)</f>
        <v>3</v>
      </c>
      <c r="E5822" t="str">
        <v>D</v>
      </c>
      <c r="F5822">
        <f>VLOOKUP(D5815,'Detail Balok'!$C$10:$AU$140,6,FALSE)</f>
        <v>16</v>
      </c>
      <c r="I5822" t="str">
        <v>(</v>
      </c>
      <c r="J5822">
        <f>+D5817/4/1000</f>
        <v>0.23125</v>
      </c>
      <c r="K5822" t="str">
        <v>+</v>
      </c>
      <c r="L5822">
        <f>MAX(VLOOKUP(F5822,N$6:P$15,3,FALSE)/1000,2/3*D5819/1000)+F$16*F5822/1000</f>
        <v>0.192</v>
      </c>
      <c r="M5822" t="str">
        <v>=</v>
      </c>
      <c r="N5822">
        <f>J5822+L5822</f>
        <v>0.42325</v>
      </c>
      <c r="O5822" t="str">
        <v>+</v>
      </c>
      <c r="P5822">
        <f>D5822-D5823</f>
        <v>0</v>
      </c>
      <c r="Q5822" t="str">
        <v>x</v>
      </c>
      <c r="R5822">
        <f>IF(P5822&gt;0,$F$18*F5822/1000,0)</f>
        <v>0</v>
      </c>
      <c r="S5822" t="str">
        <v>)</v>
      </c>
      <c r="T5822" t="str">
        <v>x</v>
      </c>
      <c r="U5822">
        <f>0.006165*F5822^2</f>
        <v>1.57824</v>
      </c>
      <c r="X5822" t="str">
        <v>x</v>
      </c>
      <c r="Y5822">
        <f>D5821</f>
        <v>1</v>
      </c>
      <c r="Z5822" t="str">
        <v>=</v>
      </c>
      <c r="AA5822">
        <f>IF(AA5825=0,(D5822*N5822+P5822*R5822)*U5822*Y5822,0)</f>
        <v>0</v>
      </c>
    </row>
    <row r="5823">
      <c r="A5823" t="str">
        <f>A5815</f>
        <v>Lantai 3</v>
      </c>
      <c r="B5823">
        <f>B5815</f>
        <v>52</v>
      </c>
      <c r="C5823" t="str">
        <v>Tul Atas Lapangan</v>
      </c>
      <c r="D5823">
        <f>VLOOKUP(D5815,'Detail Balok'!$C$10:$AU$140,7,FALSE)</f>
        <v>3</v>
      </c>
      <c r="E5823" t="str">
        <v>D</v>
      </c>
      <c r="F5823">
        <f>VLOOKUP(D5815,'Detail Balok'!$C$10:$AU$140,9,FALSE)</f>
        <v>16</v>
      </c>
      <c r="I5823" t="str">
        <v>(</v>
      </c>
      <c r="J5823">
        <f>+D5817/2/1000</f>
        <v>0.4625</v>
      </c>
      <c r="K5823" t="str">
        <v>+</v>
      </c>
      <c r="M5823" t="str">
        <v>=</v>
      </c>
      <c r="N5823">
        <f>J5823+L5823</f>
        <v>0.4625</v>
      </c>
      <c r="O5823" t="str">
        <v>+</v>
      </c>
      <c r="P5823">
        <f>MAX(D5823-D5822,D5823-D5824)</f>
        <v>0</v>
      </c>
      <c r="Q5823" t="str">
        <v>x</v>
      </c>
      <c r="R5823">
        <f>IF(P5823&gt;0,2*(1-2*$F$19-1/2)*D5818/1000,0)</f>
        <v>0</v>
      </c>
      <c r="S5823" t="str">
        <v>)</v>
      </c>
      <c r="T5823" t="str">
        <v>x</v>
      </c>
      <c r="U5823">
        <f>0.006165*F5823^2</f>
        <v>1.57824</v>
      </c>
      <c r="X5823" t="str">
        <v>x</v>
      </c>
      <c r="Y5823">
        <f>D5821</f>
        <v>1</v>
      </c>
      <c r="Z5823" t="str">
        <v>=</v>
      </c>
      <c r="AA5823">
        <f>IF(AA5825=0,(D5823*N5823+P5823*R5823)*U5823*Y5823,0)</f>
        <v>0</v>
      </c>
    </row>
    <row r="5824">
      <c r="A5824" t="str">
        <f>A5815</f>
        <v>Lantai 3</v>
      </c>
      <c r="B5824">
        <f>B5815</f>
        <v>52</v>
      </c>
      <c r="C5824" t="str">
        <v>Tul Atas Tumpuan</v>
      </c>
      <c r="D5824">
        <f>VLOOKUP(D5815,'Detail Balok'!$C$10:$AU$140,10,FALSE)</f>
        <v>3</v>
      </c>
      <c r="E5824" t="str">
        <v>D</v>
      </c>
      <c r="F5824">
        <f>VLOOKUP(D5815,'Detail Balok'!$C$10:$AU$140,12,FALSE)</f>
        <v>16</v>
      </c>
      <c r="I5824" t="str">
        <v>(</v>
      </c>
      <c r="J5824">
        <f>+D5817/4/1000</f>
        <v>0.23125</v>
      </c>
      <c r="K5824" t="str">
        <v>+</v>
      </c>
      <c r="L5824">
        <f>MAX(VLOOKUP(F5824,N$6:P$15,3,FALSE)/1000,2/3*D5819/1000)+F$16*F5824/1000</f>
        <v>0.192</v>
      </c>
      <c r="M5824" t="str">
        <v>=</v>
      </c>
      <c r="N5824">
        <f>J5824+L5824</f>
        <v>0.42325</v>
      </c>
      <c r="O5824" t="str">
        <v>+</v>
      </c>
      <c r="P5824">
        <f>D5824-D5823</f>
        <v>0</v>
      </c>
      <c r="Q5824" t="str">
        <v>x</v>
      </c>
      <c r="R5824">
        <f>IF(P5824&gt;0,$F$18*F5824/1000,0)</f>
        <v>0</v>
      </c>
      <c r="S5824" t="str">
        <v>)</v>
      </c>
      <c r="T5824" t="str">
        <v>x</v>
      </c>
      <c r="U5824">
        <f>0.006165*F5824^2</f>
        <v>1.57824</v>
      </c>
      <c r="X5824" t="str">
        <v>x</v>
      </c>
      <c r="Y5824">
        <f>D5821</f>
        <v>1</v>
      </c>
      <c r="Z5824" t="str">
        <v>=</v>
      </c>
      <c r="AA5824">
        <f>IF(AA5825=0,(D5824*N5824+P5824*R5824)*U5824*Y5824,0)</f>
        <v>0</v>
      </c>
    </row>
    <row r="5825">
      <c r="A5825" t="str">
        <f>A5815</f>
        <v>Lantai 3</v>
      </c>
      <c r="B5825">
        <f>B5815</f>
        <v>52</v>
      </c>
      <c r="D5825">
        <f>IF(AND(D5822=D5823,D5823=D5824,D5822=D5824),D5822,0)</f>
        <v>3</v>
      </c>
      <c r="E5825" t="str">
        <v>D</v>
      </c>
      <c r="F5825">
        <f>IF(AND(F5822=F5823,F5822=F5824,F5823=F5824),F5822,0)</f>
        <v>16</v>
      </c>
      <c r="L5825" t="str">
        <v>Total panjang per balok</v>
      </c>
      <c r="M5825" t="str">
        <v>=</v>
      </c>
      <c r="N5825">
        <f>IF(AND(D5822=D5823,D5822=D5824,D5823=D5824,F5822=F5823,F5822=F5824,F5823=F5824),SUM(N5822:N5824),0)</f>
        <v>1.3090000000000002</v>
      </c>
      <c r="O5825" t="str">
        <v>+</v>
      </c>
      <c r="P5825">
        <f>IF(N5825&gt;12,ROUNDDOWN(N5825/12,0),0)</f>
        <v>0</v>
      </c>
      <c r="Q5825" t="str">
        <v>x</v>
      </c>
      <c r="R5825">
        <f>IF(P5825&gt;0,MAX(VLOOKUP(F5825,$D$6:$G$15,3,FALSE),600),0)/1000</f>
        <v>0</v>
      </c>
      <c r="T5825" t="str">
        <v>x</v>
      </c>
      <c r="U5825">
        <f>U5824</f>
        <v>1.57824</v>
      </c>
      <c r="V5825" t="str">
        <v>x</v>
      </c>
      <c r="W5825">
        <f>D5825</f>
        <v>3</v>
      </c>
      <c r="X5825" t="str">
        <v>x</v>
      </c>
      <c r="Y5825">
        <f>Y5824</f>
        <v>1</v>
      </c>
      <c r="Z5825" t="str">
        <v>=</v>
      </c>
      <c r="AA5825">
        <f>(N5825+P5825*R5825/1000)*U5825*W5825*Y5825</f>
        <v>6.197748480000001</v>
      </c>
    </row>
    <row r="5827">
      <c r="A5827" t="str">
        <f>A5815</f>
        <v>Lantai 3</v>
      </c>
      <c r="B5827">
        <f>B5815</f>
        <v>52</v>
      </c>
      <c r="C5827" t="str">
        <v>Tul Peminggang</v>
      </c>
      <c r="D5827">
        <f>VLOOKUP(D5815,'Detail Balok'!$C$10:$AU$140,13,FALSE)</f>
        <v>0</v>
      </c>
      <c r="E5827" t="str">
        <v>D</v>
      </c>
      <c r="F5827">
        <f>VLOOKUP(D5815,'Detail Balok'!$C$10:$AU$140,15,FALSE)</f>
        <v>8</v>
      </c>
      <c r="J5827">
        <f>+D5817/1000</f>
        <v>0.925</v>
      </c>
      <c r="K5827" t="str">
        <v>+</v>
      </c>
      <c r="L5827">
        <f>2*$F$16*F5827/1000</f>
        <v>0.192</v>
      </c>
      <c r="M5827" t="str">
        <v>=</v>
      </c>
      <c r="N5827">
        <f>J5827+L5827</f>
        <v>1.117</v>
      </c>
      <c r="O5827" t="str">
        <v>+</v>
      </c>
      <c r="P5827">
        <f>IF(N5827&gt;12,ROUNDDOWN(N5827/12,0),0)</f>
        <v>0</v>
      </c>
      <c r="Q5827" t="str">
        <v>x</v>
      </c>
      <c r="R5827">
        <f>IF(P5827&gt;0,MAX(VLOOKUP(F5827,$D$6:$G$15,3,FALSE),600),0)/1000</f>
        <v>0</v>
      </c>
      <c r="T5827" t="str">
        <v>x</v>
      </c>
      <c r="U5827">
        <f>0.006165*F5827^2</f>
        <v>0.39456</v>
      </c>
      <c r="V5827" t="str">
        <v>x</v>
      </c>
      <c r="W5827">
        <f>+D5827</f>
        <v>0</v>
      </c>
      <c r="X5827" t="str">
        <v>x</v>
      </c>
      <c r="Y5827">
        <f>D5821</f>
        <v>1</v>
      </c>
      <c r="Z5827" t="str">
        <v>=</v>
      </c>
      <c r="AA5827">
        <f>(N5827+P5827*R5827/1000)*U5827*W5827*Y5827</f>
        <v>0</v>
      </c>
    </row>
    <row r="5830">
      <c r="A5830" t="str">
        <f>A5815</f>
        <v>Lantai 3</v>
      </c>
      <c r="B5830">
        <f>B5815</f>
        <v>52</v>
      </c>
      <c r="C5830" t="str">
        <v>Tul Bawah Tumpuan</v>
      </c>
      <c r="D5830">
        <f>VLOOKUP(D5815,'Detail Balok'!$C$10:$AU$140,22,FALSE)</f>
        <v>3</v>
      </c>
      <c r="E5830" t="str">
        <v>D</v>
      </c>
      <c r="F5830">
        <f>VLOOKUP(D5815,'Detail Balok'!$C$10:$AU$140,24,FALSE)</f>
        <v>16</v>
      </c>
      <c r="I5830" t="str">
        <v>(</v>
      </c>
      <c r="J5830">
        <f>+J5822</f>
        <v>0.23125</v>
      </c>
      <c r="K5830" t="str">
        <v>+</v>
      </c>
      <c r="L5830">
        <f>MAX(VLOOKUP(F5830,N$6:P$15,3,FALSE)/1000,2/3*D5820/1000)+F$16*F5830/1000</f>
        <v>0.192</v>
      </c>
      <c r="M5830" t="str">
        <v>=</v>
      </c>
      <c r="N5830">
        <f>J5830+L5830</f>
        <v>0.42325</v>
      </c>
      <c r="O5830" t="str">
        <v>+</v>
      </c>
      <c r="P5830">
        <f>D5830-D5831</f>
        <v>0</v>
      </c>
      <c r="Q5830" t="str">
        <v>x</v>
      </c>
      <c r="R5830">
        <f>IF(P5830&gt;0,$F$18*F5830/1000,0)</f>
        <v>0</v>
      </c>
      <c r="S5830" t="str">
        <v>)</v>
      </c>
      <c r="T5830" t="str">
        <v>x</v>
      </c>
      <c r="U5830">
        <f>0.006165*F5830^2</f>
        <v>1.57824</v>
      </c>
      <c r="X5830" t="str">
        <v>x</v>
      </c>
      <c r="Y5830">
        <f>D5821</f>
        <v>1</v>
      </c>
      <c r="Z5830" t="str">
        <v>=</v>
      </c>
      <c r="AA5830">
        <f>IF(AA5833=0,(D5830*N5830+P5830*R5830)*U5830*Y5830,0)</f>
        <v>0</v>
      </c>
    </row>
    <row r="5831">
      <c r="A5831" t="str">
        <f>A5815</f>
        <v>Lantai 3</v>
      </c>
      <c r="B5831">
        <f>B5815</f>
        <v>52</v>
      </c>
      <c r="C5831" t="str">
        <v>Tul Bawah Lapangan</v>
      </c>
      <c r="D5831">
        <f>VLOOKUP(D5815,'Detail Balok'!$C$10:$AU$140,25,FALSE)</f>
        <v>3</v>
      </c>
      <c r="E5831" t="str">
        <v>D</v>
      </c>
      <c r="F5831">
        <f>VLOOKUP(D5815,'Detail Balok'!$C$10:$AU$140,27,FALSE)</f>
        <v>16</v>
      </c>
      <c r="I5831" t="str">
        <v>(</v>
      </c>
      <c r="J5831">
        <f>+J5823</f>
        <v>0.4625</v>
      </c>
      <c r="K5831" t="str">
        <v>+</v>
      </c>
      <c r="M5831" t="str">
        <v>=</v>
      </c>
      <c r="N5831">
        <f>J5831+L5831</f>
        <v>0.4625</v>
      </c>
      <c r="O5831" t="str">
        <v>+</v>
      </c>
      <c r="P5831">
        <f>MAX(D5831-D5830,D5831-D5832)</f>
        <v>0</v>
      </c>
      <c r="Q5831" t="str">
        <v>x</v>
      </c>
      <c r="R5831">
        <f>IF(P5831&gt;0,2*(1-2*$F$19-1/2)*D5818/1000,0)</f>
        <v>0</v>
      </c>
      <c r="S5831" t="str">
        <v>)</v>
      </c>
      <c r="T5831" t="str">
        <v>x</v>
      </c>
      <c r="U5831">
        <f>0.006165*F5831^2</f>
        <v>1.57824</v>
      </c>
      <c r="X5831" t="str">
        <v>x</v>
      </c>
      <c r="Y5831">
        <f>D5821</f>
        <v>1</v>
      </c>
      <c r="Z5831" t="str">
        <v>=</v>
      </c>
      <c r="AA5831">
        <f>IF(AA5833=0,(D5831*N5831+P5831*R5831)*U5831*Y5831,0)</f>
        <v>0</v>
      </c>
    </row>
    <row r="5832">
      <c r="A5832" t="str">
        <f>A5815</f>
        <v>Lantai 3</v>
      </c>
      <c r="B5832">
        <f>B5815</f>
        <v>52</v>
      </c>
      <c r="C5832" t="str">
        <v>Tul Bawah Tumpuan</v>
      </c>
      <c r="D5832">
        <f>VLOOKUP(D5815,'Detail Balok'!$C$10:$AU$140,28,FALSE)</f>
        <v>3</v>
      </c>
      <c r="E5832" t="str">
        <v>D</v>
      </c>
      <c r="F5832">
        <f>VLOOKUP(D5815,'Detail Balok'!$C$10:$AU$140,30,FALSE)</f>
        <v>16</v>
      </c>
      <c r="I5832" t="str">
        <v>(</v>
      </c>
      <c r="J5832">
        <f>+J5824</f>
        <v>0.23125</v>
      </c>
      <c r="K5832" t="str">
        <v>+</v>
      </c>
      <c r="L5832">
        <f>MAX(VLOOKUP(F5832,N$6:P$15,3,FALSE)/1000,2/3*D5820/1000)+F$16*F5832/1000</f>
        <v>0.192</v>
      </c>
      <c r="M5832" t="str">
        <v>=</v>
      </c>
      <c r="N5832">
        <f>J5832+L5832</f>
        <v>0.42325</v>
      </c>
      <c r="O5832" t="str">
        <v>+</v>
      </c>
      <c r="P5832">
        <f>D5832-D5831</f>
        <v>0</v>
      </c>
      <c r="Q5832" t="str">
        <v>x</v>
      </c>
      <c r="R5832">
        <f>IF(P5832&gt;0,$F$18*F5832/1000,0)</f>
        <v>0</v>
      </c>
      <c r="S5832" t="str">
        <v>)</v>
      </c>
      <c r="T5832" t="str">
        <v>x</v>
      </c>
      <c r="U5832">
        <f>0.006165*F5832^2</f>
        <v>1.57824</v>
      </c>
      <c r="X5832" t="str">
        <v>x</v>
      </c>
      <c r="Y5832">
        <f>D5821</f>
        <v>1</v>
      </c>
      <c r="Z5832" t="str">
        <v>=</v>
      </c>
      <c r="AA5832">
        <f>IF(AA5833=0,(D5832*N5832+P5832*R5832)*U5832*Y5832,0)</f>
        <v>0</v>
      </c>
    </row>
    <row r="5833">
      <c r="A5833" t="str">
        <f>A5815</f>
        <v>Lantai 3</v>
      </c>
      <c r="B5833">
        <f>B5815</f>
        <v>52</v>
      </c>
      <c r="D5833">
        <f>IF(AND(D5830=D5831,D5831=D5832,D5830=D5832),D5830,0)</f>
        <v>3</v>
      </c>
      <c r="E5833" t="str">
        <v>D</v>
      </c>
      <c r="F5833">
        <f>IF(AND(F5830=F5831,F5830=F5832,F5831=F5832),F5830,0)</f>
        <v>16</v>
      </c>
      <c r="L5833" t="str">
        <v>Total panjang per balok</v>
      </c>
      <c r="M5833" t="str">
        <v>=</v>
      </c>
      <c r="N5833">
        <f>IF(AND(D5830=D5831,D5830=D5832,D5831=D5832,F5830=F5831,F5830=F5832,F5831=F5832),SUM(N5830:N5832),0)</f>
        <v>1.3090000000000002</v>
      </c>
      <c r="O5833" t="str">
        <v>+</v>
      </c>
      <c r="P5833">
        <f>IF(N5833&gt;12,ROUNDDOWN(N5833/12,0),0)</f>
        <v>0</v>
      </c>
      <c r="Q5833" t="str">
        <v>x</v>
      </c>
      <c r="R5833">
        <f>IF(P5833&gt;0,MAX(VLOOKUP(F5833,$D$6:$G$15,3,FALSE),600),0)/1000</f>
        <v>0</v>
      </c>
      <c r="T5833" t="str">
        <v>x</v>
      </c>
      <c r="U5833">
        <f>U5832</f>
        <v>1.57824</v>
      </c>
      <c r="V5833" t="str">
        <v>x</v>
      </c>
      <c r="W5833">
        <f>D5833</f>
        <v>3</v>
      </c>
      <c r="X5833" t="str">
        <v>x</v>
      </c>
      <c r="Y5833">
        <f>Y5832</f>
        <v>1</v>
      </c>
      <c r="Z5833" t="str">
        <v>=</v>
      </c>
      <c r="AA5833">
        <f>(N5833+P5833*R5833/1000)*U5833*W5833*Y5833</f>
        <v>6.197748480000001</v>
      </c>
    </row>
    <row r="5835">
      <c r="A5835" t="str">
        <f>A5815</f>
        <v>Lantai 3</v>
      </c>
      <c r="B5835">
        <f>B5815</f>
        <v>52</v>
      </c>
      <c r="C5835" t="str">
        <v>Sengkang Tumpuan</v>
      </c>
      <c r="D5835">
        <f>VLOOKUP(D5815,'Detail Balok'!$C$10:$AU$140,31,FALSE)</f>
        <v>0</v>
      </c>
      <c r="E5835" t="str">
        <v>D</v>
      </c>
      <c r="F5835">
        <f>VLOOKUP(D5815,'Detail Balok'!$C$10:$AU$140,33,FALSE)</f>
        <v>10</v>
      </c>
      <c r="G5835" t="str">
        <v>-</v>
      </c>
      <c r="H5835">
        <f>VLOOKUP(D5815,'Detail Balok'!$C$10:$AU$140,35,FALSE)</f>
        <v>100</v>
      </c>
      <c r="J5835">
        <f>(IF(D5835=0,(2*(D5816+G5816))-(F$5*8),IF(D5835=3,(2*(D5816+G5816))-(F$5*8)+(G5816-2*F$5),IF(D5835=4,(2*(D5816+G5816))-(F$5*8)+2*(G5816-2*F$5)))))/1000</f>
        <v>0.88</v>
      </c>
      <c r="K5835" t="str">
        <v>+</v>
      </c>
      <c r="L5835">
        <f>IF(D5835=0,2*MAX(6*F5835,75),(D5835-1)*2*MAX(6*F5835,75))/1000</f>
        <v>0.15</v>
      </c>
      <c r="M5835" t="str">
        <v>=</v>
      </c>
      <c r="N5835">
        <f>J5835+L5835</f>
        <v>1.03</v>
      </c>
      <c r="T5835" t="str">
        <v>x</v>
      </c>
      <c r="U5835">
        <f>0.006165*F5835^2</f>
        <v>0.6165</v>
      </c>
      <c r="V5835" t="str">
        <v>x</v>
      </c>
      <c r="W5835">
        <f>IF(D5818&gt;4*G5816,ROUND(MAX(D5818/4,2*G5816)/H5835,0)+1,ROUND(D5818/H5835,0)+1)</f>
        <v>10</v>
      </c>
      <c r="X5835" t="str">
        <v>x</v>
      </c>
      <c r="Y5835">
        <f>D5821</f>
        <v>1</v>
      </c>
      <c r="Z5835" t="str">
        <v>=</v>
      </c>
      <c r="AA5835">
        <f>N5835*U5835*W5835*Y5835</f>
        <v>6.349950000000001</v>
      </c>
    </row>
    <row r="5836">
      <c r="A5836" t="str">
        <f>A5815</f>
        <v>Lantai 3</v>
      </c>
      <c r="B5836">
        <f>B5815</f>
        <v>52</v>
      </c>
      <c r="C5836" t="str">
        <v>Sengkang Lapangan</v>
      </c>
      <c r="D5836">
        <f>VLOOKUP(D5815,'Detail Balok'!$C$10:$AU$140,36,FALSE)</f>
        <v>0</v>
      </c>
      <c r="E5836" t="str">
        <v>D</v>
      </c>
      <c r="F5836">
        <f>VLOOKUP(D5815,'Detail Balok'!$C$10:$AU$140,38,FALSE)</f>
        <v>10</v>
      </c>
      <c r="G5836" t="str">
        <v>-</v>
      </c>
      <c r="H5836">
        <f>VLOOKUP(D5815,'Detail Balok'!$C$10:$AU$140,40,FALSE)</f>
        <v>100</v>
      </c>
      <c r="J5836">
        <f>(IF(D5836=0,(2*(D5816+G5816))-(F$5*8),IF(D5836=3,(2*(D5816+G5816))-(F$5*8)+(G5816-2*F$5),IF(D5836=4,(2*(D5816+G5816))-(F$5*8)+2*(G5816-2*F$5)))))/1000</f>
        <v>0.88</v>
      </c>
      <c r="K5836" t="str">
        <v>+</v>
      </c>
      <c r="L5836">
        <f>IF(D5836=0,2*MAX(6*F5836,75),(D5836-1)*2*MAX(6*F5836,75))/1000</f>
        <v>0.15</v>
      </c>
      <c r="M5836" t="str">
        <v>=</v>
      </c>
      <c r="N5836">
        <f>J5836+L5836</f>
        <v>1.03</v>
      </c>
      <c r="T5836" t="str">
        <v>x</v>
      </c>
      <c r="U5836">
        <f>0.006165*F5836^2</f>
        <v>0.6165</v>
      </c>
      <c r="V5836" t="str">
        <v>x</v>
      </c>
      <c r="W5836">
        <f>IF(D5818-MAX(D5818/4,2*G5816)*2&gt;0,ROUND((D5818-MAX(D5818/4,2*G5816)*2)/H5836,0),0)</f>
        <v>0</v>
      </c>
      <c r="X5836" t="str">
        <v>x</v>
      </c>
      <c r="Y5836">
        <f>D5821</f>
        <v>1</v>
      </c>
      <c r="Z5836" t="str">
        <v>=</v>
      </c>
      <c r="AA5836">
        <f>N5836*U5836*W5836*Y5836</f>
        <v>0</v>
      </c>
    </row>
    <row r="5837">
      <c r="A5837" t="str">
        <f>A5815</f>
        <v>Lantai 3</v>
      </c>
      <c r="B5837">
        <f>B5815</f>
        <v>52</v>
      </c>
      <c r="C5837" t="str">
        <v>Sengkang Tumpuan</v>
      </c>
      <c r="D5837">
        <f>VLOOKUP(D5815,'Detail Balok'!$C$10:$AU$140,41,FALSE)</f>
        <v>0</v>
      </c>
      <c r="E5837" t="str">
        <v>D</v>
      </c>
      <c r="F5837">
        <f>VLOOKUP(D5815,'Detail Balok'!$C$10:$AU$140,43,FALSE)</f>
        <v>10</v>
      </c>
      <c r="G5837" t="str">
        <v>-</v>
      </c>
      <c r="H5837">
        <f>VLOOKUP(D5815,'Detail Balok'!$C$10:$AU$140,45,FALSE)</f>
        <v>100</v>
      </c>
      <c r="J5837">
        <f>(IF(D5837=0,(2*(D5816+G5816))-(F$5*8),IF(D5837=3,(2*(D5816+G5816))-(F$5*8)+(G5816-2*F$5),IF(D5837=4,(2*(D5816+G5816))-(F$5*8)+2*(G5816-2*F$5)))))/1000</f>
        <v>0.88</v>
      </c>
      <c r="K5837" t="str">
        <v>+</v>
      </c>
      <c r="L5837">
        <f>IF(D5837=0,2*MAX(6*F5837,75),(D5837-1)*2*MAX(6*F5837,75))/1000</f>
        <v>0.15</v>
      </c>
      <c r="M5837" t="str">
        <v>=</v>
      </c>
      <c r="N5837">
        <f>J5837+L5837</f>
        <v>1.03</v>
      </c>
      <c r="T5837" t="str">
        <v>x</v>
      </c>
      <c r="U5837">
        <f>0.006165*F5837^2</f>
        <v>0.6165</v>
      </c>
      <c r="V5837" t="str">
        <v>x</v>
      </c>
      <c r="W5837">
        <f>IF(D5818&gt;4*G5816,ROUND(MAX(D5818/4,2*G5816)/H5837,0)+1,0)</f>
        <v>0</v>
      </c>
      <c r="X5837" t="str">
        <v>x</v>
      </c>
      <c r="Y5837">
        <f>D5821</f>
        <v>1</v>
      </c>
      <c r="Z5837" t="str">
        <v>=</v>
      </c>
      <c r="AA5837">
        <f>N5837*U5837*W5837*Y5837</f>
        <v>0</v>
      </c>
    </row>
    <row r="5839">
      <c r="A5839" t="str">
        <f>A5815</f>
        <v>Lantai 3</v>
      </c>
      <c r="B5839">
        <f>B5815</f>
        <v>52</v>
      </c>
      <c r="C5839" t="str">
        <v>Kait Horizontal Tump.</v>
      </c>
      <c r="D5839">
        <f>VLOOKUP(D5815,'Detail Balok'!$C$10:$BJ$140,46,FALSE)</f>
        <v>0</v>
      </c>
      <c r="E5839" t="str">
        <v>D</v>
      </c>
      <c r="F5839">
        <f>VLOOKUP(D5815,'Detail Balok'!$C$10:$BJ$140,48,FALSE)</f>
        <v>0</v>
      </c>
      <c r="G5839" t="str">
        <v>-</v>
      </c>
      <c r="H5839">
        <f>VLOOKUP(D5815,'Detail Balok'!$C$10:$BJ$140,50,FALSE)</f>
        <v>100</v>
      </c>
      <c r="J5839">
        <f>(D5816-2*F$5)/1000</f>
        <v>0.12</v>
      </c>
      <c r="K5839" t="str">
        <v>+</v>
      </c>
      <c r="L5839">
        <f>IF(D5839=0,2*MAX(6*F5839,75),(D5839-1)*2*MAX(6*F5839,75))/1000</f>
        <v>0.15</v>
      </c>
      <c r="M5839" t="str">
        <v>=</v>
      </c>
      <c r="N5839">
        <f>J5839+L5839</f>
        <v>0.27</v>
      </c>
      <c r="T5839" t="str">
        <v>x</v>
      </c>
      <c r="U5839">
        <f>0.006165*F5839^2</f>
        <v>0</v>
      </c>
      <c r="V5839" t="str">
        <v>x</v>
      </c>
      <c r="W5839">
        <f>W5835</f>
        <v>10</v>
      </c>
      <c r="X5839" t="str">
        <v>x</v>
      </c>
      <c r="Y5839">
        <f>D5825</f>
        <v>3</v>
      </c>
      <c r="Z5839" t="str">
        <v>=</v>
      </c>
      <c r="AA5839">
        <f>N5839*U5839*W5839*Y5839</f>
        <v>0</v>
      </c>
    </row>
    <row r="5840">
      <c r="A5840" t="str">
        <f>A5815</f>
        <v>Lantai 3</v>
      </c>
      <c r="B5840">
        <f>B5815</f>
        <v>52</v>
      </c>
      <c r="C5840" t="str">
        <v>Kait Horizontal Lap.</v>
      </c>
      <c r="D5840">
        <f>VLOOKUP(D5815,'Detail Balok'!$C$10:$BJ$140,51,FALSE)</f>
        <v>0</v>
      </c>
      <c r="E5840" t="str">
        <v>D</v>
      </c>
      <c r="F5840">
        <f>VLOOKUP(D5815,'Detail Balok'!$C$10:$BJ$140,53,FALSE)</f>
        <v>0</v>
      </c>
      <c r="G5840" t="str">
        <v>-</v>
      </c>
      <c r="H5840">
        <f>VLOOKUP(D5815,'Detail Balok'!$C$10:$BJ$140,55,FALSE)</f>
        <v>100</v>
      </c>
      <c r="J5840">
        <f>(D5816-2*F$5)/1000</f>
        <v>0.12</v>
      </c>
      <c r="K5840" t="str">
        <v>+</v>
      </c>
      <c r="L5840">
        <f>IF(D5840=0,2*MAX(6*F5840,75),(D5840-1)*2*MAX(6*F5840,75))/1000</f>
        <v>0.15</v>
      </c>
      <c r="M5840" t="str">
        <v>=</v>
      </c>
      <c r="N5840">
        <f>J5840+L5840</f>
        <v>0.27</v>
      </c>
      <c r="T5840" t="str">
        <v>x</v>
      </c>
      <c r="U5840">
        <f>0.006165*F5840^2</f>
        <v>0</v>
      </c>
      <c r="V5840" t="str">
        <v>x</v>
      </c>
      <c r="W5840">
        <f>W5836</f>
        <v>0</v>
      </c>
      <c r="X5840" t="str">
        <v>x</v>
      </c>
      <c r="Y5840">
        <f>D5825</f>
        <v>3</v>
      </c>
      <c r="Z5840" t="str">
        <v>=</v>
      </c>
      <c r="AA5840">
        <f>N5840*U5840*W5840*Y5840</f>
        <v>0</v>
      </c>
    </row>
    <row r="5841">
      <c r="A5841" t="str">
        <f>A5815</f>
        <v>Lantai 3</v>
      </c>
      <c r="B5841">
        <f>B5815</f>
        <v>52</v>
      </c>
      <c r="C5841" t="str">
        <v>Kait Horizontal Tump.</v>
      </c>
      <c r="D5841">
        <f>VLOOKUP(D5815,'Detail Balok'!$C$10:$BJ$140,56,FALSE)</f>
        <v>0</v>
      </c>
      <c r="E5841" t="str">
        <v>D</v>
      </c>
      <c r="F5841">
        <f>VLOOKUP(D5815,'Detail Balok'!$C$10:$BJ$140,58,FALSE)</f>
        <v>0</v>
      </c>
      <c r="G5841" t="str">
        <v>-</v>
      </c>
      <c r="H5841">
        <f>VLOOKUP(D5815,'Detail Balok'!$C$10:$BJ$140,60,FALSE)</f>
        <v>100</v>
      </c>
      <c r="J5841">
        <f>(D5816-2*F$5)/1000</f>
        <v>0.12</v>
      </c>
      <c r="K5841" t="str">
        <v>+</v>
      </c>
      <c r="L5841">
        <f>IF(D5841=0,2*MAX(6*F5841,75),(D5841-1)*2*MAX(6*F5841,75))/1000</f>
        <v>0.15</v>
      </c>
      <c r="M5841" t="str">
        <v>=</v>
      </c>
      <c r="N5841">
        <f>J5841+L5841</f>
        <v>0.27</v>
      </c>
      <c r="T5841" t="str">
        <v>x</v>
      </c>
      <c r="U5841">
        <f>0.006165*F5841^2</f>
        <v>0</v>
      </c>
      <c r="V5841" t="str">
        <v>x</v>
      </c>
      <c r="W5841">
        <f>W5837</f>
        <v>0</v>
      </c>
      <c r="X5841" t="str">
        <v>x</v>
      </c>
      <c r="Y5841">
        <f>D5825</f>
        <v>3</v>
      </c>
      <c r="Z5841" t="str">
        <v>=</v>
      </c>
      <c r="AA5841">
        <f>N5841*U5841*W5841*Y5841</f>
        <v>0</v>
      </c>
    </row>
    <row r="5845">
      <c r="A5845" t="str">
        <f>A5815</f>
        <v>Lantai 3</v>
      </c>
      <c r="B5845">
        <f>B5815+1</f>
        <v>53</v>
      </c>
      <c r="C5845" t="str">
        <f>CONCATENATE(A5845," no. ",B5845)</f>
        <v>Lantai 3 no. 53</v>
      </c>
      <c r="D5845" t="str">
        <f>VLOOKUP(C5845,'Data Panjang Balok'!$C$9:$N$254,2,FALSE)</f>
        <v>B26-1</v>
      </c>
    </row>
    <row r="5846">
      <c r="C5846" t="str">
        <v>Dimensi</v>
      </c>
      <c r="D5846">
        <f>VLOOKUP(D5845,'Detail Balok'!$C$10:$AU$140,2,FALSE)</f>
        <v>200</v>
      </c>
      <c r="F5846" t="str">
        <v>x</v>
      </c>
      <c r="G5846">
        <f>VLOOKUP(D5845,'Detail Balok'!$C$10:$AU$140,3,FALSE)</f>
        <v>600</v>
      </c>
    </row>
    <row r="5847">
      <c r="C5847" t="str">
        <v>Panjang as ke as</v>
      </c>
      <c r="D5847">
        <f>VLOOKUP(C5845,'Data Panjang Balok'!$C$9:$N$254,4,FALSE)</f>
        <v>6325</v>
      </c>
    </row>
    <row r="5848">
      <c r="C5848" t="str">
        <v>Panjang netto</v>
      </c>
      <c r="D5848">
        <f>VLOOKUP(C5845,'Data Panjang Balok'!$C$9:$N$254,7,FALSE)</f>
        <v>6325</v>
      </c>
    </row>
    <row r="5849">
      <c r="C5849" t="str">
        <v>Kolom / balok kiri</v>
      </c>
      <c r="D5849">
        <f>VLOOKUP(C5845,'Data Panjang Balok'!$C$9:$N$254,9,FALSE)</f>
        <v>0</v>
      </c>
    </row>
    <row r="5850">
      <c r="C5850" t="str">
        <v>Kolom / balok kanan</v>
      </c>
      <c r="D5850">
        <f>VLOOKUP(C5845,'Data Panjang Balok'!$C$9:$N$254,10,FALSE)</f>
        <v>0</v>
      </c>
    </row>
    <row r="5851">
      <c r="C5851" t="str">
        <v>Jumlah</v>
      </c>
      <c r="D5851">
        <f>VLOOKUP(C5845,'Data Panjang Balok'!$C$9:$N$254,3,FALSE)</f>
        <v>1</v>
      </c>
    </row>
    <row r="5852">
      <c r="A5852" t="str">
        <f>A5845</f>
        <v>Lantai 3</v>
      </c>
      <c r="B5852">
        <f>B5845</f>
        <v>53</v>
      </c>
      <c r="C5852" t="str">
        <v>Tul Atas Tumpuan</v>
      </c>
      <c r="D5852">
        <f>VLOOKUP(D5845,'Detail Balok'!$C$10:$AU$140,4,FALSE)</f>
        <v>4</v>
      </c>
      <c r="E5852" t="str">
        <v>D</v>
      </c>
      <c r="F5852">
        <f>VLOOKUP(D5845,'Detail Balok'!$C$10:$AU$140,6,FALSE)</f>
        <v>16</v>
      </c>
      <c r="I5852" t="str">
        <v>(</v>
      </c>
      <c r="J5852">
        <f>+D5847/4/1000</f>
        <v>1.58125</v>
      </c>
      <c r="K5852" t="str">
        <v>+</v>
      </c>
      <c r="L5852">
        <f>MAX(VLOOKUP(F5852,N$6:P$15,3,FALSE)/1000,2/3*D5849/1000)+F$16*F5852/1000</f>
        <v>0.192</v>
      </c>
      <c r="M5852" t="str">
        <v>=</v>
      </c>
      <c r="N5852">
        <f>J5852+L5852</f>
        <v>1.77325</v>
      </c>
      <c r="O5852" t="str">
        <v>+</v>
      </c>
      <c r="P5852">
        <f>D5852-D5853</f>
        <v>1</v>
      </c>
      <c r="Q5852" t="str">
        <v>x</v>
      </c>
      <c r="R5852">
        <f>IF(P5852&gt;0,$F$18*F5852/1000,0)</f>
        <v>0.24</v>
      </c>
      <c r="S5852" t="str">
        <v>)</v>
      </c>
      <c r="T5852" t="str">
        <v>x</v>
      </c>
      <c r="U5852">
        <f>0.006165*F5852^2</f>
        <v>1.57824</v>
      </c>
      <c r="X5852" t="str">
        <v>x</v>
      </c>
      <c r="Y5852">
        <f>D5851</f>
        <v>1</v>
      </c>
      <c r="Z5852" t="str">
        <v>=</v>
      </c>
      <c r="AA5852">
        <f>IF(AA5855=0,(D5852*N5852+P5852*R5852)*U5852*Y5852,0)</f>
        <v>11.573233920000002</v>
      </c>
    </row>
    <row r="5853">
      <c r="A5853" t="str">
        <f>A5845</f>
        <v>Lantai 3</v>
      </c>
      <c r="B5853">
        <f>B5845</f>
        <v>53</v>
      </c>
      <c r="C5853" t="str">
        <v>Tul Atas Lapangan</v>
      </c>
      <c r="D5853">
        <f>VLOOKUP(D5845,'Detail Balok'!$C$10:$AU$140,7,FALSE)</f>
        <v>3</v>
      </c>
      <c r="E5853" t="str">
        <v>D</v>
      </c>
      <c r="F5853">
        <f>VLOOKUP(D5845,'Detail Balok'!$C$10:$AU$140,9,FALSE)</f>
        <v>16</v>
      </c>
      <c r="I5853" t="str">
        <v>(</v>
      </c>
      <c r="J5853">
        <f>+D5847/2/1000</f>
        <v>3.1625</v>
      </c>
      <c r="K5853" t="str">
        <v>+</v>
      </c>
      <c r="M5853" t="str">
        <v>=</v>
      </c>
      <c r="N5853">
        <f>J5853+L5853</f>
        <v>3.1625</v>
      </c>
      <c r="O5853" t="str">
        <v>+</v>
      </c>
      <c r="P5853">
        <f>MAX(D5853-D5852,D5853-D5854)</f>
        <v>-1</v>
      </c>
      <c r="Q5853" t="str">
        <v>x</v>
      </c>
      <c r="R5853">
        <f>IF(P5853&gt;0,2*(1-2*$F$19-1/2)*D5848/1000,0)</f>
        <v>0</v>
      </c>
      <c r="S5853" t="str">
        <v>)</v>
      </c>
      <c r="T5853" t="str">
        <v>x</v>
      </c>
      <c r="U5853">
        <f>0.006165*F5853^2</f>
        <v>1.57824</v>
      </c>
      <c r="X5853" t="str">
        <v>x</v>
      </c>
      <c r="Y5853">
        <f>D5851</f>
        <v>1</v>
      </c>
      <c r="Z5853" t="str">
        <v>=</v>
      </c>
      <c r="AA5853">
        <f>IF(AA5855=0,(D5853*N5853+P5853*R5853)*U5853*Y5853,0)</f>
        <v>14.973552000000002</v>
      </c>
    </row>
    <row r="5854">
      <c r="A5854" t="str">
        <f>A5845</f>
        <v>Lantai 3</v>
      </c>
      <c r="B5854">
        <f>B5845</f>
        <v>53</v>
      </c>
      <c r="C5854" t="str">
        <v>Tul Atas Tumpuan</v>
      </c>
      <c r="D5854">
        <f>VLOOKUP(D5845,'Detail Balok'!$C$10:$AU$140,10,FALSE)</f>
        <v>4</v>
      </c>
      <c r="E5854" t="str">
        <v>D</v>
      </c>
      <c r="F5854">
        <f>VLOOKUP(D5845,'Detail Balok'!$C$10:$AU$140,12,FALSE)</f>
        <v>16</v>
      </c>
      <c r="I5854" t="str">
        <v>(</v>
      </c>
      <c r="J5854">
        <f>+D5847/4/1000</f>
        <v>1.58125</v>
      </c>
      <c r="K5854" t="str">
        <v>+</v>
      </c>
      <c r="L5854">
        <f>MAX(VLOOKUP(F5854,N$6:P$15,3,FALSE)/1000,2/3*D5849/1000)+F$16*F5854/1000</f>
        <v>0.192</v>
      </c>
      <c r="M5854" t="str">
        <v>=</v>
      </c>
      <c r="N5854">
        <f>J5854+L5854</f>
        <v>1.77325</v>
      </c>
      <c r="O5854" t="str">
        <v>+</v>
      </c>
      <c r="P5854">
        <f>D5854-D5853</f>
        <v>1</v>
      </c>
      <c r="Q5854" t="str">
        <v>x</v>
      </c>
      <c r="R5854">
        <f>IF(P5854&gt;0,$F$18*F5854/1000,0)</f>
        <v>0.24</v>
      </c>
      <c r="S5854" t="str">
        <v>)</v>
      </c>
      <c r="T5854" t="str">
        <v>x</v>
      </c>
      <c r="U5854">
        <f>0.006165*F5854^2</f>
        <v>1.57824</v>
      </c>
      <c r="X5854" t="str">
        <v>x</v>
      </c>
      <c r="Y5854">
        <f>D5851</f>
        <v>1</v>
      </c>
      <c r="Z5854" t="str">
        <v>=</v>
      </c>
      <c r="AA5854">
        <f>IF(AA5855=0,(D5854*N5854+P5854*R5854)*U5854*Y5854,0)</f>
        <v>11.573233920000002</v>
      </c>
    </row>
    <row r="5855">
      <c r="A5855" t="str">
        <f>A5845</f>
        <v>Lantai 3</v>
      </c>
      <c r="B5855">
        <f>B5845</f>
        <v>53</v>
      </c>
      <c r="D5855">
        <f>IF(AND(D5852=D5853,D5853=D5854,D5852=D5854),D5852,0)</f>
        <v>0</v>
      </c>
      <c r="E5855" t="str">
        <v>D</v>
      </c>
      <c r="F5855">
        <f>IF(AND(F5852=F5853,F5852=F5854,F5853=F5854),F5852,0)</f>
        <v>16</v>
      </c>
      <c r="L5855" t="str">
        <v>Total panjang per balok</v>
      </c>
      <c r="M5855" t="str">
        <v>=</v>
      </c>
      <c r="N5855">
        <f>IF(AND(D5852=D5853,D5852=D5854,D5853=D5854,F5852=F5853,F5852=F5854,F5853=F5854),SUM(N5852:N5854),0)</f>
        <v>0</v>
      </c>
      <c r="O5855" t="str">
        <v>+</v>
      </c>
      <c r="P5855">
        <f>IF(N5855&gt;12,ROUNDDOWN(N5855/12,0),0)</f>
        <v>0</v>
      </c>
      <c r="Q5855" t="str">
        <v>x</v>
      </c>
      <c r="R5855">
        <f>IF(P5855&gt;0,MAX(VLOOKUP(F5855,$D$6:$G$15,3,FALSE),600),0)/1000</f>
        <v>0</v>
      </c>
      <c r="T5855" t="str">
        <v>x</v>
      </c>
      <c r="U5855">
        <f>U5854</f>
        <v>1.57824</v>
      </c>
      <c r="V5855" t="str">
        <v>x</v>
      </c>
      <c r="W5855">
        <f>D5855</f>
        <v>0</v>
      </c>
      <c r="X5855" t="str">
        <v>x</v>
      </c>
      <c r="Y5855">
        <f>Y5854</f>
        <v>1</v>
      </c>
      <c r="Z5855" t="str">
        <v>=</v>
      </c>
      <c r="AA5855">
        <f>(N5855+P5855*R5855/1000)*U5855*W5855*Y5855</f>
        <v>0</v>
      </c>
    </row>
    <row r="5857">
      <c r="A5857" t="str">
        <f>A5845</f>
        <v>Lantai 3</v>
      </c>
      <c r="B5857">
        <f>B5845</f>
        <v>53</v>
      </c>
      <c r="C5857" t="str">
        <v>Tul Peminggang</v>
      </c>
      <c r="D5857">
        <f>VLOOKUP(D5845,'Detail Balok'!$C$10:$AU$140,13,FALSE)</f>
        <v>2</v>
      </c>
      <c r="E5857" t="str">
        <v>D</v>
      </c>
      <c r="F5857">
        <f>VLOOKUP(D5845,'Detail Balok'!$C$10:$AU$140,15,FALSE)</f>
        <v>10</v>
      </c>
      <c r="J5857">
        <f>+D5847/1000</f>
        <v>6.325</v>
      </c>
      <c r="K5857" t="str">
        <v>+</v>
      </c>
      <c r="L5857">
        <f>2*$F$16*F5857/1000</f>
        <v>0.24</v>
      </c>
      <c r="M5857" t="str">
        <v>=</v>
      </c>
      <c r="N5857">
        <f>J5857+L5857</f>
        <v>6.565</v>
      </c>
      <c r="O5857" t="str">
        <v>+</v>
      </c>
      <c r="P5857">
        <f>IF(N5857&gt;12,ROUNDDOWN(N5857/12,0),0)</f>
        <v>0</v>
      </c>
      <c r="Q5857" t="str">
        <v>x</v>
      </c>
      <c r="R5857">
        <f>IF(P5857&gt;0,MAX(VLOOKUP(F5857,$D$6:$G$15,3,FALSE),600),0)/1000</f>
        <v>0</v>
      </c>
      <c r="T5857" t="str">
        <v>x</v>
      </c>
      <c r="U5857">
        <f>0.006165*F5857^2</f>
        <v>0.6165</v>
      </c>
      <c r="V5857" t="str">
        <v>x</v>
      </c>
      <c r="W5857">
        <f>+D5857</f>
        <v>2</v>
      </c>
      <c r="X5857" t="str">
        <v>x</v>
      </c>
      <c r="Y5857">
        <f>D5851</f>
        <v>1</v>
      </c>
      <c r="Z5857" t="str">
        <v>=</v>
      </c>
      <c r="AA5857">
        <f>(N5857+P5857*R5857/1000)*U5857*W5857*Y5857</f>
        <v>8.094645000000002</v>
      </c>
    </row>
    <row r="5860">
      <c r="A5860" t="str">
        <f>A5845</f>
        <v>Lantai 3</v>
      </c>
      <c r="B5860">
        <f>B5845</f>
        <v>53</v>
      </c>
      <c r="C5860" t="str">
        <v>Tul Bawah Tumpuan</v>
      </c>
      <c r="D5860">
        <f>VLOOKUP(D5845,'Detail Balok'!$C$10:$AU$140,22,FALSE)</f>
        <v>3</v>
      </c>
      <c r="E5860" t="str">
        <v>D</v>
      </c>
      <c r="F5860">
        <f>VLOOKUP(D5845,'Detail Balok'!$C$10:$AU$140,24,FALSE)</f>
        <v>16</v>
      </c>
      <c r="I5860" t="str">
        <v>(</v>
      </c>
      <c r="J5860">
        <f>+J5852</f>
        <v>1.58125</v>
      </c>
      <c r="K5860" t="str">
        <v>+</v>
      </c>
      <c r="L5860">
        <f>MAX(VLOOKUP(F5860,N$6:P$15,3,FALSE)/1000,2/3*D5850/1000)+F$16*F5860/1000</f>
        <v>0.192</v>
      </c>
      <c r="M5860" t="str">
        <v>=</v>
      </c>
      <c r="N5860">
        <f>J5860+L5860</f>
        <v>1.77325</v>
      </c>
      <c r="O5860" t="str">
        <v>+</v>
      </c>
      <c r="P5860">
        <f>D5860-D5861</f>
        <v>-1</v>
      </c>
      <c r="Q5860" t="str">
        <v>x</v>
      </c>
      <c r="R5860">
        <f>IF(P5860&gt;0,$F$18*F5860/1000,0)</f>
        <v>0</v>
      </c>
      <c r="S5860" t="str">
        <v>)</v>
      </c>
      <c r="T5860" t="str">
        <v>x</v>
      </c>
      <c r="U5860">
        <f>0.006165*F5860^2</f>
        <v>1.57824</v>
      </c>
      <c r="X5860" t="str">
        <v>x</v>
      </c>
      <c r="Y5860">
        <f>D5851</f>
        <v>1</v>
      </c>
      <c r="Z5860" t="str">
        <v>=</v>
      </c>
      <c r="AA5860">
        <f>IF(AA5863=0,(D5860*N5860+P5860*R5860)*U5860*Y5860,0)</f>
        <v>8.39584224</v>
      </c>
    </row>
    <row r="5861">
      <c r="A5861" t="str">
        <f>A5845</f>
        <v>Lantai 3</v>
      </c>
      <c r="B5861">
        <f>B5845</f>
        <v>53</v>
      </c>
      <c r="C5861" t="str">
        <v>Tul Bawah Lapangan</v>
      </c>
      <c r="D5861">
        <f>VLOOKUP(D5845,'Detail Balok'!$C$10:$AU$140,25,FALSE)</f>
        <v>4</v>
      </c>
      <c r="E5861" t="str">
        <v>D</v>
      </c>
      <c r="F5861">
        <f>VLOOKUP(D5845,'Detail Balok'!$C$10:$AU$140,27,FALSE)</f>
        <v>16</v>
      </c>
      <c r="I5861" t="str">
        <v>(</v>
      </c>
      <c r="J5861">
        <f>+J5853</f>
        <v>3.1625</v>
      </c>
      <c r="K5861" t="str">
        <v>+</v>
      </c>
      <c r="M5861" t="str">
        <v>=</v>
      </c>
      <c r="N5861">
        <f>J5861+L5861</f>
        <v>3.1625</v>
      </c>
      <c r="O5861" t="str">
        <v>+</v>
      </c>
      <c r="P5861">
        <f>MAX(D5861-D5860,D5861-D5862)</f>
        <v>1</v>
      </c>
      <c r="Q5861" t="str">
        <v>x</v>
      </c>
      <c r="R5861">
        <f>IF(P5861&gt;0,2*(1-2*$F$19-1/2)*D5848/1000,0)</f>
        <v>1.2649999999999997</v>
      </c>
      <c r="S5861" t="str">
        <v>)</v>
      </c>
      <c r="T5861" t="str">
        <v>x</v>
      </c>
      <c r="U5861">
        <f>0.006165*F5861^2</f>
        <v>1.57824</v>
      </c>
      <c r="X5861" t="str">
        <v>x</v>
      </c>
      <c r="Y5861">
        <f>D5851</f>
        <v>1</v>
      </c>
      <c r="Z5861" t="str">
        <v>=</v>
      </c>
      <c r="AA5861">
        <f>IF(AA5863=0,(D5861*N5861+P5861*R5861)*U5861*Y5861,0)</f>
        <v>21.9612096</v>
      </c>
    </row>
    <row r="5862">
      <c r="A5862" t="str">
        <f>A5845</f>
        <v>Lantai 3</v>
      </c>
      <c r="B5862">
        <f>B5845</f>
        <v>53</v>
      </c>
      <c r="C5862" t="str">
        <v>Tul Bawah Tumpuan</v>
      </c>
      <c r="D5862">
        <f>VLOOKUP(D5845,'Detail Balok'!$C$10:$AU$140,28,FALSE)</f>
        <v>3</v>
      </c>
      <c r="E5862" t="str">
        <v>D</v>
      </c>
      <c r="F5862">
        <f>VLOOKUP(D5845,'Detail Balok'!$C$10:$AU$140,30,FALSE)</f>
        <v>16</v>
      </c>
      <c r="I5862" t="str">
        <v>(</v>
      </c>
      <c r="J5862">
        <f>+J5854</f>
        <v>1.58125</v>
      </c>
      <c r="K5862" t="str">
        <v>+</v>
      </c>
      <c r="L5862">
        <f>MAX(VLOOKUP(F5862,N$6:P$15,3,FALSE)/1000,2/3*D5850/1000)+F$16*F5862/1000</f>
        <v>0.192</v>
      </c>
      <c r="M5862" t="str">
        <v>=</v>
      </c>
      <c r="N5862">
        <f>J5862+L5862</f>
        <v>1.77325</v>
      </c>
      <c r="O5862" t="str">
        <v>+</v>
      </c>
      <c r="P5862">
        <f>D5862-D5861</f>
        <v>-1</v>
      </c>
      <c r="Q5862" t="str">
        <v>x</v>
      </c>
      <c r="R5862">
        <f>IF(P5862&gt;0,$F$18*F5862/1000,0)</f>
        <v>0</v>
      </c>
      <c r="S5862" t="str">
        <v>)</v>
      </c>
      <c r="T5862" t="str">
        <v>x</v>
      </c>
      <c r="U5862">
        <f>0.006165*F5862^2</f>
        <v>1.57824</v>
      </c>
      <c r="X5862" t="str">
        <v>x</v>
      </c>
      <c r="Y5862">
        <f>D5851</f>
        <v>1</v>
      </c>
      <c r="Z5862" t="str">
        <v>=</v>
      </c>
      <c r="AA5862">
        <f>IF(AA5863=0,(D5862*N5862+P5862*R5862)*U5862*Y5862,0)</f>
        <v>8.39584224</v>
      </c>
    </row>
    <row r="5863">
      <c r="A5863" t="str">
        <f>A5845</f>
        <v>Lantai 3</v>
      </c>
      <c r="B5863">
        <f>B5845</f>
        <v>53</v>
      </c>
      <c r="D5863">
        <f>IF(AND(D5860=D5861,D5861=D5862,D5860=D5862),D5860,0)</f>
        <v>0</v>
      </c>
      <c r="E5863" t="str">
        <v>D</v>
      </c>
      <c r="F5863">
        <f>IF(AND(F5860=F5861,F5860=F5862,F5861=F5862),F5860,0)</f>
        <v>16</v>
      </c>
      <c r="L5863" t="str">
        <v>Total panjang per balok</v>
      </c>
      <c r="M5863" t="str">
        <v>=</v>
      </c>
      <c r="N5863">
        <f>IF(AND(D5860=D5861,D5860=D5862,D5861=D5862,F5860=F5861,F5860=F5862,F5861=F5862),SUM(N5860:N5862),0)</f>
        <v>0</v>
      </c>
      <c r="O5863" t="str">
        <v>+</v>
      </c>
      <c r="P5863">
        <f>IF(N5863&gt;12,ROUNDDOWN(N5863/12,0),0)</f>
        <v>0</v>
      </c>
      <c r="Q5863" t="str">
        <v>x</v>
      </c>
      <c r="R5863">
        <f>IF(P5863&gt;0,MAX(VLOOKUP(F5863,$D$6:$G$15,3,FALSE),600),0)/1000</f>
        <v>0</v>
      </c>
      <c r="T5863" t="str">
        <v>x</v>
      </c>
      <c r="U5863">
        <f>U5862</f>
        <v>1.57824</v>
      </c>
      <c r="V5863" t="str">
        <v>x</v>
      </c>
      <c r="W5863">
        <f>D5863</f>
        <v>0</v>
      </c>
      <c r="X5863" t="str">
        <v>x</v>
      </c>
      <c r="Y5863">
        <f>Y5862</f>
        <v>1</v>
      </c>
      <c r="Z5863" t="str">
        <v>=</v>
      </c>
      <c r="AA5863">
        <f>(N5863+P5863*R5863/1000)*U5863*W5863*Y5863</f>
        <v>0</v>
      </c>
    </row>
    <row r="5865">
      <c r="A5865" t="str">
        <f>A5845</f>
        <v>Lantai 3</v>
      </c>
      <c r="B5865">
        <f>B5845</f>
        <v>53</v>
      </c>
      <c r="C5865" t="str">
        <v>Sengkang Tumpuan</v>
      </c>
      <c r="D5865">
        <f>VLOOKUP(D5845,'Detail Balok'!$C$10:$AU$140,31,FALSE)</f>
        <v>0</v>
      </c>
      <c r="E5865" t="str">
        <v>D</v>
      </c>
      <c r="F5865">
        <f>VLOOKUP(D5845,'Detail Balok'!$C$10:$AU$140,33,FALSE)</f>
        <v>10</v>
      </c>
      <c r="G5865" t="str">
        <v>-</v>
      </c>
      <c r="H5865">
        <f>VLOOKUP(D5845,'Detail Balok'!$C$10:$AU$140,35,FALSE)</f>
        <v>100</v>
      </c>
      <c r="J5865">
        <f>(IF(D5865=0,(2*(D5846+G5846))-(F$5*8),IF(D5865=3,(2*(D5846+G5846))-(F$5*8)+(G5846-2*F$5),IF(D5865=4,(2*(D5846+G5846))-(F$5*8)+2*(G5846-2*F$5)))))/1000</f>
        <v>1.28</v>
      </c>
      <c r="K5865" t="str">
        <v>+</v>
      </c>
      <c r="L5865">
        <f>IF(D5865=0,2*MAX(6*F5865,75),(D5865-1)*2*MAX(6*F5865,75))/1000</f>
        <v>0.15</v>
      </c>
      <c r="M5865" t="str">
        <v>=</v>
      </c>
      <c r="N5865">
        <f>J5865+L5865</f>
        <v>1.43</v>
      </c>
      <c r="T5865" t="str">
        <v>x</v>
      </c>
      <c r="U5865">
        <f>0.006165*F5865^2</f>
        <v>0.6165</v>
      </c>
      <c r="V5865" t="str">
        <v>x</v>
      </c>
      <c r="W5865">
        <f>IF(D5848&gt;4*G5846,ROUND(MAX(D5848/4,2*G5846)/H5865,0)+1,ROUND(D5848/H5865,0)+1)</f>
        <v>17</v>
      </c>
      <c r="X5865" t="str">
        <v>x</v>
      </c>
      <c r="Y5865">
        <f>D5851</f>
        <v>1</v>
      </c>
      <c r="Z5865" t="str">
        <v>=</v>
      </c>
      <c r="AA5865">
        <f>N5865*U5865*W5865*Y5865</f>
        <v>14.987115000000001</v>
      </c>
    </row>
    <row r="5866">
      <c r="A5866" t="str">
        <f>A5845</f>
        <v>Lantai 3</v>
      </c>
      <c r="B5866">
        <f>B5845</f>
        <v>53</v>
      </c>
      <c r="C5866" t="str">
        <v>Sengkang Lapangan</v>
      </c>
      <c r="D5866">
        <f>VLOOKUP(D5845,'Detail Balok'!$C$10:$AU$140,36,FALSE)</f>
        <v>0</v>
      </c>
      <c r="E5866" t="str">
        <v>D</v>
      </c>
      <c r="F5866">
        <f>VLOOKUP(D5845,'Detail Balok'!$C$10:$AU$140,38,FALSE)</f>
        <v>10</v>
      </c>
      <c r="G5866" t="str">
        <v>-</v>
      </c>
      <c r="H5866">
        <f>VLOOKUP(D5845,'Detail Balok'!$C$10:$AU$140,40,FALSE)</f>
        <v>150</v>
      </c>
      <c r="J5866">
        <f>(IF(D5866=0,(2*(D5846+G5846))-(F$5*8),IF(D5866=3,(2*(D5846+G5846))-(F$5*8)+(G5846-2*F$5),IF(D5866=4,(2*(D5846+G5846))-(F$5*8)+2*(G5846-2*F$5)))))/1000</f>
        <v>1.28</v>
      </c>
      <c r="K5866" t="str">
        <v>+</v>
      </c>
      <c r="L5866">
        <f>IF(D5866=0,2*MAX(6*F5866,75),(D5866-1)*2*MAX(6*F5866,75))/1000</f>
        <v>0.15</v>
      </c>
      <c r="M5866" t="str">
        <v>=</v>
      </c>
      <c r="N5866">
        <f>J5866+L5866</f>
        <v>1.43</v>
      </c>
      <c r="T5866" t="str">
        <v>x</v>
      </c>
      <c r="U5866">
        <f>0.006165*F5866^2</f>
        <v>0.6165</v>
      </c>
      <c r="V5866" t="str">
        <v>x</v>
      </c>
      <c r="W5866">
        <f>IF(D5848-MAX(D5848/4,2*G5846)*2&gt;0,ROUND((D5848-MAX(D5848/4,2*G5846)*2)/H5866,0),0)</f>
        <v>21</v>
      </c>
      <c r="X5866" t="str">
        <v>x</v>
      </c>
      <c r="Y5866">
        <f>D5851</f>
        <v>1</v>
      </c>
      <c r="Z5866" t="str">
        <v>=</v>
      </c>
      <c r="AA5866">
        <f>N5866*U5866*W5866*Y5866</f>
        <v>18.513495</v>
      </c>
    </row>
    <row r="5867">
      <c r="A5867" t="str">
        <f>A5845</f>
        <v>Lantai 3</v>
      </c>
      <c r="B5867">
        <f>B5845</f>
        <v>53</v>
      </c>
      <c r="C5867" t="str">
        <v>Sengkang Tumpuan</v>
      </c>
      <c r="D5867">
        <f>VLOOKUP(D5845,'Detail Balok'!$C$10:$AU$140,41,FALSE)</f>
        <v>0</v>
      </c>
      <c r="E5867" t="str">
        <v>D</v>
      </c>
      <c r="F5867">
        <f>VLOOKUP(D5845,'Detail Balok'!$C$10:$AU$140,43,FALSE)</f>
        <v>10</v>
      </c>
      <c r="G5867" t="str">
        <v>-</v>
      </c>
      <c r="H5867">
        <f>VLOOKUP(D5845,'Detail Balok'!$C$10:$AU$140,45,FALSE)</f>
        <v>100</v>
      </c>
      <c r="J5867">
        <f>(IF(D5867=0,(2*(D5846+G5846))-(F$5*8),IF(D5867=3,(2*(D5846+G5846))-(F$5*8)+(G5846-2*F$5),IF(D5867=4,(2*(D5846+G5846))-(F$5*8)+2*(G5846-2*F$5)))))/1000</f>
        <v>1.28</v>
      </c>
      <c r="K5867" t="str">
        <v>+</v>
      </c>
      <c r="L5867">
        <f>IF(D5867=0,2*MAX(6*F5867,75),(D5867-1)*2*MAX(6*F5867,75))/1000</f>
        <v>0.15</v>
      </c>
      <c r="M5867" t="str">
        <v>=</v>
      </c>
      <c r="N5867">
        <f>J5867+L5867</f>
        <v>1.43</v>
      </c>
      <c r="T5867" t="str">
        <v>x</v>
      </c>
      <c r="U5867">
        <f>0.006165*F5867^2</f>
        <v>0.6165</v>
      </c>
      <c r="V5867" t="str">
        <v>x</v>
      </c>
      <c r="W5867">
        <f>IF(D5848&gt;4*G5846,ROUND(MAX(D5848/4,2*G5846)/H5867,0)+1,0)</f>
        <v>17</v>
      </c>
      <c r="X5867" t="str">
        <v>x</v>
      </c>
      <c r="Y5867">
        <f>D5851</f>
        <v>1</v>
      </c>
      <c r="Z5867" t="str">
        <v>=</v>
      </c>
      <c r="AA5867">
        <f>N5867*U5867*W5867*Y5867</f>
        <v>14.987115000000001</v>
      </c>
    </row>
    <row r="5869">
      <c r="A5869" t="str">
        <f>A5845</f>
        <v>Lantai 3</v>
      </c>
      <c r="B5869">
        <f>B5845</f>
        <v>53</v>
      </c>
      <c r="C5869" t="str">
        <v>Kait Horizontal Tump.</v>
      </c>
      <c r="D5869">
        <f>VLOOKUP(D5845,'Detail Balok'!$C$10:$BJ$140,46,FALSE)</f>
        <v>0</v>
      </c>
      <c r="E5869" t="str">
        <v>D</v>
      </c>
      <c r="F5869">
        <f>VLOOKUP(D5845,'Detail Balok'!$C$10:$BJ$140,48,FALSE)</f>
        <v>0</v>
      </c>
      <c r="G5869" t="str">
        <v>-</v>
      </c>
      <c r="H5869">
        <f>VLOOKUP(D5845,'Detail Balok'!$C$10:$BJ$140,50,FALSE)</f>
        <v>100</v>
      </c>
      <c r="J5869">
        <f>(D5846-2*F$5)/1000</f>
        <v>0.12</v>
      </c>
      <c r="K5869" t="str">
        <v>+</v>
      </c>
      <c r="L5869">
        <f>IF(D5869=0,2*MAX(6*F5869,75),(D5869-1)*2*MAX(6*F5869,75))/1000</f>
        <v>0.15</v>
      </c>
      <c r="M5869" t="str">
        <v>=</v>
      </c>
      <c r="N5869">
        <f>J5869+L5869</f>
        <v>0.27</v>
      </c>
      <c r="T5869" t="str">
        <v>x</v>
      </c>
      <c r="U5869">
        <f>0.006165*F5869^2</f>
        <v>0</v>
      </c>
      <c r="V5869" t="str">
        <v>x</v>
      </c>
      <c r="W5869">
        <f>W5865</f>
        <v>17</v>
      </c>
      <c r="X5869" t="str">
        <v>x</v>
      </c>
      <c r="Y5869">
        <f>D5855</f>
        <v>0</v>
      </c>
      <c r="Z5869" t="str">
        <v>=</v>
      </c>
      <c r="AA5869">
        <f>N5869*U5869*W5869*Y5869</f>
        <v>0</v>
      </c>
    </row>
    <row r="5870">
      <c r="A5870" t="str">
        <f>A5845</f>
        <v>Lantai 3</v>
      </c>
      <c r="B5870">
        <f>B5845</f>
        <v>53</v>
      </c>
      <c r="C5870" t="str">
        <v>Kait Horizontal Lap.</v>
      </c>
      <c r="D5870">
        <f>VLOOKUP(D5845,'Detail Balok'!$C$10:$BJ$140,51,FALSE)</f>
        <v>0</v>
      </c>
      <c r="E5870" t="str">
        <v>D</v>
      </c>
      <c r="F5870">
        <f>VLOOKUP(D5845,'Detail Balok'!$C$10:$BJ$140,53,FALSE)</f>
        <v>0</v>
      </c>
      <c r="G5870" t="str">
        <v>-</v>
      </c>
      <c r="H5870">
        <f>VLOOKUP(D5845,'Detail Balok'!$C$10:$BJ$140,55,FALSE)</f>
        <v>100</v>
      </c>
      <c r="J5870">
        <f>(D5846-2*F$5)/1000</f>
        <v>0.12</v>
      </c>
      <c r="K5870" t="str">
        <v>+</v>
      </c>
      <c r="L5870">
        <f>IF(D5870=0,2*MAX(6*F5870,75),(D5870-1)*2*MAX(6*F5870,75))/1000</f>
        <v>0.15</v>
      </c>
      <c r="M5870" t="str">
        <v>=</v>
      </c>
      <c r="N5870">
        <f>J5870+L5870</f>
        <v>0.27</v>
      </c>
      <c r="T5870" t="str">
        <v>x</v>
      </c>
      <c r="U5870">
        <f>0.006165*F5870^2</f>
        <v>0</v>
      </c>
      <c r="V5870" t="str">
        <v>x</v>
      </c>
      <c r="W5870">
        <f>W5866</f>
        <v>21</v>
      </c>
      <c r="X5870" t="str">
        <v>x</v>
      </c>
      <c r="Y5870">
        <f>D5855</f>
        <v>0</v>
      </c>
      <c r="Z5870" t="str">
        <v>=</v>
      </c>
      <c r="AA5870">
        <f>N5870*U5870*W5870*Y5870</f>
        <v>0</v>
      </c>
    </row>
    <row r="5871">
      <c r="A5871" t="str">
        <f>A5845</f>
        <v>Lantai 3</v>
      </c>
      <c r="B5871">
        <f>B5845</f>
        <v>53</v>
      </c>
      <c r="C5871" t="str">
        <v>Kait Horizontal Tump.</v>
      </c>
      <c r="D5871">
        <f>VLOOKUP(D5845,'Detail Balok'!$C$10:$BJ$140,56,FALSE)</f>
        <v>0</v>
      </c>
      <c r="E5871" t="str">
        <v>D</v>
      </c>
      <c r="F5871">
        <f>VLOOKUP(D5845,'Detail Balok'!$C$10:$BJ$140,58,FALSE)</f>
        <v>0</v>
      </c>
      <c r="G5871" t="str">
        <v>-</v>
      </c>
      <c r="H5871">
        <f>VLOOKUP(D5845,'Detail Balok'!$C$10:$BJ$140,60,FALSE)</f>
        <v>100</v>
      </c>
      <c r="J5871">
        <f>(D5846-2*F$5)/1000</f>
        <v>0.12</v>
      </c>
      <c r="K5871" t="str">
        <v>+</v>
      </c>
      <c r="L5871">
        <f>IF(D5871=0,2*MAX(6*F5871,75),(D5871-1)*2*MAX(6*F5871,75))/1000</f>
        <v>0.15</v>
      </c>
      <c r="M5871" t="str">
        <v>=</v>
      </c>
      <c r="N5871">
        <f>J5871+L5871</f>
        <v>0.27</v>
      </c>
      <c r="T5871" t="str">
        <v>x</v>
      </c>
      <c r="U5871">
        <f>0.006165*F5871^2</f>
        <v>0</v>
      </c>
      <c r="V5871" t="str">
        <v>x</v>
      </c>
      <c r="W5871">
        <f>W5867</f>
        <v>17</v>
      </c>
      <c r="X5871" t="str">
        <v>x</v>
      </c>
      <c r="Y5871">
        <f>D5855</f>
        <v>0</v>
      </c>
      <c r="Z5871" t="str">
        <v>=</v>
      </c>
      <c r="AA5871">
        <f>N5871*U5871*W5871*Y5871</f>
        <v>0</v>
      </c>
    </row>
    <row r="5875">
      <c r="A5875" t="str">
        <f>A5845</f>
        <v>Lantai 3</v>
      </c>
      <c r="B5875">
        <f>B5845+1</f>
        <v>54</v>
      </c>
      <c r="C5875" t="str">
        <f>CONCATENATE(A5875," no. ",B5875)</f>
        <v>Lantai 3 no. 54</v>
      </c>
      <c r="D5875" t="str">
        <f>VLOOKUP(C5875,'Data Panjang Balok'!$C$9:$N$254,2,FALSE)</f>
        <v>B26-1</v>
      </c>
    </row>
    <row r="5876">
      <c r="C5876" t="str">
        <v>Dimensi</v>
      </c>
      <c r="D5876">
        <f>VLOOKUP(D5875,'Detail Balok'!$C$10:$AU$140,2,FALSE)</f>
        <v>200</v>
      </c>
      <c r="F5876" t="str">
        <v>x</v>
      </c>
      <c r="G5876">
        <f>VLOOKUP(D5875,'Detail Balok'!$C$10:$AU$140,3,FALSE)</f>
        <v>600</v>
      </c>
    </row>
    <row r="5877">
      <c r="C5877" t="str">
        <v>Panjang as ke as</v>
      </c>
      <c r="D5877">
        <f>VLOOKUP(C5875,'Data Panjang Balok'!$C$9:$N$254,4,FALSE)</f>
        <v>4555</v>
      </c>
    </row>
    <row r="5878">
      <c r="C5878" t="str">
        <v>Panjang netto</v>
      </c>
      <c r="D5878">
        <f>VLOOKUP(C5875,'Data Panjang Balok'!$C$9:$N$254,7,FALSE)</f>
        <v>4555</v>
      </c>
    </row>
    <row r="5879">
      <c r="C5879" t="str">
        <v>Kolom / balok kiri</v>
      </c>
      <c r="D5879">
        <f>VLOOKUP(C5875,'Data Panjang Balok'!$C$9:$N$254,9,FALSE)</f>
        <v>0</v>
      </c>
    </row>
    <row r="5880">
      <c r="C5880" t="str">
        <v>Kolom / balok kanan</v>
      </c>
      <c r="D5880">
        <f>VLOOKUP(C5875,'Data Panjang Balok'!$C$9:$N$254,10,FALSE)</f>
        <v>0</v>
      </c>
    </row>
    <row r="5881">
      <c r="C5881" t="str">
        <v>Jumlah</v>
      </c>
      <c r="D5881">
        <f>VLOOKUP(C5875,'Data Panjang Balok'!$C$9:$N$254,3,FALSE)</f>
        <v>1</v>
      </c>
    </row>
    <row r="5882">
      <c r="A5882" t="str">
        <f>A5875</f>
        <v>Lantai 3</v>
      </c>
      <c r="B5882">
        <f>B5875</f>
        <v>54</v>
      </c>
      <c r="C5882" t="str">
        <v>Tul Atas Tumpuan</v>
      </c>
      <c r="D5882">
        <f>VLOOKUP(D5875,'Detail Balok'!$C$10:$AU$140,4,FALSE)</f>
        <v>4</v>
      </c>
      <c r="E5882" t="str">
        <v>D</v>
      </c>
      <c r="F5882">
        <f>VLOOKUP(D5875,'Detail Balok'!$C$10:$AU$140,6,FALSE)</f>
        <v>16</v>
      </c>
      <c r="I5882" t="str">
        <v>(</v>
      </c>
      <c r="J5882">
        <f>+D5877/4/1000</f>
        <v>1.13875</v>
      </c>
      <c r="K5882" t="str">
        <v>+</v>
      </c>
      <c r="L5882">
        <f>MAX(VLOOKUP(F5882,N$6:P$15,3,FALSE)/1000,2/3*D5879/1000)+F$16*F5882/1000</f>
        <v>0.192</v>
      </c>
      <c r="M5882" t="str">
        <v>=</v>
      </c>
      <c r="N5882">
        <f>J5882+L5882</f>
        <v>1.3307499999999999</v>
      </c>
      <c r="O5882" t="str">
        <v>+</v>
      </c>
      <c r="P5882">
        <f>D5882-D5883</f>
        <v>1</v>
      </c>
      <c r="Q5882" t="str">
        <v>x</v>
      </c>
      <c r="R5882">
        <f>IF(P5882&gt;0,$F$18*F5882/1000,0)</f>
        <v>0.24</v>
      </c>
      <c r="S5882" t="str">
        <v>)</v>
      </c>
      <c r="T5882" t="str">
        <v>x</v>
      </c>
      <c r="U5882">
        <f>0.006165*F5882^2</f>
        <v>1.57824</v>
      </c>
      <c r="X5882" t="str">
        <v>x</v>
      </c>
      <c r="Y5882">
        <f>D5881</f>
        <v>1</v>
      </c>
      <c r="Z5882" t="str">
        <v>=</v>
      </c>
      <c r="AA5882">
        <f>IF(AA5885=0,(D5882*N5882+P5882*R5882)*U5882*Y5882,0)</f>
        <v>8.77974912</v>
      </c>
    </row>
    <row r="5883">
      <c r="A5883" t="str">
        <f>A5875</f>
        <v>Lantai 3</v>
      </c>
      <c r="B5883">
        <f>B5875</f>
        <v>54</v>
      </c>
      <c r="C5883" t="str">
        <v>Tul Atas Lapangan</v>
      </c>
      <c r="D5883">
        <f>VLOOKUP(D5875,'Detail Balok'!$C$10:$AU$140,7,FALSE)</f>
        <v>3</v>
      </c>
      <c r="E5883" t="str">
        <v>D</v>
      </c>
      <c r="F5883">
        <f>VLOOKUP(D5875,'Detail Balok'!$C$10:$AU$140,9,FALSE)</f>
        <v>16</v>
      </c>
      <c r="I5883" t="str">
        <v>(</v>
      </c>
      <c r="J5883">
        <f>+D5877/2/1000</f>
        <v>2.2775</v>
      </c>
      <c r="K5883" t="str">
        <v>+</v>
      </c>
      <c r="M5883" t="str">
        <v>=</v>
      </c>
      <c r="N5883">
        <f>J5883+L5883</f>
        <v>2.2775</v>
      </c>
      <c r="O5883" t="str">
        <v>+</v>
      </c>
      <c r="P5883">
        <f>MAX(D5883-D5882,D5883-D5884)</f>
        <v>-1</v>
      </c>
      <c r="Q5883" t="str">
        <v>x</v>
      </c>
      <c r="R5883">
        <f>IF(P5883&gt;0,2*(1-2*$F$19-1/2)*D5878/1000,0)</f>
        <v>0</v>
      </c>
      <c r="S5883" t="str">
        <v>)</v>
      </c>
      <c r="T5883" t="str">
        <v>x</v>
      </c>
      <c r="U5883">
        <f>0.006165*F5883^2</f>
        <v>1.57824</v>
      </c>
      <c r="X5883" t="str">
        <v>x</v>
      </c>
      <c r="Y5883">
        <f>D5881</f>
        <v>1</v>
      </c>
      <c r="Z5883" t="str">
        <v>=</v>
      </c>
      <c r="AA5883">
        <f>IF(AA5885=0,(D5883*N5883+P5883*R5883)*U5883*Y5883,0)</f>
        <v>10.783324799999999</v>
      </c>
    </row>
    <row r="5884">
      <c r="A5884" t="str">
        <f>A5875</f>
        <v>Lantai 3</v>
      </c>
      <c r="B5884">
        <f>B5875</f>
        <v>54</v>
      </c>
      <c r="C5884" t="str">
        <v>Tul Atas Tumpuan</v>
      </c>
      <c r="D5884">
        <f>VLOOKUP(D5875,'Detail Balok'!$C$10:$AU$140,10,FALSE)</f>
        <v>4</v>
      </c>
      <c r="E5884" t="str">
        <v>D</v>
      </c>
      <c r="F5884">
        <f>VLOOKUP(D5875,'Detail Balok'!$C$10:$AU$140,12,FALSE)</f>
        <v>16</v>
      </c>
      <c r="I5884" t="str">
        <v>(</v>
      </c>
      <c r="J5884">
        <f>+D5877/4/1000</f>
        <v>1.13875</v>
      </c>
      <c r="K5884" t="str">
        <v>+</v>
      </c>
      <c r="L5884">
        <f>MAX(VLOOKUP(F5884,N$6:P$15,3,FALSE)/1000,2/3*D5879/1000)+F$16*F5884/1000</f>
        <v>0.192</v>
      </c>
      <c r="M5884" t="str">
        <v>=</v>
      </c>
      <c r="N5884">
        <f>J5884+L5884</f>
        <v>1.3307499999999999</v>
      </c>
      <c r="O5884" t="str">
        <v>+</v>
      </c>
      <c r="P5884">
        <f>D5884-D5883</f>
        <v>1</v>
      </c>
      <c r="Q5884" t="str">
        <v>x</v>
      </c>
      <c r="R5884">
        <f>IF(P5884&gt;0,$F$18*F5884/1000,0)</f>
        <v>0.24</v>
      </c>
      <c r="S5884" t="str">
        <v>)</v>
      </c>
      <c r="T5884" t="str">
        <v>x</v>
      </c>
      <c r="U5884">
        <f>0.006165*F5884^2</f>
        <v>1.57824</v>
      </c>
      <c r="X5884" t="str">
        <v>x</v>
      </c>
      <c r="Y5884">
        <f>D5881</f>
        <v>1</v>
      </c>
      <c r="Z5884" t="str">
        <v>=</v>
      </c>
      <c r="AA5884">
        <f>IF(AA5885=0,(D5884*N5884+P5884*R5884)*U5884*Y5884,0)</f>
        <v>8.77974912</v>
      </c>
    </row>
    <row r="5885">
      <c r="A5885" t="str">
        <f>A5875</f>
        <v>Lantai 3</v>
      </c>
      <c r="B5885">
        <f>B5875</f>
        <v>54</v>
      </c>
      <c r="D5885">
        <f>IF(AND(D5882=D5883,D5883=D5884,D5882=D5884),D5882,0)</f>
        <v>0</v>
      </c>
      <c r="E5885" t="str">
        <v>D</v>
      </c>
      <c r="F5885">
        <f>IF(AND(F5882=F5883,F5882=F5884,F5883=F5884),F5882,0)</f>
        <v>16</v>
      </c>
      <c r="L5885" t="str">
        <v>Total panjang per balok</v>
      </c>
      <c r="M5885" t="str">
        <v>=</v>
      </c>
      <c r="N5885">
        <f>IF(AND(D5882=D5883,D5882=D5884,D5883=D5884,F5882=F5883,F5882=F5884,F5883=F5884),SUM(N5882:N5884),0)</f>
        <v>0</v>
      </c>
      <c r="O5885" t="str">
        <v>+</v>
      </c>
      <c r="P5885">
        <f>IF(N5885&gt;12,ROUNDDOWN(N5885/12,0),0)</f>
        <v>0</v>
      </c>
      <c r="Q5885" t="str">
        <v>x</v>
      </c>
      <c r="R5885">
        <f>IF(P5885&gt;0,MAX(VLOOKUP(F5885,$D$6:$G$15,3,FALSE),600),0)/1000</f>
        <v>0</v>
      </c>
      <c r="T5885" t="str">
        <v>x</v>
      </c>
      <c r="U5885">
        <f>U5884</f>
        <v>1.57824</v>
      </c>
      <c r="V5885" t="str">
        <v>x</v>
      </c>
      <c r="W5885">
        <f>D5885</f>
        <v>0</v>
      </c>
      <c r="X5885" t="str">
        <v>x</v>
      </c>
      <c r="Y5885">
        <f>Y5884</f>
        <v>1</v>
      </c>
      <c r="Z5885" t="str">
        <v>=</v>
      </c>
      <c r="AA5885">
        <f>(N5885+P5885*R5885/1000)*U5885*W5885*Y5885</f>
        <v>0</v>
      </c>
    </row>
    <row r="5887">
      <c r="A5887" t="str">
        <f>A5875</f>
        <v>Lantai 3</v>
      </c>
      <c r="B5887">
        <f>B5875</f>
        <v>54</v>
      </c>
      <c r="C5887" t="str">
        <v>Tul Peminggang</v>
      </c>
      <c r="D5887">
        <f>VLOOKUP(D5875,'Detail Balok'!$C$10:$AU$140,13,FALSE)</f>
        <v>2</v>
      </c>
      <c r="E5887" t="str">
        <v>D</v>
      </c>
      <c r="F5887">
        <f>VLOOKUP(D5875,'Detail Balok'!$C$10:$AU$140,15,FALSE)</f>
        <v>10</v>
      </c>
      <c r="J5887">
        <f>+D5877/1000</f>
        <v>4.555</v>
      </c>
      <c r="K5887" t="str">
        <v>+</v>
      </c>
      <c r="L5887">
        <f>2*$F$16*F5887/1000</f>
        <v>0.24</v>
      </c>
      <c r="M5887" t="str">
        <v>=</v>
      </c>
      <c r="N5887">
        <f>J5887+L5887</f>
        <v>4.795</v>
      </c>
      <c r="O5887" t="str">
        <v>+</v>
      </c>
      <c r="P5887">
        <f>IF(N5887&gt;12,ROUNDDOWN(N5887/12,0),0)</f>
        <v>0</v>
      </c>
      <c r="Q5887" t="str">
        <v>x</v>
      </c>
      <c r="R5887">
        <f>IF(P5887&gt;0,MAX(VLOOKUP(F5887,$D$6:$G$15,3,FALSE),600),0)/1000</f>
        <v>0</v>
      </c>
      <c r="T5887" t="str">
        <v>x</v>
      </c>
      <c r="U5887">
        <f>0.006165*F5887^2</f>
        <v>0.6165</v>
      </c>
      <c r="V5887" t="str">
        <v>x</v>
      </c>
      <c r="W5887">
        <f>+D5887</f>
        <v>2</v>
      </c>
      <c r="X5887" t="str">
        <v>x</v>
      </c>
      <c r="Y5887">
        <f>D5881</f>
        <v>1</v>
      </c>
      <c r="Z5887" t="str">
        <v>=</v>
      </c>
      <c r="AA5887">
        <f>(N5887+P5887*R5887/1000)*U5887*W5887*Y5887</f>
        <v>5.912235000000001</v>
      </c>
    </row>
    <row r="5890">
      <c r="A5890" t="str">
        <f>A5875</f>
        <v>Lantai 3</v>
      </c>
      <c r="B5890">
        <f>B5875</f>
        <v>54</v>
      </c>
      <c r="C5890" t="str">
        <v>Tul Bawah Tumpuan</v>
      </c>
      <c r="D5890">
        <f>VLOOKUP(D5875,'Detail Balok'!$C$10:$AU$140,22,FALSE)</f>
        <v>3</v>
      </c>
      <c r="E5890" t="str">
        <v>D</v>
      </c>
      <c r="F5890">
        <f>VLOOKUP(D5875,'Detail Balok'!$C$10:$AU$140,24,FALSE)</f>
        <v>16</v>
      </c>
      <c r="I5890" t="str">
        <v>(</v>
      </c>
      <c r="J5890">
        <f>+J5882</f>
        <v>1.13875</v>
      </c>
      <c r="K5890" t="str">
        <v>+</v>
      </c>
      <c r="L5890">
        <f>MAX(VLOOKUP(F5890,N$6:P$15,3,FALSE)/1000,2/3*D5880/1000)+F$16*F5890/1000</f>
        <v>0.192</v>
      </c>
      <c r="M5890" t="str">
        <v>=</v>
      </c>
      <c r="N5890">
        <f>J5890+L5890</f>
        <v>1.3307499999999999</v>
      </c>
      <c r="O5890" t="str">
        <v>+</v>
      </c>
      <c r="P5890">
        <f>D5890-D5891</f>
        <v>-1</v>
      </c>
      <c r="Q5890" t="str">
        <v>x</v>
      </c>
      <c r="R5890">
        <f>IF(P5890&gt;0,$F$18*F5890/1000,0)</f>
        <v>0</v>
      </c>
      <c r="S5890" t="str">
        <v>)</v>
      </c>
      <c r="T5890" t="str">
        <v>x</v>
      </c>
      <c r="U5890">
        <f>0.006165*F5890^2</f>
        <v>1.57824</v>
      </c>
      <c r="X5890" t="str">
        <v>x</v>
      </c>
      <c r="Y5890">
        <f>D5881</f>
        <v>1</v>
      </c>
      <c r="Z5890" t="str">
        <v>=</v>
      </c>
      <c r="AA5890">
        <f>IF(AA5893=0,(D5890*N5890+P5890*R5890)*U5890*Y5890,0)</f>
        <v>6.300728639999999</v>
      </c>
    </row>
    <row r="5891">
      <c r="A5891" t="str">
        <f>A5875</f>
        <v>Lantai 3</v>
      </c>
      <c r="B5891">
        <f>B5875</f>
        <v>54</v>
      </c>
      <c r="C5891" t="str">
        <v>Tul Bawah Lapangan</v>
      </c>
      <c r="D5891">
        <f>VLOOKUP(D5875,'Detail Balok'!$C$10:$AU$140,25,FALSE)</f>
        <v>4</v>
      </c>
      <c r="E5891" t="str">
        <v>D</v>
      </c>
      <c r="F5891">
        <f>VLOOKUP(D5875,'Detail Balok'!$C$10:$AU$140,27,FALSE)</f>
        <v>16</v>
      </c>
      <c r="I5891" t="str">
        <v>(</v>
      </c>
      <c r="J5891">
        <f>+J5883</f>
        <v>2.2775</v>
      </c>
      <c r="K5891" t="str">
        <v>+</v>
      </c>
      <c r="M5891" t="str">
        <v>=</v>
      </c>
      <c r="N5891">
        <f>J5891+L5891</f>
        <v>2.2775</v>
      </c>
      <c r="O5891" t="str">
        <v>+</v>
      </c>
      <c r="P5891">
        <f>MAX(D5891-D5890,D5891-D5892)</f>
        <v>1</v>
      </c>
      <c r="Q5891" t="str">
        <v>x</v>
      </c>
      <c r="R5891">
        <f>IF(P5891&gt;0,2*(1-2*$F$19-1/2)*D5878/1000,0)</f>
        <v>0.9109999999999998</v>
      </c>
      <c r="S5891" t="str">
        <v>)</v>
      </c>
      <c r="T5891" t="str">
        <v>x</v>
      </c>
      <c r="U5891">
        <f>0.006165*F5891^2</f>
        <v>1.57824</v>
      </c>
      <c r="X5891" t="str">
        <v>x</v>
      </c>
      <c r="Y5891">
        <f>D5881</f>
        <v>1</v>
      </c>
      <c r="Z5891" t="str">
        <v>=</v>
      </c>
      <c r="AA5891">
        <f>IF(AA5893=0,(D5891*N5891+P5891*R5891)*U5891*Y5891,0)</f>
        <v>15.81554304</v>
      </c>
    </row>
    <row r="5892">
      <c r="A5892" t="str">
        <f>A5875</f>
        <v>Lantai 3</v>
      </c>
      <c r="B5892">
        <f>B5875</f>
        <v>54</v>
      </c>
      <c r="C5892" t="str">
        <v>Tul Bawah Tumpuan</v>
      </c>
      <c r="D5892">
        <f>VLOOKUP(D5875,'Detail Balok'!$C$10:$AU$140,28,FALSE)</f>
        <v>3</v>
      </c>
      <c r="E5892" t="str">
        <v>D</v>
      </c>
      <c r="F5892">
        <f>VLOOKUP(D5875,'Detail Balok'!$C$10:$AU$140,30,FALSE)</f>
        <v>16</v>
      </c>
      <c r="I5892" t="str">
        <v>(</v>
      </c>
      <c r="J5892">
        <f>+J5884</f>
        <v>1.13875</v>
      </c>
      <c r="K5892" t="str">
        <v>+</v>
      </c>
      <c r="L5892">
        <f>MAX(VLOOKUP(F5892,N$6:P$15,3,FALSE)/1000,2/3*D5880/1000)+F$16*F5892/1000</f>
        <v>0.192</v>
      </c>
      <c r="M5892" t="str">
        <v>=</v>
      </c>
      <c r="N5892">
        <f>J5892+L5892</f>
        <v>1.3307499999999999</v>
      </c>
      <c r="O5892" t="str">
        <v>+</v>
      </c>
      <c r="P5892">
        <f>D5892-D5891</f>
        <v>-1</v>
      </c>
      <c r="Q5892" t="str">
        <v>x</v>
      </c>
      <c r="R5892">
        <f>IF(P5892&gt;0,$F$18*F5892/1000,0)</f>
        <v>0</v>
      </c>
      <c r="S5892" t="str">
        <v>)</v>
      </c>
      <c r="T5892" t="str">
        <v>x</v>
      </c>
      <c r="U5892">
        <f>0.006165*F5892^2</f>
        <v>1.57824</v>
      </c>
      <c r="X5892" t="str">
        <v>x</v>
      </c>
      <c r="Y5892">
        <f>D5881</f>
        <v>1</v>
      </c>
      <c r="Z5892" t="str">
        <v>=</v>
      </c>
      <c r="AA5892">
        <f>IF(AA5893=0,(D5892*N5892+P5892*R5892)*U5892*Y5892,0)</f>
        <v>6.300728639999999</v>
      </c>
    </row>
    <row r="5893">
      <c r="A5893" t="str">
        <f>A5875</f>
        <v>Lantai 3</v>
      </c>
      <c r="B5893">
        <f>B5875</f>
        <v>54</v>
      </c>
      <c r="D5893">
        <f>IF(AND(D5890=D5891,D5891=D5892,D5890=D5892),D5890,0)</f>
        <v>0</v>
      </c>
      <c r="E5893" t="str">
        <v>D</v>
      </c>
      <c r="F5893">
        <f>IF(AND(F5890=F5891,F5890=F5892,F5891=F5892),F5890,0)</f>
        <v>16</v>
      </c>
      <c r="L5893" t="str">
        <v>Total panjang per balok</v>
      </c>
      <c r="M5893" t="str">
        <v>=</v>
      </c>
      <c r="N5893">
        <f>IF(AND(D5890=D5891,D5890=D5892,D5891=D5892,F5890=F5891,F5890=F5892,F5891=F5892),SUM(N5890:N5892),0)</f>
        <v>0</v>
      </c>
      <c r="O5893" t="str">
        <v>+</v>
      </c>
      <c r="P5893">
        <f>IF(N5893&gt;12,ROUNDDOWN(N5893/12,0),0)</f>
        <v>0</v>
      </c>
      <c r="Q5893" t="str">
        <v>x</v>
      </c>
      <c r="R5893">
        <f>IF(P5893&gt;0,MAX(VLOOKUP(F5893,$D$6:$G$15,3,FALSE),600),0)/1000</f>
        <v>0</v>
      </c>
      <c r="T5893" t="str">
        <v>x</v>
      </c>
      <c r="U5893">
        <f>U5892</f>
        <v>1.57824</v>
      </c>
      <c r="V5893" t="str">
        <v>x</v>
      </c>
      <c r="W5893">
        <f>D5893</f>
        <v>0</v>
      </c>
      <c r="X5893" t="str">
        <v>x</v>
      </c>
      <c r="Y5893">
        <f>Y5892</f>
        <v>1</v>
      </c>
      <c r="Z5893" t="str">
        <v>=</v>
      </c>
      <c r="AA5893">
        <f>(N5893+P5893*R5893/1000)*U5893*W5893*Y5893</f>
        <v>0</v>
      </c>
    </row>
    <row r="5895">
      <c r="A5895" t="str">
        <f>A5875</f>
        <v>Lantai 3</v>
      </c>
      <c r="B5895">
        <f>B5875</f>
        <v>54</v>
      </c>
      <c r="C5895" t="str">
        <v>Sengkang Tumpuan</v>
      </c>
      <c r="D5895">
        <f>VLOOKUP(D5875,'Detail Balok'!$C$10:$AU$140,31,FALSE)</f>
        <v>0</v>
      </c>
      <c r="E5895" t="str">
        <v>D</v>
      </c>
      <c r="F5895">
        <f>VLOOKUP(D5875,'Detail Balok'!$C$10:$AU$140,33,FALSE)</f>
        <v>10</v>
      </c>
      <c r="G5895" t="str">
        <v>-</v>
      </c>
      <c r="H5895">
        <f>VLOOKUP(D5875,'Detail Balok'!$C$10:$AU$140,35,FALSE)</f>
        <v>100</v>
      </c>
      <c r="J5895">
        <f>(IF(D5895=0,(2*(D5876+G5876))-(F$5*8),IF(D5895=3,(2*(D5876+G5876))-(F$5*8)+(G5876-2*F$5),IF(D5895=4,(2*(D5876+G5876))-(F$5*8)+2*(G5876-2*F$5)))))/1000</f>
        <v>1.28</v>
      </c>
      <c r="K5895" t="str">
        <v>+</v>
      </c>
      <c r="L5895">
        <f>IF(D5895=0,2*MAX(6*F5895,75),(D5895-1)*2*MAX(6*F5895,75))/1000</f>
        <v>0.15</v>
      </c>
      <c r="M5895" t="str">
        <v>=</v>
      </c>
      <c r="N5895">
        <f>J5895+L5895</f>
        <v>1.43</v>
      </c>
      <c r="T5895" t="str">
        <v>x</v>
      </c>
      <c r="U5895">
        <f>0.006165*F5895^2</f>
        <v>0.6165</v>
      </c>
      <c r="V5895" t="str">
        <v>x</v>
      </c>
      <c r="W5895">
        <f>IF(D5878&gt;4*G5876,ROUND(MAX(D5878/4,2*G5876)/H5895,0)+1,ROUND(D5878/H5895,0)+1)</f>
        <v>13</v>
      </c>
      <c r="X5895" t="str">
        <v>x</v>
      </c>
      <c r="Y5895">
        <f>D5881</f>
        <v>1</v>
      </c>
      <c r="Z5895" t="str">
        <v>=</v>
      </c>
      <c r="AA5895">
        <f>N5895*U5895*W5895*Y5895</f>
        <v>11.460735</v>
      </c>
    </row>
    <row r="5896">
      <c r="A5896" t="str">
        <f>A5875</f>
        <v>Lantai 3</v>
      </c>
      <c r="B5896">
        <f>B5875</f>
        <v>54</v>
      </c>
      <c r="C5896" t="str">
        <v>Sengkang Lapangan</v>
      </c>
      <c r="D5896">
        <f>VLOOKUP(D5875,'Detail Balok'!$C$10:$AU$140,36,FALSE)</f>
        <v>0</v>
      </c>
      <c r="E5896" t="str">
        <v>D</v>
      </c>
      <c r="F5896">
        <f>VLOOKUP(D5875,'Detail Balok'!$C$10:$AU$140,38,FALSE)</f>
        <v>10</v>
      </c>
      <c r="G5896" t="str">
        <v>-</v>
      </c>
      <c r="H5896">
        <f>VLOOKUP(D5875,'Detail Balok'!$C$10:$AU$140,40,FALSE)</f>
        <v>150</v>
      </c>
      <c r="J5896">
        <f>(IF(D5896=0,(2*(D5876+G5876))-(F$5*8),IF(D5896=3,(2*(D5876+G5876))-(F$5*8)+(G5876-2*F$5),IF(D5896=4,(2*(D5876+G5876))-(F$5*8)+2*(G5876-2*F$5)))))/1000</f>
        <v>1.28</v>
      </c>
      <c r="K5896" t="str">
        <v>+</v>
      </c>
      <c r="L5896">
        <f>IF(D5896=0,2*MAX(6*F5896,75),(D5896-1)*2*MAX(6*F5896,75))/1000</f>
        <v>0.15</v>
      </c>
      <c r="M5896" t="str">
        <v>=</v>
      </c>
      <c r="N5896">
        <f>J5896+L5896</f>
        <v>1.43</v>
      </c>
      <c r="T5896" t="str">
        <v>x</v>
      </c>
      <c r="U5896">
        <f>0.006165*F5896^2</f>
        <v>0.6165</v>
      </c>
      <c r="V5896" t="str">
        <v>x</v>
      </c>
      <c r="W5896">
        <f>IF(D5878-MAX(D5878/4,2*G5876)*2&gt;0,ROUND((D5878-MAX(D5878/4,2*G5876)*2)/H5896,0),0)</f>
        <v>14</v>
      </c>
      <c r="X5896" t="str">
        <v>x</v>
      </c>
      <c r="Y5896">
        <f>D5881</f>
        <v>1</v>
      </c>
      <c r="Z5896" t="str">
        <v>=</v>
      </c>
      <c r="AA5896">
        <f>N5896*U5896*W5896*Y5896</f>
        <v>12.34233</v>
      </c>
    </row>
    <row r="5897">
      <c r="A5897" t="str">
        <f>A5875</f>
        <v>Lantai 3</v>
      </c>
      <c r="B5897">
        <f>B5875</f>
        <v>54</v>
      </c>
      <c r="C5897" t="str">
        <v>Sengkang Tumpuan</v>
      </c>
      <c r="D5897">
        <f>VLOOKUP(D5875,'Detail Balok'!$C$10:$AU$140,41,FALSE)</f>
        <v>0</v>
      </c>
      <c r="E5897" t="str">
        <v>D</v>
      </c>
      <c r="F5897">
        <f>VLOOKUP(D5875,'Detail Balok'!$C$10:$AU$140,43,FALSE)</f>
        <v>10</v>
      </c>
      <c r="G5897" t="str">
        <v>-</v>
      </c>
      <c r="H5897">
        <f>VLOOKUP(D5875,'Detail Balok'!$C$10:$AU$140,45,FALSE)</f>
        <v>100</v>
      </c>
      <c r="J5897">
        <f>(IF(D5897=0,(2*(D5876+G5876))-(F$5*8),IF(D5897=3,(2*(D5876+G5876))-(F$5*8)+(G5876-2*F$5),IF(D5897=4,(2*(D5876+G5876))-(F$5*8)+2*(G5876-2*F$5)))))/1000</f>
        <v>1.28</v>
      </c>
      <c r="K5897" t="str">
        <v>+</v>
      </c>
      <c r="L5897">
        <f>IF(D5897=0,2*MAX(6*F5897,75),(D5897-1)*2*MAX(6*F5897,75))/1000</f>
        <v>0.15</v>
      </c>
      <c r="M5897" t="str">
        <v>=</v>
      </c>
      <c r="N5897">
        <f>J5897+L5897</f>
        <v>1.43</v>
      </c>
      <c r="T5897" t="str">
        <v>x</v>
      </c>
      <c r="U5897">
        <f>0.006165*F5897^2</f>
        <v>0.6165</v>
      </c>
      <c r="V5897" t="str">
        <v>x</v>
      </c>
      <c r="W5897">
        <f>IF(D5878&gt;4*G5876,ROUND(MAX(D5878/4,2*G5876)/H5897,0)+1,0)</f>
        <v>13</v>
      </c>
      <c r="X5897" t="str">
        <v>x</v>
      </c>
      <c r="Y5897">
        <f>D5881</f>
        <v>1</v>
      </c>
      <c r="Z5897" t="str">
        <v>=</v>
      </c>
      <c r="AA5897">
        <f>N5897*U5897*W5897*Y5897</f>
        <v>11.460735</v>
      </c>
    </row>
    <row r="5899">
      <c r="A5899" t="str">
        <f>A5875</f>
        <v>Lantai 3</v>
      </c>
      <c r="B5899">
        <f>B5875</f>
        <v>54</v>
      </c>
      <c r="C5899" t="str">
        <v>Kait Horizontal Tump.</v>
      </c>
      <c r="D5899">
        <f>VLOOKUP(D5875,'Detail Balok'!$C$10:$BJ$140,46,FALSE)</f>
        <v>0</v>
      </c>
      <c r="E5899" t="str">
        <v>D</v>
      </c>
      <c r="F5899">
        <f>VLOOKUP(D5875,'Detail Balok'!$C$10:$BJ$140,48,FALSE)</f>
        <v>0</v>
      </c>
      <c r="G5899" t="str">
        <v>-</v>
      </c>
      <c r="H5899">
        <f>VLOOKUP(D5875,'Detail Balok'!$C$10:$BJ$140,50,FALSE)</f>
        <v>100</v>
      </c>
      <c r="J5899">
        <f>(D5876-2*F$5)/1000</f>
        <v>0.12</v>
      </c>
      <c r="K5899" t="str">
        <v>+</v>
      </c>
      <c r="L5899">
        <f>IF(D5899=0,2*MAX(6*F5899,75),(D5899-1)*2*MAX(6*F5899,75))/1000</f>
        <v>0.15</v>
      </c>
      <c r="M5899" t="str">
        <v>=</v>
      </c>
      <c r="N5899">
        <f>J5899+L5899</f>
        <v>0.27</v>
      </c>
      <c r="T5899" t="str">
        <v>x</v>
      </c>
      <c r="U5899">
        <f>0.006165*F5899^2</f>
        <v>0</v>
      </c>
      <c r="V5899" t="str">
        <v>x</v>
      </c>
      <c r="W5899">
        <f>W5895</f>
        <v>13</v>
      </c>
      <c r="X5899" t="str">
        <v>x</v>
      </c>
      <c r="Y5899">
        <f>D5885</f>
        <v>0</v>
      </c>
      <c r="Z5899" t="str">
        <v>=</v>
      </c>
      <c r="AA5899">
        <f>N5899*U5899*W5899*Y5899</f>
        <v>0</v>
      </c>
    </row>
    <row r="5900">
      <c r="A5900" t="str">
        <f>A5875</f>
        <v>Lantai 3</v>
      </c>
      <c r="B5900">
        <f>B5875</f>
        <v>54</v>
      </c>
      <c r="C5900" t="str">
        <v>Kait Horizontal Lap.</v>
      </c>
      <c r="D5900">
        <f>VLOOKUP(D5875,'Detail Balok'!$C$10:$BJ$140,51,FALSE)</f>
        <v>0</v>
      </c>
      <c r="E5900" t="str">
        <v>D</v>
      </c>
      <c r="F5900">
        <f>VLOOKUP(D5875,'Detail Balok'!$C$10:$BJ$140,53,FALSE)</f>
        <v>0</v>
      </c>
      <c r="G5900" t="str">
        <v>-</v>
      </c>
      <c r="H5900">
        <f>VLOOKUP(D5875,'Detail Balok'!$C$10:$BJ$140,55,FALSE)</f>
        <v>100</v>
      </c>
      <c r="J5900">
        <f>(D5876-2*F$5)/1000</f>
        <v>0.12</v>
      </c>
      <c r="K5900" t="str">
        <v>+</v>
      </c>
      <c r="L5900">
        <f>IF(D5900=0,2*MAX(6*F5900,75),(D5900-1)*2*MAX(6*F5900,75))/1000</f>
        <v>0.15</v>
      </c>
      <c r="M5900" t="str">
        <v>=</v>
      </c>
      <c r="N5900">
        <f>J5900+L5900</f>
        <v>0.27</v>
      </c>
      <c r="T5900" t="str">
        <v>x</v>
      </c>
      <c r="U5900">
        <f>0.006165*F5900^2</f>
        <v>0</v>
      </c>
      <c r="V5900" t="str">
        <v>x</v>
      </c>
      <c r="W5900">
        <f>W5896</f>
        <v>14</v>
      </c>
      <c r="X5900" t="str">
        <v>x</v>
      </c>
      <c r="Y5900">
        <f>D5885</f>
        <v>0</v>
      </c>
      <c r="Z5900" t="str">
        <v>=</v>
      </c>
      <c r="AA5900">
        <f>N5900*U5900*W5900*Y5900</f>
        <v>0</v>
      </c>
    </row>
    <row r="5901">
      <c r="A5901" t="str">
        <f>A5875</f>
        <v>Lantai 3</v>
      </c>
      <c r="B5901">
        <f>B5875</f>
        <v>54</v>
      </c>
      <c r="C5901" t="str">
        <v>Kait Horizontal Tump.</v>
      </c>
      <c r="D5901">
        <f>VLOOKUP(D5875,'Detail Balok'!$C$10:$BJ$140,56,FALSE)</f>
        <v>0</v>
      </c>
      <c r="E5901" t="str">
        <v>D</v>
      </c>
      <c r="F5901">
        <f>VLOOKUP(D5875,'Detail Balok'!$C$10:$BJ$140,58,FALSE)</f>
        <v>0</v>
      </c>
      <c r="G5901" t="str">
        <v>-</v>
      </c>
      <c r="H5901">
        <f>VLOOKUP(D5875,'Detail Balok'!$C$10:$BJ$140,60,FALSE)</f>
        <v>100</v>
      </c>
      <c r="J5901">
        <f>(D5876-2*F$5)/1000</f>
        <v>0.12</v>
      </c>
      <c r="K5901" t="str">
        <v>+</v>
      </c>
      <c r="L5901">
        <f>IF(D5901=0,2*MAX(6*F5901,75),(D5901-1)*2*MAX(6*F5901,75))/1000</f>
        <v>0.15</v>
      </c>
      <c r="M5901" t="str">
        <v>=</v>
      </c>
      <c r="N5901">
        <f>J5901+L5901</f>
        <v>0.27</v>
      </c>
      <c r="T5901" t="str">
        <v>x</v>
      </c>
      <c r="U5901">
        <f>0.006165*F5901^2</f>
        <v>0</v>
      </c>
      <c r="V5901" t="str">
        <v>x</v>
      </c>
      <c r="W5901">
        <f>W5897</f>
        <v>13</v>
      </c>
      <c r="X5901" t="str">
        <v>x</v>
      </c>
      <c r="Y5901">
        <f>D5885</f>
        <v>0</v>
      </c>
      <c r="Z5901" t="str">
        <v>=</v>
      </c>
      <c r="AA5901">
        <f>N5901*U5901*W5901*Y5901</f>
        <v>0</v>
      </c>
    </row>
    <row r="5905">
      <c r="A5905" t="str">
        <f>A5875</f>
        <v>Lantai 3</v>
      </c>
      <c r="B5905">
        <f>B5875+1</f>
        <v>55</v>
      </c>
      <c r="C5905" t="str">
        <f>CONCATENATE(A5905," no. ",B5905)</f>
        <v>Lantai 3 no. 55</v>
      </c>
      <c r="D5905" t="str">
        <f>VLOOKUP(C5905,'Data Panjang Balok'!$C$9:$N$254,2,FALSE)</f>
        <v>CL24-1</v>
      </c>
    </row>
    <row r="5906">
      <c r="C5906" t="str">
        <v>Dimensi</v>
      </c>
      <c r="D5906">
        <f>VLOOKUP(D5905,'Detail Balok'!$C$10:$AU$140,2,FALSE)</f>
        <v>200</v>
      </c>
      <c r="F5906" t="str">
        <v>x</v>
      </c>
      <c r="G5906">
        <f>VLOOKUP(D5905,'Detail Balok'!$C$10:$AU$140,3,FALSE)</f>
        <v>400</v>
      </c>
    </row>
    <row r="5907">
      <c r="C5907" t="str">
        <v>Panjang as ke as</v>
      </c>
      <c r="D5907">
        <f>VLOOKUP(C5905,'Data Panjang Balok'!$C$9:$N$254,4,FALSE)</f>
        <v>5300</v>
      </c>
    </row>
    <row r="5908">
      <c r="C5908" t="str">
        <v>Panjang netto</v>
      </c>
      <c r="D5908">
        <f>VLOOKUP(C5905,'Data Panjang Balok'!$C$9:$N$254,7,FALSE)</f>
        <v>5300</v>
      </c>
    </row>
    <row r="5909">
      <c r="C5909" t="str">
        <v>Kolom / balok kiri</v>
      </c>
      <c r="D5909">
        <f>VLOOKUP(C5905,'Data Panjang Balok'!$C$9:$N$254,9,FALSE)</f>
        <v>0</v>
      </c>
    </row>
    <row r="5910">
      <c r="C5910" t="str">
        <v>Kolom / balok kanan</v>
      </c>
      <c r="D5910">
        <f>VLOOKUP(C5905,'Data Panjang Balok'!$C$9:$N$254,10,FALSE)</f>
        <v>0</v>
      </c>
    </row>
    <row r="5911">
      <c r="C5911" t="str">
        <v>Jumlah</v>
      </c>
      <c r="D5911">
        <f>VLOOKUP(C5905,'Data Panjang Balok'!$C$9:$N$254,3,FALSE)</f>
        <v>1</v>
      </c>
    </row>
    <row r="5912">
      <c r="A5912" t="str">
        <f>A5905</f>
        <v>Lantai 3</v>
      </c>
      <c r="B5912">
        <f>B5905</f>
        <v>55</v>
      </c>
      <c r="C5912" t="str">
        <v>Tul Atas Tumpuan</v>
      </c>
      <c r="D5912">
        <f>VLOOKUP(D5905,'Detail Balok'!$C$10:$AU$140,4,FALSE)</f>
        <v>3</v>
      </c>
      <c r="E5912" t="str">
        <v>D</v>
      </c>
      <c r="F5912">
        <f>VLOOKUP(D5905,'Detail Balok'!$C$10:$AU$140,6,FALSE)</f>
        <v>16</v>
      </c>
      <c r="I5912" t="str">
        <v>(</v>
      </c>
      <c r="J5912">
        <f>+D5907/4/1000</f>
        <v>1.325</v>
      </c>
      <c r="K5912" t="str">
        <v>+</v>
      </c>
      <c r="L5912">
        <f>MAX(VLOOKUP(F5912,N$6:P$15,3,FALSE)/1000,2/3*D5909/1000)+F$16*F5912/1000</f>
        <v>0.192</v>
      </c>
      <c r="M5912" t="str">
        <v>=</v>
      </c>
      <c r="N5912">
        <f>J5912+L5912</f>
        <v>1.517</v>
      </c>
      <c r="O5912" t="str">
        <v>+</v>
      </c>
      <c r="P5912">
        <f>D5912-D5913</f>
        <v>0</v>
      </c>
      <c r="Q5912" t="str">
        <v>x</v>
      </c>
      <c r="R5912">
        <f>IF(P5912&gt;0,$F$18*F5912/1000,0)</f>
        <v>0</v>
      </c>
      <c r="S5912" t="str">
        <v>)</v>
      </c>
      <c r="T5912" t="str">
        <v>x</v>
      </c>
      <c r="U5912">
        <f>0.006165*F5912^2</f>
        <v>1.57824</v>
      </c>
      <c r="X5912" t="str">
        <v>x</v>
      </c>
      <c r="Y5912">
        <f>D5911</f>
        <v>1</v>
      </c>
      <c r="Z5912" t="str">
        <v>=</v>
      </c>
      <c r="AA5912">
        <f>IF(AA5915=0,(D5912*N5912+P5912*R5912)*U5912*Y5912,0)</f>
        <v>0</v>
      </c>
    </row>
    <row r="5913">
      <c r="A5913" t="str">
        <f>A5905</f>
        <v>Lantai 3</v>
      </c>
      <c r="B5913">
        <f>B5905</f>
        <v>55</v>
      </c>
      <c r="C5913" t="str">
        <v>Tul Atas Lapangan</v>
      </c>
      <c r="D5913">
        <f>VLOOKUP(D5905,'Detail Balok'!$C$10:$AU$140,7,FALSE)</f>
        <v>3</v>
      </c>
      <c r="E5913" t="str">
        <v>D</v>
      </c>
      <c r="F5913">
        <f>VLOOKUP(D5905,'Detail Balok'!$C$10:$AU$140,9,FALSE)</f>
        <v>16</v>
      </c>
      <c r="I5913" t="str">
        <v>(</v>
      </c>
      <c r="J5913">
        <f>+D5907/2/1000</f>
        <v>2.65</v>
      </c>
      <c r="K5913" t="str">
        <v>+</v>
      </c>
      <c r="M5913" t="str">
        <v>=</v>
      </c>
      <c r="N5913">
        <f>J5913+L5913</f>
        <v>2.65</v>
      </c>
      <c r="O5913" t="str">
        <v>+</v>
      </c>
      <c r="P5913">
        <f>MAX(D5913-D5912,D5913-D5914)</f>
        <v>0</v>
      </c>
      <c r="Q5913" t="str">
        <v>x</v>
      </c>
      <c r="R5913">
        <f>IF(P5913&gt;0,2*(1-2*$F$19-1/2)*D5908/1000,0)</f>
        <v>0</v>
      </c>
      <c r="S5913" t="str">
        <v>)</v>
      </c>
      <c r="T5913" t="str">
        <v>x</v>
      </c>
      <c r="U5913">
        <f>0.006165*F5913^2</f>
        <v>1.57824</v>
      </c>
      <c r="X5913" t="str">
        <v>x</v>
      </c>
      <c r="Y5913">
        <f>D5911</f>
        <v>1</v>
      </c>
      <c r="Z5913" t="str">
        <v>=</v>
      </c>
      <c r="AA5913">
        <f>IF(AA5915=0,(D5913*N5913+P5913*R5913)*U5913*Y5913,0)</f>
        <v>0</v>
      </c>
    </row>
    <row r="5914">
      <c r="A5914" t="str">
        <f>A5905</f>
        <v>Lantai 3</v>
      </c>
      <c r="B5914">
        <f>B5905</f>
        <v>55</v>
      </c>
      <c r="C5914" t="str">
        <v>Tul Atas Tumpuan</v>
      </c>
      <c r="D5914">
        <f>VLOOKUP(D5905,'Detail Balok'!$C$10:$AU$140,10,FALSE)</f>
        <v>3</v>
      </c>
      <c r="E5914" t="str">
        <v>D</v>
      </c>
      <c r="F5914">
        <f>VLOOKUP(D5905,'Detail Balok'!$C$10:$AU$140,12,FALSE)</f>
        <v>16</v>
      </c>
      <c r="I5914" t="str">
        <v>(</v>
      </c>
      <c r="J5914">
        <f>+D5907/4/1000</f>
        <v>1.325</v>
      </c>
      <c r="K5914" t="str">
        <v>+</v>
      </c>
      <c r="L5914">
        <f>MAX(VLOOKUP(F5914,N$6:P$15,3,FALSE)/1000,2/3*D5909/1000)+F$16*F5914/1000</f>
        <v>0.192</v>
      </c>
      <c r="M5914" t="str">
        <v>=</v>
      </c>
      <c r="N5914">
        <f>J5914+L5914</f>
        <v>1.517</v>
      </c>
      <c r="O5914" t="str">
        <v>+</v>
      </c>
      <c r="P5914">
        <f>D5914-D5913</f>
        <v>0</v>
      </c>
      <c r="Q5914" t="str">
        <v>x</v>
      </c>
      <c r="R5914">
        <f>IF(P5914&gt;0,$F$18*F5914/1000,0)</f>
        <v>0</v>
      </c>
      <c r="S5914" t="str">
        <v>)</v>
      </c>
      <c r="T5914" t="str">
        <v>x</v>
      </c>
      <c r="U5914">
        <f>0.006165*F5914^2</f>
        <v>1.57824</v>
      </c>
      <c r="X5914" t="str">
        <v>x</v>
      </c>
      <c r="Y5914">
        <f>D5911</f>
        <v>1</v>
      </c>
      <c r="Z5914" t="str">
        <v>=</v>
      </c>
      <c r="AA5914">
        <f>IF(AA5915=0,(D5914*N5914+P5914*R5914)*U5914*Y5914,0)</f>
        <v>0</v>
      </c>
    </row>
    <row r="5915">
      <c r="A5915" t="str">
        <f>A5905</f>
        <v>Lantai 3</v>
      </c>
      <c r="B5915">
        <f>B5905</f>
        <v>55</v>
      </c>
      <c r="D5915">
        <f>IF(AND(D5912=D5913,D5913=D5914,D5912=D5914),D5912,0)</f>
        <v>3</v>
      </c>
      <c r="E5915" t="str">
        <v>D</v>
      </c>
      <c r="F5915">
        <f>IF(AND(F5912=F5913,F5912=F5914,F5913=F5914),F5912,0)</f>
        <v>16</v>
      </c>
      <c r="L5915" t="str">
        <v>Total panjang per balok</v>
      </c>
      <c r="M5915" t="str">
        <v>=</v>
      </c>
      <c r="N5915">
        <f>IF(AND(D5912=D5913,D5912=D5914,D5913=D5914,F5912=F5913,F5912=F5914,F5913=F5914),SUM(N5912:N5914),0)</f>
        <v>5.683999999999999</v>
      </c>
      <c r="O5915" t="str">
        <v>+</v>
      </c>
      <c r="P5915">
        <f>IF(N5915&gt;12,ROUNDDOWN(N5915/12,0),0)</f>
        <v>0</v>
      </c>
      <c r="Q5915" t="str">
        <v>x</v>
      </c>
      <c r="R5915">
        <f>IF(P5915&gt;0,MAX(VLOOKUP(F5915,$D$6:$G$15,3,FALSE),600),0)/1000</f>
        <v>0</v>
      </c>
      <c r="T5915" t="str">
        <v>x</v>
      </c>
      <c r="U5915">
        <f>U5914</f>
        <v>1.57824</v>
      </c>
      <c r="V5915" t="str">
        <v>x</v>
      </c>
      <c r="W5915">
        <f>D5915</f>
        <v>3</v>
      </c>
      <c r="X5915" t="str">
        <v>x</v>
      </c>
      <c r="Y5915">
        <f>Y5914</f>
        <v>1</v>
      </c>
      <c r="Z5915" t="str">
        <v>=</v>
      </c>
      <c r="AA5915">
        <f>(N5915+P5915*R5915/1000)*U5915*W5915*Y5915</f>
        <v>26.912148479999995</v>
      </c>
    </row>
    <row r="5917">
      <c r="A5917" t="str">
        <f>A5905</f>
        <v>Lantai 3</v>
      </c>
      <c r="B5917">
        <f>B5905</f>
        <v>55</v>
      </c>
      <c r="C5917" t="str">
        <v>Tul Peminggang</v>
      </c>
      <c r="D5917">
        <f>VLOOKUP(D5905,'Detail Balok'!$C$10:$AU$140,13,FALSE)</f>
        <v>0</v>
      </c>
      <c r="E5917" t="str">
        <v>D</v>
      </c>
      <c r="F5917">
        <f>VLOOKUP(D5905,'Detail Balok'!$C$10:$AU$140,15,FALSE)</f>
        <v>8</v>
      </c>
      <c r="J5917">
        <f>+D5907/1000</f>
        <v>5.3</v>
      </c>
      <c r="K5917" t="str">
        <v>+</v>
      </c>
      <c r="L5917">
        <f>2*$F$16*F5917/1000</f>
        <v>0.192</v>
      </c>
      <c r="M5917" t="str">
        <v>=</v>
      </c>
      <c r="N5917">
        <f>J5917+L5917</f>
        <v>5.492</v>
      </c>
      <c r="O5917" t="str">
        <v>+</v>
      </c>
      <c r="P5917">
        <f>IF(N5917&gt;12,ROUNDDOWN(N5917/12,0),0)</f>
        <v>0</v>
      </c>
      <c r="Q5917" t="str">
        <v>x</v>
      </c>
      <c r="R5917">
        <f>IF(P5917&gt;0,MAX(VLOOKUP(F5917,$D$6:$G$15,3,FALSE),600),0)/1000</f>
        <v>0</v>
      </c>
      <c r="T5917" t="str">
        <v>x</v>
      </c>
      <c r="U5917">
        <f>0.006165*F5917^2</f>
        <v>0.39456</v>
      </c>
      <c r="V5917" t="str">
        <v>x</v>
      </c>
      <c r="W5917">
        <f>+D5917</f>
        <v>0</v>
      </c>
      <c r="X5917" t="str">
        <v>x</v>
      </c>
      <c r="Y5917">
        <f>D5911</f>
        <v>1</v>
      </c>
      <c r="Z5917" t="str">
        <v>=</v>
      </c>
      <c r="AA5917">
        <f>(N5917+P5917*R5917/1000)*U5917*W5917*Y5917</f>
        <v>0</v>
      </c>
    </row>
    <row r="5920">
      <c r="A5920" t="str">
        <f>A5905</f>
        <v>Lantai 3</v>
      </c>
      <c r="B5920">
        <f>B5905</f>
        <v>55</v>
      </c>
      <c r="C5920" t="str">
        <v>Tul Bawah Tumpuan</v>
      </c>
      <c r="D5920">
        <f>VLOOKUP(D5905,'Detail Balok'!$C$10:$AU$140,22,FALSE)</f>
        <v>3</v>
      </c>
      <c r="E5920" t="str">
        <v>D</v>
      </c>
      <c r="F5920">
        <f>VLOOKUP(D5905,'Detail Balok'!$C$10:$AU$140,24,FALSE)</f>
        <v>16</v>
      </c>
      <c r="I5920" t="str">
        <v>(</v>
      </c>
      <c r="J5920">
        <f>+J5912</f>
        <v>1.325</v>
      </c>
      <c r="K5920" t="str">
        <v>+</v>
      </c>
      <c r="L5920">
        <f>MAX(VLOOKUP(F5920,N$6:P$15,3,FALSE)/1000,2/3*D5910/1000)+F$16*F5920/1000</f>
        <v>0.192</v>
      </c>
      <c r="M5920" t="str">
        <v>=</v>
      </c>
      <c r="N5920">
        <f>J5920+L5920</f>
        <v>1.517</v>
      </c>
      <c r="O5920" t="str">
        <v>+</v>
      </c>
      <c r="P5920">
        <f>D5920-D5921</f>
        <v>0</v>
      </c>
      <c r="Q5920" t="str">
        <v>x</v>
      </c>
      <c r="R5920">
        <f>IF(P5920&gt;0,$F$18*F5920/1000,0)</f>
        <v>0</v>
      </c>
      <c r="S5920" t="str">
        <v>)</v>
      </c>
      <c r="T5920" t="str">
        <v>x</v>
      </c>
      <c r="U5920">
        <f>0.006165*F5920^2</f>
        <v>1.57824</v>
      </c>
      <c r="X5920" t="str">
        <v>x</v>
      </c>
      <c r="Y5920">
        <f>D5911</f>
        <v>1</v>
      </c>
      <c r="Z5920" t="str">
        <v>=</v>
      </c>
      <c r="AA5920">
        <f>IF(AA5923=0,(D5920*N5920+P5920*R5920)*U5920*Y5920,0)</f>
        <v>0</v>
      </c>
    </row>
    <row r="5921">
      <c r="A5921" t="str">
        <f>A5905</f>
        <v>Lantai 3</v>
      </c>
      <c r="B5921">
        <f>B5905</f>
        <v>55</v>
      </c>
      <c r="C5921" t="str">
        <v>Tul Bawah Lapangan</v>
      </c>
      <c r="D5921">
        <f>VLOOKUP(D5905,'Detail Balok'!$C$10:$AU$140,25,FALSE)</f>
        <v>3</v>
      </c>
      <c r="E5921" t="str">
        <v>D</v>
      </c>
      <c r="F5921">
        <f>VLOOKUP(D5905,'Detail Balok'!$C$10:$AU$140,27,FALSE)</f>
        <v>16</v>
      </c>
      <c r="I5921" t="str">
        <v>(</v>
      </c>
      <c r="J5921">
        <f>+J5913</f>
        <v>2.65</v>
      </c>
      <c r="K5921" t="str">
        <v>+</v>
      </c>
      <c r="M5921" t="str">
        <v>=</v>
      </c>
      <c r="N5921">
        <f>J5921+L5921</f>
        <v>2.65</v>
      </c>
      <c r="O5921" t="str">
        <v>+</v>
      </c>
      <c r="P5921">
        <f>MAX(D5921-D5920,D5921-D5922)</f>
        <v>0</v>
      </c>
      <c r="Q5921" t="str">
        <v>x</v>
      </c>
      <c r="R5921">
        <f>IF(P5921&gt;0,2*(1-2*$F$19-1/2)*D5908/1000,0)</f>
        <v>0</v>
      </c>
      <c r="S5921" t="str">
        <v>)</v>
      </c>
      <c r="T5921" t="str">
        <v>x</v>
      </c>
      <c r="U5921">
        <f>0.006165*F5921^2</f>
        <v>1.57824</v>
      </c>
      <c r="X5921" t="str">
        <v>x</v>
      </c>
      <c r="Y5921">
        <f>D5911</f>
        <v>1</v>
      </c>
      <c r="Z5921" t="str">
        <v>=</v>
      </c>
      <c r="AA5921">
        <f>IF(AA5923=0,(D5921*N5921+P5921*R5921)*U5921*Y5921,0)</f>
        <v>0</v>
      </c>
    </row>
    <row r="5922">
      <c r="A5922" t="str">
        <f>A5905</f>
        <v>Lantai 3</v>
      </c>
      <c r="B5922">
        <f>B5905</f>
        <v>55</v>
      </c>
      <c r="C5922" t="str">
        <v>Tul Bawah Tumpuan</v>
      </c>
      <c r="D5922">
        <f>VLOOKUP(D5905,'Detail Balok'!$C$10:$AU$140,28,FALSE)</f>
        <v>3</v>
      </c>
      <c r="E5922" t="str">
        <v>D</v>
      </c>
      <c r="F5922">
        <f>VLOOKUP(D5905,'Detail Balok'!$C$10:$AU$140,30,FALSE)</f>
        <v>16</v>
      </c>
      <c r="I5922" t="str">
        <v>(</v>
      </c>
      <c r="J5922">
        <f>+J5914</f>
        <v>1.325</v>
      </c>
      <c r="K5922" t="str">
        <v>+</v>
      </c>
      <c r="L5922">
        <f>MAX(VLOOKUP(F5922,N$6:P$15,3,FALSE)/1000,2/3*D5910/1000)+F$16*F5922/1000</f>
        <v>0.192</v>
      </c>
      <c r="M5922" t="str">
        <v>=</v>
      </c>
      <c r="N5922">
        <f>J5922+L5922</f>
        <v>1.517</v>
      </c>
      <c r="O5922" t="str">
        <v>+</v>
      </c>
      <c r="P5922">
        <f>D5922-D5921</f>
        <v>0</v>
      </c>
      <c r="Q5922" t="str">
        <v>x</v>
      </c>
      <c r="R5922">
        <f>IF(P5922&gt;0,$F$18*F5922/1000,0)</f>
        <v>0</v>
      </c>
      <c r="S5922" t="str">
        <v>)</v>
      </c>
      <c r="T5922" t="str">
        <v>x</v>
      </c>
      <c r="U5922">
        <f>0.006165*F5922^2</f>
        <v>1.57824</v>
      </c>
      <c r="X5922" t="str">
        <v>x</v>
      </c>
      <c r="Y5922">
        <f>D5911</f>
        <v>1</v>
      </c>
      <c r="Z5922" t="str">
        <v>=</v>
      </c>
      <c r="AA5922">
        <f>IF(AA5923=0,(D5922*N5922+P5922*R5922)*U5922*Y5922,0)</f>
        <v>0</v>
      </c>
    </row>
    <row r="5923">
      <c r="A5923" t="str">
        <f>A5905</f>
        <v>Lantai 3</v>
      </c>
      <c r="B5923">
        <f>B5905</f>
        <v>55</v>
      </c>
      <c r="D5923">
        <f>IF(AND(D5920=D5921,D5921=D5922,D5920=D5922),D5920,0)</f>
        <v>3</v>
      </c>
      <c r="E5923" t="str">
        <v>D</v>
      </c>
      <c r="F5923">
        <f>IF(AND(F5920=F5921,F5920=F5922,F5921=F5922),F5920,0)</f>
        <v>16</v>
      </c>
      <c r="L5923" t="str">
        <v>Total panjang per balok</v>
      </c>
      <c r="M5923" t="str">
        <v>=</v>
      </c>
      <c r="N5923">
        <f>IF(AND(D5920=D5921,D5920=D5922,D5921=D5922,F5920=F5921,F5920=F5922,F5921=F5922),SUM(N5920:N5922),0)</f>
        <v>5.683999999999999</v>
      </c>
      <c r="O5923" t="str">
        <v>+</v>
      </c>
      <c r="P5923">
        <f>IF(N5923&gt;12,ROUNDDOWN(N5923/12,0),0)</f>
        <v>0</v>
      </c>
      <c r="Q5923" t="str">
        <v>x</v>
      </c>
      <c r="R5923">
        <f>IF(P5923&gt;0,MAX(VLOOKUP(F5923,$D$6:$G$15,3,FALSE),600),0)/1000</f>
        <v>0</v>
      </c>
      <c r="T5923" t="str">
        <v>x</v>
      </c>
      <c r="U5923">
        <f>U5922</f>
        <v>1.57824</v>
      </c>
      <c r="V5923" t="str">
        <v>x</v>
      </c>
      <c r="W5923">
        <f>D5923</f>
        <v>3</v>
      </c>
      <c r="X5923" t="str">
        <v>x</v>
      </c>
      <c r="Y5923">
        <f>Y5922</f>
        <v>1</v>
      </c>
      <c r="Z5923" t="str">
        <v>=</v>
      </c>
      <c r="AA5923">
        <f>(N5923+P5923*R5923/1000)*U5923*W5923*Y5923</f>
        <v>26.912148479999995</v>
      </c>
    </row>
    <row r="5925">
      <c r="A5925" t="str">
        <f>A5905</f>
        <v>Lantai 3</v>
      </c>
      <c r="B5925">
        <f>B5905</f>
        <v>55</v>
      </c>
      <c r="C5925" t="str">
        <v>Sengkang Tumpuan</v>
      </c>
      <c r="D5925">
        <f>VLOOKUP(D5905,'Detail Balok'!$C$10:$AU$140,31,FALSE)</f>
        <v>0</v>
      </c>
      <c r="E5925" t="str">
        <v>D</v>
      </c>
      <c r="F5925">
        <f>VLOOKUP(D5905,'Detail Balok'!$C$10:$AU$140,33,FALSE)</f>
        <v>10</v>
      </c>
      <c r="G5925" t="str">
        <v>-</v>
      </c>
      <c r="H5925">
        <f>VLOOKUP(D5905,'Detail Balok'!$C$10:$AU$140,35,FALSE)</f>
        <v>100</v>
      </c>
      <c r="J5925">
        <f>(IF(D5925=0,(2*(D5906+G5906))-(F$5*8),IF(D5925=3,(2*(D5906+G5906))-(F$5*8)+(G5906-2*F$5),IF(D5925=4,(2*(D5906+G5906))-(F$5*8)+2*(G5906-2*F$5)))))/1000</f>
        <v>0.88</v>
      </c>
      <c r="K5925" t="str">
        <v>+</v>
      </c>
      <c r="L5925">
        <f>IF(D5925=0,2*MAX(6*F5925,75),(D5925-1)*2*MAX(6*F5925,75))/1000</f>
        <v>0.15</v>
      </c>
      <c r="M5925" t="str">
        <v>=</v>
      </c>
      <c r="N5925">
        <f>J5925+L5925</f>
        <v>1.03</v>
      </c>
      <c r="T5925" t="str">
        <v>x</v>
      </c>
      <c r="U5925">
        <f>0.006165*F5925^2</f>
        <v>0.6165</v>
      </c>
      <c r="V5925" t="str">
        <v>x</v>
      </c>
      <c r="W5925">
        <f>IF(D5908&gt;4*G5906,ROUND(MAX(D5908/4,2*G5906)/H5925,0)+1,ROUND(D5908/H5925,0)+1)</f>
        <v>14</v>
      </c>
      <c r="X5925" t="str">
        <v>x</v>
      </c>
      <c r="Y5925">
        <f>D5911</f>
        <v>1</v>
      </c>
      <c r="Z5925" t="str">
        <v>=</v>
      </c>
      <c r="AA5925">
        <f>N5925*U5925*W5925*Y5925</f>
        <v>8.889930000000001</v>
      </c>
    </row>
    <row r="5926">
      <c r="A5926" t="str">
        <f>A5905</f>
        <v>Lantai 3</v>
      </c>
      <c r="B5926">
        <f>B5905</f>
        <v>55</v>
      </c>
      <c r="C5926" t="str">
        <v>Sengkang Lapangan</v>
      </c>
      <c r="D5926">
        <f>VLOOKUP(D5905,'Detail Balok'!$C$10:$AU$140,36,FALSE)</f>
        <v>0</v>
      </c>
      <c r="E5926" t="str">
        <v>D</v>
      </c>
      <c r="F5926">
        <f>VLOOKUP(D5905,'Detail Balok'!$C$10:$AU$140,38,FALSE)</f>
        <v>10</v>
      </c>
      <c r="G5926" t="str">
        <v>-</v>
      </c>
      <c r="H5926">
        <f>VLOOKUP(D5905,'Detail Balok'!$C$10:$AU$140,40,FALSE)</f>
        <v>100</v>
      </c>
      <c r="J5926">
        <f>(IF(D5926=0,(2*(D5906+G5906))-(F$5*8),IF(D5926=3,(2*(D5906+G5906))-(F$5*8)+(G5906-2*F$5),IF(D5926=4,(2*(D5906+G5906))-(F$5*8)+2*(G5906-2*F$5)))))/1000</f>
        <v>0.88</v>
      </c>
      <c r="K5926" t="str">
        <v>+</v>
      </c>
      <c r="L5926">
        <f>IF(D5926=0,2*MAX(6*F5926,75),(D5926-1)*2*MAX(6*F5926,75))/1000</f>
        <v>0.15</v>
      </c>
      <c r="M5926" t="str">
        <v>=</v>
      </c>
      <c r="N5926">
        <f>J5926+L5926</f>
        <v>1.03</v>
      </c>
      <c r="T5926" t="str">
        <v>x</v>
      </c>
      <c r="U5926">
        <f>0.006165*F5926^2</f>
        <v>0.6165</v>
      </c>
      <c r="V5926" t="str">
        <v>x</v>
      </c>
      <c r="W5926">
        <f>IF(D5908-MAX(D5908/4,2*G5906)*2&gt;0,ROUND((D5908-MAX(D5908/4,2*G5906)*2)/H5926,0),0)</f>
        <v>27</v>
      </c>
      <c r="X5926" t="str">
        <v>x</v>
      </c>
      <c r="Y5926">
        <f>D5911</f>
        <v>1</v>
      </c>
      <c r="Z5926" t="str">
        <v>=</v>
      </c>
      <c r="AA5926">
        <f>N5926*U5926*W5926*Y5926</f>
        <v>17.144865000000003</v>
      </c>
    </row>
    <row r="5927">
      <c r="A5927" t="str">
        <f>A5905</f>
        <v>Lantai 3</v>
      </c>
      <c r="B5927">
        <f>B5905</f>
        <v>55</v>
      </c>
      <c r="C5927" t="str">
        <v>Sengkang Tumpuan</v>
      </c>
      <c r="D5927">
        <f>VLOOKUP(D5905,'Detail Balok'!$C$10:$AU$140,41,FALSE)</f>
        <v>0</v>
      </c>
      <c r="E5927" t="str">
        <v>D</v>
      </c>
      <c r="F5927">
        <f>VLOOKUP(D5905,'Detail Balok'!$C$10:$AU$140,43,FALSE)</f>
        <v>10</v>
      </c>
      <c r="G5927" t="str">
        <v>-</v>
      </c>
      <c r="H5927">
        <f>VLOOKUP(D5905,'Detail Balok'!$C$10:$AU$140,45,FALSE)</f>
        <v>100</v>
      </c>
      <c r="J5927">
        <f>(IF(D5927=0,(2*(D5906+G5906))-(F$5*8),IF(D5927=3,(2*(D5906+G5906))-(F$5*8)+(G5906-2*F$5),IF(D5927=4,(2*(D5906+G5906))-(F$5*8)+2*(G5906-2*F$5)))))/1000</f>
        <v>0.88</v>
      </c>
      <c r="K5927" t="str">
        <v>+</v>
      </c>
      <c r="L5927">
        <f>IF(D5927=0,2*MAX(6*F5927,75),(D5927-1)*2*MAX(6*F5927,75))/1000</f>
        <v>0.15</v>
      </c>
      <c r="M5927" t="str">
        <v>=</v>
      </c>
      <c r="N5927">
        <f>J5927+L5927</f>
        <v>1.03</v>
      </c>
      <c r="T5927" t="str">
        <v>x</v>
      </c>
      <c r="U5927">
        <f>0.006165*F5927^2</f>
        <v>0.6165</v>
      </c>
      <c r="V5927" t="str">
        <v>x</v>
      </c>
      <c r="W5927">
        <f>IF(D5908&gt;4*G5906,ROUND(MAX(D5908/4,2*G5906)/H5927,0)+1,0)</f>
        <v>14</v>
      </c>
      <c r="X5927" t="str">
        <v>x</v>
      </c>
      <c r="Y5927">
        <f>D5911</f>
        <v>1</v>
      </c>
      <c r="Z5927" t="str">
        <v>=</v>
      </c>
      <c r="AA5927">
        <f>N5927*U5927*W5927*Y5927</f>
        <v>8.889930000000001</v>
      </c>
    </row>
    <row r="5929">
      <c r="A5929" t="str">
        <f>A5905</f>
        <v>Lantai 3</v>
      </c>
      <c r="B5929">
        <f>B5905</f>
        <v>55</v>
      </c>
      <c r="C5929" t="str">
        <v>Kait Horizontal Tump.</v>
      </c>
      <c r="D5929">
        <f>VLOOKUP(D5905,'Detail Balok'!$C$10:$BJ$140,46,FALSE)</f>
        <v>0</v>
      </c>
      <c r="E5929" t="str">
        <v>D</v>
      </c>
      <c r="F5929">
        <f>VLOOKUP(D5905,'Detail Balok'!$C$10:$BJ$140,48,FALSE)</f>
        <v>0</v>
      </c>
      <c r="G5929" t="str">
        <v>-</v>
      </c>
      <c r="H5929">
        <f>VLOOKUP(D5905,'Detail Balok'!$C$10:$BJ$140,50,FALSE)</f>
        <v>100</v>
      </c>
      <c r="J5929">
        <f>(D5906-2*F$5)/1000</f>
        <v>0.12</v>
      </c>
      <c r="K5929" t="str">
        <v>+</v>
      </c>
      <c r="L5929">
        <f>IF(D5929=0,2*MAX(6*F5929,75),(D5929-1)*2*MAX(6*F5929,75))/1000</f>
        <v>0.15</v>
      </c>
      <c r="M5929" t="str">
        <v>=</v>
      </c>
      <c r="N5929">
        <f>J5929+L5929</f>
        <v>0.27</v>
      </c>
      <c r="T5929" t="str">
        <v>x</v>
      </c>
      <c r="U5929">
        <f>0.006165*F5929^2</f>
        <v>0</v>
      </c>
      <c r="V5929" t="str">
        <v>x</v>
      </c>
      <c r="W5929">
        <f>W5925</f>
        <v>14</v>
      </c>
      <c r="X5929" t="str">
        <v>x</v>
      </c>
      <c r="Y5929">
        <f>D5915</f>
        <v>3</v>
      </c>
      <c r="Z5929" t="str">
        <v>=</v>
      </c>
      <c r="AA5929">
        <f>N5929*U5929*W5929*Y5929</f>
        <v>0</v>
      </c>
    </row>
    <row r="5930">
      <c r="A5930" t="str">
        <f>A5905</f>
        <v>Lantai 3</v>
      </c>
      <c r="B5930">
        <f>B5905</f>
        <v>55</v>
      </c>
      <c r="C5930" t="str">
        <v>Kait Horizontal Lap.</v>
      </c>
      <c r="D5930">
        <f>VLOOKUP(D5905,'Detail Balok'!$C$10:$BJ$140,51,FALSE)</f>
        <v>0</v>
      </c>
      <c r="E5930" t="str">
        <v>D</v>
      </c>
      <c r="F5930">
        <f>VLOOKUP(D5905,'Detail Balok'!$C$10:$BJ$140,53,FALSE)</f>
        <v>0</v>
      </c>
      <c r="G5930" t="str">
        <v>-</v>
      </c>
      <c r="H5930">
        <f>VLOOKUP(D5905,'Detail Balok'!$C$10:$BJ$140,55,FALSE)</f>
        <v>100</v>
      </c>
      <c r="J5930">
        <f>(D5906-2*F$5)/1000</f>
        <v>0.12</v>
      </c>
      <c r="K5930" t="str">
        <v>+</v>
      </c>
      <c r="L5930">
        <f>IF(D5930=0,2*MAX(6*F5930,75),(D5930-1)*2*MAX(6*F5930,75))/1000</f>
        <v>0.15</v>
      </c>
      <c r="M5930" t="str">
        <v>=</v>
      </c>
      <c r="N5930">
        <f>J5930+L5930</f>
        <v>0.27</v>
      </c>
      <c r="T5930" t="str">
        <v>x</v>
      </c>
      <c r="U5930">
        <f>0.006165*F5930^2</f>
        <v>0</v>
      </c>
      <c r="V5930" t="str">
        <v>x</v>
      </c>
      <c r="W5930">
        <f>W5926</f>
        <v>27</v>
      </c>
      <c r="X5930" t="str">
        <v>x</v>
      </c>
      <c r="Y5930">
        <f>D5915</f>
        <v>3</v>
      </c>
      <c r="Z5930" t="str">
        <v>=</v>
      </c>
      <c r="AA5930">
        <f>N5930*U5930*W5930*Y5930</f>
        <v>0</v>
      </c>
    </row>
    <row r="5931">
      <c r="A5931" t="str">
        <f>A5905</f>
        <v>Lantai 3</v>
      </c>
      <c r="B5931">
        <f>B5905</f>
        <v>55</v>
      </c>
      <c r="C5931" t="str">
        <v>Kait Horizontal Tump.</v>
      </c>
      <c r="D5931">
        <f>VLOOKUP(D5905,'Detail Balok'!$C$10:$BJ$140,56,FALSE)</f>
        <v>0</v>
      </c>
      <c r="E5931" t="str">
        <v>D</v>
      </c>
      <c r="F5931">
        <f>VLOOKUP(D5905,'Detail Balok'!$C$10:$BJ$140,58,FALSE)</f>
        <v>0</v>
      </c>
      <c r="G5931" t="str">
        <v>-</v>
      </c>
      <c r="H5931">
        <f>VLOOKUP(D5905,'Detail Balok'!$C$10:$BJ$140,60,FALSE)</f>
        <v>100</v>
      </c>
      <c r="J5931">
        <f>(D5906-2*F$5)/1000</f>
        <v>0.12</v>
      </c>
      <c r="K5931" t="str">
        <v>+</v>
      </c>
      <c r="L5931">
        <f>IF(D5931=0,2*MAX(6*F5931,75),(D5931-1)*2*MAX(6*F5931,75))/1000</f>
        <v>0.15</v>
      </c>
      <c r="M5931" t="str">
        <v>=</v>
      </c>
      <c r="N5931">
        <f>J5931+L5931</f>
        <v>0.27</v>
      </c>
      <c r="T5931" t="str">
        <v>x</v>
      </c>
      <c r="U5931">
        <f>0.006165*F5931^2</f>
        <v>0</v>
      </c>
      <c r="V5931" t="str">
        <v>x</v>
      </c>
      <c r="W5931">
        <f>W5927</f>
        <v>14</v>
      </c>
      <c r="X5931" t="str">
        <v>x</v>
      </c>
      <c r="Y5931">
        <f>D5915</f>
        <v>3</v>
      </c>
      <c r="Z5931" t="str">
        <v>=</v>
      </c>
      <c r="AA5931">
        <f>N5931*U5931*W5931*Y5931</f>
        <v>0</v>
      </c>
    </row>
    <row r="5935">
      <c r="A5935" t="str">
        <f>A5905</f>
        <v>Lantai 3</v>
      </c>
      <c r="B5935">
        <f>B5905+1</f>
        <v>56</v>
      </c>
      <c r="C5935" t="str">
        <f>CONCATENATE(A5935," no. ",B5935)</f>
        <v>Lantai 3 no. 56</v>
      </c>
      <c r="D5935" t="str">
        <f>VLOOKUP(C5935,'Data Panjang Balok'!$C$9:$N$254,2,FALSE)</f>
        <v>CL24-1</v>
      </c>
    </row>
    <row r="5936">
      <c r="C5936" t="str">
        <v>Dimensi</v>
      </c>
      <c r="D5936">
        <f>VLOOKUP(D5935,'Detail Balok'!$C$10:$AU$140,2,FALSE)</f>
        <v>200</v>
      </c>
      <c r="F5936" t="str">
        <v>x</v>
      </c>
      <c r="G5936">
        <f>VLOOKUP(D5935,'Detail Balok'!$C$10:$AU$140,3,FALSE)</f>
        <v>400</v>
      </c>
    </row>
    <row r="5937">
      <c r="C5937" t="str">
        <v>Panjang as ke as</v>
      </c>
      <c r="D5937">
        <f>VLOOKUP(C5935,'Data Panjang Balok'!$C$9:$N$254,4,FALSE)</f>
        <v>1250</v>
      </c>
    </row>
    <row r="5938">
      <c r="C5938" t="str">
        <v>Panjang netto</v>
      </c>
      <c r="D5938">
        <f>VLOOKUP(C5935,'Data Panjang Balok'!$C$9:$N$254,7,FALSE)</f>
        <v>1250</v>
      </c>
    </row>
    <row r="5939">
      <c r="C5939" t="str">
        <v>Kolom / balok kiri</v>
      </c>
      <c r="D5939">
        <f>VLOOKUP(C5935,'Data Panjang Balok'!$C$9:$N$254,9,FALSE)</f>
        <v>0</v>
      </c>
    </row>
    <row r="5940">
      <c r="C5940" t="str">
        <v>Kolom / balok kanan</v>
      </c>
      <c r="D5940">
        <f>VLOOKUP(C5935,'Data Panjang Balok'!$C$9:$N$254,10,FALSE)</f>
        <v>0</v>
      </c>
    </row>
    <row r="5941">
      <c r="C5941" t="str">
        <v>Jumlah</v>
      </c>
      <c r="D5941">
        <f>VLOOKUP(C5935,'Data Panjang Balok'!$C$9:$N$254,3,FALSE)</f>
        <v>1</v>
      </c>
    </row>
    <row r="5942">
      <c r="A5942" t="str">
        <f>A5935</f>
        <v>Lantai 3</v>
      </c>
      <c r="B5942">
        <f>B5935</f>
        <v>56</v>
      </c>
      <c r="C5942" t="str">
        <v>Tul Atas Tumpuan</v>
      </c>
      <c r="D5942">
        <f>VLOOKUP(D5935,'Detail Balok'!$C$10:$AU$140,4,FALSE)</f>
        <v>3</v>
      </c>
      <c r="E5942" t="str">
        <v>D</v>
      </c>
      <c r="F5942">
        <f>VLOOKUP(D5935,'Detail Balok'!$C$10:$AU$140,6,FALSE)</f>
        <v>16</v>
      </c>
      <c r="I5942" t="str">
        <v>(</v>
      </c>
      <c r="J5942">
        <f>+D5937/4/1000</f>
        <v>0.3125</v>
      </c>
      <c r="K5942" t="str">
        <v>+</v>
      </c>
      <c r="L5942">
        <f>MAX(VLOOKUP(F5942,N$6:P$15,3,FALSE)/1000,2/3*D5939/1000)+F$16*F5942/1000</f>
        <v>0.192</v>
      </c>
      <c r="M5942" t="str">
        <v>=</v>
      </c>
      <c r="N5942">
        <f>J5942+L5942</f>
        <v>0.5045</v>
      </c>
      <c r="O5942" t="str">
        <v>+</v>
      </c>
      <c r="P5942">
        <f>D5942-D5943</f>
        <v>0</v>
      </c>
      <c r="Q5942" t="str">
        <v>x</v>
      </c>
      <c r="R5942">
        <f>IF(P5942&gt;0,$F$18*F5942/1000,0)</f>
        <v>0</v>
      </c>
      <c r="S5942" t="str">
        <v>)</v>
      </c>
      <c r="T5942" t="str">
        <v>x</v>
      </c>
      <c r="U5942">
        <f>0.006165*F5942^2</f>
        <v>1.57824</v>
      </c>
      <c r="X5942" t="str">
        <v>x</v>
      </c>
      <c r="Y5942">
        <f>D5941</f>
        <v>1</v>
      </c>
      <c r="Z5942" t="str">
        <v>=</v>
      </c>
      <c r="AA5942">
        <f>IF(AA5945=0,(D5942*N5942+P5942*R5942)*U5942*Y5942,0)</f>
        <v>0</v>
      </c>
    </row>
    <row r="5943">
      <c r="A5943" t="str">
        <f>A5935</f>
        <v>Lantai 3</v>
      </c>
      <c r="B5943">
        <f>B5935</f>
        <v>56</v>
      </c>
      <c r="C5943" t="str">
        <v>Tul Atas Lapangan</v>
      </c>
      <c r="D5943">
        <f>VLOOKUP(D5935,'Detail Balok'!$C$10:$AU$140,7,FALSE)</f>
        <v>3</v>
      </c>
      <c r="E5943" t="str">
        <v>D</v>
      </c>
      <c r="F5943">
        <f>VLOOKUP(D5935,'Detail Balok'!$C$10:$AU$140,9,FALSE)</f>
        <v>16</v>
      </c>
      <c r="I5943" t="str">
        <v>(</v>
      </c>
      <c r="J5943">
        <f>+D5937/2/1000</f>
        <v>0.625</v>
      </c>
      <c r="K5943" t="str">
        <v>+</v>
      </c>
      <c r="M5943" t="str">
        <v>=</v>
      </c>
      <c r="N5943">
        <f>J5943+L5943</f>
        <v>0.625</v>
      </c>
      <c r="O5943" t="str">
        <v>+</v>
      </c>
      <c r="P5943">
        <f>MAX(D5943-D5942,D5943-D5944)</f>
        <v>0</v>
      </c>
      <c r="Q5943" t="str">
        <v>x</v>
      </c>
      <c r="R5943">
        <f>IF(P5943&gt;0,2*(1-2*$F$19-1/2)*D5938/1000,0)</f>
        <v>0</v>
      </c>
      <c r="S5943" t="str">
        <v>)</v>
      </c>
      <c r="T5943" t="str">
        <v>x</v>
      </c>
      <c r="U5943">
        <f>0.006165*F5943^2</f>
        <v>1.57824</v>
      </c>
      <c r="X5943" t="str">
        <v>x</v>
      </c>
      <c r="Y5943">
        <f>D5941</f>
        <v>1</v>
      </c>
      <c r="Z5943" t="str">
        <v>=</v>
      </c>
      <c r="AA5943">
        <f>IF(AA5945=0,(D5943*N5943+P5943*R5943)*U5943*Y5943,0)</f>
        <v>0</v>
      </c>
    </row>
    <row r="5944">
      <c r="A5944" t="str">
        <f>A5935</f>
        <v>Lantai 3</v>
      </c>
      <c r="B5944">
        <f>B5935</f>
        <v>56</v>
      </c>
      <c r="C5944" t="str">
        <v>Tul Atas Tumpuan</v>
      </c>
      <c r="D5944">
        <f>VLOOKUP(D5935,'Detail Balok'!$C$10:$AU$140,10,FALSE)</f>
        <v>3</v>
      </c>
      <c r="E5944" t="str">
        <v>D</v>
      </c>
      <c r="F5944">
        <f>VLOOKUP(D5935,'Detail Balok'!$C$10:$AU$140,12,FALSE)</f>
        <v>16</v>
      </c>
      <c r="I5944" t="str">
        <v>(</v>
      </c>
      <c r="J5944">
        <f>+D5937/4/1000</f>
        <v>0.3125</v>
      </c>
      <c r="K5944" t="str">
        <v>+</v>
      </c>
      <c r="L5944">
        <f>MAX(VLOOKUP(F5944,N$6:P$15,3,FALSE)/1000,2/3*D5939/1000)+F$16*F5944/1000</f>
        <v>0.192</v>
      </c>
      <c r="M5944" t="str">
        <v>=</v>
      </c>
      <c r="N5944">
        <f>J5944+L5944</f>
        <v>0.5045</v>
      </c>
      <c r="O5944" t="str">
        <v>+</v>
      </c>
      <c r="P5944">
        <f>D5944-D5943</f>
        <v>0</v>
      </c>
      <c r="Q5944" t="str">
        <v>x</v>
      </c>
      <c r="R5944">
        <f>IF(P5944&gt;0,$F$18*F5944/1000,0)</f>
        <v>0</v>
      </c>
      <c r="S5944" t="str">
        <v>)</v>
      </c>
      <c r="T5944" t="str">
        <v>x</v>
      </c>
      <c r="U5944">
        <f>0.006165*F5944^2</f>
        <v>1.57824</v>
      </c>
      <c r="X5944" t="str">
        <v>x</v>
      </c>
      <c r="Y5944">
        <f>D5941</f>
        <v>1</v>
      </c>
      <c r="Z5944" t="str">
        <v>=</v>
      </c>
      <c r="AA5944">
        <f>IF(AA5945=0,(D5944*N5944+P5944*R5944)*U5944*Y5944,0)</f>
        <v>0</v>
      </c>
    </row>
    <row r="5945">
      <c r="A5945" t="str">
        <f>A5935</f>
        <v>Lantai 3</v>
      </c>
      <c r="B5945">
        <f>B5935</f>
        <v>56</v>
      </c>
      <c r="D5945">
        <f>IF(AND(D5942=D5943,D5943=D5944,D5942=D5944),D5942,0)</f>
        <v>3</v>
      </c>
      <c r="E5945" t="str">
        <v>D</v>
      </c>
      <c r="F5945">
        <f>IF(AND(F5942=F5943,F5942=F5944,F5943=F5944),F5942,0)</f>
        <v>16</v>
      </c>
      <c r="L5945" t="str">
        <v>Total panjang per balok</v>
      </c>
      <c r="M5945" t="str">
        <v>=</v>
      </c>
      <c r="N5945">
        <f>IF(AND(D5942=D5943,D5942=D5944,D5943=D5944,F5942=F5943,F5942=F5944,F5943=F5944),SUM(N5942:N5944),0)</f>
        <v>1.634</v>
      </c>
      <c r="O5945" t="str">
        <v>+</v>
      </c>
      <c r="P5945">
        <f>IF(N5945&gt;12,ROUNDDOWN(N5945/12,0),0)</f>
        <v>0</v>
      </c>
      <c r="Q5945" t="str">
        <v>x</v>
      </c>
      <c r="R5945">
        <f>IF(P5945&gt;0,MAX(VLOOKUP(F5945,$D$6:$G$15,3,FALSE),600),0)/1000</f>
        <v>0</v>
      </c>
      <c r="T5945" t="str">
        <v>x</v>
      </c>
      <c r="U5945">
        <f>U5944</f>
        <v>1.57824</v>
      </c>
      <c r="V5945" t="str">
        <v>x</v>
      </c>
      <c r="W5945">
        <f>D5945</f>
        <v>3</v>
      </c>
      <c r="X5945" t="str">
        <v>x</v>
      </c>
      <c r="Y5945">
        <f>Y5944</f>
        <v>1</v>
      </c>
      <c r="Z5945" t="str">
        <v>=</v>
      </c>
      <c r="AA5945">
        <f>(N5945+P5945*R5945/1000)*U5945*W5945*Y5945</f>
        <v>7.73653248</v>
      </c>
    </row>
    <row r="5947">
      <c r="A5947" t="str">
        <f>A5935</f>
        <v>Lantai 3</v>
      </c>
      <c r="B5947">
        <f>B5935</f>
        <v>56</v>
      </c>
      <c r="C5947" t="str">
        <v>Tul Peminggang</v>
      </c>
      <c r="D5947">
        <f>VLOOKUP(D5935,'Detail Balok'!$C$10:$AU$140,13,FALSE)</f>
        <v>0</v>
      </c>
      <c r="E5947" t="str">
        <v>D</v>
      </c>
      <c r="F5947">
        <f>VLOOKUP(D5935,'Detail Balok'!$C$10:$AU$140,15,FALSE)</f>
        <v>8</v>
      </c>
      <c r="J5947">
        <f>+D5937/1000</f>
        <v>1.25</v>
      </c>
      <c r="K5947" t="str">
        <v>+</v>
      </c>
      <c r="L5947">
        <f>2*$F$16*F5947/1000</f>
        <v>0.192</v>
      </c>
      <c r="M5947" t="str">
        <v>=</v>
      </c>
      <c r="N5947">
        <f>J5947+L5947</f>
        <v>1.442</v>
      </c>
      <c r="O5947" t="str">
        <v>+</v>
      </c>
      <c r="P5947">
        <f>IF(N5947&gt;12,ROUNDDOWN(N5947/12,0),0)</f>
        <v>0</v>
      </c>
      <c r="Q5947" t="str">
        <v>x</v>
      </c>
      <c r="R5947">
        <f>IF(P5947&gt;0,MAX(VLOOKUP(F5947,$D$6:$G$15,3,FALSE),600),0)/1000</f>
        <v>0</v>
      </c>
      <c r="T5947" t="str">
        <v>x</v>
      </c>
      <c r="U5947">
        <f>0.006165*F5947^2</f>
        <v>0.39456</v>
      </c>
      <c r="V5947" t="str">
        <v>x</v>
      </c>
      <c r="W5947">
        <f>+D5947</f>
        <v>0</v>
      </c>
      <c r="X5947" t="str">
        <v>x</v>
      </c>
      <c r="Y5947">
        <f>D5941</f>
        <v>1</v>
      </c>
      <c r="Z5947" t="str">
        <v>=</v>
      </c>
      <c r="AA5947">
        <f>(N5947+P5947*R5947/1000)*U5947*W5947*Y5947</f>
        <v>0</v>
      </c>
    </row>
    <row r="5950">
      <c r="A5950" t="str">
        <f>A5935</f>
        <v>Lantai 3</v>
      </c>
      <c r="B5950">
        <f>B5935</f>
        <v>56</v>
      </c>
      <c r="C5950" t="str">
        <v>Tul Bawah Tumpuan</v>
      </c>
      <c r="D5950">
        <f>VLOOKUP(D5935,'Detail Balok'!$C$10:$AU$140,22,FALSE)</f>
        <v>3</v>
      </c>
      <c r="E5950" t="str">
        <v>D</v>
      </c>
      <c r="F5950">
        <f>VLOOKUP(D5935,'Detail Balok'!$C$10:$AU$140,24,FALSE)</f>
        <v>16</v>
      </c>
      <c r="I5950" t="str">
        <v>(</v>
      </c>
      <c r="J5950">
        <f>+J5942</f>
        <v>0.3125</v>
      </c>
      <c r="K5950" t="str">
        <v>+</v>
      </c>
      <c r="L5950">
        <f>MAX(VLOOKUP(F5950,N$6:P$15,3,FALSE)/1000,2/3*D5940/1000)+F$16*F5950/1000</f>
        <v>0.192</v>
      </c>
      <c r="M5950" t="str">
        <v>=</v>
      </c>
      <c r="N5950">
        <f>J5950+L5950</f>
        <v>0.5045</v>
      </c>
      <c r="O5950" t="str">
        <v>+</v>
      </c>
      <c r="P5950">
        <f>D5950-D5951</f>
        <v>0</v>
      </c>
      <c r="Q5950" t="str">
        <v>x</v>
      </c>
      <c r="R5950">
        <f>IF(P5950&gt;0,$F$18*F5950/1000,0)</f>
        <v>0</v>
      </c>
      <c r="S5950" t="str">
        <v>)</v>
      </c>
      <c r="T5950" t="str">
        <v>x</v>
      </c>
      <c r="U5950">
        <f>0.006165*F5950^2</f>
        <v>1.57824</v>
      </c>
      <c r="X5950" t="str">
        <v>x</v>
      </c>
      <c r="Y5950">
        <f>D5941</f>
        <v>1</v>
      </c>
      <c r="Z5950" t="str">
        <v>=</v>
      </c>
      <c r="AA5950">
        <f>IF(AA5953=0,(D5950*N5950+P5950*R5950)*U5950*Y5950,0)</f>
        <v>0</v>
      </c>
    </row>
    <row r="5951">
      <c r="A5951" t="str">
        <f>A5935</f>
        <v>Lantai 3</v>
      </c>
      <c r="B5951">
        <f>B5935</f>
        <v>56</v>
      </c>
      <c r="C5951" t="str">
        <v>Tul Bawah Lapangan</v>
      </c>
      <c r="D5951">
        <f>VLOOKUP(D5935,'Detail Balok'!$C$10:$AU$140,25,FALSE)</f>
        <v>3</v>
      </c>
      <c r="E5951" t="str">
        <v>D</v>
      </c>
      <c r="F5951">
        <f>VLOOKUP(D5935,'Detail Balok'!$C$10:$AU$140,27,FALSE)</f>
        <v>16</v>
      </c>
      <c r="I5951" t="str">
        <v>(</v>
      </c>
      <c r="J5951">
        <f>+J5943</f>
        <v>0.625</v>
      </c>
      <c r="K5951" t="str">
        <v>+</v>
      </c>
      <c r="M5951" t="str">
        <v>=</v>
      </c>
      <c r="N5951">
        <f>J5951+L5951</f>
        <v>0.625</v>
      </c>
      <c r="O5951" t="str">
        <v>+</v>
      </c>
      <c r="P5951">
        <f>MAX(D5951-D5950,D5951-D5952)</f>
        <v>0</v>
      </c>
      <c r="Q5951" t="str">
        <v>x</v>
      </c>
      <c r="R5951">
        <f>IF(P5951&gt;0,2*(1-2*$F$19-1/2)*D5938/1000,0)</f>
        <v>0</v>
      </c>
      <c r="S5951" t="str">
        <v>)</v>
      </c>
      <c r="T5951" t="str">
        <v>x</v>
      </c>
      <c r="U5951">
        <f>0.006165*F5951^2</f>
        <v>1.57824</v>
      </c>
      <c r="X5951" t="str">
        <v>x</v>
      </c>
      <c r="Y5951">
        <f>D5941</f>
        <v>1</v>
      </c>
      <c r="Z5951" t="str">
        <v>=</v>
      </c>
      <c r="AA5951">
        <f>IF(AA5953=0,(D5951*N5951+P5951*R5951)*U5951*Y5951,0)</f>
        <v>0</v>
      </c>
    </row>
    <row r="5952">
      <c r="A5952" t="str">
        <f>A5935</f>
        <v>Lantai 3</v>
      </c>
      <c r="B5952">
        <f>B5935</f>
        <v>56</v>
      </c>
      <c r="C5952" t="str">
        <v>Tul Bawah Tumpuan</v>
      </c>
      <c r="D5952">
        <f>VLOOKUP(D5935,'Detail Balok'!$C$10:$AU$140,28,FALSE)</f>
        <v>3</v>
      </c>
      <c r="E5952" t="str">
        <v>D</v>
      </c>
      <c r="F5952">
        <f>VLOOKUP(D5935,'Detail Balok'!$C$10:$AU$140,30,FALSE)</f>
        <v>16</v>
      </c>
      <c r="I5952" t="str">
        <v>(</v>
      </c>
      <c r="J5952">
        <f>+J5944</f>
        <v>0.3125</v>
      </c>
      <c r="K5952" t="str">
        <v>+</v>
      </c>
      <c r="L5952">
        <f>MAX(VLOOKUP(F5952,N$6:P$15,3,FALSE)/1000,2/3*D5940/1000)+F$16*F5952/1000</f>
        <v>0.192</v>
      </c>
      <c r="M5952" t="str">
        <v>=</v>
      </c>
      <c r="N5952">
        <f>J5952+L5952</f>
        <v>0.5045</v>
      </c>
      <c r="O5952" t="str">
        <v>+</v>
      </c>
      <c r="P5952">
        <f>D5952-D5951</f>
        <v>0</v>
      </c>
      <c r="Q5952" t="str">
        <v>x</v>
      </c>
      <c r="R5952">
        <f>IF(P5952&gt;0,$F$18*F5952/1000,0)</f>
        <v>0</v>
      </c>
      <c r="S5952" t="str">
        <v>)</v>
      </c>
      <c r="T5952" t="str">
        <v>x</v>
      </c>
      <c r="U5952">
        <f>0.006165*F5952^2</f>
        <v>1.57824</v>
      </c>
      <c r="X5952" t="str">
        <v>x</v>
      </c>
      <c r="Y5952">
        <f>D5941</f>
        <v>1</v>
      </c>
      <c r="Z5952" t="str">
        <v>=</v>
      </c>
      <c r="AA5952">
        <f>IF(AA5953=0,(D5952*N5952+P5952*R5952)*U5952*Y5952,0)</f>
        <v>0</v>
      </c>
    </row>
    <row r="5953">
      <c r="A5953" t="str">
        <f>A5935</f>
        <v>Lantai 3</v>
      </c>
      <c r="B5953">
        <f>B5935</f>
        <v>56</v>
      </c>
      <c r="D5953">
        <f>IF(AND(D5950=D5951,D5951=D5952,D5950=D5952),D5950,0)</f>
        <v>3</v>
      </c>
      <c r="E5953" t="str">
        <v>D</v>
      </c>
      <c r="F5953">
        <f>IF(AND(F5950=F5951,F5950=F5952,F5951=F5952),F5950,0)</f>
        <v>16</v>
      </c>
      <c r="L5953" t="str">
        <v>Total panjang per balok</v>
      </c>
      <c r="M5953" t="str">
        <v>=</v>
      </c>
      <c r="N5953">
        <f>IF(AND(D5950=D5951,D5950=D5952,D5951=D5952,F5950=F5951,F5950=F5952,F5951=F5952),SUM(N5950:N5952),0)</f>
        <v>1.634</v>
      </c>
      <c r="O5953" t="str">
        <v>+</v>
      </c>
      <c r="P5953">
        <f>IF(N5953&gt;12,ROUNDDOWN(N5953/12,0),0)</f>
        <v>0</v>
      </c>
      <c r="Q5953" t="str">
        <v>x</v>
      </c>
      <c r="R5953">
        <f>IF(P5953&gt;0,MAX(VLOOKUP(F5953,$D$6:$G$15,3,FALSE),600),0)/1000</f>
        <v>0</v>
      </c>
      <c r="T5953" t="str">
        <v>x</v>
      </c>
      <c r="U5953">
        <f>U5952</f>
        <v>1.57824</v>
      </c>
      <c r="V5953" t="str">
        <v>x</v>
      </c>
      <c r="W5953">
        <f>D5953</f>
        <v>3</v>
      </c>
      <c r="X5953" t="str">
        <v>x</v>
      </c>
      <c r="Y5953">
        <f>Y5952</f>
        <v>1</v>
      </c>
      <c r="Z5953" t="str">
        <v>=</v>
      </c>
      <c r="AA5953">
        <f>(N5953+P5953*R5953/1000)*U5953*W5953*Y5953</f>
        <v>7.73653248</v>
      </c>
    </row>
    <row r="5955">
      <c r="A5955" t="str">
        <f>A5935</f>
        <v>Lantai 3</v>
      </c>
      <c r="B5955">
        <f>B5935</f>
        <v>56</v>
      </c>
      <c r="C5955" t="str">
        <v>Sengkang Tumpuan</v>
      </c>
      <c r="D5955">
        <f>VLOOKUP(D5935,'Detail Balok'!$C$10:$AU$140,31,FALSE)</f>
        <v>0</v>
      </c>
      <c r="E5955" t="str">
        <v>D</v>
      </c>
      <c r="F5955">
        <f>VLOOKUP(D5935,'Detail Balok'!$C$10:$AU$140,33,FALSE)</f>
        <v>10</v>
      </c>
      <c r="G5955" t="str">
        <v>-</v>
      </c>
      <c r="H5955">
        <f>VLOOKUP(D5935,'Detail Balok'!$C$10:$AU$140,35,FALSE)</f>
        <v>100</v>
      </c>
      <c r="J5955">
        <f>(IF(D5955=0,(2*(D5936+G5936))-(F$5*8),IF(D5955=3,(2*(D5936+G5936))-(F$5*8)+(G5936-2*F$5),IF(D5955=4,(2*(D5936+G5936))-(F$5*8)+2*(G5936-2*F$5)))))/1000</f>
        <v>0.88</v>
      </c>
      <c r="K5955" t="str">
        <v>+</v>
      </c>
      <c r="L5955">
        <f>IF(D5955=0,2*MAX(6*F5955,75),(D5955-1)*2*MAX(6*F5955,75))/1000</f>
        <v>0.15</v>
      </c>
      <c r="M5955" t="str">
        <v>=</v>
      </c>
      <c r="N5955">
        <f>J5955+L5955</f>
        <v>1.03</v>
      </c>
      <c r="T5955" t="str">
        <v>x</v>
      </c>
      <c r="U5955">
        <f>0.006165*F5955^2</f>
        <v>0.6165</v>
      </c>
      <c r="V5955" t="str">
        <v>x</v>
      </c>
      <c r="W5955">
        <f>IF(D5938&gt;4*G5936,ROUND(MAX(D5938/4,2*G5936)/H5955,0)+1,ROUND(D5938/H5955,0)+1)</f>
        <v>14</v>
      </c>
      <c r="X5955" t="str">
        <v>x</v>
      </c>
      <c r="Y5955">
        <f>D5941</f>
        <v>1</v>
      </c>
      <c r="Z5955" t="str">
        <v>=</v>
      </c>
      <c r="AA5955">
        <f>N5955*U5955*W5955*Y5955</f>
        <v>8.889930000000001</v>
      </c>
    </row>
    <row r="5956">
      <c r="A5956" t="str">
        <f>A5935</f>
        <v>Lantai 3</v>
      </c>
      <c r="B5956">
        <f>B5935</f>
        <v>56</v>
      </c>
      <c r="C5956" t="str">
        <v>Sengkang Lapangan</v>
      </c>
      <c r="D5956">
        <f>VLOOKUP(D5935,'Detail Balok'!$C$10:$AU$140,36,FALSE)</f>
        <v>0</v>
      </c>
      <c r="E5956" t="str">
        <v>D</v>
      </c>
      <c r="F5956">
        <f>VLOOKUP(D5935,'Detail Balok'!$C$10:$AU$140,38,FALSE)</f>
        <v>10</v>
      </c>
      <c r="G5956" t="str">
        <v>-</v>
      </c>
      <c r="H5956">
        <f>VLOOKUP(D5935,'Detail Balok'!$C$10:$AU$140,40,FALSE)</f>
        <v>100</v>
      </c>
      <c r="J5956">
        <f>(IF(D5956=0,(2*(D5936+G5936))-(F$5*8),IF(D5956=3,(2*(D5936+G5936))-(F$5*8)+(G5936-2*F$5),IF(D5956=4,(2*(D5936+G5936))-(F$5*8)+2*(G5936-2*F$5)))))/1000</f>
        <v>0.88</v>
      </c>
      <c r="K5956" t="str">
        <v>+</v>
      </c>
      <c r="L5956">
        <f>IF(D5956=0,2*MAX(6*F5956,75),(D5956-1)*2*MAX(6*F5956,75))/1000</f>
        <v>0.15</v>
      </c>
      <c r="M5956" t="str">
        <v>=</v>
      </c>
      <c r="N5956">
        <f>J5956+L5956</f>
        <v>1.03</v>
      </c>
      <c r="T5956" t="str">
        <v>x</v>
      </c>
      <c r="U5956">
        <f>0.006165*F5956^2</f>
        <v>0.6165</v>
      </c>
      <c r="V5956" t="str">
        <v>x</v>
      </c>
      <c r="W5956">
        <f>IF(D5938-MAX(D5938/4,2*G5936)*2&gt;0,ROUND((D5938-MAX(D5938/4,2*G5936)*2)/H5956,0),0)</f>
        <v>0</v>
      </c>
      <c r="X5956" t="str">
        <v>x</v>
      </c>
      <c r="Y5956">
        <f>D5941</f>
        <v>1</v>
      </c>
      <c r="Z5956" t="str">
        <v>=</v>
      </c>
      <c r="AA5956">
        <f>N5956*U5956*W5956*Y5956</f>
        <v>0</v>
      </c>
    </row>
    <row r="5957">
      <c r="A5957" t="str">
        <f>A5935</f>
        <v>Lantai 3</v>
      </c>
      <c r="B5957">
        <f>B5935</f>
        <v>56</v>
      </c>
      <c r="C5957" t="str">
        <v>Sengkang Tumpuan</v>
      </c>
      <c r="D5957">
        <f>VLOOKUP(D5935,'Detail Balok'!$C$10:$AU$140,41,FALSE)</f>
        <v>0</v>
      </c>
      <c r="E5957" t="str">
        <v>D</v>
      </c>
      <c r="F5957">
        <f>VLOOKUP(D5935,'Detail Balok'!$C$10:$AU$140,43,FALSE)</f>
        <v>10</v>
      </c>
      <c r="G5957" t="str">
        <v>-</v>
      </c>
      <c r="H5957">
        <f>VLOOKUP(D5935,'Detail Balok'!$C$10:$AU$140,45,FALSE)</f>
        <v>100</v>
      </c>
      <c r="J5957">
        <f>(IF(D5957=0,(2*(D5936+G5936))-(F$5*8),IF(D5957=3,(2*(D5936+G5936))-(F$5*8)+(G5936-2*F$5),IF(D5957=4,(2*(D5936+G5936))-(F$5*8)+2*(G5936-2*F$5)))))/1000</f>
        <v>0.88</v>
      </c>
      <c r="K5957" t="str">
        <v>+</v>
      </c>
      <c r="L5957">
        <f>IF(D5957=0,2*MAX(6*F5957,75),(D5957-1)*2*MAX(6*F5957,75))/1000</f>
        <v>0.15</v>
      </c>
      <c r="M5957" t="str">
        <v>=</v>
      </c>
      <c r="N5957">
        <f>J5957+L5957</f>
        <v>1.03</v>
      </c>
      <c r="T5957" t="str">
        <v>x</v>
      </c>
      <c r="U5957">
        <f>0.006165*F5957^2</f>
        <v>0.6165</v>
      </c>
      <c r="V5957" t="str">
        <v>x</v>
      </c>
      <c r="W5957">
        <f>IF(D5938&gt;4*G5936,ROUND(MAX(D5938/4,2*G5936)/H5957,0)+1,0)</f>
        <v>0</v>
      </c>
      <c r="X5957" t="str">
        <v>x</v>
      </c>
      <c r="Y5957">
        <f>D5941</f>
        <v>1</v>
      </c>
      <c r="Z5957" t="str">
        <v>=</v>
      </c>
      <c r="AA5957">
        <f>N5957*U5957*W5957*Y5957</f>
        <v>0</v>
      </c>
    </row>
    <row r="5959">
      <c r="A5959" t="str">
        <f>A5935</f>
        <v>Lantai 3</v>
      </c>
      <c r="B5959">
        <f>B5935</f>
        <v>56</v>
      </c>
      <c r="C5959" t="str">
        <v>Kait Horizontal Tump.</v>
      </c>
      <c r="D5959">
        <f>VLOOKUP(D5935,'Detail Balok'!$C$10:$BJ$140,46,FALSE)</f>
        <v>0</v>
      </c>
      <c r="E5959" t="str">
        <v>D</v>
      </c>
      <c r="F5959">
        <f>VLOOKUP(D5935,'Detail Balok'!$C$10:$BJ$140,48,FALSE)</f>
        <v>0</v>
      </c>
      <c r="G5959" t="str">
        <v>-</v>
      </c>
      <c r="H5959">
        <f>VLOOKUP(D5935,'Detail Balok'!$C$10:$BJ$140,50,FALSE)</f>
        <v>100</v>
      </c>
      <c r="J5959">
        <f>(D5936-2*F$5)/1000</f>
        <v>0.12</v>
      </c>
      <c r="K5959" t="str">
        <v>+</v>
      </c>
      <c r="L5959">
        <f>IF(D5959=0,2*MAX(6*F5959,75),(D5959-1)*2*MAX(6*F5959,75))/1000</f>
        <v>0.15</v>
      </c>
      <c r="M5959" t="str">
        <v>=</v>
      </c>
      <c r="N5959">
        <f>J5959+L5959</f>
        <v>0.27</v>
      </c>
      <c r="T5959" t="str">
        <v>x</v>
      </c>
      <c r="U5959">
        <f>0.006165*F5959^2</f>
        <v>0</v>
      </c>
      <c r="V5959" t="str">
        <v>x</v>
      </c>
      <c r="W5959">
        <f>W5955</f>
        <v>14</v>
      </c>
      <c r="X5959" t="str">
        <v>x</v>
      </c>
      <c r="Y5959">
        <f>D5945</f>
        <v>3</v>
      </c>
      <c r="Z5959" t="str">
        <v>=</v>
      </c>
      <c r="AA5959">
        <f>N5959*U5959*W5959*Y5959</f>
        <v>0</v>
      </c>
    </row>
    <row r="5960">
      <c r="A5960" t="str">
        <f>A5935</f>
        <v>Lantai 3</v>
      </c>
      <c r="B5960">
        <f>B5935</f>
        <v>56</v>
      </c>
      <c r="C5960" t="str">
        <v>Kait Horizontal Lap.</v>
      </c>
      <c r="D5960">
        <f>VLOOKUP(D5935,'Detail Balok'!$C$10:$BJ$140,51,FALSE)</f>
        <v>0</v>
      </c>
      <c r="E5960" t="str">
        <v>D</v>
      </c>
      <c r="F5960">
        <f>VLOOKUP(D5935,'Detail Balok'!$C$10:$BJ$140,53,FALSE)</f>
        <v>0</v>
      </c>
      <c r="G5960" t="str">
        <v>-</v>
      </c>
      <c r="H5960">
        <f>VLOOKUP(D5935,'Detail Balok'!$C$10:$BJ$140,55,FALSE)</f>
        <v>100</v>
      </c>
      <c r="J5960">
        <f>(D5936-2*F$5)/1000</f>
        <v>0.12</v>
      </c>
      <c r="K5960" t="str">
        <v>+</v>
      </c>
      <c r="L5960">
        <f>IF(D5960=0,2*MAX(6*F5960,75),(D5960-1)*2*MAX(6*F5960,75))/1000</f>
        <v>0.15</v>
      </c>
      <c r="M5960" t="str">
        <v>=</v>
      </c>
      <c r="N5960">
        <f>J5960+L5960</f>
        <v>0.27</v>
      </c>
      <c r="T5960" t="str">
        <v>x</v>
      </c>
      <c r="U5960">
        <f>0.006165*F5960^2</f>
        <v>0</v>
      </c>
      <c r="V5960" t="str">
        <v>x</v>
      </c>
      <c r="W5960">
        <f>W5956</f>
        <v>0</v>
      </c>
      <c r="X5960" t="str">
        <v>x</v>
      </c>
      <c r="Y5960">
        <f>D5945</f>
        <v>3</v>
      </c>
      <c r="Z5960" t="str">
        <v>=</v>
      </c>
      <c r="AA5960">
        <f>N5960*U5960*W5960*Y5960</f>
        <v>0</v>
      </c>
    </row>
    <row r="5961">
      <c r="A5961" t="str">
        <f>A5935</f>
        <v>Lantai 3</v>
      </c>
      <c r="B5961">
        <f>B5935</f>
        <v>56</v>
      </c>
      <c r="C5961" t="str">
        <v>Kait Horizontal Tump.</v>
      </c>
      <c r="D5961">
        <f>VLOOKUP(D5935,'Detail Balok'!$C$10:$BJ$140,56,FALSE)</f>
        <v>0</v>
      </c>
      <c r="E5961" t="str">
        <v>D</v>
      </c>
      <c r="F5961">
        <f>VLOOKUP(D5935,'Detail Balok'!$C$10:$BJ$140,58,FALSE)</f>
        <v>0</v>
      </c>
      <c r="G5961" t="str">
        <v>-</v>
      </c>
      <c r="H5961">
        <f>VLOOKUP(D5935,'Detail Balok'!$C$10:$BJ$140,60,FALSE)</f>
        <v>100</v>
      </c>
      <c r="J5961">
        <f>(D5936-2*F$5)/1000</f>
        <v>0.12</v>
      </c>
      <c r="K5961" t="str">
        <v>+</v>
      </c>
      <c r="L5961">
        <f>IF(D5961=0,2*MAX(6*F5961,75),(D5961-1)*2*MAX(6*F5961,75))/1000</f>
        <v>0.15</v>
      </c>
      <c r="M5961" t="str">
        <v>=</v>
      </c>
      <c r="N5961">
        <f>J5961+L5961</f>
        <v>0.27</v>
      </c>
      <c r="T5961" t="str">
        <v>x</v>
      </c>
      <c r="U5961">
        <f>0.006165*F5961^2</f>
        <v>0</v>
      </c>
      <c r="V5961" t="str">
        <v>x</v>
      </c>
      <c r="W5961">
        <f>W5957</f>
        <v>0</v>
      </c>
      <c r="X5961" t="str">
        <v>x</v>
      </c>
      <c r="Y5961">
        <f>D5945</f>
        <v>3</v>
      </c>
      <c r="Z5961" t="str">
        <v>=</v>
      </c>
      <c r="AA5961">
        <f>N5961*U5961*W5961*Y5961</f>
        <v>0</v>
      </c>
    </row>
    <row r="5965">
      <c r="A5965" t="str">
        <f>A5935</f>
        <v>Lantai 3</v>
      </c>
      <c r="B5965">
        <f>B5935+1</f>
        <v>57</v>
      </c>
      <c r="C5965" t="str">
        <f>CONCATENATE(A5965," no. ",B5965)</f>
        <v>Lantai 3 no. 57</v>
      </c>
      <c r="D5965" t="str">
        <f>VLOOKUP(C5965,'Data Panjang Balok'!$C$9:$N$254,2,FALSE)</f>
        <v>CL24-1</v>
      </c>
    </row>
    <row r="5966">
      <c r="C5966" t="str">
        <v>Dimensi</v>
      </c>
      <c r="D5966">
        <f>VLOOKUP(D5965,'Detail Balok'!$C$10:$AU$140,2,FALSE)</f>
        <v>200</v>
      </c>
      <c r="F5966" t="str">
        <v>x</v>
      </c>
      <c r="G5966">
        <f>VLOOKUP(D5965,'Detail Balok'!$C$10:$AU$140,3,FALSE)</f>
        <v>400</v>
      </c>
    </row>
    <row r="5967">
      <c r="C5967" t="str">
        <v>Panjang as ke as</v>
      </c>
      <c r="D5967">
        <f>VLOOKUP(C5965,'Data Panjang Balok'!$C$9:$N$254,4,FALSE)</f>
        <v>1250</v>
      </c>
    </row>
    <row r="5968">
      <c r="C5968" t="str">
        <v>Panjang netto</v>
      </c>
      <c r="D5968">
        <f>VLOOKUP(C5965,'Data Panjang Balok'!$C$9:$N$254,7,FALSE)</f>
        <v>1250</v>
      </c>
    </row>
    <row r="5969">
      <c r="C5969" t="str">
        <v>Kolom / balok kiri</v>
      </c>
      <c r="D5969">
        <f>VLOOKUP(C5965,'Data Panjang Balok'!$C$9:$N$254,9,FALSE)</f>
        <v>0</v>
      </c>
    </row>
    <row r="5970">
      <c r="C5970" t="str">
        <v>Kolom / balok kanan</v>
      </c>
      <c r="D5970">
        <f>VLOOKUP(C5965,'Data Panjang Balok'!$C$9:$N$254,10,FALSE)</f>
        <v>0</v>
      </c>
    </row>
    <row r="5971">
      <c r="C5971" t="str">
        <v>Jumlah</v>
      </c>
      <c r="D5971">
        <f>VLOOKUP(C5965,'Data Panjang Balok'!$C$9:$N$254,3,FALSE)</f>
        <v>1</v>
      </c>
    </row>
    <row r="5972">
      <c r="A5972" t="str">
        <f>A5965</f>
        <v>Lantai 3</v>
      </c>
      <c r="B5972">
        <f>B5965</f>
        <v>57</v>
      </c>
      <c r="C5972" t="str">
        <v>Tul Atas Tumpuan</v>
      </c>
      <c r="D5972">
        <f>VLOOKUP(D5965,'Detail Balok'!$C$10:$AU$140,4,FALSE)</f>
        <v>3</v>
      </c>
      <c r="E5972" t="str">
        <v>D</v>
      </c>
      <c r="F5972">
        <f>VLOOKUP(D5965,'Detail Balok'!$C$10:$AU$140,6,FALSE)</f>
        <v>16</v>
      </c>
      <c r="I5972" t="str">
        <v>(</v>
      </c>
      <c r="J5972">
        <f>+D5967/4/1000</f>
        <v>0.3125</v>
      </c>
      <c r="K5972" t="str">
        <v>+</v>
      </c>
      <c r="L5972">
        <f>MAX(VLOOKUP(F5972,N$6:P$15,3,FALSE)/1000,2/3*D5969/1000)+F$16*F5972/1000</f>
        <v>0.192</v>
      </c>
      <c r="M5972" t="str">
        <v>=</v>
      </c>
      <c r="N5972">
        <f>J5972+L5972</f>
        <v>0.5045</v>
      </c>
      <c r="O5972" t="str">
        <v>+</v>
      </c>
      <c r="P5972">
        <f>D5972-D5973</f>
        <v>0</v>
      </c>
      <c r="Q5972" t="str">
        <v>x</v>
      </c>
      <c r="R5972">
        <f>IF(P5972&gt;0,$F$18*F5972/1000,0)</f>
        <v>0</v>
      </c>
      <c r="S5972" t="str">
        <v>)</v>
      </c>
      <c r="T5972" t="str">
        <v>x</v>
      </c>
      <c r="U5972">
        <f>0.006165*F5972^2</f>
        <v>1.57824</v>
      </c>
      <c r="X5972" t="str">
        <v>x</v>
      </c>
      <c r="Y5972">
        <f>D5971</f>
        <v>1</v>
      </c>
      <c r="Z5972" t="str">
        <v>=</v>
      </c>
      <c r="AA5972">
        <f>IF(AA5975=0,(D5972*N5972+P5972*R5972)*U5972*Y5972,0)</f>
        <v>0</v>
      </c>
    </row>
    <row r="5973">
      <c r="A5973" t="str">
        <f>A5965</f>
        <v>Lantai 3</v>
      </c>
      <c r="B5973">
        <f>B5965</f>
        <v>57</v>
      </c>
      <c r="C5973" t="str">
        <v>Tul Atas Lapangan</v>
      </c>
      <c r="D5973">
        <f>VLOOKUP(D5965,'Detail Balok'!$C$10:$AU$140,7,FALSE)</f>
        <v>3</v>
      </c>
      <c r="E5973" t="str">
        <v>D</v>
      </c>
      <c r="F5973">
        <f>VLOOKUP(D5965,'Detail Balok'!$C$10:$AU$140,9,FALSE)</f>
        <v>16</v>
      </c>
      <c r="I5973" t="str">
        <v>(</v>
      </c>
      <c r="J5973">
        <f>+D5967/2/1000</f>
        <v>0.625</v>
      </c>
      <c r="K5973" t="str">
        <v>+</v>
      </c>
      <c r="M5973" t="str">
        <v>=</v>
      </c>
      <c r="N5973">
        <f>J5973+L5973</f>
        <v>0.625</v>
      </c>
      <c r="O5973" t="str">
        <v>+</v>
      </c>
      <c r="P5973">
        <f>MAX(D5973-D5972,D5973-D5974)</f>
        <v>0</v>
      </c>
      <c r="Q5973" t="str">
        <v>x</v>
      </c>
      <c r="R5973">
        <f>IF(P5973&gt;0,2*(1-2*$F$19-1/2)*D5968/1000,0)</f>
        <v>0</v>
      </c>
      <c r="S5973" t="str">
        <v>)</v>
      </c>
      <c r="T5973" t="str">
        <v>x</v>
      </c>
      <c r="U5973">
        <f>0.006165*F5973^2</f>
        <v>1.57824</v>
      </c>
      <c r="X5973" t="str">
        <v>x</v>
      </c>
      <c r="Y5973">
        <f>D5971</f>
        <v>1</v>
      </c>
      <c r="Z5973" t="str">
        <v>=</v>
      </c>
      <c r="AA5973">
        <f>IF(AA5975=0,(D5973*N5973+P5973*R5973)*U5973*Y5973,0)</f>
        <v>0</v>
      </c>
    </row>
    <row r="5974">
      <c r="A5974" t="str">
        <f>A5965</f>
        <v>Lantai 3</v>
      </c>
      <c r="B5974">
        <f>B5965</f>
        <v>57</v>
      </c>
      <c r="C5974" t="str">
        <v>Tul Atas Tumpuan</v>
      </c>
      <c r="D5974">
        <f>VLOOKUP(D5965,'Detail Balok'!$C$10:$AU$140,10,FALSE)</f>
        <v>3</v>
      </c>
      <c r="E5974" t="str">
        <v>D</v>
      </c>
      <c r="F5974">
        <f>VLOOKUP(D5965,'Detail Balok'!$C$10:$AU$140,12,FALSE)</f>
        <v>16</v>
      </c>
      <c r="I5974" t="str">
        <v>(</v>
      </c>
      <c r="J5974">
        <f>+D5967/4/1000</f>
        <v>0.3125</v>
      </c>
      <c r="K5974" t="str">
        <v>+</v>
      </c>
      <c r="L5974">
        <f>MAX(VLOOKUP(F5974,N$6:P$15,3,FALSE)/1000,2/3*D5969/1000)+F$16*F5974/1000</f>
        <v>0.192</v>
      </c>
      <c r="M5974" t="str">
        <v>=</v>
      </c>
      <c r="N5974">
        <f>J5974+L5974</f>
        <v>0.5045</v>
      </c>
      <c r="O5974" t="str">
        <v>+</v>
      </c>
      <c r="P5974">
        <f>D5974-D5973</f>
        <v>0</v>
      </c>
      <c r="Q5974" t="str">
        <v>x</v>
      </c>
      <c r="R5974">
        <f>IF(P5974&gt;0,$F$18*F5974/1000,0)</f>
        <v>0</v>
      </c>
      <c r="S5974" t="str">
        <v>)</v>
      </c>
      <c r="T5974" t="str">
        <v>x</v>
      </c>
      <c r="U5974">
        <f>0.006165*F5974^2</f>
        <v>1.57824</v>
      </c>
      <c r="X5974" t="str">
        <v>x</v>
      </c>
      <c r="Y5974">
        <f>D5971</f>
        <v>1</v>
      </c>
      <c r="Z5974" t="str">
        <v>=</v>
      </c>
      <c r="AA5974">
        <f>IF(AA5975=0,(D5974*N5974+P5974*R5974)*U5974*Y5974,0)</f>
        <v>0</v>
      </c>
    </row>
    <row r="5975">
      <c r="A5975" t="str">
        <f>A5965</f>
        <v>Lantai 3</v>
      </c>
      <c r="B5975">
        <f>B5965</f>
        <v>57</v>
      </c>
      <c r="D5975">
        <f>IF(AND(D5972=D5973,D5973=D5974,D5972=D5974),D5972,0)</f>
        <v>3</v>
      </c>
      <c r="E5975" t="str">
        <v>D</v>
      </c>
      <c r="F5975">
        <f>IF(AND(F5972=F5973,F5972=F5974,F5973=F5974),F5972,0)</f>
        <v>16</v>
      </c>
      <c r="L5975" t="str">
        <v>Total panjang per balok</v>
      </c>
      <c r="M5975" t="str">
        <v>=</v>
      </c>
      <c r="N5975">
        <f>IF(AND(D5972=D5973,D5972=D5974,D5973=D5974,F5972=F5973,F5972=F5974,F5973=F5974),SUM(N5972:N5974),0)</f>
        <v>1.634</v>
      </c>
      <c r="O5975" t="str">
        <v>+</v>
      </c>
      <c r="P5975">
        <f>IF(N5975&gt;12,ROUNDDOWN(N5975/12,0),0)</f>
        <v>0</v>
      </c>
      <c r="Q5975" t="str">
        <v>x</v>
      </c>
      <c r="R5975">
        <f>IF(P5975&gt;0,MAX(VLOOKUP(F5975,$D$6:$G$15,3,FALSE),600),0)/1000</f>
        <v>0</v>
      </c>
      <c r="T5975" t="str">
        <v>x</v>
      </c>
      <c r="U5975">
        <f>U5974</f>
        <v>1.57824</v>
      </c>
      <c r="V5975" t="str">
        <v>x</v>
      </c>
      <c r="W5975">
        <f>D5975</f>
        <v>3</v>
      </c>
      <c r="X5975" t="str">
        <v>x</v>
      </c>
      <c r="Y5975">
        <f>Y5974</f>
        <v>1</v>
      </c>
      <c r="Z5975" t="str">
        <v>=</v>
      </c>
      <c r="AA5975">
        <f>(N5975+P5975*R5975/1000)*U5975*W5975*Y5975</f>
        <v>7.73653248</v>
      </c>
    </row>
    <row r="5977">
      <c r="A5977" t="str">
        <f>A5965</f>
        <v>Lantai 3</v>
      </c>
      <c r="B5977">
        <f>B5965</f>
        <v>57</v>
      </c>
      <c r="C5977" t="str">
        <v>Tul Peminggang</v>
      </c>
      <c r="D5977">
        <f>VLOOKUP(D5965,'Detail Balok'!$C$10:$AU$140,13,FALSE)</f>
        <v>0</v>
      </c>
      <c r="E5977" t="str">
        <v>D</v>
      </c>
      <c r="F5977">
        <f>VLOOKUP(D5965,'Detail Balok'!$C$10:$AU$140,15,FALSE)</f>
        <v>8</v>
      </c>
      <c r="J5977">
        <f>+D5967/1000</f>
        <v>1.25</v>
      </c>
      <c r="K5977" t="str">
        <v>+</v>
      </c>
      <c r="L5977">
        <f>2*$F$16*F5977/1000</f>
        <v>0.192</v>
      </c>
      <c r="M5977" t="str">
        <v>=</v>
      </c>
      <c r="N5977">
        <f>J5977+L5977</f>
        <v>1.442</v>
      </c>
      <c r="O5977" t="str">
        <v>+</v>
      </c>
      <c r="P5977">
        <f>IF(N5977&gt;12,ROUNDDOWN(N5977/12,0),0)</f>
        <v>0</v>
      </c>
      <c r="Q5977" t="str">
        <v>x</v>
      </c>
      <c r="R5977">
        <f>IF(P5977&gt;0,MAX(VLOOKUP(F5977,$D$6:$G$15,3,FALSE),600),0)/1000</f>
        <v>0</v>
      </c>
      <c r="T5977" t="str">
        <v>x</v>
      </c>
      <c r="U5977">
        <f>0.006165*F5977^2</f>
        <v>0.39456</v>
      </c>
      <c r="V5977" t="str">
        <v>x</v>
      </c>
      <c r="W5977">
        <f>+D5977</f>
        <v>0</v>
      </c>
      <c r="X5977" t="str">
        <v>x</v>
      </c>
      <c r="Y5977">
        <f>D5971</f>
        <v>1</v>
      </c>
      <c r="Z5977" t="str">
        <v>=</v>
      </c>
      <c r="AA5977">
        <f>(N5977+P5977*R5977/1000)*U5977*W5977*Y5977</f>
        <v>0</v>
      </c>
    </row>
    <row r="5980">
      <c r="A5980" t="str">
        <f>A5965</f>
        <v>Lantai 3</v>
      </c>
      <c r="B5980">
        <f>B5965</f>
        <v>57</v>
      </c>
      <c r="C5980" t="str">
        <v>Tul Bawah Tumpuan</v>
      </c>
      <c r="D5980">
        <f>VLOOKUP(D5965,'Detail Balok'!$C$10:$AU$140,22,FALSE)</f>
        <v>3</v>
      </c>
      <c r="E5980" t="str">
        <v>D</v>
      </c>
      <c r="F5980">
        <f>VLOOKUP(D5965,'Detail Balok'!$C$10:$AU$140,24,FALSE)</f>
        <v>16</v>
      </c>
      <c r="I5980" t="str">
        <v>(</v>
      </c>
      <c r="J5980">
        <f>+J5972</f>
        <v>0.3125</v>
      </c>
      <c r="K5980" t="str">
        <v>+</v>
      </c>
      <c r="L5980">
        <f>MAX(VLOOKUP(F5980,N$6:P$15,3,FALSE)/1000,2/3*D5970/1000)+F$16*F5980/1000</f>
        <v>0.192</v>
      </c>
      <c r="M5980" t="str">
        <v>=</v>
      </c>
      <c r="N5980">
        <f>J5980+L5980</f>
        <v>0.5045</v>
      </c>
      <c r="O5980" t="str">
        <v>+</v>
      </c>
      <c r="P5980">
        <f>D5980-D5981</f>
        <v>0</v>
      </c>
      <c r="Q5980" t="str">
        <v>x</v>
      </c>
      <c r="R5980">
        <f>IF(P5980&gt;0,$F$18*F5980/1000,0)</f>
        <v>0</v>
      </c>
      <c r="S5980" t="str">
        <v>)</v>
      </c>
      <c r="T5980" t="str">
        <v>x</v>
      </c>
      <c r="U5980">
        <f>0.006165*F5980^2</f>
        <v>1.57824</v>
      </c>
      <c r="X5980" t="str">
        <v>x</v>
      </c>
      <c r="Y5980">
        <f>D5971</f>
        <v>1</v>
      </c>
      <c r="Z5980" t="str">
        <v>=</v>
      </c>
      <c r="AA5980">
        <f>IF(AA5983=0,(D5980*N5980+P5980*R5980)*U5980*Y5980,0)</f>
        <v>0</v>
      </c>
    </row>
    <row r="5981">
      <c r="A5981" t="str">
        <f>A5965</f>
        <v>Lantai 3</v>
      </c>
      <c r="B5981">
        <f>B5965</f>
        <v>57</v>
      </c>
      <c r="C5981" t="str">
        <v>Tul Bawah Lapangan</v>
      </c>
      <c r="D5981">
        <f>VLOOKUP(D5965,'Detail Balok'!$C$10:$AU$140,25,FALSE)</f>
        <v>3</v>
      </c>
      <c r="E5981" t="str">
        <v>D</v>
      </c>
      <c r="F5981">
        <f>VLOOKUP(D5965,'Detail Balok'!$C$10:$AU$140,27,FALSE)</f>
        <v>16</v>
      </c>
      <c r="I5981" t="str">
        <v>(</v>
      </c>
      <c r="J5981">
        <f>+J5973</f>
        <v>0.625</v>
      </c>
      <c r="K5981" t="str">
        <v>+</v>
      </c>
      <c r="M5981" t="str">
        <v>=</v>
      </c>
      <c r="N5981">
        <f>J5981+L5981</f>
        <v>0.625</v>
      </c>
      <c r="O5981" t="str">
        <v>+</v>
      </c>
      <c r="P5981">
        <f>MAX(D5981-D5980,D5981-D5982)</f>
        <v>0</v>
      </c>
      <c r="Q5981" t="str">
        <v>x</v>
      </c>
      <c r="R5981">
        <f>IF(P5981&gt;0,2*(1-2*$F$19-1/2)*D5968/1000,0)</f>
        <v>0</v>
      </c>
      <c r="S5981" t="str">
        <v>)</v>
      </c>
      <c r="T5981" t="str">
        <v>x</v>
      </c>
      <c r="U5981">
        <f>0.006165*F5981^2</f>
        <v>1.57824</v>
      </c>
      <c r="X5981" t="str">
        <v>x</v>
      </c>
      <c r="Y5981">
        <f>D5971</f>
        <v>1</v>
      </c>
      <c r="Z5981" t="str">
        <v>=</v>
      </c>
      <c r="AA5981">
        <f>IF(AA5983=0,(D5981*N5981+P5981*R5981)*U5981*Y5981,0)</f>
        <v>0</v>
      </c>
    </row>
    <row r="5982">
      <c r="A5982" t="str">
        <f>A5965</f>
        <v>Lantai 3</v>
      </c>
      <c r="B5982">
        <f>B5965</f>
        <v>57</v>
      </c>
      <c r="C5982" t="str">
        <v>Tul Bawah Tumpuan</v>
      </c>
      <c r="D5982">
        <f>VLOOKUP(D5965,'Detail Balok'!$C$10:$AU$140,28,FALSE)</f>
        <v>3</v>
      </c>
      <c r="E5982" t="str">
        <v>D</v>
      </c>
      <c r="F5982">
        <f>VLOOKUP(D5965,'Detail Balok'!$C$10:$AU$140,30,FALSE)</f>
        <v>16</v>
      </c>
      <c r="I5982" t="str">
        <v>(</v>
      </c>
      <c r="J5982">
        <f>+J5974</f>
        <v>0.3125</v>
      </c>
      <c r="K5982" t="str">
        <v>+</v>
      </c>
      <c r="L5982">
        <f>MAX(VLOOKUP(F5982,N$6:P$15,3,FALSE)/1000,2/3*D5970/1000)+F$16*F5982/1000</f>
        <v>0.192</v>
      </c>
      <c r="M5982" t="str">
        <v>=</v>
      </c>
      <c r="N5982">
        <f>J5982+L5982</f>
        <v>0.5045</v>
      </c>
      <c r="O5982" t="str">
        <v>+</v>
      </c>
      <c r="P5982">
        <f>D5982-D5981</f>
        <v>0</v>
      </c>
      <c r="Q5982" t="str">
        <v>x</v>
      </c>
      <c r="R5982">
        <f>IF(P5982&gt;0,$F$18*F5982/1000,0)</f>
        <v>0</v>
      </c>
      <c r="S5982" t="str">
        <v>)</v>
      </c>
      <c r="T5982" t="str">
        <v>x</v>
      </c>
      <c r="U5982">
        <f>0.006165*F5982^2</f>
        <v>1.57824</v>
      </c>
      <c r="X5982" t="str">
        <v>x</v>
      </c>
      <c r="Y5982">
        <f>D5971</f>
        <v>1</v>
      </c>
      <c r="Z5982" t="str">
        <v>=</v>
      </c>
      <c r="AA5982">
        <f>IF(AA5983=0,(D5982*N5982+P5982*R5982)*U5982*Y5982,0)</f>
        <v>0</v>
      </c>
    </row>
    <row r="5983">
      <c r="A5983" t="str">
        <f>A5965</f>
        <v>Lantai 3</v>
      </c>
      <c r="B5983">
        <f>B5965</f>
        <v>57</v>
      </c>
      <c r="D5983">
        <f>IF(AND(D5980=D5981,D5981=D5982,D5980=D5982),D5980,0)</f>
        <v>3</v>
      </c>
      <c r="E5983" t="str">
        <v>D</v>
      </c>
      <c r="F5983">
        <f>IF(AND(F5980=F5981,F5980=F5982,F5981=F5982),F5980,0)</f>
        <v>16</v>
      </c>
      <c r="L5983" t="str">
        <v>Total panjang per balok</v>
      </c>
      <c r="M5983" t="str">
        <v>=</v>
      </c>
      <c r="N5983">
        <f>IF(AND(D5980=D5981,D5980=D5982,D5981=D5982,F5980=F5981,F5980=F5982,F5981=F5982),SUM(N5980:N5982),0)</f>
        <v>1.634</v>
      </c>
      <c r="O5983" t="str">
        <v>+</v>
      </c>
      <c r="P5983">
        <f>IF(N5983&gt;12,ROUNDDOWN(N5983/12,0),0)</f>
        <v>0</v>
      </c>
      <c r="Q5983" t="str">
        <v>x</v>
      </c>
      <c r="R5983">
        <f>IF(P5983&gt;0,MAX(VLOOKUP(F5983,$D$6:$G$15,3,FALSE),600),0)/1000</f>
        <v>0</v>
      </c>
      <c r="T5983" t="str">
        <v>x</v>
      </c>
      <c r="U5983">
        <f>U5982</f>
        <v>1.57824</v>
      </c>
      <c r="V5983" t="str">
        <v>x</v>
      </c>
      <c r="W5983">
        <f>D5983</f>
        <v>3</v>
      </c>
      <c r="X5983" t="str">
        <v>x</v>
      </c>
      <c r="Y5983">
        <f>Y5982</f>
        <v>1</v>
      </c>
      <c r="Z5983" t="str">
        <v>=</v>
      </c>
      <c r="AA5983">
        <f>(N5983+P5983*R5983/1000)*U5983*W5983*Y5983</f>
        <v>7.73653248</v>
      </c>
    </row>
    <row r="5985">
      <c r="A5985" t="str">
        <f>A5965</f>
        <v>Lantai 3</v>
      </c>
      <c r="B5985">
        <f>B5965</f>
        <v>57</v>
      </c>
      <c r="C5985" t="str">
        <v>Sengkang Tumpuan</v>
      </c>
      <c r="D5985">
        <f>VLOOKUP(D5965,'Detail Balok'!$C$10:$AU$140,31,FALSE)</f>
        <v>0</v>
      </c>
      <c r="E5985" t="str">
        <v>D</v>
      </c>
      <c r="F5985">
        <f>VLOOKUP(D5965,'Detail Balok'!$C$10:$AU$140,33,FALSE)</f>
        <v>10</v>
      </c>
      <c r="G5985" t="str">
        <v>-</v>
      </c>
      <c r="H5985">
        <f>VLOOKUP(D5965,'Detail Balok'!$C$10:$AU$140,35,FALSE)</f>
        <v>100</v>
      </c>
      <c r="J5985">
        <f>(IF(D5985=0,(2*(D5966+G5966))-(F$5*8),IF(D5985=3,(2*(D5966+G5966))-(F$5*8)+(G5966-2*F$5),IF(D5985=4,(2*(D5966+G5966))-(F$5*8)+2*(G5966-2*F$5)))))/1000</f>
        <v>0.88</v>
      </c>
      <c r="K5985" t="str">
        <v>+</v>
      </c>
      <c r="L5985">
        <f>IF(D5985=0,2*MAX(6*F5985,75),(D5985-1)*2*MAX(6*F5985,75))/1000</f>
        <v>0.15</v>
      </c>
      <c r="M5985" t="str">
        <v>=</v>
      </c>
      <c r="N5985">
        <f>J5985+L5985</f>
        <v>1.03</v>
      </c>
      <c r="T5985" t="str">
        <v>x</v>
      </c>
      <c r="U5985">
        <f>0.006165*F5985^2</f>
        <v>0.6165</v>
      </c>
      <c r="V5985" t="str">
        <v>x</v>
      </c>
      <c r="W5985">
        <f>IF(D5968&gt;4*G5966,ROUND(MAX(D5968/4,2*G5966)/H5985,0)+1,ROUND(D5968/H5985,0)+1)</f>
        <v>14</v>
      </c>
      <c r="X5985" t="str">
        <v>x</v>
      </c>
      <c r="Y5985">
        <f>D5971</f>
        <v>1</v>
      </c>
      <c r="Z5985" t="str">
        <v>=</v>
      </c>
      <c r="AA5985">
        <f>N5985*U5985*W5985*Y5985</f>
        <v>8.889930000000001</v>
      </c>
    </row>
    <row r="5986">
      <c r="A5986" t="str">
        <f>A5965</f>
        <v>Lantai 3</v>
      </c>
      <c r="B5986">
        <f>B5965</f>
        <v>57</v>
      </c>
      <c r="C5986" t="str">
        <v>Sengkang Lapangan</v>
      </c>
      <c r="D5986">
        <f>VLOOKUP(D5965,'Detail Balok'!$C$10:$AU$140,36,FALSE)</f>
        <v>0</v>
      </c>
      <c r="E5986" t="str">
        <v>D</v>
      </c>
      <c r="F5986">
        <f>VLOOKUP(D5965,'Detail Balok'!$C$10:$AU$140,38,FALSE)</f>
        <v>10</v>
      </c>
      <c r="G5986" t="str">
        <v>-</v>
      </c>
      <c r="H5986">
        <f>VLOOKUP(D5965,'Detail Balok'!$C$10:$AU$140,40,FALSE)</f>
        <v>100</v>
      </c>
      <c r="J5986">
        <f>(IF(D5986=0,(2*(D5966+G5966))-(F$5*8),IF(D5986=3,(2*(D5966+G5966))-(F$5*8)+(G5966-2*F$5),IF(D5986=4,(2*(D5966+G5966))-(F$5*8)+2*(G5966-2*F$5)))))/1000</f>
        <v>0.88</v>
      </c>
      <c r="K5986" t="str">
        <v>+</v>
      </c>
      <c r="L5986">
        <f>IF(D5986=0,2*MAX(6*F5986,75),(D5986-1)*2*MAX(6*F5986,75))/1000</f>
        <v>0.15</v>
      </c>
      <c r="M5986" t="str">
        <v>=</v>
      </c>
      <c r="N5986">
        <f>J5986+L5986</f>
        <v>1.03</v>
      </c>
      <c r="T5986" t="str">
        <v>x</v>
      </c>
      <c r="U5986">
        <f>0.006165*F5986^2</f>
        <v>0.6165</v>
      </c>
      <c r="V5986" t="str">
        <v>x</v>
      </c>
      <c r="W5986">
        <f>IF(D5968-MAX(D5968/4,2*G5966)*2&gt;0,ROUND((D5968-MAX(D5968/4,2*G5966)*2)/H5986,0),0)</f>
        <v>0</v>
      </c>
      <c r="X5986" t="str">
        <v>x</v>
      </c>
      <c r="Y5986">
        <f>D5971</f>
        <v>1</v>
      </c>
      <c r="Z5986" t="str">
        <v>=</v>
      </c>
      <c r="AA5986">
        <f>N5986*U5986*W5986*Y5986</f>
        <v>0</v>
      </c>
    </row>
    <row r="5987">
      <c r="A5987" t="str">
        <f>A5965</f>
        <v>Lantai 3</v>
      </c>
      <c r="B5987">
        <f>B5965</f>
        <v>57</v>
      </c>
      <c r="C5987" t="str">
        <v>Sengkang Tumpuan</v>
      </c>
      <c r="D5987">
        <f>VLOOKUP(D5965,'Detail Balok'!$C$10:$AU$140,41,FALSE)</f>
        <v>0</v>
      </c>
      <c r="E5987" t="str">
        <v>D</v>
      </c>
      <c r="F5987">
        <f>VLOOKUP(D5965,'Detail Balok'!$C$10:$AU$140,43,FALSE)</f>
        <v>10</v>
      </c>
      <c r="G5987" t="str">
        <v>-</v>
      </c>
      <c r="H5987">
        <f>VLOOKUP(D5965,'Detail Balok'!$C$10:$AU$140,45,FALSE)</f>
        <v>100</v>
      </c>
      <c r="J5987">
        <f>(IF(D5987=0,(2*(D5966+G5966))-(F$5*8),IF(D5987=3,(2*(D5966+G5966))-(F$5*8)+(G5966-2*F$5),IF(D5987=4,(2*(D5966+G5966))-(F$5*8)+2*(G5966-2*F$5)))))/1000</f>
        <v>0.88</v>
      </c>
      <c r="K5987" t="str">
        <v>+</v>
      </c>
      <c r="L5987">
        <f>IF(D5987=0,2*MAX(6*F5987,75),(D5987-1)*2*MAX(6*F5987,75))/1000</f>
        <v>0.15</v>
      </c>
      <c r="M5987" t="str">
        <v>=</v>
      </c>
      <c r="N5987">
        <f>J5987+L5987</f>
        <v>1.03</v>
      </c>
      <c r="T5987" t="str">
        <v>x</v>
      </c>
      <c r="U5987">
        <f>0.006165*F5987^2</f>
        <v>0.6165</v>
      </c>
      <c r="V5987" t="str">
        <v>x</v>
      </c>
      <c r="W5987">
        <f>IF(D5968&gt;4*G5966,ROUND(MAX(D5968/4,2*G5966)/H5987,0)+1,0)</f>
        <v>0</v>
      </c>
      <c r="X5987" t="str">
        <v>x</v>
      </c>
      <c r="Y5987">
        <f>D5971</f>
        <v>1</v>
      </c>
      <c r="Z5987" t="str">
        <v>=</v>
      </c>
      <c r="AA5987">
        <f>N5987*U5987*W5987*Y5987</f>
        <v>0</v>
      </c>
    </row>
    <row r="5989">
      <c r="A5989" t="str">
        <f>A5965</f>
        <v>Lantai 3</v>
      </c>
      <c r="B5989">
        <f>B5965</f>
        <v>57</v>
      </c>
      <c r="C5989" t="str">
        <v>Kait Horizontal Tump.</v>
      </c>
      <c r="D5989">
        <f>VLOOKUP(D5965,'Detail Balok'!$C$10:$BJ$140,46,FALSE)</f>
        <v>0</v>
      </c>
      <c r="E5989" t="str">
        <v>D</v>
      </c>
      <c r="F5989">
        <f>VLOOKUP(D5965,'Detail Balok'!$C$10:$BJ$140,48,FALSE)</f>
        <v>0</v>
      </c>
      <c r="G5989" t="str">
        <v>-</v>
      </c>
      <c r="H5989">
        <f>VLOOKUP(D5965,'Detail Balok'!$C$10:$BJ$140,50,FALSE)</f>
        <v>100</v>
      </c>
      <c r="J5989">
        <f>(D5966-2*F$5)/1000</f>
        <v>0.12</v>
      </c>
      <c r="K5989" t="str">
        <v>+</v>
      </c>
      <c r="L5989">
        <f>IF(D5989=0,2*MAX(6*F5989,75),(D5989-1)*2*MAX(6*F5989,75))/1000</f>
        <v>0.15</v>
      </c>
      <c r="M5989" t="str">
        <v>=</v>
      </c>
      <c r="N5989">
        <f>J5989+L5989</f>
        <v>0.27</v>
      </c>
      <c r="T5989" t="str">
        <v>x</v>
      </c>
      <c r="U5989">
        <f>0.006165*F5989^2</f>
        <v>0</v>
      </c>
      <c r="V5989" t="str">
        <v>x</v>
      </c>
      <c r="W5989">
        <f>W5985</f>
        <v>14</v>
      </c>
      <c r="X5989" t="str">
        <v>x</v>
      </c>
      <c r="Y5989">
        <f>D5975</f>
        <v>3</v>
      </c>
      <c r="Z5989" t="str">
        <v>=</v>
      </c>
      <c r="AA5989">
        <f>N5989*U5989*W5989*Y5989</f>
        <v>0</v>
      </c>
    </row>
    <row r="5990">
      <c r="A5990" t="str">
        <f>A5965</f>
        <v>Lantai 3</v>
      </c>
      <c r="B5990">
        <f>B5965</f>
        <v>57</v>
      </c>
      <c r="C5990" t="str">
        <v>Kait Horizontal Lap.</v>
      </c>
      <c r="D5990">
        <f>VLOOKUP(D5965,'Detail Balok'!$C$10:$BJ$140,51,FALSE)</f>
        <v>0</v>
      </c>
      <c r="E5990" t="str">
        <v>D</v>
      </c>
      <c r="F5990">
        <f>VLOOKUP(D5965,'Detail Balok'!$C$10:$BJ$140,53,FALSE)</f>
        <v>0</v>
      </c>
      <c r="G5990" t="str">
        <v>-</v>
      </c>
      <c r="H5990">
        <f>VLOOKUP(D5965,'Detail Balok'!$C$10:$BJ$140,55,FALSE)</f>
        <v>100</v>
      </c>
      <c r="J5990">
        <f>(D5966-2*F$5)/1000</f>
        <v>0.12</v>
      </c>
      <c r="K5990" t="str">
        <v>+</v>
      </c>
      <c r="L5990">
        <f>IF(D5990=0,2*MAX(6*F5990,75),(D5990-1)*2*MAX(6*F5990,75))/1000</f>
        <v>0.15</v>
      </c>
      <c r="M5990" t="str">
        <v>=</v>
      </c>
      <c r="N5990">
        <f>J5990+L5990</f>
        <v>0.27</v>
      </c>
      <c r="T5990" t="str">
        <v>x</v>
      </c>
      <c r="U5990">
        <f>0.006165*F5990^2</f>
        <v>0</v>
      </c>
      <c r="V5990" t="str">
        <v>x</v>
      </c>
      <c r="W5990">
        <f>W5986</f>
        <v>0</v>
      </c>
      <c r="X5990" t="str">
        <v>x</v>
      </c>
      <c r="Y5990">
        <f>D5975</f>
        <v>3</v>
      </c>
      <c r="Z5990" t="str">
        <v>=</v>
      </c>
      <c r="AA5990">
        <f>N5990*U5990*W5990*Y5990</f>
        <v>0</v>
      </c>
    </row>
    <row r="5991">
      <c r="A5991" t="str">
        <f>A5965</f>
        <v>Lantai 3</v>
      </c>
      <c r="B5991">
        <f>B5965</f>
        <v>57</v>
      </c>
      <c r="C5991" t="str">
        <v>Kait Horizontal Tump.</v>
      </c>
      <c r="D5991">
        <f>VLOOKUP(D5965,'Detail Balok'!$C$10:$BJ$140,56,FALSE)</f>
        <v>0</v>
      </c>
      <c r="E5991" t="str">
        <v>D</v>
      </c>
      <c r="F5991">
        <f>VLOOKUP(D5965,'Detail Balok'!$C$10:$BJ$140,58,FALSE)</f>
        <v>0</v>
      </c>
      <c r="G5991" t="str">
        <v>-</v>
      </c>
      <c r="H5991">
        <f>VLOOKUP(D5965,'Detail Balok'!$C$10:$BJ$140,60,FALSE)</f>
        <v>100</v>
      </c>
      <c r="J5991">
        <f>(D5966-2*F$5)/1000</f>
        <v>0.12</v>
      </c>
      <c r="K5991" t="str">
        <v>+</v>
      </c>
      <c r="L5991">
        <f>IF(D5991=0,2*MAX(6*F5991,75),(D5991-1)*2*MAX(6*F5991,75))/1000</f>
        <v>0.15</v>
      </c>
      <c r="M5991" t="str">
        <v>=</v>
      </c>
      <c r="N5991">
        <f>J5991+L5991</f>
        <v>0.27</v>
      </c>
      <c r="T5991" t="str">
        <v>x</v>
      </c>
      <c r="U5991">
        <f>0.006165*F5991^2</f>
        <v>0</v>
      </c>
      <c r="V5991" t="str">
        <v>x</v>
      </c>
      <c r="W5991">
        <f>W5987</f>
        <v>0</v>
      </c>
      <c r="X5991" t="str">
        <v>x</v>
      </c>
      <c r="Y5991">
        <f>D5975</f>
        <v>3</v>
      </c>
      <c r="Z5991" t="str">
        <v>=</v>
      </c>
      <c r="AA5991">
        <f>N5991*U5991*W5991*Y5991</f>
        <v>0</v>
      </c>
    </row>
    <row r="5995">
      <c r="A5995" t="str">
        <f>A5965</f>
        <v>Lantai 3</v>
      </c>
      <c r="B5995">
        <f>B5965+1</f>
        <v>58</v>
      </c>
      <c r="C5995" t="str">
        <f>CONCATENATE(A5995," no. ",B5995)</f>
        <v>Lantai 3 no. 58</v>
      </c>
      <c r="D5995" t="str">
        <f>VLOOKUP(C5995,'Data Panjang Balok'!$C$9:$N$254,2,FALSE)</f>
        <v>CL24-1</v>
      </c>
    </row>
    <row r="5996">
      <c r="C5996" t="str">
        <v>Dimensi</v>
      </c>
      <c r="D5996">
        <f>VLOOKUP(D5995,'Detail Balok'!$C$10:$AU$140,2,FALSE)</f>
        <v>200</v>
      </c>
      <c r="F5996" t="str">
        <v>x</v>
      </c>
      <c r="G5996">
        <f>VLOOKUP(D5995,'Detail Balok'!$C$10:$AU$140,3,FALSE)</f>
        <v>400</v>
      </c>
    </row>
    <row r="5997">
      <c r="C5997" t="str">
        <v>Panjang as ke as</v>
      </c>
      <c r="D5997">
        <f>VLOOKUP(C5995,'Data Panjang Balok'!$C$9:$N$254,4,FALSE)</f>
        <v>1250</v>
      </c>
    </row>
    <row r="5998">
      <c r="C5998" t="str">
        <v>Panjang netto</v>
      </c>
      <c r="D5998">
        <f>VLOOKUP(C5995,'Data Panjang Balok'!$C$9:$N$254,7,FALSE)</f>
        <v>1250</v>
      </c>
    </row>
    <row r="5999">
      <c r="C5999" t="str">
        <v>Kolom / balok kiri</v>
      </c>
      <c r="D5999">
        <f>VLOOKUP(C5995,'Data Panjang Balok'!$C$9:$N$254,9,FALSE)</f>
        <v>0</v>
      </c>
    </row>
    <row r="6000">
      <c r="C6000" t="str">
        <v>Kolom / balok kanan</v>
      </c>
      <c r="D6000">
        <f>VLOOKUP(C5995,'Data Panjang Balok'!$C$9:$N$254,10,FALSE)</f>
        <v>0</v>
      </c>
    </row>
    <row r="6001">
      <c r="C6001" t="str">
        <v>Jumlah</v>
      </c>
      <c r="D6001">
        <f>VLOOKUP(C5995,'Data Panjang Balok'!$C$9:$N$254,3,FALSE)</f>
        <v>1</v>
      </c>
    </row>
    <row r="6002">
      <c r="A6002" t="str">
        <f>A5995</f>
        <v>Lantai 3</v>
      </c>
      <c r="B6002">
        <f>B5995</f>
        <v>58</v>
      </c>
      <c r="C6002" t="str">
        <v>Tul Atas Tumpuan</v>
      </c>
      <c r="D6002">
        <f>VLOOKUP(D5995,'Detail Balok'!$C$10:$AU$140,4,FALSE)</f>
        <v>3</v>
      </c>
      <c r="E6002" t="str">
        <v>D</v>
      </c>
      <c r="F6002">
        <f>VLOOKUP(D5995,'Detail Balok'!$C$10:$AU$140,6,FALSE)</f>
        <v>16</v>
      </c>
      <c r="I6002" t="str">
        <v>(</v>
      </c>
      <c r="J6002">
        <f>+D5997/4/1000</f>
        <v>0.3125</v>
      </c>
      <c r="K6002" t="str">
        <v>+</v>
      </c>
      <c r="L6002">
        <f>MAX(VLOOKUP(F6002,N$6:P$15,3,FALSE)/1000,2/3*D5999/1000)+F$16*F6002/1000</f>
        <v>0.192</v>
      </c>
      <c r="M6002" t="str">
        <v>=</v>
      </c>
      <c r="N6002">
        <f>J6002+L6002</f>
        <v>0.5045</v>
      </c>
      <c r="O6002" t="str">
        <v>+</v>
      </c>
      <c r="P6002">
        <f>D6002-D6003</f>
        <v>0</v>
      </c>
      <c r="Q6002" t="str">
        <v>x</v>
      </c>
      <c r="R6002">
        <f>IF(P6002&gt;0,$F$18*F6002/1000,0)</f>
        <v>0</v>
      </c>
      <c r="S6002" t="str">
        <v>)</v>
      </c>
      <c r="T6002" t="str">
        <v>x</v>
      </c>
      <c r="U6002">
        <f>0.006165*F6002^2</f>
        <v>1.57824</v>
      </c>
      <c r="X6002" t="str">
        <v>x</v>
      </c>
      <c r="Y6002">
        <f>D6001</f>
        <v>1</v>
      </c>
      <c r="Z6002" t="str">
        <v>=</v>
      </c>
      <c r="AA6002">
        <f>IF(AA6005=0,(D6002*N6002+P6002*R6002)*U6002*Y6002,0)</f>
        <v>0</v>
      </c>
    </row>
    <row r="6003">
      <c r="A6003" t="str">
        <f>A5995</f>
        <v>Lantai 3</v>
      </c>
      <c r="B6003">
        <f>B5995</f>
        <v>58</v>
      </c>
      <c r="C6003" t="str">
        <v>Tul Atas Lapangan</v>
      </c>
      <c r="D6003">
        <f>VLOOKUP(D5995,'Detail Balok'!$C$10:$AU$140,7,FALSE)</f>
        <v>3</v>
      </c>
      <c r="E6003" t="str">
        <v>D</v>
      </c>
      <c r="F6003">
        <f>VLOOKUP(D5995,'Detail Balok'!$C$10:$AU$140,9,FALSE)</f>
        <v>16</v>
      </c>
      <c r="I6003" t="str">
        <v>(</v>
      </c>
      <c r="J6003">
        <f>+D5997/2/1000</f>
        <v>0.625</v>
      </c>
      <c r="K6003" t="str">
        <v>+</v>
      </c>
      <c r="M6003" t="str">
        <v>=</v>
      </c>
      <c r="N6003">
        <f>J6003+L6003</f>
        <v>0.625</v>
      </c>
      <c r="O6003" t="str">
        <v>+</v>
      </c>
      <c r="P6003">
        <f>MAX(D6003-D6002,D6003-D6004)</f>
        <v>0</v>
      </c>
      <c r="Q6003" t="str">
        <v>x</v>
      </c>
      <c r="R6003">
        <f>IF(P6003&gt;0,2*(1-2*$F$19-1/2)*D5998/1000,0)</f>
        <v>0</v>
      </c>
      <c r="S6003" t="str">
        <v>)</v>
      </c>
      <c r="T6003" t="str">
        <v>x</v>
      </c>
      <c r="U6003">
        <f>0.006165*F6003^2</f>
        <v>1.57824</v>
      </c>
      <c r="X6003" t="str">
        <v>x</v>
      </c>
      <c r="Y6003">
        <f>D6001</f>
        <v>1</v>
      </c>
      <c r="Z6003" t="str">
        <v>=</v>
      </c>
      <c r="AA6003">
        <f>IF(AA6005=0,(D6003*N6003+P6003*R6003)*U6003*Y6003,0)</f>
        <v>0</v>
      </c>
    </row>
    <row r="6004">
      <c r="A6004" t="str">
        <f>A5995</f>
        <v>Lantai 3</v>
      </c>
      <c r="B6004">
        <f>B5995</f>
        <v>58</v>
      </c>
      <c r="C6004" t="str">
        <v>Tul Atas Tumpuan</v>
      </c>
      <c r="D6004">
        <f>VLOOKUP(D5995,'Detail Balok'!$C$10:$AU$140,10,FALSE)</f>
        <v>3</v>
      </c>
      <c r="E6004" t="str">
        <v>D</v>
      </c>
      <c r="F6004">
        <f>VLOOKUP(D5995,'Detail Balok'!$C$10:$AU$140,12,FALSE)</f>
        <v>16</v>
      </c>
      <c r="I6004" t="str">
        <v>(</v>
      </c>
      <c r="J6004">
        <f>+D5997/4/1000</f>
        <v>0.3125</v>
      </c>
      <c r="K6004" t="str">
        <v>+</v>
      </c>
      <c r="L6004">
        <f>MAX(VLOOKUP(F6004,N$6:P$15,3,FALSE)/1000,2/3*D5999/1000)+F$16*F6004/1000</f>
        <v>0.192</v>
      </c>
      <c r="M6004" t="str">
        <v>=</v>
      </c>
      <c r="N6004">
        <f>J6004+L6004</f>
        <v>0.5045</v>
      </c>
      <c r="O6004" t="str">
        <v>+</v>
      </c>
      <c r="P6004">
        <f>D6004-D6003</f>
        <v>0</v>
      </c>
      <c r="Q6004" t="str">
        <v>x</v>
      </c>
      <c r="R6004">
        <f>IF(P6004&gt;0,$F$18*F6004/1000,0)</f>
        <v>0</v>
      </c>
      <c r="S6004" t="str">
        <v>)</v>
      </c>
      <c r="T6004" t="str">
        <v>x</v>
      </c>
      <c r="U6004">
        <f>0.006165*F6004^2</f>
        <v>1.57824</v>
      </c>
      <c r="X6004" t="str">
        <v>x</v>
      </c>
      <c r="Y6004">
        <f>D6001</f>
        <v>1</v>
      </c>
      <c r="Z6004" t="str">
        <v>=</v>
      </c>
      <c r="AA6004">
        <f>IF(AA6005=0,(D6004*N6004+P6004*R6004)*U6004*Y6004,0)</f>
        <v>0</v>
      </c>
    </row>
    <row r="6005">
      <c r="A6005" t="str">
        <f>A5995</f>
        <v>Lantai 3</v>
      </c>
      <c r="B6005">
        <f>B5995</f>
        <v>58</v>
      </c>
      <c r="D6005">
        <f>IF(AND(D6002=D6003,D6003=D6004,D6002=D6004),D6002,0)</f>
        <v>3</v>
      </c>
      <c r="E6005" t="str">
        <v>D</v>
      </c>
      <c r="F6005">
        <f>IF(AND(F6002=F6003,F6002=F6004,F6003=F6004),F6002,0)</f>
        <v>16</v>
      </c>
      <c r="L6005" t="str">
        <v>Total panjang per balok</v>
      </c>
      <c r="M6005" t="str">
        <v>=</v>
      </c>
      <c r="N6005">
        <f>IF(AND(D6002=D6003,D6002=D6004,D6003=D6004,F6002=F6003,F6002=F6004,F6003=F6004),SUM(N6002:N6004),0)</f>
        <v>1.634</v>
      </c>
      <c r="O6005" t="str">
        <v>+</v>
      </c>
      <c r="P6005">
        <f>IF(N6005&gt;12,ROUNDDOWN(N6005/12,0),0)</f>
        <v>0</v>
      </c>
      <c r="Q6005" t="str">
        <v>x</v>
      </c>
      <c r="R6005">
        <f>IF(P6005&gt;0,MAX(VLOOKUP(F6005,$D$6:$G$15,3,FALSE),600),0)/1000</f>
        <v>0</v>
      </c>
      <c r="T6005" t="str">
        <v>x</v>
      </c>
      <c r="U6005">
        <f>U6004</f>
        <v>1.57824</v>
      </c>
      <c r="V6005" t="str">
        <v>x</v>
      </c>
      <c r="W6005">
        <f>D6005</f>
        <v>3</v>
      </c>
      <c r="X6005" t="str">
        <v>x</v>
      </c>
      <c r="Y6005">
        <f>Y6004</f>
        <v>1</v>
      </c>
      <c r="Z6005" t="str">
        <v>=</v>
      </c>
      <c r="AA6005">
        <f>(N6005+P6005*R6005/1000)*U6005*W6005*Y6005</f>
        <v>7.73653248</v>
      </c>
    </row>
    <row r="6007">
      <c r="A6007" t="str">
        <f>A5995</f>
        <v>Lantai 3</v>
      </c>
      <c r="B6007">
        <f>B5995</f>
        <v>58</v>
      </c>
      <c r="C6007" t="str">
        <v>Tul Peminggang</v>
      </c>
      <c r="D6007">
        <f>VLOOKUP(D5995,'Detail Balok'!$C$10:$AU$140,13,FALSE)</f>
        <v>0</v>
      </c>
      <c r="E6007" t="str">
        <v>D</v>
      </c>
      <c r="F6007">
        <f>VLOOKUP(D5995,'Detail Balok'!$C$10:$AU$140,15,FALSE)</f>
        <v>8</v>
      </c>
      <c r="J6007">
        <f>+D5997/1000</f>
        <v>1.25</v>
      </c>
      <c r="K6007" t="str">
        <v>+</v>
      </c>
      <c r="L6007">
        <f>2*$F$16*F6007/1000</f>
        <v>0.192</v>
      </c>
      <c r="M6007" t="str">
        <v>=</v>
      </c>
      <c r="N6007">
        <f>J6007+L6007</f>
        <v>1.442</v>
      </c>
      <c r="O6007" t="str">
        <v>+</v>
      </c>
      <c r="P6007">
        <f>IF(N6007&gt;12,ROUNDDOWN(N6007/12,0),0)</f>
        <v>0</v>
      </c>
      <c r="Q6007" t="str">
        <v>x</v>
      </c>
      <c r="R6007">
        <f>IF(P6007&gt;0,MAX(VLOOKUP(F6007,$D$6:$G$15,3,FALSE),600),0)/1000</f>
        <v>0</v>
      </c>
      <c r="T6007" t="str">
        <v>x</v>
      </c>
      <c r="U6007">
        <f>0.006165*F6007^2</f>
        <v>0.39456</v>
      </c>
      <c r="V6007" t="str">
        <v>x</v>
      </c>
      <c r="W6007">
        <f>+D6007</f>
        <v>0</v>
      </c>
      <c r="X6007" t="str">
        <v>x</v>
      </c>
      <c r="Y6007">
        <f>D6001</f>
        <v>1</v>
      </c>
      <c r="Z6007" t="str">
        <v>=</v>
      </c>
      <c r="AA6007">
        <f>(N6007+P6007*R6007/1000)*U6007*W6007*Y6007</f>
        <v>0</v>
      </c>
    </row>
    <row r="6010">
      <c r="A6010" t="str">
        <f>A5995</f>
        <v>Lantai 3</v>
      </c>
      <c r="B6010">
        <f>B5995</f>
        <v>58</v>
      </c>
      <c r="C6010" t="str">
        <v>Tul Bawah Tumpuan</v>
      </c>
      <c r="D6010">
        <f>VLOOKUP(D5995,'Detail Balok'!$C$10:$AU$140,22,FALSE)</f>
        <v>3</v>
      </c>
      <c r="E6010" t="str">
        <v>D</v>
      </c>
      <c r="F6010">
        <f>VLOOKUP(D5995,'Detail Balok'!$C$10:$AU$140,24,FALSE)</f>
        <v>16</v>
      </c>
      <c r="I6010" t="str">
        <v>(</v>
      </c>
      <c r="J6010">
        <f>+J6002</f>
        <v>0.3125</v>
      </c>
      <c r="K6010" t="str">
        <v>+</v>
      </c>
      <c r="L6010">
        <f>MAX(VLOOKUP(F6010,N$6:P$15,3,FALSE)/1000,2/3*D6000/1000)+F$16*F6010/1000</f>
        <v>0.192</v>
      </c>
      <c r="M6010" t="str">
        <v>=</v>
      </c>
      <c r="N6010">
        <f>J6010+L6010</f>
        <v>0.5045</v>
      </c>
      <c r="O6010" t="str">
        <v>+</v>
      </c>
      <c r="P6010">
        <f>D6010-D6011</f>
        <v>0</v>
      </c>
      <c r="Q6010" t="str">
        <v>x</v>
      </c>
      <c r="R6010">
        <f>IF(P6010&gt;0,$F$18*F6010/1000,0)</f>
        <v>0</v>
      </c>
      <c r="S6010" t="str">
        <v>)</v>
      </c>
      <c r="T6010" t="str">
        <v>x</v>
      </c>
      <c r="U6010">
        <f>0.006165*F6010^2</f>
        <v>1.57824</v>
      </c>
      <c r="X6010" t="str">
        <v>x</v>
      </c>
      <c r="Y6010">
        <f>D6001</f>
        <v>1</v>
      </c>
      <c r="Z6010" t="str">
        <v>=</v>
      </c>
      <c r="AA6010">
        <f>IF(AA6013=0,(D6010*N6010+P6010*R6010)*U6010*Y6010,0)</f>
        <v>0</v>
      </c>
    </row>
    <row r="6011">
      <c r="A6011" t="str">
        <f>A5995</f>
        <v>Lantai 3</v>
      </c>
      <c r="B6011">
        <f>B5995</f>
        <v>58</v>
      </c>
      <c r="C6011" t="str">
        <v>Tul Bawah Lapangan</v>
      </c>
      <c r="D6011">
        <f>VLOOKUP(D5995,'Detail Balok'!$C$10:$AU$140,25,FALSE)</f>
        <v>3</v>
      </c>
      <c r="E6011" t="str">
        <v>D</v>
      </c>
      <c r="F6011">
        <f>VLOOKUP(D5995,'Detail Balok'!$C$10:$AU$140,27,FALSE)</f>
        <v>16</v>
      </c>
      <c r="I6011" t="str">
        <v>(</v>
      </c>
      <c r="J6011">
        <f>+J6003</f>
        <v>0.625</v>
      </c>
      <c r="K6011" t="str">
        <v>+</v>
      </c>
      <c r="M6011" t="str">
        <v>=</v>
      </c>
      <c r="N6011">
        <f>J6011+L6011</f>
        <v>0.625</v>
      </c>
      <c r="O6011" t="str">
        <v>+</v>
      </c>
      <c r="P6011">
        <f>MAX(D6011-D6010,D6011-D6012)</f>
        <v>0</v>
      </c>
      <c r="Q6011" t="str">
        <v>x</v>
      </c>
      <c r="R6011">
        <f>IF(P6011&gt;0,2*(1-2*$F$19-1/2)*D5998/1000,0)</f>
        <v>0</v>
      </c>
      <c r="S6011" t="str">
        <v>)</v>
      </c>
      <c r="T6011" t="str">
        <v>x</v>
      </c>
      <c r="U6011">
        <f>0.006165*F6011^2</f>
        <v>1.57824</v>
      </c>
      <c r="X6011" t="str">
        <v>x</v>
      </c>
      <c r="Y6011">
        <f>D6001</f>
        <v>1</v>
      </c>
      <c r="Z6011" t="str">
        <v>=</v>
      </c>
      <c r="AA6011">
        <f>IF(AA6013=0,(D6011*N6011+P6011*R6011)*U6011*Y6011,0)</f>
        <v>0</v>
      </c>
    </row>
    <row r="6012">
      <c r="A6012" t="str">
        <f>A5995</f>
        <v>Lantai 3</v>
      </c>
      <c r="B6012">
        <f>B5995</f>
        <v>58</v>
      </c>
      <c r="C6012" t="str">
        <v>Tul Bawah Tumpuan</v>
      </c>
      <c r="D6012">
        <f>VLOOKUP(D5995,'Detail Balok'!$C$10:$AU$140,28,FALSE)</f>
        <v>3</v>
      </c>
      <c r="E6012" t="str">
        <v>D</v>
      </c>
      <c r="F6012">
        <f>VLOOKUP(D5995,'Detail Balok'!$C$10:$AU$140,30,FALSE)</f>
        <v>16</v>
      </c>
      <c r="I6012" t="str">
        <v>(</v>
      </c>
      <c r="J6012">
        <f>+J6004</f>
        <v>0.3125</v>
      </c>
      <c r="K6012" t="str">
        <v>+</v>
      </c>
      <c r="L6012">
        <f>MAX(VLOOKUP(F6012,N$6:P$15,3,FALSE)/1000,2/3*D6000/1000)+F$16*F6012/1000</f>
        <v>0.192</v>
      </c>
      <c r="M6012" t="str">
        <v>=</v>
      </c>
      <c r="N6012">
        <f>J6012+L6012</f>
        <v>0.5045</v>
      </c>
      <c r="O6012" t="str">
        <v>+</v>
      </c>
      <c r="P6012">
        <f>D6012-D6011</f>
        <v>0</v>
      </c>
      <c r="Q6012" t="str">
        <v>x</v>
      </c>
      <c r="R6012">
        <f>IF(P6012&gt;0,$F$18*F6012/1000,0)</f>
        <v>0</v>
      </c>
      <c r="S6012" t="str">
        <v>)</v>
      </c>
      <c r="T6012" t="str">
        <v>x</v>
      </c>
      <c r="U6012">
        <f>0.006165*F6012^2</f>
        <v>1.57824</v>
      </c>
      <c r="X6012" t="str">
        <v>x</v>
      </c>
      <c r="Y6012">
        <f>D6001</f>
        <v>1</v>
      </c>
      <c r="Z6012" t="str">
        <v>=</v>
      </c>
      <c r="AA6012">
        <f>IF(AA6013=0,(D6012*N6012+P6012*R6012)*U6012*Y6012,0)</f>
        <v>0</v>
      </c>
    </row>
    <row r="6013">
      <c r="A6013" t="str">
        <f>A5995</f>
        <v>Lantai 3</v>
      </c>
      <c r="B6013">
        <f>B5995</f>
        <v>58</v>
      </c>
      <c r="D6013">
        <f>IF(AND(D6010=D6011,D6011=D6012,D6010=D6012),D6010,0)</f>
        <v>3</v>
      </c>
      <c r="E6013" t="str">
        <v>D</v>
      </c>
      <c r="F6013">
        <f>IF(AND(F6010=F6011,F6010=F6012,F6011=F6012),F6010,0)</f>
        <v>16</v>
      </c>
      <c r="L6013" t="str">
        <v>Total panjang per balok</v>
      </c>
      <c r="M6013" t="str">
        <v>=</v>
      </c>
      <c r="N6013">
        <f>IF(AND(D6010=D6011,D6010=D6012,D6011=D6012,F6010=F6011,F6010=F6012,F6011=F6012),SUM(N6010:N6012),0)</f>
        <v>1.634</v>
      </c>
      <c r="O6013" t="str">
        <v>+</v>
      </c>
      <c r="P6013">
        <f>IF(N6013&gt;12,ROUNDDOWN(N6013/12,0),0)</f>
        <v>0</v>
      </c>
      <c r="Q6013" t="str">
        <v>x</v>
      </c>
      <c r="R6013">
        <f>IF(P6013&gt;0,MAX(VLOOKUP(F6013,$D$6:$G$15,3,FALSE),600),0)/1000</f>
        <v>0</v>
      </c>
      <c r="T6013" t="str">
        <v>x</v>
      </c>
      <c r="U6013">
        <f>U6012</f>
        <v>1.57824</v>
      </c>
      <c r="V6013" t="str">
        <v>x</v>
      </c>
      <c r="W6013">
        <f>D6013</f>
        <v>3</v>
      </c>
      <c r="X6013" t="str">
        <v>x</v>
      </c>
      <c r="Y6013">
        <f>Y6012</f>
        <v>1</v>
      </c>
      <c r="Z6013" t="str">
        <v>=</v>
      </c>
      <c r="AA6013">
        <f>(N6013+P6013*R6013/1000)*U6013*W6013*Y6013</f>
        <v>7.73653248</v>
      </c>
    </row>
    <row r="6015">
      <c r="A6015" t="str">
        <f>A5995</f>
        <v>Lantai 3</v>
      </c>
      <c r="B6015">
        <f>B5995</f>
        <v>58</v>
      </c>
      <c r="C6015" t="str">
        <v>Sengkang Tumpuan</v>
      </c>
      <c r="D6015">
        <f>VLOOKUP(D5995,'Detail Balok'!$C$10:$AU$140,31,FALSE)</f>
        <v>0</v>
      </c>
      <c r="E6015" t="str">
        <v>D</v>
      </c>
      <c r="F6015">
        <f>VLOOKUP(D5995,'Detail Balok'!$C$10:$AU$140,33,FALSE)</f>
        <v>10</v>
      </c>
      <c r="G6015" t="str">
        <v>-</v>
      </c>
      <c r="H6015">
        <f>VLOOKUP(D5995,'Detail Balok'!$C$10:$AU$140,35,FALSE)</f>
        <v>100</v>
      </c>
      <c r="J6015">
        <f>(IF(D6015=0,(2*(D5996+G5996))-(F$5*8),IF(D6015=3,(2*(D5996+G5996))-(F$5*8)+(G5996-2*F$5),IF(D6015=4,(2*(D5996+G5996))-(F$5*8)+2*(G5996-2*F$5)))))/1000</f>
        <v>0.88</v>
      </c>
      <c r="K6015" t="str">
        <v>+</v>
      </c>
      <c r="L6015">
        <f>IF(D6015=0,2*MAX(6*F6015,75),(D6015-1)*2*MAX(6*F6015,75))/1000</f>
        <v>0.15</v>
      </c>
      <c r="M6015" t="str">
        <v>=</v>
      </c>
      <c r="N6015">
        <f>J6015+L6015</f>
        <v>1.03</v>
      </c>
      <c r="T6015" t="str">
        <v>x</v>
      </c>
      <c r="U6015">
        <f>0.006165*F6015^2</f>
        <v>0.6165</v>
      </c>
      <c r="V6015" t="str">
        <v>x</v>
      </c>
      <c r="W6015">
        <f>IF(D5998&gt;4*G5996,ROUND(MAX(D5998/4,2*G5996)/H6015,0)+1,ROUND(D5998/H6015,0)+1)</f>
        <v>14</v>
      </c>
      <c r="X6015" t="str">
        <v>x</v>
      </c>
      <c r="Y6015">
        <f>D6001</f>
        <v>1</v>
      </c>
      <c r="Z6015" t="str">
        <v>=</v>
      </c>
      <c r="AA6015">
        <f>N6015*U6015*W6015*Y6015</f>
        <v>8.889930000000001</v>
      </c>
    </row>
    <row r="6016">
      <c r="A6016" t="str">
        <f>A5995</f>
        <v>Lantai 3</v>
      </c>
      <c r="B6016">
        <f>B5995</f>
        <v>58</v>
      </c>
      <c r="C6016" t="str">
        <v>Sengkang Lapangan</v>
      </c>
      <c r="D6016">
        <f>VLOOKUP(D5995,'Detail Balok'!$C$10:$AU$140,36,FALSE)</f>
        <v>0</v>
      </c>
      <c r="E6016" t="str">
        <v>D</v>
      </c>
      <c r="F6016">
        <f>VLOOKUP(D5995,'Detail Balok'!$C$10:$AU$140,38,FALSE)</f>
        <v>10</v>
      </c>
      <c r="G6016" t="str">
        <v>-</v>
      </c>
      <c r="H6016">
        <f>VLOOKUP(D5995,'Detail Balok'!$C$10:$AU$140,40,FALSE)</f>
        <v>100</v>
      </c>
      <c r="J6016">
        <f>(IF(D6016=0,(2*(D5996+G5996))-(F$5*8),IF(D6016=3,(2*(D5996+G5996))-(F$5*8)+(G5996-2*F$5),IF(D6016=4,(2*(D5996+G5996))-(F$5*8)+2*(G5996-2*F$5)))))/1000</f>
        <v>0.88</v>
      </c>
      <c r="K6016" t="str">
        <v>+</v>
      </c>
      <c r="L6016">
        <f>IF(D6016=0,2*MAX(6*F6016,75),(D6016-1)*2*MAX(6*F6016,75))/1000</f>
        <v>0.15</v>
      </c>
      <c r="M6016" t="str">
        <v>=</v>
      </c>
      <c r="N6016">
        <f>J6016+L6016</f>
        <v>1.03</v>
      </c>
      <c r="T6016" t="str">
        <v>x</v>
      </c>
      <c r="U6016">
        <f>0.006165*F6016^2</f>
        <v>0.6165</v>
      </c>
      <c r="V6016" t="str">
        <v>x</v>
      </c>
      <c r="W6016">
        <f>IF(D5998-MAX(D5998/4,2*G5996)*2&gt;0,ROUND((D5998-MAX(D5998/4,2*G5996)*2)/H6016,0),0)</f>
        <v>0</v>
      </c>
      <c r="X6016" t="str">
        <v>x</v>
      </c>
      <c r="Y6016">
        <f>D6001</f>
        <v>1</v>
      </c>
      <c r="Z6016" t="str">
        <v>=</v>
      </c>
      <c r="AA6016">
        <f>N6016*U6016*W6016*Y6016</f>
        <v>0</v>
      </c>
    </row>
    <row r="6017">
      <c r="A6017" t="str">
        <f>A5995</f>
        <v>Lantai 3</v>
      </c>
      <c r="B6017">
        <f>B5995</f>
        <v>58</v>
      </c>
      <c r="C6017" t="str">
        <v>Sengkang Tumpuan</v>
      </c>
      <c r="D6017">
        <f>VLOOKUP(D5995,'Detail Balok'!$C$10:$AU$140,41,FALSE)</f>
        <v>0</v>
      </c>
      <c r="E6017" t="str">
        <v>D</v>
      </c>
      <c r="F6017">
        <f>VLOOKUP(D5995,'Detail Balok'!$C$10:$AU$140,43,FALSE)</f>
        <v>10</v>
      </c>
      <c r="G6017" t="str">
        <v>-</v>
      </c>
      <c r="H6017">
        <f>VLOOKUP(D5995,'Detail Balok'!$C$10:$AU$140,45,FALSE)</f>
        <v>100</v>
      </c>
      <c r="J6017">
        <f>(IF(D6017=0,(2*(D5996+G5996))-(F$5*8),IF(D6017=3,(2*(D5996+G5996))-(F$5*8)+(G5996-2*F$5),IF(D6017=4,(2*(D5996+G5996))-(F$5*8)+2*(G5996-2*F$5)))))/1000</f>
        <v>0.88</v>
      </c>
      <c r="K6017" t="str">
        <v>+</v>
      </c>
      <c r="L6017">
        <f>IF(D6017=0,2*MAX(6*F6017,75),(D6017-1)*2*MAX(6*F6017,75))/1000</f>
        <v>0.15</v>
      </c>
      <c r="M6017" t="str">
        <v>=</v>
      </c>
      <c r="N6017">
        <f>J6017+L6017</f>
        <v>1.03</v>
      </c>
      <c r="T6017" t="str">
        <v>x</v>
      </c>
      <c r="U6017">
        <f>0.006165*F6017^2</f>
        <v>0.6165</v>
      </c>
      <c r="V6017" t="str">
        <v>x</v>
      </c>
      <c r="W6017">
        <f>IF(D5998&gt;4*G5996,ROUND(MAX(D5998/4,2*G5996)/H6017,0)+1,0)</f>
        <v>0</v>
      </c>
      <c r="X6017" t="str">
        <v>x</v>
      </c>
      <c r="Y6017">
        <f>D6001</f>
        <v>1</v>
      </c>
      <c r="Z6017" t="str">
        <v>=</v>
      </c>
      <c r="AA6017">
        <f>N6017*U6017*W6017*Y6017</f>
        <v>0</v>
      </c>
    </row>
    <row r="6019">
      <c r="A6019" t="str">
        <f>A5995</f>
        <v>Lantai 3</v>
      </c>
      <c r="B6019">
        <f>B5995</f>
        <v>58</v>
      </c>
      <c r="C6019" t="str">
        <v>Kait Horizontal Tump.</v>
      </c>
      <c r="D6019">
        <f>VLOOKUP(D5995,'Detail Balok'!$C$10:$BJ$140,46,FALSE)</f>
        <v>0</v>
      </c>
      <c r="E6019" t="str">
        <v>D</v>
      </c>
      <c r="F6019">
        <f>VLOOKUP(D5995,'Detail Balok'!$C$10:$BJ$140,48,FALSE)</f>
        <v>0</v>
      </c>
      <c r="G6019" t="str">
        <v>-</v>
      </c>
      <c r="H6019">
        <f>VLOOKUP(D5995,'Detail Balok'!$C$10:$BJ$140,50,FALSE)</f>
        <v>100</v>
      </c>
      <c r="J6019">
        <f>(D5996-2*F$5)/1000</f>
        <v>0.12</v>
      </c>
      <c r="K6019" t="str">
        <v>+</v>
      </c>
      <c r="L6019">
        <f>IF(D6019=0,2*MAX(6*F6019,75),(D6019-1)*2*MAX(6*F6019,75))/1000</f>
        <v>0.15</v>
      </c>
      <c r="M6019" t="str">
        <v>=</v>
      </c>
      <c r="N6019">
        <f>J6019+L6019</f>
        <v>0.27</v>
      </c>
      <c r="T6019" t="str">
        <v>x</v>
      </c>
      <c r="U6019">
        <f>0.006165*F6019^2</f>
        <v>0</v>
      </c>
      <c r="V6019" t="str">
        <v>x</v>
      </c>
      <c r="W6019">
        <f>W6015</f>
        <v>14</v>
      </c>
      <c r="X6019" t="str">
        <v>x</v>
      </c>
      <c r="Y6019">
        <f>D6005</f>
        <v>3</v>
      </c>
      <c r="Z6019" t="str">
        <v>=</v>
      </c>
      <c r="AA6019">
        <f>N6019*U6019*W6019*Y6019</f>
        <v>0</v>
      </c>
    </row>
    <row r="6020">
      <c r="A6020" t="str">
        <f>A5995</f>
        <v>Lantai 3</v>
      </c>
      <c r="B6020">
        <f>B5995</f>
        <v>58</v>
      </c>
      <c r="C6020" t="str">
        <v>Kait Horizontal Lap.</v>
      </c>
      <c r="D6020">
        <f>VLOOKUP(D5995,'Detail Balok'!$C$10:$BJ$140,51,FALSE)</f>
        <v>0</v>
      </c>
      <c r="E6020" t="str">
        <v>D</v>
      </c>
      <c r="F6020">
        <f>VLOOKUP(D5995,'Detail Balok'!$C$10:$BJ$140,53,FALSE)</f>
        <v>0</v>
      </c>
      <c r="G6020" t="str">
        <v>-</v>
      </c>
      <c r="H6020">
        <f>VLOOKUP(D5995,'Detail Balok'!$C$10:$BJ$140,55,FALSE)</f>
        <v>100</v>
      </c>
      <c r="J6020">
        <f>(D5996-2*F$5)/1000</f>
        <v>0.12</v>
      </c>
      <c r="K6020" t="str">
        <v>+</v>
      </c>
      <c r="L6020">
        <f>IF(D6020=0,2*MAX(6*F6020,75),(D6020-1)*2*MAX(6*F6020,75))/1000</f>
        <v>0.15</v>
      </c>
      <c r="M6020" t="str">
        <v>=</v>
      </c>
      <c r="N6020">
        <f>J6020+L6020</f>
        <v>0.27</v>
      </c>
      <c r="T6020" t="str">
        <v>x</v>
      </c>
      <c r="U6020">
        <f>0.006165*F6020^2</f>
        <v>0</v>
      </c>
      <c r="V6020" t="str">
        <v>x</v>
      </c>
      <c r="W6020">
        <f>W6016</f>
        <v>0</v>
      </c>
      <c r="X6020" t="str">
        <v>x</v>
      </c>
      <c r="Y6020">
        <f>D6005</f>
        <v>3</v>
      </c>
      <c r="Z6020" t="str">
        <v>=</v>
      </c>
      <c r="AA6020">
        <f>N6020*U6020*W6020*Y6020</f>
        <v>0</v>
      </c>
    </row>
    <row r="6021">
      <c r="A6021" t="str">
        <f>A5995</f>
        <v>Lantai 3</v>
      </c>
      <c r="B6021">
        <f>B5995</f>
        <v>58</v>
      </c>
      <c r="C6021" t="str">
        <v>Kait Horizontal Tump.</v>
      </c>
      <c r="D6021">
        <f>VLOOKUP(D5995,'Detail Balok'!$C$10:$BJ$140,56,FALSE)</f>
        <v>0</v>
      </c>
      <c r="E6021" t="str">
        <v>D</v>
      </c>
      <c r="F6021">
        <f>VLOOKUP(D5995,'Detail Balok'!$C$10:$BJ$140,58,FALSE)</f>
        <v>0</v>
      </c>
      <c r="G6021" t="str">
        <v>-</v>
      </c>
      <c r="H6021">
        <f>VLOOKUP(D5995,'Detail Balok'!$C$10:$BJ$140,60,FALSE)</f>
        <v>100</v>
      </c>
      <c r="J6021">
        <f>(D5996-2*F$5)/1000</f>
        <v>0.12</v>
      </c>
      <c r="K6021" t="str">
        <v>+</v>
      </c>
      <c r="L6021">
        <f>IF(D6021=0,2*MAX(6*F6021,75),(D6021-1)*2*MAX(6*F6021,75))/1000</f>
        <v>0.15</v>
      </c>
      <c r="M6021" t="str">
        <v>=</v>
      </c>
      <c r="N6021">
        <f>J6021+L6021</f>
        <v>0.27</v>
      </c>
      <c r="T6021" t="str">
        <v>x</v>
      </c>
      <c r="U6021">
        <f>0.006165*F6021^2</f>
        <v>0</v>
      </c>
      <c r="V6021" t="str">
        <v>x</v>
      </c>
      <c r="W6021">
        <f>W6017</f>
        <v>0</v>
      </c>
      <c r="X6021" t="str">
        <v>x</v>
      </c>
      <c r="Y6021">
        <f>D6005</f>
        <v>3</v>
      </c>
      <c r="Z6021" t="str">
        <v>=</v>
      </c>
      <c r="AA6021">
        <f>N6021*U6021*W6021*Y6021</f>
        <v>0</v>
      </c>
    </row>
    <row r="6025">
      <c r="A6025" t="str">
        <f>A5995</f>
        <v>Lantai 3</v>
      </c>
      <c r="B6025">
        <f>B5995+1</f>
        <v>59</v>
      </c>
      <c r="C6025" t="str">
        <f>CONCATENATE(A6025," no. ",B6025)</f>
        <v>Lantai 3 no. 59</v>
      </c>
      <c r="D6025" t="str">
        <f>VLOOKUP(C6025,'Data Panjang Balok'!$C$9:$N$254,2,FALSE)</f>
        <v>CL24-1</v>
      </c>
    </row>
    <row r="6026">
      <c r="C6026" t="str">
        <v>Dimensi</v>
      </c>
      <c r="D6026">
        <f>VLOOKUP(D6025,'Detail Balok'!$C$10:$AU$140,2,FALSE)</f>
        <v>200</v>
      </c>
      <c r="F6026" t="str">
        <v>x</v>
      </c>
      <c r="G6026">
        <f>VLOOKUP(D6025,'Detail Balok'!$C$10:$AU$140,3,FALSE)</f>
        <v>400</v>
      </c>
    </row>
    <row r="6027">
      <c r="C6027" t="str">
        <v>Panjang as ke as</v>
      </c>
      <c r="D6027">
        <f>VLOOKUP(C6025,'Data Panjang Balok'!$C$9:$N$254,4,FALSE)</f>
        <v>1325</v>
      </c>
    </row>
    <row r="6028">
      <c r="C6028" t="str">
        <v>Panjang netto</v>
      </c>
      <c r="D6028">
        <f>VLOOKUP(C6025,'Data Panjang Balok'!$C$9:$N$254,7,FALSE)</f>
        <v>1325</v>
      </c>
    </row>
    <row r="6029">
      <c r="C6029" t="str">
        <v>Kolom / balok kiri</v>
      </c>
      <c r="D6029">
        <f>VLOOKUP(C6025,'Data Panjang Balok'!$C$9:$N$254,9,FALSE)</f>
        <v>0</v>
      </c>
    </row>
    <row r="6030">
      <c r="C6030" t="str">
        <v>Kolom / balok kanan</v>
      </c>
      <c r="D6030">
        <f>VLOOKUP(C6025,'Data Panjang Balok'!$C$9:$N$254,10,FALSE)</f>
        <v>0</v>
      </c>
    </row>
    <row r="6031">
      <c r="C6031" t="str">
        <v>Jumlah</v>
      </c>
      <c r="D6031">
        <f>VLOOKUP(C6025,'Data Panjang Balok'!$C$9:$N$254,3,FALSE)</f>
        <v>1</v>
      </c>
    </row>
    <row r="6032">
      <c r="A6032" t="str">
        <f>A6025</f>
        <v>Lantai 3</v>
      </c>
      <c r="B6032">
        <f>B6025</f>
        <v>59</v>
      </c>
      <c r="C6032" t="str">
        <v>Tul Atas Tumpuan</v>
      </c>
      <c r="D6032">
        <f>VLOOKUP(D6025,'Detail Balok'!$C$10:$AU$140,4,FALSE)</f>
        <v>3</v>
      </c>
      <c r="E6032" t="str">
        <v>D</v>
      </c>
      <c r="F6032">
        <f>VLOOKUP(D6025,'Detail Balok'!$C$10:$AU$140,6,FALSE)</f>
        <v>16</v>
      </c>
      <c r="I6032" t="str">
        <v>(</v>
      </c>
      <c r="J6032">
        <f>+D6027/4/1000</f>
        <v>0.33125</v>
      </c>
      <c r="K6032" t="str">
        <v>+</v>
      </c>
      <c r="L6032">
        <f>MAX(VLOOKUP(F6032,N$6:P$15,3,FALSE)/1000,2/3*D6029/1000)+F$16*F6032/1000</f>
        <v>0.192</v>
      </c>
      <c r="M6032" t="str">
        <v>=</v>
      </c>
      <c r="N6032">
        <f>J6032+L6032</f>
        <v>0.52325</v>
      </c>
      <c r="O6032" t="str">
        <v>+</v>
      </c>
      <c r="P6032">
        <f>D6032-D6033</f>
        <v>0</v>
      </c>
      <c r="Q6032" t="str">
        <v>x</v>
      </c>
      <c r="R6032">
        <f>IF(P6032&gt;0,$F$18*F6032/1000,0)</f>
        <v>0</v>
      </c>
      <c r="S6032" t="str">
        <v>)</v>
      </c>
      <c r="T6032" t="str">
        <v>x</v>
      </c>
      <c r="U6032">
        <f>0.006165*F6032^2</f>
        <v>1.57824</v>
      </c>
      <c r="X6032" t="str">
        <v>x</v>
      </c>
      <c r="Y6032">
        <f>D6031</f>
        <v>1</v>
      </c>
      <c r="Z6032" t="str">
        <v>=</v>
      </c>
      <c r="AA6032">
        <f>IF(AA6035=0,(D6032*N6032+P6032*R6032)*U6032*Y6032,0)</f>
        <v>0</v>
      </c>
    </row>
    <row r="6033">
      <c r="A6033" t="str">
        <f>A6025</f>
        <v>Lantai 3</v>
      </c>
      <c r="B6033">
        <f>B6025</f>
        <v>59</v>
      </c>
      <c r="C6033" t="str">
        <v>Tul Atas Lapangan</v>
      </c>
      <c r="D6033">
        <f>VLOOKUP(D6025,'Detail Balok'!$C$10:$AU$140,7,FALSE)</f>
        <v>3</v>
      </c>
      <c r="E6033" t="str">
        <v>D</v>
      </c>
      <c r="F6033">
        <f>VLOOKUP(D6025,'Detail Balok'!$C$10:$AU$140,9,FALSE)</f>
        <v>16</v>
      </c>
      <c r="I6033" t="str">
        <v>(</v>
      </c>
      <c r="J6033">
        <f>+D6027/2/1000</f>
        <v>0.6625</v>
      </c>
      <c r="K6033" t="str">
        <v>+</v>
      </c>
      <c r="M6033" t="str">
        <v>=</v>
      </c>
      <c r="N6033">
        <f>J6033+L6033</f>
        <v>0.6625</v>
      </c>
      <c r="O6033" t="str">
        <v>+</v>
      </c>
      <c r="P6033">
        <f>MAX(D6033-D6032,D6033-D6034)</f>
        <v>0</v>
      </c>
      <c r="Q6033" t="str">
        <v>x</v>
      </c>
      <c r="R6033">
        <f>IF(P6033&gt;0,2*(1-2*$F$19-1/2)*D6028/1000,0)</f>
        <v>0</v>
      </c>
      <c r="S6033" t="str">
        <v>)</v>
      </c>
      <c r="T6033" t="str">
        <v>x</v>
      </c>
      <c r="U6033">
        <f>0.006165*F6033^2</f>
        <v>1.57824</v>
      </c>
      <c r="X6033" t="str">
        <v>x</v>
      </c>
      <c r="Y6033">
        <f>D6031</f>
        <v>1</v>
      </c>
      <c r="Z6033" t="str">
        <v>=</v>
      </c>
      <c r="AA6033">
        <f>IF(AA6035=0,(D6033*N6033+P6033*R6033)*U6033*Y6033,0)</f>
        <v>0</v>
      </c>
    </row>
    <row r="6034">
      <c r="A6034" t="str">
        <f>A6025</f>
        <v>Lantai 3</v>
      </c>
      <c r="B6034">
        <f>B6025</f>
        <v>59</v>
      </c>
      <c r="C6034" t="str">
        <v>Tul Atas Tumpuan</v>
      </c>
      <c r="D6034">
        <f>VLOOKUP(D6025,'Detail Balok'!$C$10:$AU$140,10,FALSE)</f>
        <v>3</v>
      </c>
      <c r="E6034" t="str">
        <v>D</v>
      </c>
      <c r="F6034">
        <f>VLOOKUP(D6025,'Detail Balok'!$C$10:$AU$140,12,FALSE)</f>
        <v>16</v>
      </c>
      <c r="I6034" t="str">
        <v>(</v>
      </c>
      <c r="J6034">
        <f>+D6027/4/1000</f>
        <v>0.33125</v>
      </c>
      <c r="K6034" t="str">
        <v>+</v>
      </c>
      <c r="L6034">
        <f>MAX(VLOOKUP(F6034,N$6:P$15,3,FALSE)/1000,2/3*D6029/1000)+F$16*F6034/1000</f>
        <v>0.192</v>
      </c>
      <c r="M6034" t="str">
        <v>=</v>
      </c>
      <c r="N6034">
        <f>J6034+L6034</f>
        <v>0.52325</v>
      </c>
      <c r="O6034" t="str">
        <v>+</v>
      </c>
      <c r="P6034">
        <f>D6034-D6033</f>
        <v>0</v>
      </c>
      <c r="Q6034" t="str">
        <v>x</v>
      </c>
      <c r="R6034">
        <f>IF(P6034&gt;0,$F$18*F6034/1000,0)</f>
        <v>0</v>
      </c>
      <c r="S6034" t="str">
        <v>)</v>
      </c>
      <c r="T6034" t="str">
        <v>x</v>
      </c>
      <c r="U6034">
        <f>0.006165*F6034^2</f>
        <v>1.57824</v>
      </c>
      <c r="X6034" t="str">
        <v>x</v>
      </c>
      <c r="Y6034">
        <f>D6031</f>
        <v>1</v>
      </c>
      <c r="Z6034" t="str">
        <v>=</v>
      </c>
      <c r="AA6034">
        <f>IF(AA6035=0,(D6034*N6034+P6034*R6034)*U6034*Y6034,0)</f>
        <v>0</v>
      </c>
    </row>
    <row r="6035">
      <c r="A6035" t="str">
        <f>A6025</f>
        <v>Lantai 3</v>
      </c>
      <c r="B6035">
        <f>B6025</f>
        <v>59</v>
      </c>
      <c r="D6035">
        <f>IF(AND(D6032=D6033,D6033=D6034,D6032=D6034),D6032,0)</f>
        <v>3</v>
      </c>
      <c r="E6035" t="str">
        <v>D</v>
      </c>
      <c r="F6035">
        <f>IF(AND(F6032=F6033,F6032=F6034,F6033=F6034),F6032,0)</f>
        <v>16</v>
      </c>
      <c r="L6035" t="str">
        <v>Total panjang per balok</v>
      </c>
      <c r="M6035" t="str">
        <v>=</v>
      </c>
      <c r="N6035">
        <f>IF(AND(D6032=D6033,D6032=D6034,D6033=D6034,F6032=F6033,F6032=F6034,F6033=F6034),SUM(N6032:N6034),0)</f>
        <v>1.709</v>
      </c>
      <c r="O6035" t="str">
        <v>+</v>
      </c>
      <c r="P6035">
        <f>IF(N6035&gt;12,ROUNDDOWN(N6035/12,0),0)</f>
        <v>0</v>
      </c>
      <c r="Q6035" t="str">
        <v>x</v>
      </c>
      <c r="R6035">
        <f>IF(P6035&gt;0,MAX(VLOOKUP(F6035,$D$6:$G$15,3,FALSE),600),0)/1000</f>
        <v>0</v>
      </c>
      <c r="T6035" t="str">
        <v>x</v>
      </c>
      <c r="U6035">
        <f>U6034</f>
        <v>1.57824</v>
      </c>
      <c r="V6035" t="str">
        <v>x</v>
      </c>
      <c r="W6035">
        <f>D6035</f>
        <v>3</v>
      </c>
      <c r="X6035" t="str">
        <v>x</v>
      </c>
      <c r="Y6035">
        <f>Y6034</f>
        <v>1</v>
      </c>
      <c r="Z6035" t="str">
        <v>=</v>
      </c>
      <c r="AA6035">
        <f>(N6035+P6035*R6035/1000)*U6035*W6035*Y6035</f>
        <v>8.091636480000002</v>
      </c>
    </row>
    <row r="6037">
      <c r="A6037" t="str">
        <f>A6025</f>
        <v>Lantai 3</v>
      </c>
      <c r="B6037">
        <f>B6025</f>
        <v>59</v>
      </c>
      <c r="C6037" t="str">
        <v>Tul Peminggang</v>
      </c>
      <c r="D6037">
        <f>VLOOKUP(D6025,'Detail Balok'!$C$10:$AU$140,13,FALSE)</f>
        <v>0</v>
      </c>
      <c r="E6037" t="str">
        <v>D</v>
      </c>
      <c r="F6037">
        <f>VLOOKUP(D6025,'Detail Balok'!$C$10:$AU$140,15,FALSE)</f>
        <v>8</v>
      </c>
      <c r="J6037">
        <f>+D6027/1000</f>
        <v>1.325</v>
      </c>
      <c r="K6037" t="str">
        <v>+</v>
      </c>
      <c r="L6037">
        <f>2*$F$16*F6037/1000</f>
        <v>0.192</v>
      </c>
      <c r="M6037" t="str">
        <v>=</v>
      </c>
      <c r="N6037">
        <f>J6037+L6037</f>
        <v>1.517</v>
      </c>
      <c r="O6037" t="str">
        <v>+</v>
      </c>
      <c r="P6037">
        <f>IF(N6037&gt;12,ROUNDDOWN(N6037/12,0),0)</f>
        <v>0</v>
      </c>
      <c r="Q6037" t="str">
        <v>x</v>
      </c>
      <c r="R6037">
        <f>IF(P6037&gt;0,MAX(VLOOKUP(F6037,$D$6:$G$15,3,FALSE),600),0)/1000</f>
        <v>0</v>
      </c>
      <c r="T6037" t="str">
        <v>x</v>
      </c>
      <c r="U6037">
        <f>0.006165*F6037^2</f>
        <v>0.39456</v>
      </c>
      <c r="V6037" t="str">
        <v>x</v>
      </c>
      <c r="W6037">
        <f>+D6037</f>
        <v>0</v>
      </c>
      <c r="X6037" t="str">
        <v>x</v>
      </c>
      <c r="Y6037">
        <f>D6031</f>
        <v>1</v>
      </c>
      <c r="Z6037" t="str">
        <v>=</v>
      </c>
      <c r="AA6037">
        <f>(N6037+P6037*R6037/1000)*U6037*W6037*Y6037</f>
        <v>0</v>
      </c>
    </row>
    <row r="6040">
      <c r="A6040" t="str">
        <f>A6025</f>
        <v>Lantai 3</v>
      </c>
      <c r="B6040">
        <f>B6025</f>
        <v>59</v>
      </c>
      <c r="C6040" t="str">
        <v>Tul Bawah Tumpuan</v>
      </c>
      <c r="D6040">
        <f>VLOOKUP(D6025,'Detail Balok'!$C$10:$AU$140,22,FALSE)</f>
        <v>3</v>
      </c>
      <c r="E6040" t="str">
        <v>D</v>
      </c>
      <c r="F6040">
        <f>VLOOKUP(D6025,'Detail Balok'!$C$10:$AU$140,24,FALSE)</f>
        <v>16</v>
      </c>
      <c r="I6040" t="str">
        <v>(</v>
      </c>
      <c r="J6040">
        <f>+J6032</f>
        <v>0.33125</v>
      </c>
      <c r="K6040" t="str">
        <v>+</v>
      </c>
      <c r="L6040">
        <f>MAX(VLOOKUP(F6040,N$6:P$15,3,FALSE)/1000,2/3*D6030/1000)+F$16*F6040/1000</f>
        <v>0.192</v>
      </c>
      <c r="M6040" t="str">
        <v>=</v>
      </c>
      <c r="N6040">
        <f>J6040+L6040</f>
        <v>0.52325</v>
      </c>
      <c r="O6040" t="str">
        <v>+</v>
      </c>
      <c r="P6040">
        <f>D6040-D6041</f>
        <v>0</v>
      </c>
      <c r="Q6040" t="str">
        <v>x</v>
      </c>
      <c r="R6040">
        <f>IF(P6040&gt;0,$F$18*F6040/1000,0)</f>
        <v>0</v>
      </c>
      <c r="S6040" t="str">
        <v>)</v>
      </c>
      <c r="T6040" t="str">
        <v>x</v>
      </c>
      <c r="U6040">
        <f>0.006165*F6040^2</f>
        <v>1.57824</v>
      </c>
      <c r="X6040" t="str">
        <v>x</v>
      </c>
      <c r="Y6040">
        <f>D6031</f>
        <v>1</v>
      </c>
      <c r="Z6040" t="str">
        <v>=</v>
      </c>
      <c r="AA6040">
        <f>IF(AA6043=0,(D6040*N6040+P6040*R6040)*U6040*Y6040,0)</f>
        <v>0</v>
      </c>
    </row>
    <row r="6041">
      <c r="A6041" t="str">
        <f>A6025</f>
        <v>Lantai 3</v>
      </c>
      <c r="B6041">
        <f>B6025</f>
        <v>59</v>
      </c>
      <c r="C6041" t="str">
        <v>Tul Bawah Lapangan</v>
      </c>
      <c r="D6041">
        <f>VLOOKUP(D6025,'Detail Balok'!$C$10:$AU$140,25,FALSE)</f>
        <v>3</v>
      </c>
      <c r="E6041" t="str">
        <v>D</v>
      </c>
      <c r="F6041">
        <f>VLOOKUP(D6025,'Detail Balok'!$C$10:$AU$140,27,FALSE)</f>
        <v>16</v>
      </c>
      <c r="I6041" t="str">
        <v>(</v>
      </c>
      <c r="J6041">
        <f>+J6033</f>
        <v>0.6625</v>
      </c>
      <c r="K6041" t="str">
        <v>+</v>
      </c>
      <c r="M6041" t="str">
        <v>=</v>
      </c>
      <c r="N6041">
        <f>J6041+L6041</f>
        <v>0.6625</v>
      </c>
      <c r="O6041" t="str">
        <v>+</v>
      </c>
      <c r="P6041">
        <f>MAX(D6041-D6040,D6041-D6042)</f>
        <v>0</v>
      </c>
      <c r="Q6041" t="str">
        <v>x</v>
      </c>
      <c r="R6041">
        <f>IF(P6041&gt;0,2*(1-2*$F$19-1/2)*D6028/1000,0)</f>
        <v>0</v>
      </c>
      <c r="S6041" t="str">
        <v>)</v>
      </c>
      <c r="T6041" t="str">
        <v>x</v>
      </c>
      <c r="U6041">
        <f>0.006165*F6041^2</f>
        <v>1.57824</v>
      </c>
      <c r="X6041" t="str">
        <v>x</v>
      </c>
      <c r="Y6041">
        <f>D6031</f>
        <v>1</v>
      </c>
      <c r="Z6041" t="str">
        <v>=</v>
      </c>
      <c r="AA6041">
        <f>IF(AA6043=0,(D6041*N6041+P6041*R6041)*U6041*Y6041,0)</f>
        <v>0</v>
      </c>
    </row>
    <row r="6042">
      <c r="A6042" t="str">
        <f>A6025</f>
        <v>Lantai 3</v>
      </c>
      <c r="B6042">
        <f>B6025</f>
        <v>59</v>
      </c>
      <c r="C6042" t="str">
        <v>Tul Bawah Tumpuan</v>
      </c>
      <c r="D6042">
        <f>VLOOKUP(D6025,'Detail Balok'!$C$10:$AU$140,28,FALSE)</f>
        <v>3</v>
      </c>
      <c r="E6042" t="str">
        <v>D</v>
      </c>
      <c r="F6042">
        <f>VLOOKUP(D6025,'Detail Balok'!$C$10:$AU$140,30,FALSE)</f>
        <v>16</v>
      </c>
      <c r="I6042" t="str">
        <v>(</v>
      </c>
      <c r="J6042">
        <f>+J6034</f>
        <v>0.33125</v>
      </c>
      <c r="K6042" t="str">
        <v>+</v>
      </c>
      <c r="L6042">
        <f>MAX(VLOOKUP(F6042,N$6:P$15,3,FALSE)/1000,2/3*D6030/1000)+F$16*F6042/1000</f>
        <v>0.192</v>
      </c>
      <c r="M6042" t="str">
        <v>=</v>
      </c>
      <c r="N6042">
        <f>J6042+L6042</f>
        <v>0.52325</v>
      </c>
      <c r="O6042" t="str">
        <v>+</v>
      </c>
      <c r="P6042">
        <f>D6042-D6041</f>
        <v>0</v>
      </c>
      <c r="Q6042" t="str">
        <v>x</v>
      </c>
      <c r="R6042">
        <f>IF(P6042&gt;0,$F$18*F6042/1000,0)</f>
        <v>0</v>
      </c>
      <c r="S6042" t="str">
        <v>)</v>
      </c>
      <c r="T6042" t="str">
        <v>x</v>
      </c>
      <c r="U6042">
        <f>0.006165*F6042^2</f>
        <v>1.57824</v>
      </c>
      <c r="X6042" t="str">
        <v>x</v>
      </c>
      <c r="Y6042">
        <f>D6031</f>
        <v>1</v>
      </c>
      <c r="Z6042" t="str">
        <v>=</v>
      </c>
      <c r="AA6042">
        <f>IF(AA6043=0,(D6042*N6042+P6042*R6042)*U6042*Y6042,0)</f>
        <v>0</v>
      </c>
    </row>
    <row r="6043">
      <c r="A6043" t="str">
        <f>A6025</f>
        <v>Lantai 3</v>
      </c>
      <c r="B6043">
        <f>B6025</f>
        <v>59</v>
      </c>
      <c r="D6043">
        <f>IF(AND(D6040=D6041,D6041=D6042,D6040=D6042),D6040,0)</f>
        <v>3</v>
      </c>
      <c r="E6043" t="str">
        <v>D</v>
      </c>
      <c r="F6043">
        <f>IF(AND(F6040=F6041,F6040=F6042,F6041=F6042),F6040,0)</f>
        <v>16</v>
      </c>
      <c r="L6043" t="str">
        <v>Total panjang per balok</v>
      </c>
      <c r="M6043" t="str">
        <v>=</v>
      </c>
      <c r="N6043">
        <f>IF(AND(D6040=D6041,D6040=D6042,D6041=D6042,F6040=F6041,F6040=F6042,F6041=F6042),SUM(N6040:N6042),0)</f>
        <v>1.709</v>
      </c>
      <c r="O6043" t="str">
        <v>+</v>
      </c>
      <c r="P6043">
        <f>IF(N6043&gt;12,ROUNDDOWN(N6043/12,0),0)</f>
        <v>0</v>
      </c>
      <c r="Q6043" t="str">
        <v>x</v>
      </c>
      <c r="R6043">
        <f>IF(P6043&gt;0,MAX(VLOOKUP(F6043,$D$6:$G$15,3,FALSE),600),0)/1000</f>
        <v>0</v>
      </c>
      <c r="T6043" t="str">
        <v>x</v>
      </c>
      <c r="U6043">
        <f>U6042</f>
        <v>1.57824</v>
      </c>
      <c r="V6043" t="str">
        <v>x</v>
      </c>
      <c r="W6043">
        <f>D6043</f>
        <v>3</v>
      </c>
      <c r="X6043" t="str">
        <v>x</v>
      </c>
      <c r="Y6043">
        <f>Y6042</f>
        <v>1</v>
      </c>
      <c r="Z6043" t="str">
        <v>=</v>
      </c>
      <c r="AA6043">
        <f>(N6043+P6043*R6043/1000)*U6043*W6043*Y6043</f>
        <v>8.091636480000002</v>
      </c>
    </row>
    <row r="6045">
      <c r="A6045" t="str">
        <f>A6025</f>
        <v>Lantai 3</v>
      </c>
      <c r="B6045">
        <f>B6025</f>
        <v>59</v>
      </c>
      <c r="C6045" t="str">
        <v>Sengkang Tumpuan</v>
      </c>
      <c r="D6045">
        <f>VLOOKUP(D6025,'Detail Balok'!$C$10:$AU$140,31,FALSE)</f>
        <v>0</v>
      </c>
      <c r="E6045" t="str">
        <v>D</v>
      </c>
      <c r="F6045">
        <f>VLOOKUP(D6025,'Detail Balok'!$C$10:$AU$140,33,FALSE)</f>
        <v>10</v>
      </c>
      <c r="G6045" t="str">
        <v>-</v>
      </c>
      <c r="H6045">
        <f>VLOOKUP(D6025,'Detail Balok'!$C$10:$AU$140,35,FALSE)</f>
        <v>100</v>
      </c>
      <c r="J6045">
        <f>(IF(D6045=0,(2*(D6026+G6026))-(F$5*8),IF(D6045=3,(2*(D6026+G6026))-(F$5*8)+(G6026-2*F$5),IF(D6045=4,(2*(D6026+G6026))-(F$5*8)+2*(G6026-2*F$5)))))/1000</f>
        <v>0.88</v>
      </c>
      <c r="K6045" t="str">
        <v>+</v>
      </c>
      <c r="L6045">
        <f>IF(D6045=0,2*MAX(6*F6045,75),(D6045-1)*2*MAX(6*F6045,75))/1000</f>
        <v>0.15</v>
      </c>
      <c r="M6045" t="str">
        <v>=</v>
      </c>
      <c r="N6045">
        <f>J6045+L6045</f>
        <v>1.03</v>
      </c>
      <c r="T6045" t="str">
        <v>x</v>
      </c>
      <c r="U6045">
        <f>0.006165*F6045^2</f>
        <v>0.6165</v>
      </c>
      <c r="V6045" t="str">
        <v>x</v>
      </c>
      <c r="W6045">
        <f>IF(D6028&gt;4*G6026,ROUND(MAX(D6028/4,2*G6026)/H6045,0)+1,ROUND(D6028/H6045,0)+1)</f>
        <v>14</v>
      </c>
      <c r="X6045" t="str">
        <v>x</v>
      </c>
      <c r="Y6045">
        <f>D6031</f>
        <v>1</v>
      </c>
      <c r="Z6045" t="str">
        <v>=</v>
      </c>
      <c r="AA6045">
        <f>N6045*U6045*W6045*Y6045</f>
        <v>8.889930000000001</v>
      </c>
    </row>
    <row r="6046">
      <c r="A6046" t="str">
        <f>A6025</f>
        <v>Lantai 3</v>
      </c>
      <c r="B6046">
        <f>B6025</f>
        <v>59</v>
      </c>
      <c r="C6046" t="str">
        <v>Sengkang Lapangan</v>
      </c>
      <c r="D6046">
        <f>VLOOKUP(D6025,'Detail Balok'!$C$10:$AU$140,36,FALSE)</f>
        <v>0</v>
      </c>
      <c r="E6046" t="str">
        <v>D</v>
      </c>
      <c r="F6046">
        <f>VLOOKUP(D6025,'Detail Balok'!$C$10:$AU$140,38,FALSE)</f>
        <v>10</v>
      </c>
      <c r="G6046" t="str">
        <v>-</v>
      </c>
      <c r="H6046">
        <f>VLOOKUP(D6025,'Detail Balok'!$C$10:$AU$140,40,FALSE)</f>
        <v>100</v>
      </c>
      <c r="J6046">
        <f>(IF(D6046=0,(2*(D6026+G6026))-(F$5*8),IF(D6046=3,(2*(D6026+G6026))-(F$5*8)+(G6026-2*F$5),IF(D6046=4,(2*(D6026+G6026))-(F$5*8)+2*(G6026-2*F$5)))))/1000</f>
        <v>0.88</v>
      </c>
      <c r="K6046" t="str">
        <v>+</v>
      </c>
      <c r="L6046">
        <f>IF(D6046=0,2*MAX(6*F6046,75),(D6046-1)*2*MAX(6*F6046,75))/1000</f>
        <v>0.15</v>
      </c>
      <c r="M6046" t="str">
        <v>=</v>
      </c>
      <c r="N6046">
        <f>J6046+L6046</f>
        <v>1.03</v>
      </c>
      <c r="T6046" t="str">
        <v>x</v>
      </c>
      <c r="U6046">
        <f>0.006165*F6046^2</f>
        <v>0.6165</v>
      </c>
      <c r="V6046" t="str">
        <v>x</v>
      </c>
      <c r="W6046">
        <f>IF(D6028-MAX(D6028/4,2*G6026)*2&gt;0,ROUND((D6028-MAX(D6028/4,2*G6026)*2)/H6046,0),0)</f>
        <v>0</v>
      </c>
      <c r="X6046" t="str">
        <v>x</v>
      </c>
      <c r="Y6046">
        <f>D6031</f>
        <v>1</v>
      </c>
      <c r="Z6046" t="str">
        <v>=</v>
      </c>
      <c r="AA6046">
        <f>N6046*U6046*W6046*Y6046</f>
        <v>0</v>
      </c>
    </row>
    <row r="6047">
      <c r="A6047" t="str">
        <f>A6025</f>
        <v>Lantai 3</v>
      </c>
      <c r="B6047">
        <f>B6025</f>
        <v>59</v>
      </c>
      <c r="C6047" t="str">
        <v>Sengkang Tumpuan</v>
      </c>
      <c r="D6047">
        <f>VLOOKUP(D6025,'Detail Balok'!$C$10:$AU$140,41,FALSE)</f>
        <v>0</v>
      </c>
      <c r="E6047" t="str">
        <v>D</v>
      </c>
      <c r="F6047">
        <f>VLOOKUP(D6025,'Detail Balok'!$C$10:$AU$140,43,FALSE)</f>
        <v>10</v>
      </c>
      <c r="G6047" t="str">
        <v>-</v>
      </c>
      <c r="H6047">
        <f>VLOOKUP(D6025,'Detail Balok'!$C$10:$AU$140,45,FALSE)</f>
        <v>100</v>
      </c>
      <c r="J6047">
        <f>(IF(D6047=0,(2*(D6026+G6026))-(F$5*8),IF(D6047=3,(2*(D6026+G6026))-(F$5*8)+(G6026-2*F$5),IF(D6047=4,(2*(D6026+G6026))-(F$5*8)+2*(G6026-2*F$5)))))/1000</f>
        <v>0.88</v>
      </c>
      <c r="K6047" t="str">
        <v>+</v>
      </c>
      <c r="L6047">
        <f>IF(D6047=0,2*MAX(6*F6047,75),(D6047-1)*2*MAX(6*F6047,75))/1000</f>
        <v>0.15</v>
      </c>
      <c r="M6047" t="str">
        <v>=</v>
      </c>
      <c r="N6047">
        <f>J6047+L6047</f>
        <v>1.03</v>
      </c>
      <c r="T6047" t="str">
        <v>x</v>
      </c>
      <c r="U6047">
        <f>0.006165*F6047^2</f>
        <v>0.6165</v>
      </c>
      <c r="V6047" t="str">
        <v>x</v>
      </c>
      <c r="W6047">
        <f>IF(D6028&gt;4*G6026,ROUND(MAX(D6028/4,2*G6026)/H6047,0)+1,0)</f>
        <v>0</v>
      </c>
      <c r="X6047" t="str">
        <v>x</v>
      </c>
      <c r="Y6047">
        <f>D6031</f>
        <v>1</v>
      </c>
      <c r="Z6047" t="str">
        <v>=</v>
      </c>
      <c r="AA6047">
        <f>N6047*U6047*W6047*Y6047</f>
        <v>0</v>
      </c>
    </row>
    <row r="6049">
      <c r="A6049" t="str">
        <f>A6025</f>
        <v>Lantai 3</v>
      </c>
      <c r="B6049">
        <f>B6025</f>
        <v>59</v>
      </c>
      <c r="C6049" t="str">
        <v>Kait Horizontal Tump.</v>
      </c>
      <c r="D6049">
        <f>VLOOKUP(D6025,'Detail Balok'!$C$10:$BJ$140,46,FALSE)</f>
        <v>0</v>
      </c>
      <c r="E6049" t="str">
        <v>D</v>
      </c>
      <c r="F6049">
        <f>VLOOKUP(D6025,'Detail Balok'!$C$10:$BJ$140,48,FALSE)</f>
        <v>0</v>
      </c>
      <c r="G6049" t="str">
        <v>-</v>
      </c>
      <c r="H6049">
        <f>VLOOKUP(D6025,'Detail Balok'!$C$10:$BJ$140,50,FALSE)</f>
        <v>100</v>
      </c>
      <c r="J6049">
        <f>(D6026-2*F$5)/1000</f>
        <v>0.12</v>
      </c>
      <c r="K6049" t="str">
        <v>+</v>
      </c>
      <c r="L6049">
        <f>IF(D6049=0,2*MAX(6*F6049,75),(D6049-1)*2*MAX(6*F6049,75))/1000</f>
        <v>0.15</v>
      </c>
      <c r="M6049" t="str">
        <v>=</v>
      </c>
      <c r="N6049">
        <f>J6049+L6049</f>
        <v>0.27</v>
      </c>
      <c r="T6049" t="str">
        <v>x</v>
      </c>
      <c r="U6049">
        <f>0.006165*F6049^2</f>
        <v>0</v>
      </c>
      <c r="V6049" t="str">
        <v>x</v>
      </c>
      <c r="W6049">
        <f>W6045</f>
        <v>14</v>
      </c>
      <c r="X6049" t="str">
        <v>x</v>
      </c>
      <c r="Y6049">
        <f>D6035</f>
        <v>3</v>
      </c>
      <c r="Z6049" t="str">
        <v>=</v>
      </c>
      <c r="AA6049">
        <f>N6049*U6049*W6049*Y6049</f>
        <v>0</v>
      </c>
    </row>
    <row r="6050">
      <c r="A6050" t="str">
        <f>A6025</f>
        <v>Lantai 3</v>
      </c>
      <c r="B6050">
        <f>B6025</f>
        <v>59</v>
      </c>
      <c r="C6050" t="str">
        <v>Kait Horizontal Lap.</v>
      </c>
      <c r="D6050">
        <f>VLOOKUP(D6025,'Detail Balok'!$C$10:$BJ$140,51,FALSE)</f>
        <v>0</v>
      </c>
      <c r="E6050" t="str">
        <v>D</v>
      </c>
      <c r="F6050">
        <f>VLOOKUP(D6025,'Detail Balok'!$C$10:$BJ$140,53,FALSE)</f>
        <v>0</v>
      </c>
      <c r="G6050" t="str">
        <v>-</v>
      </c>
      <c r="H6050">
        <f>VLOOKUP(D6025,'Detail Balok'!$C$10:$BJ$140,55,FALSE)</f>
        <v>100</v>
      </c>
      <c r="J6050">
        <f>(D6026-2*F$5)/1000</f>
        <v>0.12</v>
      </c>
      <c r="K6050" t="str">
        <v>+</v>
      </c>
      <c r="L6050">
        <f>IF(D6050=0,2*MAX(6*F6050,75),(D6050-1)*2*MAX(6*F6050,75))/1000</f>
        <v>0.15</v>
      </c>
      <c r="M6050" t="str">
        <v>=</v>
      </c>
      <c r="N6050">
        <f>J6050+L6050</f>
        <v>0.27</v>
      </c>
      <c r="T6050" t="str">
        <v>x</v>
      </c>
      <c r="U6050">
        <f>0.006165*F6050^2</f>
        <v>0</v>
      </c>
      <c r="V6050" t="str">
        <v>x</v>
      </c>
      <c r="W6050">
        <f>W6046</f>
        <v>0</v>
      </c>
      <c r="X6050" t="str">
        <v>x</v>
      </c>
      <c r="Y6050">
        <f>D6035</f>
        <v>3</v>
      </c>
      <c r="Z6050" t="str">
        <v>=</v>
      </c>
      <c r="AA6050">
        <f>N6050*U6050*W6050*Y6050</f>
        <v>0</v>
      </c>
    </row>
    <row r="6051">
      <c r="A6051" t="str">
        <f>A6025</f>
        <v>Lantai 3</v>
      </c>
      <c r="B6051">
        <f>B6025</f>
        <v>59</v>
      </c>
      <c r="C6051" t="str">
        <v>Kait Horizontal Tump.</v>
      </c>
      <c r="D6051">
        <f>VLOOKUP(D6025,'Detail Balok'!$C$10:$BJ$140,56,FALSE)</f>
        <v>0</v>
      </c>
      <c r="E6051" t="str">
        <v>D</v>
      </c>
      <c r="F6051">
        <f>VLOOKUP(D6025,'Detail Balok'!$C$10:$BJ$140,58,FALSE)</f>
        <v>0</v>
      </c>
      <c r="G6051" t="str">
        <v>-</v>
      </c>
      <c r="H6051">
        <f>VLOOKUP(D6025,'Detail Balok'!$C$10:$BJ$140,60,FALSE)</f>
        <v>100</v>
      </c>
      <c r="J6051">
        <f>(D6026-2*F$5)/1000</f>
        <v>0.12</v>
      </c>
      <c r="K6051" t="str">
        <v>+</v>
      </c>
      <c r="L6051">
        <f>IF(D6051=0,2*MAX(6*F6051,75),(D6051-1)*2*MAX(6*F6051,75))/1000</f>
        <v>0.15</v>
      </c>
      <c r="M6051" t="str">
        <v>=</v>
      </c>
      <c r="N6051">
        <f>J6051+L6051</f>
        <v>0.27</v>
      </c>
      <c r="T6051" t="str">
        <v>x</v>
      </c>
      <c r="U6051">
        <f>0.006165*F6051^2</f>
        <v>0</v>
      </c>
      <c r="V6051" t="str">
        <v>x</v>
      </c>
      <c r="W6051">
        <f>W6047</f>
        <v>0</v>
      </c>
      <c r="X6051" t="str">
        <v>x</v>
      </c>
      <c r="Y6051">
        <f>D6035</f>
        <v>3</v>
      </c>
      <c r="Z6051" t="str">
        <v>=</v>
      </c>
      <c r="AA6051">
        <f>N6051*U6051*W6051*Y6051</f>
        <v>0</v>
      </c>
    </row>
    <row r="6055">
      <c r="A6055" t="str">
        <f>A6025</f>
        <v>Lantai 3</v>
      </c>
      <c r="B6055">
        <f>B6025+1</f>
        <v>60</v>
      </c>
      <c r="C6055" t="str">
        <f>CONCATENATE(A6055," no. ",B6055)</f>
        <v>Lantai 3 no. 60</v>
      </c>
      <c r="D6055" t="str">
        <f>VLOOKUP(C6055,'Data Panjang Balok'!$C$9:$N$254,2,FALSE)</f>
        <v>CL24-1</v>
      </c>
    </row>
    <row r="6056">
      <c r="C6056" t="str">
        <v>Dimensi</v>
      </c>
      <c r="D6056">
        <f>VLOOKUP(D6055,'Detail Balok'!$C$10:$AU$140,2,FALSE)</f>
        <v>200</v>
      </c>
      <c r="F6056" t="str">
        <v>x</v>
      </c>
      <c r="G6056">
        <f>VLOOKUP(D6055,'Detail Balok'!$C$10:$AU$140,3,FALSE)</f>
        <v>400</v>
      </c>
    </row>
    <row r="6057">
      <c r="C6057" t="str">
        <v>Panjang as ke as</v>
      </c>
      <c r="D6057">
        <f>VLOOKUP(C6055,'Data Panjang Balok'!$C$9:$N$254,4,FALSE)</f>
        <v>1250</v>
      </c>
    </row>
    <row r="6058">
      <c r="C6058" t="str">
        <v>Panjang netto</v>
      </c>
      <c r="D6058">
        <f>VLOOKUP(C6055,'Data Panjang Balok'!$C$9:$N$254,7,FALSE)</f>
        <v>1250</v>
      </c>
    </row>
    <row r="6059">
      <c r="C6059" t="str">
        <v>Kolom / balok kiri</v>
      </c>
      <c r="D6059">
        <f>VLOOKUP(C6055,'Data Panjang Balok'!$C$9:$N$254,9,FALSE)</f>
        <v>0</v>
      </c>
    </row>
    <row r="6060">
      <c r="C6060" t="str">
        <v>Kolom / balok kanan</v>
      </c>
      <c r="D6060">
        <f>VLOOKUP(C6055,'Data Panjang Balok'!$C$9:$N$254,10,FALSE)</f>
        <v>0</v>
      </c>
    </row>
    <row r="6061">
      <c r="C6061" t="str">
        <v>Jumlah</v>
      </c>
      <c r="D6061">
        <f>VLOOKUP(C6055,'Data Panjang Balok'!$C$9:$N$254,3,FALSE)</f>
        <v>1</v>
      </c>
    </row>
    <row r="6062">
      <c r="A6062" t="str">
        <f>A6055</f>
        <v>Lantai 3</v>
      </c>
      <c r="B6062">
        <f>B6055</f>
        <v>60</v>
      </c>
      <c r="C6062" t="str">
        <v>Tul Atas Tumpuan</v>
      </c>
      <c r="D6062">
        <f>VLOOKUP(D6055,'Detail Balok'!$C$10:$AU$140,4,FALSE)</f>
        <v>3</v>
      </c>
      <c r="E6062" t="str">
        <v>D</v>
      </c>
      <c r="F6062">
        <f>VLOOKUP(D6055,'Detail Balok'!$C$10:$AU$140,6,FALSE)</f>
        <v>16</v>
      </c>
      <c r="I6062" t="str">
        <v>(</v>
      </c>
      <c r="J6062">
        <f>+D6057/4/1000</f>
        <v>0.3125</v>
      </c>
      <c r="K6062" t="str">
        <v>+</v>
      </c>
      <c r="L6062">
        <f>MAX(VLOOKUP(F6062,N$6:P$15,3,FALSE)/1000,2/3*D6059/1000)+F$16*F6062/1000</f>
        <v>0.192</v>
      </c>
      <c r="M6062" t="str">
        <v>=</v>
      </c>
      <c r="N6062">
        <f>J6062+L6062</f>
        <v>0.5045</v>
      </c>
      <c r="O6062" t="str">
        <v>+</v>
      </c>
      <c r="P6062">
        <f>D6062-D6063</f>
        <v>0</v>
      </c>
      <c r="Q6062" t="str">
        <v>x</v>
      </c>
      <c r="R6062">
        <f>IF(P6062&gt;0,$F$18*F6062/1000,0)</f>
        <v>0</v>
      </c>
      <c r="S6062" t="str">
        <v>)</v>
      </c>
      <c r="T6062" t="str">
        <v>x</v>
      </c>
      <c r="U6062">
        <f>0.006165*F6062^2</f>
        <v>1.57824</v>
      </c>
      <c r="X6062" t="str">
        <v>x</v>
      </c>
      <c r="Y6062">
        <f>D6061</f>
        <v>1</v>
      </c>
      <c r="Z6062" t="str">
        <v>=</v>
      </c>
      <c r="AA6062">
        <f>IF(AA6065=0,(D6062*N6062+P6062*R6062)*U6062*Y6062,0)</f>
        <v>0</v>
      </c>
    </row>
    <row r="6063">
      <c r="A6063" t="str">
        <f>A6055</f>
        <v>Lantai 3</v>
      </c>
      <c r="B6063">
        <f>B6055</f>
        <v>60</v>
      </c>
      <c r="C6063" t="str">
        <v>Tul Atas Lapangan</v>
      </c>
      <c r="D6063">
        <f>VLOOKUP(D6055,'Detail Balok'!$C$10:$AU$140,7,FALSE)</f>
        <v>3</v>
      </c>
      <c r="E6063" t="str">
        <v>D</v>
      </c>
      <c r="F6063">
        <f>VLOOKUP(D6055,'Detail Balok'!$C$10:$AU$140,9,FALSE)</f>
        <v>16</v>
      </c>
      <c r="I6063" t="str">
        <v>(</v>
      </c>
      <c r="J6063">
        <f>+D6057/2/1000</f>
        <v>0.625</v>
      </c>
      <c r="K6063" t="str">
        <v>+</v>
      </c>
      <c r="M6063" t="str">
        <v>=</v>
      </c>
      <c r="N6063">
        <f>J6063+L6063</f>
        <v>0.625</v>
      </c>
      <c r="O6063" t="str">
        <v>+</v>
      </c>
      <c r="P6063">
        <f>MAX(D6063-D6062,D6063-D6064)</f>
        <v>0</v>
      </c>
      <c r="Q6063" t="str">
        <v>x</v>
      </c>
      <c r="R6063">
        <f>IF(P6063&gt;0,2*(1-2*$F$19-1/2)*D6058/1000,0)</f>
        <v>0</v>
      </c>
      <c r="S6063" t="str">
        <v>)</v>
      </c>
      <c r="T6063" t="str">
        <v>x</v>
      </c>
      <c r="U6063">
        <f>0.006165*F6063^2</f>
        <v>1.57824</v>
      </c>
      <c r="X6063" t="str">
        <v>x</v>
      </c>
      <c r="Y6063">
        <f>D6061</f>
        <v>1</v>
      </c>
      <c r="Z6063" t="str">
        <v>=</v>
      </c>
      <c r="AA6063">
        <f>IF(AA6065=0,(D6063*N6063+P6063*R6063)*U6063*Y6063,0)</f>
        <v>0</v>
      </c>
    </row>
    <row r="6064">
      <c r="A6064" t="str">
        <f>A6055</f>
        <v>Lantai 3</v>
      </c>
      <c r="B6064">
        <f>B6055</f>
        <v>60</v>
      </c>
      <c r="C6064" t="str">
        <v>Tul Atas Tumpuan</v>
      </c>
      <c r="D6064">
        <f>VLOOKUP(D6055,'Detail Balok'!$C$10:$AU$140,10,FALSE)</f>
        <v>3</v>
      </c>
      <c r="E6064" t="str">
        <v>D</v>
      </c>
      <c r="F6064">
        <f>VLOOKUP(D6055,'Detail Balok'!$C$10:$AU$140,12,FALSE)</f>
        <v>16</v>
      </c>
      <c r="I6064" t="str">
        <v>(</v>
      </c>
      <c r="J6064">
        <f>+D6057/4/1000</f>
        <v>0.3125</v>
      </c>
      <c r="K6064" t="str">
        <v>+</v>
      </c>
      <c r="L6064">
        <f>MAX(VLOOKUP(F6064,N$6:P$15,3,FALSE)/1000,2/3*D6059/1000)+F$16*F6064/1000</f>
        <v>0.192</v>
      </c>
      <c r="M6064" t="str">
        <v>=</v>
      </c>
      <c r="N6064">
        <f>J6064+L6064</f>
        <v>0.5045</v>
      </c>
      <c r="O6064" t="str">
        <v>+</v>
      </c>
      <c r="P6064">
        <f>D6064-D6063</f>
        <v>0</v>
      </c>
      <c r="Q6064" t="str">
        <v>x</v>
      </c>
      <c r="R6064">
        <f>IF(P6064&gt;0,$F$18*F6064/1000,0)</f>
        <v>0</v>
      </c>
      <c r="S6064" t="str">
        <v>)</v>
      </c>
      <c r="T6064" t="str">
        <v>x</v>
      </c>
      <c r="U6064">
        <f>0.006165*F6064^2</f>
        <v>1.57824</v>
      </c>
      <c r="X6064" t="str">
        <v>x</v>
      </c>
      <c r="Y6064">
        <f>D6061</f>
        <v>1</v>
      </c>
      <c r="Z6064" t="str">
        <v>=</v>
      </c>
      <c r="AA6064">
        <f>IF(AA6065=0,(D6064*N6064+P6064*R6064)*U6064*Y6064,0)</f>
        <v>0</v>
      </c>
    </row>
    <row r="6065">
      <c r="A6065" t="str">
        <f>A6055</f>
        <v>Lantai 3</v>
      </c>
      <c r="B6065">
        <f>B6055</f>
        <v>60</v>
      </c>
      <c r="D6065">
        <f>IF(AND(D6062=D6063,D6063=D6064,D6062=D6064),D6062,0)</f>
        <v>3</v>
      </c>
      <c r="E6065" t="str">
        <v>D</v>
      </c>
      <c r="F6065">
        <f>IF(AND(F6062=F6063,F6062=F6064,F6063=F6064),F6062,0)</f>
        <v>16</v>
      </c>
      <c r="L6065" t="str">
        <v>Total panjang per balok</v>
      </c>
      <c r="M6065" t="str">
        <v>=</v>
      </c>
      <c r="N6065">
        <f>IF(AND(D6062=D6063,D6062=D6064,D6063=D6064,F6062=F6063,F6062=F6064,F6063=F6064),SUM(N6062:N6064),0)</f>
        <v>1.634</v>
      </c>
      <c r="O6065" t="str">
        <v>+</v>
      </c>
      <c r="P6065">
        <f>IF(N6065&gt;12,ROUNDDOWN(N6065/12,0),0)</f>
        <v>0</v>
      </c>
      <c r="Q6065" t="str">
        <v>x</v>
      </c>
      <c r="R6065">
        <f>IF(P6065&gt;0,MAX(VLOOKUP(F6065,$D$6:$G$15,3,FALSE),600),0)/1000</f>
        <v>0</v>
      </c>
      <c r="T6065" t="str">
        <v>x</v>
      </c>
      <c r="U6065">
        <f>U6064</f>
        <v>1.57824</v>
      </c>
      <c r="V6065" t="str">
        <v>x</v>
      </c>
      <c r="W6065">
        <f>D6065</f>
        <v>3</v>
      </c>
      <c r="X6065" t="str">
        <v>x</v>
      </c>
      <c r="Y6065">
        <f>Y6064</f>
        <v>1</v>
      </c>
      <c r="Z6065" t="str">
        <v>=</v>
      </c>
      <c r="AA6065">
        <f>(N6065+P6065*R6065/1000)*U6065*W6065*Y6065</f>
        <v>7.73653248</v>
      </c>
    </row>
    <row r="6067">
      <c r="A6067" t="str">
        <f>A6055</f>
        <v>Lantai 3</v>
      </c>
      <c r="B6067">
        <f>B6055</f>
        <v>60</v>
      </c>
      <c r="C6067" t="str">
        <v>Tul Peminggang</v>
      </c>
      <c r="D6067">
        <f>VLOOKUP(D6055,'Detail Balok'!$C$10:$AU$140,13,FALSE)</f>
        <v>0</v>
      </c>
      <c r="E6067" t="str">
        <v>D</v>
      </c>
      <c r="F6067">
        <f>VLOOKUP(D6055,'Detail Balok'!$C$10:$AU$140,15,FALSE)</f>
        <v>8</v>
      </c>
      <c r="J6067">
        <f>+D6057/1000</f>
        <v>1.25</v>
      </c>
      <c r="K6067" t="str">
        <v>+</v>
      </c>
      <c r="L6067">
        <f>2*$F$16*F6067/1000</f>
        <v>0.192</v>
      </c>
      <c r="M6067" t="str">
        <v>=</v>
      </c>
      <c r="N6067">
        <f>J6067+L6067</f>
        <v>1.442</v>
      </c>
      <c r="O6067" t="str">
        <v>+</v>
      </c>
      <c r="P6067">
        <f>IF(N6067&gt;12,ROUNDDOWN(N6067/12,0),0)</f>
        <v>0</v>
      </c>
      <c r="Q6067" t="str">
        <v>x</v>
      </c>
      <c r="R6067">
        <f>IF(P6067&gt;0,MAX(VLOOKUP(F6067,$D$6:$G$15,3,FALSE),600),0)/1000</f>
        <v>0</v>
      </c>
      <c r="T6067" t="str">
        <v>x</v>
      </c>
      <c r="U6067">
        <f>0.006165*F6067^2</f>
        <v>0.39456</v>
      </c>
      <c r="V6067" t="str">
        <v>x</v>
      </c>
      <c r="W6067">
        <f>+D6067</f>
        <v>0</v>
      </c>
      <c r="X6067" t="str">
        <v>x</v>
      </c>
      <c r="Y6067">
        <f>D6061</f>
        <v>1</v>
      </c>
      <c r="Z6067" t="str">
        <v>=</v>
      </c>
      <c r="AA6067">
        <f>(N6067+P6067*R6067/1000)*U6067*W6067*Y6067</f>
        <v>0</v>
      </c>
    </row>
    <row r="6070">
      <c r="A6070" t="str">
        <f>A6055</f>
        <v>Lantai 3</v>
      </c>
      <c r="B6070">
        <f>B6055</f>
        <v>60</v>
      </c>
      <c r="C6070" t="str">
        <v>Tul Bawah Tumpuan</v>
      </c>
      <c r="D6070">
        <f>VLOOKUP(D6055,'Detail Balok'!$C$10:$AU$140,22,FALSE)</f>
        <v>3</v>
      </c>
      <c r="E6070" t="str">
        <v>D</v>
      </c>
      <c r="F6070">
        <f>VLOOKUP(D6055,'Detail Balok'!$C$10:$AU$140,24,FALSE)</f>
        <v>16</v>
      </c>
      <c r="I6070" t="str">
        <v>(</v>
      </c>
      <c r="J6070">
        <f>+J6062</f>
        <v>0.3125</v>
      </c>
      <c r="K6070" t="str">
        <v>+</v>
      </c>
      <c r="L6070">
        <f>MAX(VLOOKUP(F6070,N$6:P$15,3,FALSE)/1000,2/3*D6060/1000)+F$16*F6070/1000</f>
        <v>0.192</v>
      </c>
      <c r="M6070" t="str">
        <v>=</v>
      </c>
      <c r="N6070">
        <f>J6070+L6070</f>
        <v>0.5045</v>
      </c>
      <c r="O6070" t="str">
        <v>+</v>
      </c>
      <c r="P6070">
        <f>D6070-D6071</f>
        <v>0</v>
      </c>
      <c r="Q6070" t="str">
        <v>x</v>
      </c>
      <c r="R6070">
        <f>IF(P6070&gt;0,$F$18*F6070/1000,0)</f>
        <v>0</v>
      </c>
      <c r="S6070" t="str">
        <v>)</v>
      </c>
      <c r="T6070" t="str">
        <v>x</v>
      </c>
      <c r="U6070">
        <f>0.006165*F6070^2</f>
        <v>1.57824</v>
      </c>
      <c r="X6070" t="str">
        <v>x</v>
      </c>
      <c r="Y6070">
        <f>D6061</f>
        <v>1</v>
      </c>
      <c r="Z6070" t="str">
        <v>=</v>
      </c>
      <c r="AA6070">
        <f>IF(AA6073=0,(D6070*N6070+P6070*R6070)*U6070*Y6070,0)</f>
        <v>0</v>
      </c>
    </row>
    <row r="6071">
      <c r="A6071" t="str">
        <f>A6055</f>
        <v>Lantai 3</v>
      </c>
      <c r="B6071">
        <f>B6055</f>
        <v>60</v>
      </c>
      <c r="C6071" t="str">
        <v>Tul Bawah Lapangan</v>
      </c>
      <c r="D6071">
        <f>VLOOKUP(D6055,'Detail Balok'!$C$10:$AU$140,25,FALSE)</f>
        <v>3</v>
      </c>
      <c r="E6071" t="str">
        <v>D</v>
      </c>
      <c r="F6071">
        <f>VLOOKUP(D6055,'Detail Balok'!$C$10:$AU$140,27,FALSE)</f>
        <v>16</v>
      </c>
      <c r="I6071" t="str">
        <v>(</v>
      </c>
      <c r="J6071">
        <f>+J6063</f>
        <v>0.625</v>
      </c>
      <c r="K6071" t="str">
        <v>+</v>
      </c>
      <c r="M6071" t="str">
        <v>=</v>
      </c>
      <c r="N6071">
        <f>J6071+L6071</f>
        <v>0.625</v>
      </c>
      <c r="O6071" t="str">
        <v>+</v>
      </c>
      <c r="P6071">
        <f>MAX(D6071-D6070,D6071-D6072)</f>
        <v>0</v>
      </c>
      <c r="Q6071" t="str">
        <v>x</v>
      </c>
      <c r="R6071">
        <f>IF(P6071&gt;0,2*(1-2*$F$19-1/2)*D6058/1000,0)</f>
        <v>0</v>
      </c>
      <c r="S6071" t="str">
        <v>)</v>
      </c>
      <c r="T6071" t="str">
        <v>x</v>
      </c>
      <c r="U6071">
        <f>0.006165*F6071^2</f>
        <v>1.57824</v>
      </c>
      <c r="X6071" t="str">
        <v>x</v>
      </c>
      <c r="Y6071">
        <f>D6061</f>
        <v>1</v>
      </c>
      <c r="Z6071" t="str">
        <v>=</v>
      </c>
      <c r="AA6071">
        <f>IF(AA6073=0,(D6071*N6071+P6071*R6071)*U6071*Y6071,0)</f>
        <v>0</v>
      </c>
    </row>
    <row r="6072">
      <c r="A6072" t="str">
        <f>A6055</f>
        <v>Lantai 3</v>
      </c>
      <c r="B6072">
        <f>B6055</f>
        <v>60</v>
      </c>
      <c r="C6072" t="str">
        <v>Tul Bawah Tumpuan</v>
      </c>
      <c r="D6072">
        <f>VLOOKUP(D6055,'Detail Balok'!$C$10:$AU$140,28,FALSE)</f>
        <v>3</v>
      </c>
      <c r="E6072" t="str">
        <v>D</v>
      </c>
      <c r="F6072">
        <f>VLOOKUP(D6055,'Detail Balok'!$C$10:$AU$140,30,FALSE)</f>
        <v>16</v>
      </c>
      <c r="I6072" t="str">
        <v>(</v>
      </c>
      <c r="J6072">
        <f>+J6064</f>
        <v>0.3125</v>
      </c>
      <c r="K6072" t="str">
        <v>+</v>
      </c>
      <c r="L6072">
        <f>MAX(VLOOKUP(F6072,N$6:P$15,3,FALSE)/1000,2/3*D6060/1000)+F$16*F6072/1000</f>
        <v>0.192</v>
      </c>
      <c r="M6072" t="str">
        <v>=</v>
      </c>
      <c r="N6072">
        <f>J6072+L6072</f>
        <v>0.5045</v>
      </c>
      <c r="O6072" t="str">
        <v>+</v>
      </c>
      <c r="P6072">
        <f>D6072-D6071</f>
        <v>0</v>
      </c>
      <c r="Q6072" t="str">
        <v>x</v>
      </c>
      <c r="R6072">
        <f>IF(P6072&gt;0,$F$18*F6072/1000,0)</f>
        <v>0</v>
      </c>
      <c r="S6072" t="str">
        <v>)</v>
      </c>
      <c r="T6072" t="str">
        <v>x</v>
      </c>
      <c r="U6072">
        <f>0.006165*F6072^2</f>
        <v>1.57824</v>
      </c>
      <c r="X6072" t="str">
        <v>x</v>
      </c>
      <c r="Y6072">
        <f>D6061</f>
        <v>1</v>
      </c>
      <c r="Z6072" t="str">
        <v>=</v>
      </c>
      <c r="AA6072">
        <f>IF(AA6073=0,(D6072*N6072+P6072*R6072)*U6072*Y6072,0)</f>
        <v>0</v>
      </c>
    </row>
    <row r="6073">
      <c r="A6073" t="str">
        <f>A6055</f>
        <v>Lantai 3</v>
      </c>
      <c r="B6073">
        <f>B6055</f>
        <v>60</v>
      </c>
      <c r="D6073">
        <f>IF(AND(D6070=D6071,D6071=D6072,D6070=D6072),D6070,0)</f>
        <v>3</v>
      </c>
      <c r="E6073" t="str">
        <v>D</v>
      </c>
      <c r="F6073">
        <f>IF(AND(F6070=F6071,F6070=F6072,F6071=F6072),F6070,0)</f>
        <v>16</v>
      </c>
      <c r="L6073" t="str">
        <v>Total panjang per balok</v>
      </c>
      <c r="M6073" t="str">
        <v>=</v>
      </c>
      <c r="N6073">
        <f>IF(AND(D6070=D6071,D6070=D6072,D6071=D6072,F6070=F6071,F6070=F6072,F6071=F6072),SUM(N6070:N6072),0)</f>
        <v>1.634</v>
      </c>
      <c r="O6073" t="str">
        <v>+</v>
      </c>
      <c r="P6073">
        <f>IF(N6073&gt;12,ROUNDDOWN(N6073/12,0),0)</f>
        <v>0</v>
      </c>
      <c r="Q6073" t="str">
        <v>x</v>
      </c>
      <c r="R6073">
        <f>IF(P6073&gt;0,MAX(VLOOKUP(F6073,$D$6:$G$15,3,FALSE),600),0)/1000</f>
        <v>0</v>
      </c>
      <c r="T6073" t="str">
        <v>x</v>
      </c>
      <c r="U6073">
        <f>U6072</f>
        <v>1.57824</v>
      </c>
      <c r="V6073" t="str">
        <v>x</v>
      </c>
      <c r="W6073">
        <f>D6073</f>
        <v>3</v>
      </c>
      <c r="X6073" t="str">
        <v>x</v>
      </c>
      <c r="Y6073">
        <f>Y6072</f>
        <v>1</v>
      </c>
      <c r="Z6073" t="str">
        <v>=</v>
      </c>
      <c r="AA6073">
        <f>(N6073+P6073*R6073/1000)*U6073*W6073*Y6073</f>
        <v>7.73653248</v>
      </c>
    </row>
    <row r="6075">
      <c r="A6075" t="str">
        <f>A6055</f>
        <v>Lantai 3</v>
      </c>
      <c r="B6075">
        <f>B6055</f>
        <v>60</v>
      </c>
      <c r="C6075" t="str">
        <v>Sengkang Tumpuan</v>
      </c>
      <c r="D6075">
        <f>VLOOKUP(D6055,'Detail Balok'!$C$10:$AU$140,31,FALSE)</f>
        <v>0</v>
      </c>
      <c r="E6075" t="str">
        <v>D</v>
      </c>
      <c r="F6075">
        <f>VLOOKUP(D6055,'Detail Balok'!$C$10:$AU$140,33,FALSE)</f>
        <v>10</v>
      </c>
      <c r="G6075" t="str">
        <v>-</v>
      </c>
      <c r="H6075">
        <f>VLOOKUP(D6055,'Detail Balok'!$C$10:$AU$140,35,FALSE)</f>
        <v>100</v>
      </c>
      <c r="J6075">
        <f>(IF(D6075=0,(2*(D6056+G6056))-(F$5*8),IF(D6075=3,(2*(D6056+G6056))-(F$5*8)+(G6056-2*F$5),IF(D6075=4,(2*(D6056+G6056))-(F$5*8)+2*(G6056-2*F$5)))))/1000</f>
        <v>0.88</v>
      </c>
      <c r="K6075" t="str">
        <v>+</v>
      </c>
      <c r="L6075">
        <f>IF(D6075=0,2*MAX(6*F6075,75),(D6075-1)*2*MAX(6*F6075,75))/1000</f>
        <v>0.15</v>
      </c>
      <c r="M6075" t="str">
        <v>=</v>
      </c>
      <c r="N6075">
        <f>J6075+L6075</f>
        <v>1.03</v>
      </c>
      <c r="T6075" t="str">
        <v>x</v>
      </c>
      <c r="U6075">
        <f>0.006165*F6075^2</f>
        <v>0.6165</v>
      </c>
      <c r="V6075" t="str">
        <v>x</v>
      </c>
      <c r="W6075">
        <f>IF(D6058&gt;4*G6056,ROUND(MAX(D6058/4,2*G6056)/H6075,0)+1,ROUND(D6058/H6075,0)+1)</f>
        <v>14</v>
      </c>
      <c r="X6075" t="str">
        <v>x</v>
      </c>
      <c r="Y6075">
        <f>D6061</f>
        <v>1</v>
      </c>
      <c r="Z6075" t="str">
        <v>=</v>
      </c>
      <c r="AA6075">
        <f>N6075*U6075*W6075*Y6075</f>
        <v>8.889930000000001</v>
      </c>
    </row>
    <row r="6076">
      <c r="A6076" t="str">
        <f>A6055</f>
        <v>Lantai 3</v>
      </c>
      <c r="B6076">
        <f>B6055</f>
        <v>60</v>
      </c>
      <c r="C6076" t="str">
        <v>Sengkang Lapangan</v>
      </c>
      <c r="D6076">
        <f>VLOOKUP(D6055,'Detail Balok'!$C$10:$AU$140,36,FALSE)</f>
        <v>0</v>
      </c>
      <c r="E6076" t="str">
        <v>D</v>
      </c>
      <c r="F6076">
        <f>VLOOKUP(D6055,'Detail Balok'!$C$10:$AU$140,38,FALSE)</f>
        <v>10</v>
      </c>
      <c r="G6076" t="str">
        <v>-</v>
      </c>
      <c r="H6076">
        <f>VLOOKUP(D6055,'Detail Balok'!$C$10:$AU$140,40,FALSE)</f>
        <v>100</v>
      </c>
      <c r="J6076">
        <f>(IF(D6076=0,(2*(D6056+G6056))-(F$5*8),IF(D6076=3,(2*(D6056+G6056))-(F$5*8)+(G6056-2*F$5),IF(D6076=4,(2*(D6056+G6056))-(F$5*8)+2*(G6056-2*F$5)))))/1000</f>
        <v>0.88</v>
      </c>
      <c r="K6076" t="str">
        <v>+</v>
      </c>
      <c r="L6076">
        <f>IF(D6076=0,2*MAX(6*F6076,75),(D6076-1)*2*MAX(6*F6076,75))/1000</f>
        <v>0.15</v>
      </c>
      <c r="M6076" t="str">
        <v>=</v>
      </c>
      <c r="N6076">
        <f>J6076+L6076</f>
        <v>1.03</v>
      </c>
      <c r="T6076" t="str">
        <v>x</v>
      </c>
      <c r="U6076">
        <f>0.006165*F6076^2</f>
        <v>0.6165</v>
      </c>
      <c r="V6076" t="str">
        <v>x</v>
      </c>
      <c r="W6076">
        <f>IF(D6058-MAX(D6058/4,2*G6056)*2&gt;0,ROUND((D6058-MAX(D6058/4,2*G6056)*2)/H6076,0),0)</f>
        <v>0</v>
      </c>
      <c r="X6076" t="str">
        <v>x</v>
      </c>
      <c r="Y6076">
        <f>D6061</f>
        <v>1</v>
      </c>
      <c r="Z6076" t="str">
        <v>=</v>
      </c>
      <c r="AA6076">
        <f>N6076*U6076*W6076*Y6076</f>
        <v>0</v>
      </c>
    </row>
    <row r="6077">
      <c r="A6077" t="str">
        <f>A6055</f>
        <v>Lantai 3</v>
      </c>
      <c r="B6077">
        <f>B6055</f>
        <v>60</v>
      </c>
      <c r="C6077" t="str">
        <v>Sengkang Tumpuan</v>
      </c>
      <c r="D6077">
        <f>VLOOKUP(D6055,'Detail Balok'!$C$10:$AU$140,41,FALSE)</f>
        <v>0</v>
      </c>
      <c r="E6077" t="str">
        <v>D</v>
      </c>
      <c r="F6077">
        <f>VLOOKUP(D6055,'Detail Balok'!$C$10:$AU$140,43,FALSE)</f>
        <v>10</v>
      </c>
      <c r="G6077" t="str">
        <v>-</v>
      </c>
      <c r="H6077">
        <f>VLOOKUP(D6055,'Detail Balok'!$C$10:$AU$140,45,FALSE)</f>
        <v>100</v>
      </c>
      <c r="J6077">
        <f>(IF(D6077=0,(2*(D6056+G6056))-(F$5*8),IF(D6077=3,(2*(D6056+G6056))-(F$5*8)+(G6056-2*F$5),IF(D6077=4,(2*(D6056+G6056))-(F$5*8)+2*(G6056-2*F$5)))))/1000</f>
        <v>0.88</v>
      </c>
      <c r="K6077" t="str">
        <v>+</v>
      </c>
      <c r="L6077">
        <f>IF(D6077=0,2*MAX(6*F6077,75),(D6077-1)*2*MAX(6*F6077,75))/1000</f>
        <v>0.15</v>
      </c>
      <c r="M6077" t="str">
        <v>=</v>
      </c>
      <c r="N6077">
        <f>J6077+L6077</f>
        <v>1.03</v>
      </c>
      <c r="T6077" t="str">
        <v>x</v>
      </c>
      <c r="U6077">
        <f>0.006165*F6077^2</f>
        <v>0.6165</v>
      </c>
      <c r="V6077" t="str">
        <v>x</v>
      </c>
      <c r="W6077">
        <f>IF(D6058&gt;4*G6056,ROUND(MAX(D6058/4,2*G6056)/H6077,0)+1,0)</f>
        <v>0</v>
      </c>
      <c r="X6077" t="str">
        <v>x</v>
      </c>
      <c r="Y6077">
        <f>D6061</f>
        <v>1</v>
      </c>
      <c r="Z6077" t="str">
        <v>=</v>
      </c>
      <c r="AA6077">
        <f>N6077*U6077*W6077*Y6077</f>
        <v>0</v>
      </c>
    </row>
    <row r="6079">
      <c r="A6079" t="str">
        <f>A6055</f>
        <v>Lantai 3</v>
      </c>
      <c r="B6079">
        <f>B6055</f>
        <v>60</v>
      </c>
      <c r="C6079" t="str">
        <v>Kait Horizontal Tump.</v>
      </c>
      <c r="D6079">
        <f>VLOOKUP(D6055,'Detail Balok'!$C$10:$BJ$140,46,FALSE)</f>
        <v>0</v>
      </c>
      <c r="E6079" t="str">
        <v>D</v>
      </c>
      <c r="F6079">
        <f>VLOOKUP(D6055,'Detail Balok'!$C$10:$BJ$140,48,FALSE)</f>
        <v>0</v>
      </c>
      <c r="G6079" t="str">
        <v>-</v>
      </c>
      <c r="H6079">
        <f>VLOOKUP(D6055,'Detail Balok'!$C$10:$BJ$140,50,FALSE)</f>
        <v>100</v>
      </c>
      <c r="J6079">
        <f>(D6056-2*F$5)/1000</f>
        <v>0.12</v>
      </c>
      <c r="K6079" t="str">
        <v>+</v>
      </c>
      <c r="L6079">
        <f>IF(D6079=0,2*MAX(6*F6079,75),(D6079-1)*2*MAX(6*F6079,75))/1000</f>
        <v>0.15</v>
      </c>
      <c r="M6079" t="str">
        <v>=</v>
      </c>
      <c r="N6079">
        <f>J6079+L6079</f>
        <v>0.27</v>
      </c>
      <c r="T6079" t="str">
        <v>x</v>
      </c>
      <c r="U6079">
        <f>0.006165*F6079^2</f>
        <v>0</v>
      </c>
      <c r="V6079" t="str">
        <v>x</v>
      </c>
      <c r="W6079">
        <f>W6075</f>
        <v>14</v>
      </c>
      <c r="X6079" t="str">
        <v>x</v>
      </c>
      <c r="Y6079">
        <f>D6065</f>
        <v>3</v>
      </c>
      <c r="Z6079" t="str">
        <v>=</v>
      </c>
      <c r="AA6079">
        <f>N6079*U6079*W6079*Y6079</f>
        <v>0</v>
      </c>
    </row>
    <row r="6080">
      <c r="A6080" t="str">
        <f>A6055</f>
        <v>Lantai 3</v>
      </c>
      <c r="B6080">
        <f>B6055</f>
        <v>60</v>
      </c>
      <c r="C6080" t="str">
        <v>Kait Horizontal Lap.</v>
      </c>
      <c r="D6080">
        <f>VLOOKUP(D6055,'Detail Balok'!$C$10:$BJ$140,51,FALSE)</f>
        <v>0</v>
      </c>
      <c r="E6080" t="str">
        <v>D</v>
      </c>
      <c r="F6080">
        <f>VLOOKUP(D6055,'Detail Balok'!$C$10:$BJ$140,53,FALSE)</f>
        <v>0</v>
      </c>
      <c r="G6080" t="str">
        <v>-</v>
      </c>
      <c r="H6080">
        <f>VLOOKUP(D6055,'Detail Balok'!$C$10:$BJ$140,55,FALSE)</f>
        <v>100</v>
      </c>
      <c r="J6080">
        <f>(D6056-2*F$5)/1000</f>
        <v>0.12</v>
      </c>
      <c r="K6080" t="str">
        <v>+</v>
      </c>
      <c r="L6080">
        <f>IF(D6080=0,2*MAX(6*F6080,75),(D6080-1)*2*MAX(6*F6080,75))/1000</f>
        <v>0.15</v>
      </c>
      <c r="M6080" t="str">
        <v>=</v>
      </c>
      <c r="N6080">
        <f>J6080+L6080</f>
        <v>0.27</v>
      </c>
      <c r="T6080" t="str">
        <v>x</v>
      </c>
      <c r="U6080">
        <f>0.006165*F6080^2</f>
        <v>0</v>
      </c>
      <c r="V6080" t="str">
        <v>x</v>
      </c>
      <c r="W6080">
        <f>W6076</f>
        <v>0</v>
      </c>
      <c r="X6080" t="str">
        <v>x</v>
      </c>
      <c r="Y6080">
        <f>D6065</f>
        <v>3</v>
      </c>
      <c r="Z6080" t="str">
        <v>=</v>
      </c>
      <c r="AA6080">
        <f>N6080*U6080*W6080*Y6080</f>
        <v>0</v>
      </c>
    </row>
    <row r="6081">
      <c r="A6081" t="str">
        <f>A6055</f>
        <v>Lantai 3</v>
      </c>
      <c r="B6081">
        <f>B6055</f>
        <v>60</v>
      </c>
      <c r="C6081" t="str">
        <v>Kait Horizontal Tump.</v>
      </c>
      <c r="D6081">
        <f>VLOOKUP(D6055,'Detail Balok'!$C$10:$BJ$140,56,FALSE)</f>
        <v>0</v>
      </c>
      <c r="E6081" t="str">
        <v>D</v>
      </c>
      <c r="F6081">
        <f>VLOOKUP(D6055,'Detail Balok'!$C$10:$BJ$140,58,FALSE)</f>
        <v>0</v>
      </c>
      <c r="G6081" t="str">
        <v>-</v>
      </c>
      <c r="H6081">
        <f>VLOOKUP(D6055,'Detail Balok'!$C$10:$BJ$140,60,FALSE)</f>
        <v>100</v>
      </c>
      <c r="J6081">
        <f>(D6056-2*F$5)/1000</f>
        <v>0.12</v>
      </c>
      <c r="K6081" t="str">
        <v>+</v>
      </c>
      <c r="L6081">
        <f>IF(D6081=0,2*MAX(6*F6081,75),(D6081-1)*2*MAX(6*F6081,75))/1000</f>
        <v>0.15</v>
      </c>
      <c r="M6081" t="str">
        <v>=</v>
      </c>
      <c r="N6081">
        <f>J6081+L6081</f>
        <v>0.27</v>
      </c>
      <c r="T6081" t="str">
        <v>x</v>
      </c>
      <c r="U6081">
        <f>0.006165*F6081^2</f>
        <v>0</v>
      </c>
      <c r="V6081" t="str">
        <v>x</v>
      </c>
      <c r="W6081">
        <f>W6077</f>
        <v>0</v>
      </c>
      <c r="X6081" t="str">
        <v>x</v>
      </c>
      <c r="Y6081">
        <f>D6065</f>
        <v>3</v>
      </c>
      <c r="Z6081" t="str">
        <v>=</v>
      </c>
      <c r="AA6081">
        <f>N6081*U6081*W6081*Y6081</f>
        <v>0</v>
      </c>
    </row>
    <row r="6085">
      <c r="A6085" t="str">
        <f>A6055</f>
        <v>Lantai 3</v>
      </c>
      <c r="B6085">
        <f>B6055+1</f>
        <v>61</v>
      </c>
      <c r="C6085" t="str">
        <f>CONCATENATE(A6085," no. ",B6085)</f>
        <v>Lantai 3 no. 61</v>
      </c>
      <c r="D6085" t="str">
        <f>VLOOKUP(C6085,'Data Panjang Balok'!$C$9:$N$254,2,FALSE)</f>
        <v>B4-1</v>
      </c>
    </row>
    <row r="6086">
      <c r="C6086" t="str">
        <v>Dimensi</v>
      </c>
      <c r="D6086">
        <f>VLOOKUP(D6085,'Detail Balok'!$C$10:$AU$140,2,FALSE)</f>
        <v>130</v>
      </c>
      <c r="F6086" t="str">
        <v>x</v>
      </c>
      <c r="G6086">
        <f>VLOOKUP(D6085,'Detail Balok'!$C$10:$AU$140,3,FALSE)</f>
        <v>400</v>
      </c>
    </row>
    <row r="6087">
      <c r="C6087" t="str">
        <v>Panjang as ke as</v>
      </c>
      <c r="D6087">
        <f>VLOOKUP(C6085,'Data Panjang Balok'!$C$9:$N$254,4,FALSE)</f>
        <v>10750</v>
      </c>
    </row>
    <row r="6088">
      <c r="C6088" t="str">
        <v>Panjang netto</v>
      </c>
      <c r="D6088">
        <f>VLOOKUP(C6085,'Data Panjang Balok'!$C$9:$N$254,7,FALSE)</f>
        <v>10750</v>
      </c>
    </row>
    <row r="6089">
      <c r="C6089" t="str">
        <v>Kolom / balok kiri</v>
      </c>
      <c r="D6089">
        <f>VLOOKUP(C6085,'Data Panjang Balok'!$C$9:$N$254,9,FALSE)</f>
        <v>0</v>
      </c>
    </row>
    <row r="6090">
      <c r="C6090" t="str">
        <v>Kolom / balok kanan</v>
      </c>
      <c r="D6090">
        <f>VLOOKUP(C6085,'Data Panjang Balok'!$C$9:$N$254,10,FALSE)</f>
        <v>0</v>
      </c>
    </row>
    <row r="6091">
      <c r="C6091" t="str">
        <v>Jumlah</v>
      </c>
      <c r="D6091">
        <f>VLOOKUP(C6085,'Data Panjang Balok'!$C$9:$N$254,3,FALSE)</f>
        <v>1</v>
      </c>
    </row>
    <row r="6092">
      <c r="A6092" t="str">
        <f>A6085</f>
        <v>Lantai 3</v>
      </c>
      <c r="B6092">
        <f>B6085</f>
        <v>61</v>
      </c>
      <c r="C6092" t="str">
        <v>Tul Atas Tumpuan</v>
      </c>
      <c r="D6092">
        <f>VLOOKUP(D6085,'Detail Balok'!$C$10:$AU$140,4,FALSE)</f>
        <v>2</v>
      </c>
      <c r="E6092" t="str">
        <v>D</v>
      </c>
      <c r="F6092">
        <f>VLOOKUP(D6085,'Detail Balok'!$C$10:$AU$140,6,FALSE)</f>
        <v>13</v>
      </c>
      <c r="I6092" t="str">
        <v>(</v>
      </c>
      <c r="J6092">
        <f>+D6087/4/1000</f>
        <v>2.6875</v>
      </c>
      <c r="K6092" t="str">
        <v>+</v>
      </c>
      <c r="L6092">
        <f>MAX(VLOOKUP(F6092,N$6:P$15,3,FALSE)/1000,2/3*D6089/1000)+F$16*F6092/1000</f>
        <v>0.156</v>
      </c>
      <c r="M6092" t="str">
        <v>=</v>
      </c>
      <c r="N6092">
        <f>J6092+L6092</f>
        <v>2.8435</v>
      </c>
      <c r="O6092" t="str">
        <v>+</v>
      </c>
      <c r="P6092">
        <f>D6092-D6093</f>
        <v>0</v>
      </c>
      <c r="Q6092" t="str">
        <v>x</v>
      </c>
      <c r="R6092">
        <f>IF(P6092&gt;0,$F$18*F6092/1000,0)</f>
        <v>0</v>
      </c>
      <c r="S6092" t="str">
        <v>)</v>
      </c>
      <c r="T6092" t="str">
        <v>x</v>
      </c>
      <c r="U6092">
        <f>0.006165*F6092^2</f>
        <v>1.041885</v>
      </c>
      <c r="X6092" t="str">
        <v>x</v>
      </c>
      <c r="Y6092">
        <f>D6091</f>
        <v>1</v>
      </c>
      <c r="Z6092" t="str">
        <v>=</v>
      </c>
      <c r="AA6092">
        <f>IF(AA6095=0,(D6092*N6092+P6092*R6092)*U6092*Y6092,0)</f>
        <v>0</v>
      </c>
    </row>
    <row r="6093">
      <c r="A6093" t="str">
        <f>A6085</f>
        <v>Lantai 3</v>
      </c>
      <c r="B6093">
        <f>B6085</f>
        <v>61</v>
      </c>
      <c r="C6093" t="str">
        <v>Tul Atas Lapangan</v>
      </c>
      <c r="D6093">
        <f>VLOOKUP(D6085,'Detail Balok'!$C$10:$AU$140,7,FALSE)</f>
        <v>2</v>
      </c>
      <c r="E6093" t="str">
        <v>D</v>
      </c>
      <c r="F6093">
        <f>VLOOKUP(D6085,'Detail Balok'!$C$10:$AU$140,9,FALSE)</f>
        <v>13</v>
      </c>
      <c r="I6093" t="str">
        <v>(</v>
      </c>
      <c r="J6093">
        <f>+D6087/2/1000</f>
        <v>5.375</v>
      </c>
      <c r="K6093" t="str">
        <v>+</v>
      </c>
      <c r="M6093" t="str">
        <v>=</v>
      </c>
      <c r="N6093">
        <f>J6093+L6093</f>
        <v>5.375</v>
      </c>
      <c r="O6093" t="str">
        <v>+</v>
      </c>
      <c r="P6093">
        <f>MAX(D6093-D6092,D6093-D6094)</f>
        <v>0</v>
      </c>
      <c r="Q6093" t="str">
        <v>x</v>
      </c>
      <c r="R6093">
        <f>IF(P6093&gt;0,2*(1-2*$F$19-1/2)*D6088/1000,0)</f>
        <v>0</v>
      </c>
      <c r="S6093" t="str">
        <v>)</v>
      </c>
      <c r="T6093" t="str">
        <v>x</v>
      </c>
      <c r="U6093">
        <f>0.006165*F6093^2</f>
        <v>1.041885</v>
      </c>
      <c r="X6093" t="str">
        <v>x</v>
      </c>
      <c r="Y6093">
        <f>D6091</f>
        <v>1</v>
      </c>
      <c r="Z6093" t="str">
        <v>=</v>
      </c>
      <c r="AA6093">
        <f>IF(AA6095=0,(D6093*N6093+P6093*R6093)*U6093*Y6093,0)</f>
        <v>0</v>
      </c>
    </row>
    <row r="6094">
      <c r="A6094" t="str">
        <f>A6085</f>
        <v>Lantai 3</v>
      </c>
      <c r="B6094">
        <f>B6085</f>
        <v>61</v>
      </c>
      <c r="C6094" t="str">
        <v>Tul Atas Tumpuan</v>
      </c>
      <c r="D6094">
        <f>VLOOKUP(D6085,'Detail Balok'!$C$10:$AU$140,10,FALSE)</f>
        <v>2</v>
      </c>
      <c r="E6094" t="str">
        <v>D</v>
      </c>
      <c r="F6094">
        <f>VLOOKUP(D6085,'Detail Balok'!$C$10:$AU$140,12,FALSE)</f>
        <v>13</v>
      </c>
      <c r="I6094" t="str">
        <v>(</v>
      </c>
      <c r="J6094">
        <f>+D6087/4/1000</f>
        <v>2.6875</v>
      </c>
      <c r="K6094" t="str">
        <v>+</v>
      </c>
      <c r="L6094">
        <f>MAX(VLOOKUP(F6094,N$6:P$15,3,FALSE)/1000,2/3*D6089/1000)+F$16*F6094/1000</f>
        <v>0.156</v>
      </c>
      <c r="M6094" t="str">
        <v>=</v>
      </c>
      <c r="N6094">
        <f>J6094+L6094</f>
        <v>2.8435</v>
      </c>
      <c r="O6094" t="str">
        <v>+</v>
      </c>
      <c r="P6094">
        <f>D6094-D6093</f>
        <v>0</v>
      </c>
      <c r="Q6094" t="str">
        <v>x</v>
      </c>
      <c r="R6094">
        <f>IF(P6094&gt;0,$F$18*F6094/1000,0)</f>
        <v>0</v>
      </c>
      <c r="S6094" t="str">
        <v>)</v>
      </c>
      <c r="T6094" t="str">
        <v>x</v>
      </c>
      <c r="U6094">
        <f>0.006165*F6094^2</f>
        <v>1.041885</v>
      </c>
      <c r="X6094" t="str">
        <v>x</v>
      </c>
      <c r="Y6094">
        <f>D6091</f>
        <v>1</v>
      </c>
      <c r="Z6094" t="str">
        <v>=</v>
      </c>
      <c r="AA6094">
        <f>IF(AA6095=0,(D6094*N6094+P6094*R6094)*U6094*Y6094,0)</f>
        <v>0</v>
      </c>
    </row>
    <row r="6095">
      <c r="A6095" t="str">
        <f>A6085</f>
        <v>Lantai 3</v>
      </c>
      <c r="B6095">
        <f>B6085</f>
        <v>61</v>
      </c>
      <c r="D6095">
        <f>IF(AND(D6092=D6093,D6093=D6094,D6092=D6094),D6092,0)</f>
        <v>2</v>
      </c>
      <c r="E6095" t="str">
        <v>D</v>
      </c>
      <c r="F6095">
        <f>IF(AND(F6092=F6093,F6092=F6094,F6093=F6094),F6092,0)</f>
        <v>13</v>
      </c>
      <c r="L6095" t="str">
        <v>Total panjang per balok</v>
      </c>
      <c r="M6095" t="str">
        <v>=</v>
      </c>
      <c r="N6095">
        <f>IF(AND(D6092=D6093,D6092=D6094,D6093=D6094,F6092=F6093,F6092=F6094,F6093=F6094),SUM(N6092:N6094),0)</f>
        <v>11.062000000000001</v>
      </c>
      <c r="O6095" t="str">
        <v>+</v>
      </c>
      <c r="P6095">
        <f>IF(N6095&gt;12,ROUNDDOWN(N6095/12,0),0)</f>
        <v>0</v>
      </c>
      <c r="Q6095" t="str">
        <v>x</v>
      </c>
      <c r="R6095">
        <f>IF(P6095&gt;0,MAX(VLOOKUP(F6095,$D$6:$G$15,3,FALSE),600),0)/1000</f>
        <v>0</v>
      </c>
      <c r="T6095" t="str">
        <v>x</v>
      </c>
      <c r="U6095">
        <f>U6094</f>
        <v>1.041885</v>
      </c>
      <c r="V6095" t="str">
        <v>x</v>
      </c>
      <c r="W6095">
        <f>D6095</f>
        <v>2</v>
      </c>
      <c r="X6095" t="str">
        <v>x</v>
      </c>
      <c r="Y6095">
        <f>Y6094</f>
        <v>1</v>
      </c>
      <c r="Z6095" t="str">
        <v>=</v>
      </c>
      <c r="AA6095">
        <f>(N6095+P6095*R6095/1000)*U6095*W6095*Y6095</f>
        <v>23.05066374</v>
      </c>
    </row>
    <row r="6097">
      <c r="A6097" t="str">
        <f>A6085</f>
        <v>Lantai 3</v>
      </c>
      <c r="B6097">
        <f>B6085</f>
        <v>61</v>
      </c>
      <c r="C6097" t="str">
        <v>Tul Peminggang</v>
      </c>
      <c r="D6097">
        <f>VLOOKUP(D6085,'Detail Balok'!$C$10:$AU$140,13,FALSE)</f>
        <v>0</v>
      </c>
      <c r="E6097" t="str">
        <v>D</v>
      </c>
      <c r="F6097">
        <f>VLOOKUP(D6085,'Detail Balok'!$C$10:$AU$140,15,FALSE)</f>
        <v>8</v>
      </c>
      <c r="J6097">
        <f>+D6087/1000</f>
        <v>10.75</v>
      </c>
      <c r="K6097" t="str">
        <v>+</v>
      </c>
      <c r="L6097">
        <f>2*$F$16*F6097/1000</f>
        <v>0.192</v>
      </c>
      <c r="M6097" t="str">
        <v>=</v>
      </c>
      <c r="N6097">
        <f>J6097+L6097</f>
        <v>10.942</v>
      </c>
      <c r="O6097" t="str">
        <v>+</v>
      </c>
      <c r="P6097">
        <f>IF(N6097&gt;12,ROUNDDOWN(N6097/12,0),0)</f>
        <v>0</v>
      </c>
      <c r="Q6097" t="str">
        <v>x</v>
      </c>
      <c r="R6097">
        <f>IF(P6097&gt;0,MAX(VLOOKUP(F6097,$D$6:$G$15,3,FALSE),600),0)/1000</f>
        <v>0</v>
      </c>
      <c r="T6097" t="str">
        <v>x</v>
      </c>
      <c r="U6097">
        <f>0.006165*F6097^2</f>
        <v>0.39456</v>
      </c>
      <c r="V6097" t="str">
        <v>x</v>
      </c>
      <c r="W6097">
        <f>+D6097</f>
        <v>0</v>
      </c>
      <c r="X6097" t="str">
        <v>x</v>
      </c>
      <c r="Y6097">
        <f>D6091</f>
        <v>1</v>
      </c>
      <c r="Z6097" t="str">
        <v>=</v>
      </c>
      <c r="AA6097">
        <f>(N6097+P6097*R6097/1000)*U6097*W6097*Y6097</f>
        <v>0</v>
      </c>
    </row>
    <row r="6100">
      <c r="A6100" t="str">
        <f>A6085</f>
        <v>Lantai 3</v>
      </c>
      <c r="B6100">
        <f>B6085</f>
        <v>61</v>
      </c>
      <c r="C6100" t="str">
        <v>Tul Bawah Tumpuan</v>
      </c>
      <c r="D6100">
        <f>VLOOKUP(D6085,'Detail Balok'!$C$10:$AU$140,22,FALSE)</f>
        <v>2</v>
      </c>
      <c r="E6100" t="str">
        <v>D</v>
      </c>
      <c r="F6100">
        <f>VLOOKUP(D6085,'Detail Balok'!$C$10:$AU$140,24,FALSE)</f>
        <v>13</v>
      </c>
      <c r="I6100" t="str">
        <v>(</v>
      </c>
      <c r="J6100">
        <f>+J6092</f>
        <v>2.6875</v>
      </c>
      <c r="K6100" t="str">
        <v>+</v>
      </c>
      <c r="L6100">
        <f>MAX(VLOOKUP(F6100,N$6:P$15,3,FALSE)/1000,2/3*D6090/1000)+F$16*F6100/1000</f>
        <v>0.156</v>
      </c>
      <c r="M6100" t="str">
        <v>=</v>
      </c>
      <c r="N6100">
        <f>J6100+L6100</f>
        <v>2.8435</v>
      </c>
      <c r="O6100" t="str">
        <v>+</v>
      </c>
      <c r="P6100">
        <f>D6100-D6101</f>
        <v>0</v>
      </c>
      <c r="Q6100" t="str">
        <v>x</v>
      </c>
      <c r="R6100">
        <f>IF(P6100&gt;0,$F$18*F6100/1000,0)</f>
        <v>0</v>
      </c>
      <c r="S6100" t="str">
        <v>)</v>
      </c>
      <c r="T6100" t="str">
        <v>x</v>
      </c>
      <c r="U6100">
        <f>0.006165*F6100^2</f>
        <v>1.041885</v>
      </c>
      <c r="X6100" t="str">
        <v>x</v>
      </c>
      <c r="Y6100">
        <f>D6091</f>
        <v>1</v>
      </c>
      <c r="Z6100" t="str">
        <v>=</v>
      </c>
      <c r="AA6100">
        <f>IF(AA6103=0,(D6100*N6100+P6100*R6100)*U6100*Y6100,0)</f>
        <v>0</v>
      </c>
    </row>
    <row r="6101">
      <c r="A6101" t="str">
        <f>A6085</f>
        <v>Lantai 3</v>
      </c>
      <c r="B6101">
        <f>B6085</f>
        <v>61</v>
      </c>
      <c r="C6101" t="str">
        <v>Tul Bawah Lapangan</v>
      </c>
      <c r="D6101">
        <f>VLOOKUP(D6085,'Detail Balok'!$C$10:$AU$140,25,FALSE)</f>
        <v>2</v>
      </c>
      <c r="E6101" t="str">
        <v>D</v>
      </c>
      <c r="F6101">
        <f>VLOOKUP(D6085,'Detail Balok'!$C$10:$AU$140,27,FALSE)</f>
        <v>13</v>
      </c>
      <c r="I6101" t="str">
        <v>(</v>
      </c>
      <c r="J6101">
        <f>+J6093</f>
        <v>5.375</v>
      </c>
      <c r="K6101" t="str">
        <v>+</v>
      </c>
      <c r="M6101" t="str">
        <v>=</v>
      </c>
      <c r="N6101">
        <f>J6101+L6101</f>
        <v>5.375</v>
      </c>
      <c r="O6101" t="str">
        <v>+</v>
      </c>
      <c r="P6101">
        <f>MAX(D6101-D6100,D6101-D6102)</f>
        <v>0</v>
      </c>
      <c r="Q6101" t="str">
        <v>x</v>
      </c>
      <c r="R6101">
        <f>IF(P6101&gt;0,2*(1-2*$F$19-1/2)*D6088/1000,0)</f>
        <v>0</v>
      </c>
      <c r="S6101" t="str">
        <v>)</v>
      </c>
      <c r="T6101" t="str">
        <v>x</v>
      </c>
      <c r="U6101">
        <f>0.006165*F6101^2</f>
        <v>1.041885</v>
      </c>
      <c r="X6101" t="str">
        <v>x</v>
      </c>
      <c r="Y6101">
        <f>D6091</f>
        <v>1</v>
      </c>
      <c r="Z6101" t="str">
        <v>=</v>
      </c>
      <c r="AA6101">
        <f>IF(AA6103=0,(D6101*N6101+P6101*R6101)*U6101*Y6101,0)</f>
        <v>0</v>
      </c>
    </row>
    <row r="6102">
      <c r="A6102" t="str">
        <f>A6085</f>
        <v>Lantai 3</v>
      </c>
      <c r="B6102">
        <f>B6085</f>
        <v>61</v>
      </c>
      <c r="C6102" t="str">
        <v>Tul Bawah Tumpuan</v>
      </c>
      <c r="D6102">
        <f>VLOOKUP(D6085,'Detail Balok'!$C$10:$AU$140,28,FALSE)</f>
        <v>2</v>
      </c>
      <c r="E6102" t="str">
        <v>D</v>
      </c>
      <c r="F6102">
        <f>VLOOKUP(D6085,'Detail Balok'!$C$10:$AU$140,30,FALSE)</f>
        <v>13</v>
      </c>
      <c r="I6102" t="str">
        <v>(</v>
      </c>
      <c r="J6102">
        <f>+J6094</f>
        <v>2.6875</v>
      </c>
      <c r="K6102" t="str">
        <v>+</v>
      </c>
      <c r="L6102">
        <f>MAX(VLOOKUP(F6102,N$6:P$15,3,FALSE)/1000,2/3*D6090/1000)+F$16*F6102/1000</f>
        <v>0.156</v>
      </c>
      <c r="M6102" t="str">
        <v>=</v>
      </c>
      <c r="N6102">
        <f>J6102+L6102</f>
        <v>2.8435</v>
      </c>
      <c r="O6102" t="str">
        <v>+</v>
      </c>
      <c r="P6102">
        <f>D6102-D6101</f>
        <v>0</v>
      </c>
      <c r="Q6102" t="str">
        <v>x</v>
      </c>
      <c r="R6102">
        <f>IF(P6102&gt;0,$F$18*F6102/1000,0)</f>
        <v>0</v>
      </c>
      <c r="S6102" t="str">
        <v>)</v>
      </c>
      <c r="T6102" t="str">
        <v>x</v>
      </c>
      <c r="U6102">
        <f>0.006165*F6102^2</f>
        <v>1.041885</v>
      </c>
      <c r="X6102" t="str">
        <v>x</v>
      </c>
      <c r="Y6102">
        <f>D6091</f>
        <v>1</v>
      </c>
      <c r="Z6102" t="str">
        <v>=</v>
      </c>
      <c r="AA6102">
        <f>IF(AA6103=0,(D6102*N6102+P6102*R6102)*U6102*Y6102,0)</f>
        <v>0</v>
      </c>
    </row>
    <row r="6103">
      <c r="A6103" t="str">
        <f>A6085</f>
        <v>Lantai 3</v>
      </c>
      <c r="B6103">
        <f>B6085</f>
        <v>61</v>
      </c>
      <c r="D6103">
        <f>IF(AND(D6100=D6101,D6101=D6102,D6100=D6102),D6100,0)</f>
        <v>2</v>
      </c>
      <c r="E6103" t="str">
        <v>D</v>
      </c>
      <c r="F6103">
        <f>IF(AND(F6100=F6101,F6100=F6102,F6101=F6102),F6100,0)</f>
        <v>13</v>
      </c>
      <c r="L6103" t="str">
        <v>Total panjang per balok</v>
      </c>
      <c r="M6103" t="str">
        <v>=</v>
      </c>
      <c r="N6103">
        <f>IF(AND(D6100=D6101,D6100=D6102,D6101=D6102,F6100=F6101,F6100=F6102,F6101=F6102),SUM(N6100:N6102),0)</f>
        <v>11.062000000000001</v>
      </c>
      <c r="O6103" t="str">
        <v>+</v>
      </c>
      <c r="P6103">
        <f>IF(N6103&gt;12,ROUNDDOWN(N6103/12,0),0)</f>
        <v>0</v>
      </c>
      <c r="Q6103" t="str">
        <v>x</v>
      </c>
      <c r="R6103">
        <f>IF(P6103&gt;0,MAX(VLOOKUP(F6103,$D$6:$G$15,3,FALSE),600),0)/1000</f>
        <v>0</v>
      </c>
      <c r="T6103" t="str">
        <v>x</v>
      </c>
      <c r="U6103">
        <f>U6102</f>
        <v>1.041885</v>
      </c>
      <c r="V6103" t="str">
        <v>x</v>
      </c>
      <c r="W6103">
        <f>D6103</f>
        <v>2</v>
      </c>
      <c r="X6103" t="str">
        <v>x</v>
      </c>
      <c r="Y6103">
        <f>Y6102</f>
        <v>1</v>
      </c>
      <c r="Z6103" t="str">
        <v>=</v>
      </c>
      <c r="AA6103">
        <f>(N6103+P6103*R6103/1000)*U6103*W6103*Y6103</f>
        <v>23.05066374</v>
      </c>
    </row>
    <row r="6105">
      <c r="A6105" t="str">
        <f>A6085</f>
        <v>Lantai 3</v>
      </c>
      <c r="B6105">
        <f>B6085</f>
        <v>61</v>
      </c>
      <c r="C6105" t="str">
        <v>Sengkang Tumpuan</v>
      </c>
      <c r="D6105">
        <f>VLOOKUP(D6085,'Detail Balok'!$C$10:$AU$140,31,FALSE)</f>
        <v>0</v>
      </c>
      <c r="E6105" t="str">
        <v>D</v>
      </c>
      <c r="F6105">
        <f>VLOOKUP(D6085,'Detail Balok'!$C$10:$AU$140,33,FALSE)</f>
        <v>8</v>
      </c>
      <c r="G6105" t="str">
        <v>-</v>
      </c>
      <c r="H6105">
        <f>VLOOKUP(D6085,'Detail Balok'!$C$10:$AU$140,35,FALSE)</f>
        <v>150</v>
      </c>
      <c r="J6105">
        <f>(IF(D6105=0,(2*(D6086+G6086))-(F$5*8),IF(D6105=3,(2*(D6086+G6086))-(F$5*8)+(G6086-2*F$5),IF(D6105=4,(2*(D6086+G6086))-(F$5*8)+2*(G6086-2*F$5)))))/1000</f>
        <v>0.74</v>
      </c>
      <c r="K6105" t="str">
        <v>+</v>
      </c>
      <c r="L6105">
        <f>IF(D6105=0,2*MAX(6*F6105,75),(D6105-1)*2*MAX(6*F6105,75))/1000</f>
        <v>0.15</v>
      </c>
      <c r="M6105" t="str">
        <v>=</v>
      </c>
      <c r="N6105">
        <f>J6105+L6105</f>
        <v>0.89</v>
      </c>
      <c r="T6105" t="str">
        <v>x</v>
      </c>
      <c r="U6105">
        <f>0.006165*F6105^2</f>
        <v>0.39456</v>
      </c>
      <c r="V6105" t="str">
        <v>x</v>
      </c>
      <c r="W6105">
        <f>IF(D6088&gt;4*G6086,ROUND(MAX(D6088/4,2*G6086)/H6105,0)+1,ROUND(D6088/H6105,0)+1)</f>
        <v>19</v>
      </c>
      <c r="X6105" t="str">
        <v>x</v>
      </c>
      <c r="Y6105">
        <f>D6091</f>
        <v>1</v>
      </c>
      <c r="Z6105" t="str">
        <v>=</v>
      </c>
      <c r="AA6105">
        <f>N6105*U6105*W6105*Y6105</f>
        <v>6.672009600000001</v>
      </c>
    </row>
    <row r="6106">
      <c r="A6106" t="str">
        <f>A6085</f>
        <v>Lantai 3</v>
      </c>
      <c r="B6106">
        <f>B6085</f>
        <v>61</v>
      </c>
      <c r="C6106" t="str">
        <v>Sengkang Lapangan</v>
      </c>
      <c r="D6106">
        <f>VLOOKUP(D6085,'Detail Balok'!$C$10:$AU$140,36,FALSE)</f>
        <v>0</v>
      </c>
      <c r="E6106" t="str">
        <v>D</v>
      </c>
      <c r="F6106">
        <f>VLOOKUP(D6085,'Detail Balok'!$C$10:$AU$140,38,FALSE)</f>
        <v>8</v>
      </c>
      <c r="G6106" t="str">
        <v>-</v>
      </c>
      <c r="H6106">
        <f>VLOOKUP(D6085,'Detail Balok'!$C$10:$AU$140,40,FALSE)</f>
        <v>200</v>
      </c>
      <c r="J6106">
        <f>(IF(D6106=0,(2*(D6086+G6086))-(F$5*8),IF(D6106=3,(2*(D6086+G6086))-(F$5*8)+(G6086-2*F$5),IF(D6106=4,(2*(D6086+G6086))-(F$5*8)+2*(G6086-2*F$5)))))/1000</f>
        <v>0.74</v>
      </c>
      <c r="K6106" t="str">
        <v>+</v>
      </c>
      <c r="L6106">
        <f>IF(D6106=0,2*MAX(6*F6106,75),(D6106-1)*2*MAX(6*F6106,75))/1000</f>
        <v>0.15</v>
      </c>
      <c r="M6106" t="str">
        <v>=</v>
      </c>
      <c r="N6106">
        <f>J6106+L6106</f>
        <v>0.89</v>
      </c>
      <c r="T6106" t="str">
        <v>x</v>
      </c>
      <c r="U6106">
        <f>0.006165*F6106^2</f>
        <v>0.39456</v>
      </c>
      <c r="V6106" t="str">
        <v>x</v>
      </c>
      <c r="W6106">
        <f>IF(D6088-MAX(D6088/4,2*G6086)*2&gt;0,ROUND((D6088-MAX(D6088/4,2*G6086)*2)/H6106,0),0)</f>
        <v>27</v>
      </c>
      <c r="X6106" t="str">
        <v>x</v>
      </c>
      <c r="Y6106">
        <f>D6091</f>
        <v>1</v>
      </c>
      <c r="Z6106" t="str">
        <v>=</v>
      </c>
      <c r="AA6106">
        <f>N6106*U6106*W6106*Y6106</f>
        <v>9.481276800000002</v>
      </c>
    </row>
    <row r="6107">
      <c r="A6107" t="str">
        <f>A6085</f>
        <v>Lantai 3</v>
      </c>
      <c r="B6107">
        <f>B6085</f>
        <v>61</v>
      </c>
      <c r="C6107" t="str">
        <v>Sengkang Tumpuan</v>
      </c>
      <c r="D6107">
        <f>VLOOKUP(D6085,'Detail Balok'!$C$10:$AU$140,41,FALSE)</f>
        <v>0</v>
      </c>
      <c r="E6107" t="str">
        <v>D</v>
      </c>
      <c r="F6107">
        <f>VLOOKUP(D6085,'Detail Balok'!$C$10:$AU$140,43,FALSE)</f>
        <v>8</v>
      </c>
      <c r="G6107" t="str">
        <v>-</v>
      </c>
      <c r="H6107">
        <f>VLOOKUP(D6085,'Detail Balok'!$C$10:$AU$140,45,FALSE)</f>
        <v>150</v>
      </c>
      <c r="J6107">
        <f>(IF(D6107=0,(2*(D6086+G6086))-(F$5*8),IF(D6107=3,(2*(D6086+G6086))-(F$5*8)+(G6086-2*F$5),IF(D6107=4,(2*(D6086+G6086))-(F$5*8)+2*(G6086-2*F$5)))))/1000</f>
        <v>0.74</v>
      </c>
      <c r="K6107" t="str">
        <v>+</v>
      </c>
      <c r="L6107">
        <f>IF(D6107=0,2*MAX(6*F6107,75),(D6107-1)*2*MAX(6*F6107,75))/1000</f>
        <v>0.15</v>
      </c>
      <c r="M6107" t="str">
        <v>=</v>
      </c>
      <c r="N6107">
        <f>J6107+L6107</f>
        <v>0.89</v>
      </c>
      <c r="T6107" t="str">
        <v>x</v>
      </c>
      <c r="U6107">
        <f>0.006165*F6107^2</f>
        <v>0.39456</v>
      </c>
      <c r="V6107" t="str">
        <v>x</v>
      </c>
      <c r="W6107">
        <f>IF(D6088&gt;4*G6086,ROUND(MAX(D6088/4,2*G6086)/H6107,0)+1,0)</f>
        <v>19</v>
      </c>
      <c r="X6107" t="str">
        <v>x</v>
      </c>
      <c r="Y6107">
        <f>D6091</f>
        <v>1</v>
      </c>
      <c r="Z6107" t="str">
        <v>=</v>
      </c>
      <c r="AA6107">
        <f>N6107*U6107*W6107*Y6107</f>
        <v>6.672009600000001</v>
      </c>
    </row>
    <row r="6109">
      <c r="A6109" t="str">
        <f>A6085</f>
        <v>Lantai 3</v>
      </c>
      <c r="B6109">
        <f>B6085</f>
        <v>61</v>
      </c>
      <c r="C6109" t="str">
        <v>Kait Horizontal Tump.</v>
      </c>
      <c r="D6109">
        <f>VLOOKUP(D6085,'Detail Balok'!$C$10:$BJ$140,46,FALSE)</f>
        <v>0</v>
      </c>
      <c r="E6109" t="str">
        <v>D</v>
      </c>
      <c r="F6109">
        <f>VLOOKUP(D6085,'Detail Balok'!$C$10:$BJ$140,48,FALSE)</f>
        <v>0</v>
      </c>
      <c r="G6109" t="str">
        <v>-</v>
      </c>
      <c r="H6109">
        <f>VLOOKUP(D6085,'Detail Balok'!$C$10:$BJ$140,50,FALSE)</f>
        <v>100</v>
      </c>
      <c r="J6109">
        <f>(D6086-2*F$5)/1000</f>
        <v>0.05</v>
      </c>
      <c r="K6109" t="str">
        <v>+</v>
      </c>
      <c r="L6109">
        <f>IF(D6109=0,2*MAX(6*F6109,75),(D6109-1)*2*MAX(6*F6109,75))/1000</f>
        <v>0.15</v>
      </c>
      <c r="M6109" t="str">
        <v>=</v>
      </c>
      <c r="N6109">
        <f>J6109+L6109</f>
        <v>0.2</v>
      </c>
      <c r="T6109" t="str">
        <v>x</v>
      </c>
      <c r="U6109">
        <f>0.006165*F6109^2</f>
        <v>0</v>
      </c>
      <c r="V6109" t="str">
        <v>x</v>
      </c>
      <c r="W6109">
        <f>W6105</f>
        <v>19</v>
      </c>
      <c r="X6109" t="str">
        <v>x</v>
      </c>
      <c r="Y6109">
        <f>D6095</f>
        <v>2</v>
      </c>
      <c r="Z6109" t="str">
        <v>=</v>
      </c>
      <c r="AA6109">
        <f>N6109*U6109*W6109*Y6109</f>
        <v>0</v>
      </c>
    </row>
    <row r="6110">
      <c r="A6110" t="str">
        <f>A6085</f>
        <v>Lantai 3</v>
      </c>
      <c r="B6110">
        <f>B6085</f>
        <v>61</v>
      </c>
      <c r="C6110" t="str">
        <v>Kait Horizontal Lap.</v>
      </c>
      <c r="D6110">
        <f>VLOOKUP(D6085,'Detail Balok'!$C$10:$BJ$140,51,FALSE)</f>
        <v>0</v>
      </c>
      <c r="E6110" t="str">
        <v>D</v>
      </c>
      <c r="F6110">
        <f>VLOOKUP(D6085,'Detail Balok'!$C$10:$BJ$140,53,FALSE)</f>
        <v>0</v>
      </c>
      <c r="G6110" t="str">
        <v>-</v>
      </c>
      <c r="H6110">
        <f>VLOOKUP(D6085,'Detail Balok'!$C$10:$BJ$140,55,FALSE)</f>
        <v>100</v>
      </c>
      <c r="J6110">
        <f>(D6086-2*F$5)/1000</f>
        <v>0.05</v>
      </c>
      <c r="K6110" t="str">
        <v>+</v>
      </c>
      <c r="L6110">
        <f>IF(D6110=0,2*MAX(6*F6110,75),(D6110-1)*2*MAX(6*F6110,75))/1000</f>
        <v>0.15</v>
      </c>
      <c r="M6110" t="str">
        <v>=</v>
      </c>
      <c r="N6110">
        <f>J6110+L6110</f>
        <v>0.2</v>
      </c>
      <c r="T6110" t="str">
        <v>x</v>
      </c>
      <c r="U6110">
        <f>0.006165*F6110^2</f>
        <v>0</v>
      </c>
      <c r="V6110" t="str">
        <v>x</v>
      </c>
      <c r="W6110">
        <f>W6106</f>
        <v>27</v>
      </c>
      <c r="X6110" t="str">
        <v>x</v>
      </c>
      <c r="Y6110">
        <f>D6095</f>
        <v>2</v>
      </c>
      <c r="Z6110" t="str">
        <v>=</v>
      </c>
      <c r="AA6110">
        <f>N6110*U6110*W6110*Y6110</f>
        <v>0</v>
      </c>
    </row>
    <row r="6111">
      <c r="A6111" t="str">
        <f>A6085</f>
        <v>Lantai 3</v>
      </c>
      <c r="B6111">
        <f>B6085</f>
        <v>61</v>
      </c>
      <c r="C6111" t="str">
        <v>Kait Horizontal Tump.</v>
      </c>
      <c r="D6111">
        <f>VLOOKUP(D6085,'Detail Balok'!$C$10:$BJ$140,56,FALSE)</f>
        <v>0</v>
      </c>
      <c r="E6111" t="str">
        <v>D</v>
      </c>
      <c r="F6111">
        <f>VLOOKUP(D6085,'Detail Balok'!$C$10:$BJ$140,58,FALSE)</f>
        <v>0</v>
      </c>
      <c r="G6111" t="str">
        <v>-</v>
      </c>
      <c r="H6111">
        <f>VLOOKUP(D6085,'Detail Balok'!$C$10:$BJ$140,60,FALSE)</f>
        <v>100</v>
      </c>
      <c r="J6111">
        <f>(D6086-2*F$5)/1000</f>
        <v>0.05</v>
      </c>
      <c r="K6111" t="str">
        <v>+</v>
      </c>
      <c r="L6111">
        <f>IF(D6111=0,2*MAX(6*F6111,75),(D6111-1)*2*MAX(6*F6111,75))/1000</f>
        <v>0.15</v>
      </c>
      <c r="M6111" t="str">
        <v>=</v>
      </c>
      <c r="N6111">
        <f>J6111+L6111</f>
        <v>0.2</v>
      </c>
      <c r="T6111" t="str">
        <v>x</v>
      </c>
      <c r="U6111">
        <f>0.006165*F6111^2</f>
        <v>0</v>
      </c>
      <c r="V6111" t="str">
        <v>x</v>
      </c>
      <c r="W6111">
        <f>W6107</f>
        <v>19</v>
      </c>
      <c r="X6111" t="str">
        <v>x</v>
      </c>
      <c r="Y6111">
        <f>D6095</f>
        <v>2</v>
      </c>
      <c r="Z6111" t="str">
        <v>=</v>
      </c>
      <c r="AA6111">
        <f>N6111*U6111*W6111*Y6111</f>
        <v>0</v>
      </c>
    </row>
    <row r="6115">
      <c r="A6115" t="str">
        <f>A6085</f>
        <v>Lantai 3</v>
      </c>
      <c r="B6115">
        <f>B6085+1</f>
        <v>62</v>
      </c>
      <c r="C6115" t="str">
        <f>CONCATENATE(A6115," no. ",B6115)</f>
        <v>Lantai 3 no. 62</v>
      </c>
      <c r="D6115" t="str">
        <f>VLOOKUP(C6115,'Data Panjang Balok'!$C$9:$N$254,2,FALSE)</f>
        <v>B23-1</v>
      </c>
    </row>
    <row r="6116">
      <c r="C6116" t="str">
        <v>Dimensi</v>
      </c>
      <c r="D6116">
        <f>VLOOKUP(D6115,'Detail Balok'!$C$10:$AU$140,2,FALSE)</f>
        <v>200</v>
      </c>
      <c r="F6116" t="str">
        <v>x</v>
      </c>
      <c r="G6116">
        <f>VLOOKUP(D6115,'Detail Balok'!$C$10:$AU$140,3,FALSE)</f>
        <v>300</v>
      </c>
    </row>
    <row r="6117">
      <c r="C6117" t="str">
        <v>Panjang as ke as</v>
      </c>
      <c r="D6117">
        <f>VLOOKUP(C6115,'Data Panjang Balok'!$C$9:$N$254,4,FALSE)</f>
        <v>4175</v>
      </c>
    </row>
    <row r="6118">
      <c r="C6118" t="str">
        <v>Panjang netto</v>
      </c>
      <c r="D6118">
        <f>VLOOKUP(C6115,'Data Panjang Balok'!$C$9:$N$254,7,FALSE)</f>
        <v>4175</v>
      </c>
    </row>
    <row r="6119">
      <c r="C6119" t="str">
        <v>Kolom / balok kiri</v>
      </c>
      <c r="D6119">
        <f>VLOOKUP(C6115,'Data Panjang Balok'!$C$9:$N$254,9,FALSE)</f>
        <v>0</v>
      </c>
    </row>
    <row r="6120">
      <c r="C6120" t="str">
        <v>Kolom / balok kanan</v>
      </c>
      <c r="D6120">
        <f>VLOOKUP(C6115,'Data Panjang Balok'!$C$9:$N$254,10,FALSE)</f>
        <v>0</v>
      </c>
    </row>
    <row r="6121">
      <c r="C6121" t="str">
        <v>Jumlah</v>
      </c>
      <c r="D6121">
        <f>VLOOKUP(C6115,'Data Panjang Balok'!$C$9:$N$254,3,FALSE)</f>
        <v>1</v>
      </c>
    </row>
    <row r="6122">
      <c r="A6122" t="str">
        <f>A6115</f>
        <v>Lantai 3</v>
      </c>
      <c r="B6122">
        <f>B6115</f>
        <v>62</v>
      </c>
      <c r="C6122" t="str">
        <v>Tul Atas Tumpuan</v>
      </c>
      <c r="D6122">
        <f>VLOOKUP(D6115,'Detail Balok'!$C$10:$AU$140,4,FALSE)</f>
        <v>3</v>
      </c>
      <c r="E6122" t="str">
        <v>D</v>
      </c>
      <c r="F6122">
        <f>VLOOKUP(D6115,'Detail Balok'!$C$10:$AU$140,6,FALSE)</f>
        <v>13</v>
      </c>
      <c r="I6122" t="str">
        <v>(</v>
      </c>
      <c r="J6122">
        <f>+D6117/4/1000</f>
        <v>1.04375</v>
      </c>
      <c r="K6122" t="str">
        <v>+</v>
      </c>
      <c r="L6122">
        <f>MAX(VLOOKUP(F6122,N$6:P$15,3,FALSE)/1000,2/3*D6119/1000)+F$16*F6122/1000</f>
        <v>0.156</v>
      </c>
      <c r="M6122" t="str">
        <v>=</v>
      </c>
      <c r="N6122">
        <f>J6122+L6122</f>
        <v>1.1997499999999999</v>
      </c>
      <c r="O6122" t="str">
        <v>+</v>
      </c>
      <c r="P6122">
        <f>D6122-D6123</f>
        <v>0</v>
      </c>
      <c r="Q6122" t="str">
        <v>x</v>
      </c>
      <c r="R6122">
        <f>IF(P6122&gt;0,$F$18*F6122/1000,0)</f>
        <v>0</v>
      </c>
      <c r="S6122" t="str">
        <v>)</v>
      </c>
      <c r="T6122" t="str">
        <v>x</v>
      </c>
      <c r="U6122">
        <f>0.006165*F6122^2</f>
        <v>1.041885</v>
      </c>
      <c r="X6122" t="str">
        <v>x</v>
      </c>
      <c r="Y6122">
        <f>D6121</f>
        <v>1</v>
      </c>
      <c r="Z6122" t="str">
        <v>=</v>
      </c>
      <c r="AA6122">
        <f>IF(AA6125=0,(D6122*N6122+P6122*R6122)*U6122*Y6122,0)</f>
        <v>0</v>
      </c>
    </row>
    <row r="6123">
      <c r="A6123" t="str">
        <f>A6115</f>
        <v>Lantai 3</v>
      </c>
      <c r="B6123">
        <f>B6115</f>
        <v>62</v>
      </c>
      <c r="C6123" t="str">
        <v>Tul Atas Lapangan</v>
      </c>
      <c r="D6123">
        <f>VLOOKUP(D6115,'Detail Balok'!$C$10:$AU$140,7,FALSE)</f>
        <v>3</v>
      </c>
      <c r="E6123" t="str">
        <v>D</v>
      </c>
      <c r="F6123">
        <f>VLOOKUP(D6115,'Detail Balok'!$C$10:$AU$140,9,FALSE)</f>
        <v>13</v>
      </c>
      <c r="I6123" t="str">
        <v>(</v>
      </c>
      <c r="J6123">
        <f>+D6117/2/1000</f>
        <v>2.0875</v>
      </c>
      <c r="K6123" t="str">
        <v>+</v>
      </c>
      <c r="M6123" t="str">
        <v>=</v>
      </c>
      <c r="N6123">
        <f>J6123+L6123</f>
        <v>2.0875</v>
      </c>
      <c r="O6123" t="str">
        <v>+</v>
      </c>
      <c r="P6123">
        <f>MAX(D6123-D6122,D6123-D6124)</f>
        <v>0</v>
      </c>
      <c r="Q6123" t="str">
        <v>x</v>
      </c>
      <c r="R6123">
        <f>IF(P6123&gt;0,2*(1-2*$F$19-1/2)*D6118/1000,0)</f>
        <v>0</v>
      </c>
      <c r="S6123" t="str">
        <v>)</v>
      </c>
      <c r="T6123" t="str">
        <v>x</v>
      </c>
      <c r="U6123">
        <f>0.006165*F6123^2</f>
        <v>1.041885</v>
      </c>
      <c r="X6123" t="str">
        <v>x</v>
      </c>
      <c r="Y6123">
        <f>D6121</f>
        <v>1</v>
      </c>
      <c r="Z6123" t="str">
        <v>=</v>
      </c>
      <c r="AA6123">
        <f>IF(AA6125=0,(D6123*N6123+P6123*R6123)*U6123*Y6123,0)</f>
        <v>0</v>
      </c>
    </row>
    <row r="6124">
      <c r="A6124" t="str">
        <f>A6115</f>
        <v>Lantai 3</v>
      </c>
      <c r="B6124">
        <f>B6115</f>
        <v>62</v>
      </c>
      <c r="C6124" t="str">
        <v>Tul Atas Tumpuan</v>
      </c>
      <c r="D6124">
        <f>VLOOKUP(D6115,'Detail Balok'!$C$10:$AU$140,10,FALSE)</f>
        <v>3</v>
      </c>
      <c r="E6124" t="str">
        <v>D</v>
      </c>
      <c r="F6124">
        <f>VLOOKUP(D6115,'Detail Balok'!$C$10:$AU$140,12,FALSE)</f>
        <v>13</v>
      </c>
      <c r="I6124" t="str">
        <v>(</v>
      </c>
      <c r="J6124">
        <f>+D6117/4/1000</f>
        <v>1.04375</v>
      </c>
      <c r="K6124" t="str">
        <v>+</v>
      </c>
      <c r="L6124">
        <f>MAX(VLOOKUP(F6124,N$6:P$15,3,FALSE)/1000,2/3*D6119/1000)+F$16*F6124/1000</f>
        <v>0.156</v>
      </c>
      <c r="M6124" t="str">
        <v>=</v>
      </c>
      <c r="N6124">
        <f>J6124+L6124</f>
        <v>1.1997499999999999</v>
      </c>
      <c r="O6124" t="str">
        <v>+</v>
      </c>
      <c r="P6124">
        <f>D6124-D6123</f>
        <v>0</v>
      </c>
      <c r="Q6124" t="str">
        <v>x</v>
      </c>
      <c r="R6124">
        <f>IF(P6124&gt;0,$F$18*F6124/1000,0)</f>
        <v>0</v>
      </c>
      <c r="S6124" t="str">
        <v>)</v>
      </c>
      <c r="T6124" t="str">
        <v>x</v>
      </c>
      <c r="U6124">
        <f>0.006165*F6124^2</f>
        <v>1.041885</v>
      </c>
      <c r="X6124" t="str">
        <v>x</v>
      </c>
      <c r="Y6124">
        <f>D6121</f>
        <v>1</v>
      </c>
      <c r="Z6124" t="str">
        <v>=</v>
      </c>
      <c r="AA6124">
        <f>IF(AA6125=0,(D6124*N6124+P6124*R6124)*U6124*Y6124,0)</f>
        <v>0</v>
      </c>
    </row>
    <row r="6125">
      <c r="A6125" t="str">
        <f>A6115</f>
        <v>Lantai 3</v>
      </c>
      <c r="B6125">
        <f>B6115</f>
        <v>62</v>
      </c>
      <c r="D6125">
        <f>IF(AND(D6122=D6123,D6123=D6124,D6122=D6124),D6122,0)</f>
        <v>3</v>
      </c>
      <c r="E6125" t="str">
        <v>D</v>
      </c>
      <c r="F6125">
        <f>IF(AND(F6122=F6123,F6122=F6124,F6123=F6124),F6122,0)</f>
        <v>13</v>
      </c>
      <c r="L6125" t="str">
        <v>Total panjang per balok</v>
      </c>
      <c r="M6125" t="str">
        <v>=</v>
      </c>
      <c r="N6125">
        <f>IF(AND(D6122=D6123,D6122=D6124,D6123=D6124,F6122=F6123,F6122=F6124,F6123=F6124),SUM(N6122:N6124),0)</f>
        <v>4.487</v>
      </c>
      <c r="O6125" t="str">
        <v>+</v>
      </c>
      <c r="P6125">
        <f>IF(N6125&gt;12,ROUNDDOWN(N6125/12,0),0)</f>
        <v>0</v>
      </c>
      <c r="Q6125" t="str">
        <v>x</v>
      </c>
      <c r="R6125">
        <f>IF(P6125&gt;0,MAX(VLOOKUP(F6125,$D$6:$G$15,3,FALSE),600),0)/1000</f>
        <v>0</v>
      </c>
      <c r="T6125" t="str">
        <v>x</v>
      </c>
      <c r="U6125">
        <f>U6124</f>
        <v>1.041885</v>
      </c>
      <c r="V6125" t="str">
        <v>x</v>
      </c>
      <c r="W6125">
        <f>D6125</f>
        <v>3</v>
      </c>
      <c r="X6125" t="str">
        <v>x</v>
      </c>
      <c r="Y6125">
        <f>Y6124</f>
        <v>1</v>
      </c>
      <c r="Z6125" t="str">
        <v>=</v>
      </c>
      <c r="AA6125">
        <f>(N6125+P6125*R6125/1000)*U6125*W6125*Y6125</f>
        <v>14.024813984999998</v>
      </c>
    </row>
    <row r="6127">
      <c r="A6127" t="str">
        <f>A6115</f>
        <v>Lantai 3</v>
      </c>
      <c r="B6127">
        <f>B6115</f>
        <v>62</v>
      </c>
      <c r="C6127" t="str">
        <v>Tul Peminggang</v>
      </c>
      <c r="D6127">
        <f>VLOOKUP(D6115,'Detail Balok'!$C$10:$AU$140,13,FALSE)</f>
        <v>0</v>
      </c>
      <c r="E6127" t="str">
        <v>D</v>
      </c>
      <c r="F6127">
        <f>VLOOKUP(D6115,'Detail Balok'!$C$10:$AU$140,15,FALSE)</f>
        <v>8</v>
      </c>
      <c r="J6127">
        <f>+D6117/1000</f>
        <v>4.175</v>
      </c>
      <c r="K6127" t="str">
        <v>+</v>
      </c>
      <c r="L6127">
        <f>2*$F$16*F6127/1000</f>
        <v>0.192</v>
      </c>
      <c r="M6127" t="str">
        <v>=</v>
      </c>
      <c r="N6127">
        <f>J6127+L6127</f>
        <v>4.367</v>
      </c>
      <c r="O6127" t="str">
        <v>+</v>
      </c>
      <c r="P6127">
        <f>IF(N6127&gt;12,ROUNDDOWN(N6127/12,0),0)</f>
        <v>0</v>
      </c>
      <c r="Q6127" t="str">
        <v>x</v>
      </c>
      <c r="R6127">
        <f>IF(P6127&gt;0,MAX(VLOOKUP(F6127,$D$6:$G$15,3,FALSE),600),0)/1000</f>
        <v>0</v>
      </c>
      <c r="T6127" t="str">
        <v>x</v>
      </c>
      <c r="U6127">
        <f>0.006165*F6127^2</f>
        <v>0.39456</v>
      </c>
      <c r="V6127" t="str">
        <v>x</v>
      </c>
      <c r="W6127">
        <f>+D6127</f>
        <v>0</v>
      </c>
      <c r="X6127" t="str">
        <v>x</v>
      </c>
      <c r="Y6127">
        <f>D6121</f>
        <v>1</v>
      </c>
      <c r="Z6127" t="str">
        <v>=</v>
      </c>
      <c r="AA6127">
        <f>(N6127+P6127*R6127/1000)*U6127*W6127*Y6127</f>
        <v>0</v>
      </c>
    </row>
    <row r="6130">
      <c r="A6130" t="str">
        <f>A6115</f>
        <v>Lantai 3</v>
      </c>
      <c r="B6130">
        <f>B6115</f>
        <v>62</v>
      </c>
      <c r="C6130" t="str">
        <v>Tul Bawah Tumpuan</v>
      </c>
      <c r="D6130">
        <f>VLOOKUP(D6115,'Detail Balok'!$C$10:$AU$140,22,FALSE)</f>
        <v>3</v>
      </c>
      <c r="E6130" t="str">
        <v>D</v>
      </c>
      <c r="F6130">
        <f>VLOOKUP(D6115,'Detail Balok'!$C$10:$AU$140,24,FALSE)</f>
        <v>13</v>
      </c>
      <c r="I6130" t="str">
        <v>(</v>
      </c>
      <c r="J6130">
        <f>+J6122</f>
        <v>1.04375</v>
      </c>
      <c r="K6130" t="str">
        <v>+</v>
      </c>
      <c r="L6130">
        <f>MAX(VLOOKUP(F6130,N$6:P$15,3,FALSE)/1000,2/3*D6120/1000)+F$16*F6130/1000</f>
        <v>0.156</v>
      </c>
      <c r="M6130" t="str">
        <v>=</v>
      </c>
      <c r="N6130">
        <f>J6130+L6130</f>
        <v>1.1997499999999999</v>
      </c>
      <c r="O6130" t="str">
        <v>+</v>
      </c>
      <c r="P6130">
        <f>D6130-D6131</f>
        <v>0</v>
      </c>
      <c r="Q6130" t="str">
        <v>x</v>
      </c>
      <c r="R6130">
        <f>IF(P6130&gt;0,$F$18*F6130/1000,0)</f>
        <v>0</v>
      </c>
      <c r="S6130" t="str">
        <v>)</v>
      </c>
      <c r="T6130" t="str">
        <v>x</v>
      </c>
      <c r="U6130">
        <f>0.006165*F6130^2</f>
        <v>1.041885</v>
      </c>
      <c r="X6130" t="str">
        <v>x</v>
      </c>
      <c r="Y6130">
        <f>D6121</f>
        <v>1</v>
      </c>
      <c r="Z6130" t="str">
        <v>=</v>
      </c>
      <c r="AA6130">
        <f>IF(AA6133=0,(D6130*N6130+P6130*R6130)*U6130*Y6130,0)</f>
        <v>0</v>
      </c>
    </row>
    <row r="6131">
      <c r="A6131" t="str">
        <f>A6115</f>
        <v>Lantai 3</v>
      </c>
      <c r="B6131">
        <f>B6115</f>
        <v>62</v>
      </c>
      <c r="C6131" t="str">
        <v>Tul Bawah Lapangan</v>
      </c>
      <c r="D6131">
        <f>VLOOKUP(D6115,'Detail Balok'!$C$10:$AU$140,25,FALSE)</f>
        <v>3</v>
      </c>
      <c r="E6131" t="str">
        <v>D</v>
      </c>
      <c r="F6131">
        <f>VLOOKUP(D6115,'Detail Balok'!$C$10:$AU$140,27,FALSE)</f>
        <v>13</v>
      </c>
      <c r="I6131" t="str">
        <v>(</v>
      </c>
      <c r="J6131">
        <f>+J6123</f>
        <v>2.0875</v>
      </c>
      <c r="K6131" t="str">
        <v>+</v>
      </c>
      <c r="M6131" t="str">
        <v>=</v>
      </c>
      <c r="N6131">
        <f>J6131+L6131</f>
        <v>2.0875</v>
      </c>
      <c r="O6131" t="str">
        <v>+</v>
      </c>
      <c r="P6131">
        <f>MAX(D6131-D6130,D6131-D6132)</f>
        <v>0</v>
      </c>
      <c r="Q6131" t="str">
        <v>x</v>
      </c>
      <c r="R6131">
        <f>IF(P6131&gt;0,2*(1-2*$F$19-1/2)*D6118/1000,0)</f>
        <v>0</v>
      </c>
      <c r="S6131" t="str">
        <v>)</v>
      </c>
      <c r="T6131" t="str">
        <v>x</v>
      </c>
      <c r="U6131">
        <f>0.006165*F6131^2</f>
        <v>1.041885</v>
      </c>
      <c r="X6131" t="str">
        <v>x</v>
      </c>
      <c r="Y6131">
        <f>D6121</f>
        <v>1</v>
      </c>
      <c r="Z6131" t="str">
        <v>=</v>
      </c>
      <c r="AA6131">
        <f>IF(AA6133=0,(D6131*N6131+P6131*R6131)*U6131*Y6131,0)</f>
        <v>0</v>
      </c>
    </row>
    <row r="6132">
      <c r="A6132" t="str">
        <f>A6115</f>
        <v>Lantai 3</v>
      </c>
      <c r="B6132">
        <f>B6115</f>
        <v>62</v>
      </c>
      <c r="C6132" t="str">
        <v>Tul Bawah Tumpuan</v>
      </c>
      <c r="D6132">
        <f>VLOOKUP(D6115,'Detail Balok'!$C$10:$AU$140,28,FALSE)</f>
        <v>3</v>
      </c>
      <c r="E6132" t="str">
        <v>D</v>
      </c>
      <c r="F6132">
        <f>VLOOKUP(D6115,'Detail Balok'!$C$10:$AU$140,30,FALSE)</f>
        <v>13</v>
      </c>
      <c r="I6132" t="str">
        <v>(</v>
      </c>
      <c r="J6132">
        <f>+J6124</f>
        <v>1.04375</v>
      </c>
      <c r="K6132" t="str">
        <v>+</v>
      </c>
      <c r="L6132">
        <f>MAX(VLOOKUP(F6132,N$6:P$15,3,FALSE)/1000,2/3*D6120/1000)+F$16*F6132/1000</f>
        <v>0.156</v>
      </c>
      <c r="M6132" t="str">
        <v>=</v>
      </c>
      <c r="N6132">
        <f>J6132+L6132</f>
        <v>1.1997499999999999</v>
      </c>
      <c r="O6132" t="str">
        <v>+</v>
      </c>
      <c r="P6132">
        <f>D6132-D6131</f>
        <v>0</v>
      </c>
      <c r="Q6132" t="str">
        <v>x</v>
      </c>
      <c r="R6132">
        <f>IF(P6132&gt;0,$F$18*F6132/1000,0)</f>
        <v>0</v>
      </c>
      <c r="S6132" t="str">
        <v>)</v>
      </c>
      <c r="T6132" t="str">
        <v>x</v>
      </c>
      <c r="U6132">
        <f>0.006165*F6132^2</f>
        <v>1.041885</v>
      </c>
      <c r="X6132" t="str">
        <v>x</v>
      </c>
      <c r="Y6132">
        <f>D6121</f>
        <v>1</v>
      </c>
      <c r="Z6132" t="str">
        <v>=</v>
      </c>
      <c r="AA6132">
        <f>IF(AA6133=0,(D6132*N6132+P6132*R6132)*U6132*Y6132,0)</f>
        <v>0</v>
      </c>
    </row>
    <row r="6133">
      <c r="A6133" t="str">
        <f>A6115</f>
        <v>Lantai 3</v>
      </c>
      <c r="B6133">
        <f>B6115</f>
        <v>62</v>
      </c>
      <c r="D6133">
        <f>IF(AND(D6130=D6131,D6131=D6132,D6130=D6132),D6130,0)</f>
        <v>3</v>
      </c>
      <c r="E6133" t="str">
        <v>D</v>
      </c>
      <c r="F6133">
        <f>IF(AND(F6130=F6131,F6130=F6132,F6131=F6132),F6130,0)</f>
        <v>13</v>
      </c>
      <c r="L6133" t="str">
        <v>Total panjang per balok</v>
      </c>
      <c r="M6133" t="str">
        <v>=</v>
      </c>
      <c r="N6133">
        <f>IF(AND(D6130=D6131,D6130=D6132,D6131=D6132,F6130=F6131,F6130=F6132,F6131=F6132),SUM(N6130:N6132),0)</f>
        <v>4.487</v>
      </c>
      <c r="O6133" t="str">
        <v>+</v>
      </c>
      <c r="P6133">
        <f>IF(N6133&gt;12,ROUNDDOWN(N6133/12,0),0)</f>
        <v>0</v>
      </c>
      <c r="Q6133" t="str">
        <v>x</v>
      </c>
      <c r="R6133">
        <f>IF(P6133&gt;0,MAX(VLOOKUP(F6133,$D$6:$G$15,3,FALSE),600),0)/1000</f>
        <v>0</v>
      </c>
      <c r="T6133" t="str">
        <v>x</v>
      </c>
      <c r="U6133">
        <f>U6132</f>
        <v>1.041885</v>
      </c>
      <c r="V6133" t="str">
        <v>x</v>
      </c>
      <c r="W6133">
        <f>D6133</f>
        <v>3</v>
      </c>
      <c r="X6133" t="str">
        <v>x</v>
      </c>
      <c r="Y6133">
        <f>Y6132</f>
        <v>1</v>
      </c>
      <c r="Z6133" t="str">
        <v>=</v>
      </c>
      <c r="AA6133">
        <f>(N6133+P6133*R6133/1000)*U6133*W6133*Y6133</f>
        <v>14.024813984999998</v>
      </c>
    </row>
    <row r="6135">
      <c r="A6135" t="str">
        <f>A6115</f>
        <v>Lantai 3</v>
      </c>
      <c r="B6135">
        <f>B6115</f>
        <v>62</v>
      </c>
      <c r="C6135" t="str">
        <v>Sengkang Tumpuan</v>
      </c>
      <c r="D6135">
        <f>VLOOKUP(D6115,'Detail Balok'!$C$10:$AU$140,31,FALSE)</f>
        <v>0</v>
      </c>
      <c r="E6135" t="str">
        <v>D</v>
      </c>
      <c r="F6135">
        <f>VLOOKUP(D6115,'Detail Balok'!$C$10:$AU$140,33,FALSE)</f>
        <v>10</v>
      </c>
      <c r="G6135" t="str">
        <v>-</v>
      </c>
      <c r="H6135">
        <f>VLOOKUP(D6115,'Detail Balok'!$C$10:$AU$140,35,FALSE)</f>
        <v>100</v>
      </c>
      <c r="J6135">
        <f>(IF(D6135=0,(2*(D6116+G6116))-(F$5*8),IF(D6135=3,(2*(D6116+G6116))-(F$5*8)+(G6116-2*F$5),IF(D6135=4,(2*(D6116+G6116))-(F$5*8)+2*(G6116-2*F$5)))))/1000</f>
        <v>0.68</v>
      </c>
      <c r="K6135" t="str">
        <v>+</v>
      </c>
      <c r="L6135">
        <f>IF(D6135=0,2*MAX(6*F6135,75),(D6135-1)*2*MAX(6*F6135,75))/1000</f>
        <v>0.15</v>
      </c>
      <c r="M6135" t="str">
        <v>=</v>
      </c>
      <c r="N6135">
        <f>J6135+L6135</f>
        <v>0.8300000000000001</v>
      </c>
      <c r="T6135" t="str">
        <v>x</v>
      </c>
      <c r="U6135">
        <f>0.006165*F6135^2</f>
        <v>0.6165</v>
      </c>
      <c r="V6135" t="str">
        <v>x</v>
      </c>
      <c r="W6135">
        <f>IF(D6118&gt;4*G6116,ROUND(MAX(D6118/4,2*G6116)/H6135,0)+1,ROUND(D6118/H6135,0)+1)</f>
        <v>11</v>
      </c>
      <c r="X6135" t="str">
        <v>x</v>
      </c>
      <c r="Y6135">
        <f>D6121</f>
        <v>1</v>
      </c>
      <c r="Z6135" t="str">
        <v>=</v>
      </c>
      <c r="AA6135">
        <f>N6135*U6135*W6135*Y6135</f>
        <v>5.6286450000000015</v>
      </c>
    </row>
    <row r="6136">
      <c r="A6136" t="str">
        <f>A6115</f>
        <v>Lantai 3</v>
      </c>
      <c r="B6136">
        <f>B6115</f>
        <v>62</v>
      </c>
      <c r="C6136" t="str">
        <v>Sengkang Lapangan</v>
      </c>
      <c r="D6136">
        <f>VLOOKUP(D6115,'Detail Balok'!$C$10:$AU$140,36,FALSE)</f>
        <v>0</v>
      </c>
      <c r="E6136" t="str">
        <v>D</v>
      </c>
      <c r="F6136">
        <f>VLOOKUP(D6115,'Detail Balok'!$C$10:$AU$140,38,FALSE)</f>
        <v>10</v>
      </c>
      <c r="G6136" t="str">
        <v>-</v>
      </c>
      <c r="H6136">
        <f>VLOOKUP(D6115,'Detail Balok'!$C$10:$AU$140,40,FALSE)</f>
        <v>200</v>
      </c>
      <c r="J6136">
        <f>(IF(D6136=0,(2*(D6116+G6116))-(F$5*8),IF(D6136=3,(2*(D6116+G6116))-(F$5*8)+(G6116-2*F$5),IF(D6136=4,(2*(D6116+G6116))-(F$5*8)+2*(G6116-2*F$5)))))/1000</f>
        <v>0.68</v>
      </c>
      <c r="K6136" t="str">
        <v>+</v>
      </c>
      <c r="L6136">
        <f>IF(D6136=0,2*MAX(6*F6136,75),(D6136-1)*2*MAX(6*F6136,75))/1000</f>
        <v>0.15</v>
      </c>
      <c r="M6136" t="str">
        <v>=</v>
      </c>
      <c r="N6136">
        <f>J6136+L6136</f>
        <v>0.8300000000000001</v>
      </c>
      <c r="T6136" t="str">
        <v>x</v>
      </c>
      <c r="U6136">
        <f>0.006165*F6136^2</f>
        <v>0.6165</v>
      </c>
      <c r="V6136" t="str">
        <v>x</v>
      </c>
      <c r="W6136">
        <f>IF(D6118-MAX(D6118/4,2*G6116)*2&gt;0,ROUND((D6118-MAX(D6118/4,2*G6116)*2)/H6136,0),0)</f>
        <v>10</v>
      </c>
      <c r="X6136" t="str">
        <v>x</v>
      </c>
      <c r="Y6136">
        <f>D6121</f>
        <v>1</v>
      </c>
      <c r="Z6136" t="str">
        <v>=</v>
      </c>
      <c r="AA6136">
        <f>N6136*U6136*W6136*Y6136</f>
        <v>5.116950000000001</v>
      </c>
    </row>
    <row r="6137">
      <c r="A6137" t="str">
        <f>A6115</f>
        <v>Lantai 3</v>
      </c>
      <c r="B6137">
        <f>B6115</f>
        <v>62</v>
      </c>
      <c r="C6137" t="str">
        <v>Sengkang Tumpuan</v>
      </c>
      <c r="D6137">
        <f>VLOOKUP(D6115,'Detail Balok'!$C$10:$AU$140,41,FALSE)</f>
        <v>0</v>
      </c>
      <c r="E6137" t="str">
        <v>D</v>
      </c>
      <c r="F6137">
        <f>VLOOKUP(D6115,'Detail Balok'!$C$10:$AU$140,43,FALSE)</f>
        <v>10</v>
      </c>
      <c r="G6137" t="str">
        <v>-</v>
      </c>
      <c r="H6137">
        <f>VLOOKUP(D6115,'Detail Balok'!$C$10:$AU$140,45,FALSE)</f>
        <v>100</v>
      </c>
      <c r="J6137">
        <f>(IF(D6137=0,(2*(D6116+G6116))-(F$5*8),IF(D6137=3,(2*(D6116+G6116))-(F$5*8)+(G6116-2*F$5),IF(D6137=4,(2*(D6116+G6116))-(F$5*8)+2*(G6116-2*F$5)))))/1000</f>
        <v>0.68</v>
      </c>
      <c r="K6137" t="str">
        <v>+</v>
      </c>
      <c r="L6137">
        <f>IF(D6137=0,2*MAX(6*F6137,75),(D6137-1)*2*MAX(6*F6137,75))/1000</f>
        <v>0.15</v>
      </c>
      <c r="M6137" t="str">
        <v>=</v>
      </c>
      <c r="N6137">
        <f>J6137+L6137</f>
        <v>0.8300000000000001</v>
      </c>
      <c r="T6137" t="str">
        <v>x</v>
      </c>
      <c r="U6137">
        <f>0.006165*F6137^2</f>
        <v>0.6165</v>
      </c>
      <c r="V6137" t="str">
        <v>x</v>
      </c>
      <c r="W6137">
        <f>IF(D6118&gt;4*G6116,ROUND(MAX(D6118/4,2*G6116)/H6137,0)+1,0)</f>
        <v>11</v>
      </c>
      <c r="X6137" t="str">
        <v>x</v>
      </c>
      <c r="Y6137">
        <f>D6121</f>
        <v>1</v>
      </c>
      <c r="Z6137" t="str">
        <v>=</v>
      </c>
      <c r="AA6137">
        <f>N6137*U6137*W6137*Y6137</f>
        <v>5.6286450000000015</v>
      </c>
    </row>
    <row r="6139">
      <c r="A6139" t="str">
        <f>A6115</f>
        <v>Lantai 3</v>
      </c>
      <c r="B6139">
        <f>B6115</f>
        <v>62</v>
      </c>
      <c r="C6139" t="str">
        <v>Kait Horizontal Tump.</v>
      </c>
      <c r="D6139">
        <f>VLOOKUP(D6115,'Detail Balok'!$C$10:$BJ$140,46,FALSE)</f>
        <v>0</v>
      </c>
      <c r="E6139" t="str">
        <v>D</v>
      </c>
      <c r="F6139">
        <f>VLOOKUP(D6115,'Detail Balok'!$C$10:$BJ$140,48,FALSE)</f>
        <v>0</v>
      </c>
      <c r="G6139" t="str">
        <v>-</v>
      </c>
      <c r="H6139">
        <f>VLOOKUP(D6115,'Detail Balok'!$C$10:$BJ$140,50,FALSE)</f>
        <v>100</v>
      </c>
      <c r="J6139">
        <f>(D6116-2*F$5)/1000</f>
        <v>0.12</v>
      </c>
      <c r="K6139" t="str">
        <v>+</v>
      </c>
      <c r="L6139">
        <f>IF(D6139=0,2*MAX(6*F6139,75),(D6139-1)*2*MAX(6*F6139,75))/1000</f>
        <v>0.15</v>
      </c>
      <c r="M6139" t="str">
        <v>=</v>
      </c>
      <c r="N6139">
        <f>J6139+L6139</f>
        <v>0.27</v>
      </c>
      <c r="T6139" t="str">
        <v>x</v>
      </c>
      <c r="U6139">
        <f>0.006165*F6139^2</f>
        <v>0</v>
      </c>
      <c r="V6139" t="str">
        <v>x</v>
      </c>
      <c r="W6139">
        <f>W6135</f>
        <v>11</v>
      </c>
      <c r="X6139" t="str">
        <v>x</v>
      </c>
      <c r="Y6139">
        <f>D6125</f>
        <v>3</v>
      </c>
      <c r="Z6139" t="str">
        <v>=</v>
      </c>
      <c r="AA6139">
        <f>N6139*U6139*W6139*Y6139</f>
        <v>0</v>
      </c>
    </row>
    <row r="6140">
      <c r="A6140" t="str">
        <f>A6115</f>
        <v>Lantai 3</v>
      </c>
      <c r="B6140">
        <f>B6115</f>
        <v>62</v>
      </c>
      <c r="C6140" t="str">
        <v>Kait Horizontal Lap.</v>
      </c>
      <c r="D6140">
        <f>VLOOKUP(D6115,'Detail Balok'!$C$10:$BJ$140,51,FALSE)</f>
        <v>0</v>
      </c>
      <c r="E6140" t="str">
        <v>D</v>
      </c>
      <c r="F6140">
        <f>VLOOKUP(D6115,'Detail Balok'!$C$10:$BJ$140,53,FALSE)</f>
        <v>0</v>
      </c>
      <c r="G6140" t="str">
        <v>-</v>
      </c>
      <c r="H6140">
        <f>VLOOKUP(D6115,'Detail Balok'!$C$10:$BJ$140,55,FALSE)</f>
        <v>100</v>
      </c>
      <c r="J6140">
        <f>(D6116-2*F$5)/1000</f>
        <v>0.12</v>
      </c>
      <c r="K6140" t="str">
        <v>+</v>
      </c>
      <c r="L6140">
        <f>IF(D6140=0,2*MAX(6*F6140,75),(D6140-1)*2*MAX(6*F6140,75))/1000</f>
        <v>0.15</v>
      </c>
      <c r="M6140" t="str">
        <v>=</v>
      </c>
      <c r="N6140">
        <f>J6140+L6140</f>
        <v>0.27</v>
      </c>
      <c r="T6140" t="str">
        <v>x</v>
      </c>
      <c r="U6140">
        <f>0.006165*F6140^2</f>
        <v>0</v>
      </c>
      <c r="V6140" t="str">
        <v>x</v>
      </c>
      <c r="W6140">
        <f>W6136</f>
        <v>10</v>
      </c>
      <c r="X6140" t="str">
        <v>x</v>
      </c>
      <c r="Y6140">
        <f>D6125</f>
        <v>3</v>
      </c>
      <c r="Z6140" t="str">
        <v>=</v>
      </c>
      <c r="AA6140">
        <f>N6140*U6140*W6140*Y6140</f>
        <v>0</v>
      </c>
    </row>
    <row r="6141">
      <c r="A6141" t="str">
        <f>A6115</f>
        <v>Lantai 3</v>
      </c>
      <c r="B6141">
        <f>B6115</f>
        <v>62</v>
      </c>
      <c r="C6141" t="str">
        <v>Kait Horizontal Tump.</v>
      </c>
      <c r="D6141">
        <f>VLOOKUP(D6115,'Detail Balok'!$C$10:$BJ$140,56,FALSE)</f>
        <v>0</v>
      </c>
      <c r="E6141" t="str">
        <v>D</v>
      </c>
      <c r="F6141">
        <f>VLOOKUP(D6115,'Detail Balok'!$C$10:$BJ$140,58,FALSE)</f>
        <v>0</v>
      </c>
      <c r="G6141" t="str">
        <v>-</v>
      </c>
      <c r="H6141">
        <f>VLOOKUP(D6115,'Detail Balok'!$C$10:$BJ$140,60,FALSE)</f>
        <v>100</v>
      </c>
      <c r="J6141">
        <f>(D6116-2*F$5)/1000</f>
        <v>0.12</v>
      </c>
      <c r="K6141" t="str">
        <v>+</v>
      </c>
      <c r="L6141">
        <f>IF(D6141=0,2*MAX(6*F6141,75),(D6141-1)*2*MAX(6*F6141,75))/1000</f>
        <v>0.15</v>
      </c>
      <c r="M6141" t="str">
        <v>=</v>
      </c>
      <c r="N6141">
        <f>J6141+L6141</f>
        <v>0.27</v>
      </c>
      <c r="T6141" t="str">
        <v>x</v>
      </c>
      <c r="U6141">
        <f>0.006165*F6141^2</f>
        <v>0</v>
      </c>
      <c r="V6141" t="str">
        <v>x</v>
      </c>
      <c r="W6141">
        <f>W6137</f>
        <v>11</v>
      </c>
      <c r="X6141" t="str">
        <v>x</v>
      </c>
      <c r="Y6141">
        <f>D6125</f>
        <v>3</v>
      </c>
      <c r="Z6141" t="str">
        <v>=</v>
      </c>
      <c r="AA6141">
        <f>N6141*U6141*W6141*Y6141</f>
        <v>0</v>
      </c>
    </row>
    <row r="6145">
      <c r="A6145" t="str">
        <f>A6115</f>
        <v>Lantai 3</v>
      </c>
      <c r="B6145">
        <f>B6115+1</f>
        <v>63</v>
      </c>
      <c r="C6145" t="str">
        <f>CONCATENATE(A6145," no. ",B6145)</f>
        <v>Lantai 3 no. 63</v>
      </c>
      <c r="D6145" t="str">
        <f>VLOOKUP(C6145,'Data Panjang Balok'!$C$9:$N$254,2,FALSE)</f>
        <v>B23-1</v>
      </c>
    </row>
    <row r="6146">
      <c r="C6146" t="str">
        <v>Dimensi</v>
      </c>
      <c r="D6146">
        <f>VLOOKUP(D6145,'Detail Balok'!$C$10:$AU$140,2,FALSE)</f>
        <v>200</v>
      </c>
      <c r="F6146" t="str">
        <v>x</v>
      </c>
      <c r="G6146">
        <f>VLOOKUP(D6145,'Detail Balok'!$C$10:$AU$140,3,FALSE)</f>
        <v>300</v>
      </c>
    </row>
    <row r="6147">
      <c r="C6147" t="str">
        <v>Panjang as ke as</v>
      </c>
      <c r="D6147">
        <f>VLOOKUP(C6145,'Data Panjang Balok'!$C$9:$N$254,4,FALSE)</f>
        <v>4175</v>
      </c>
    </row>
    <row r="6148">
      <c r="C6148" t="str">
        <v>Panjang netto</v>
      </c>
      <c r="D6148">
        <f>VLOOKUP(C6145,'Data Panjang Balok'!$C$9:$N$254,7,FALSE)</f>
        <v>4175</v>
      </c>
    </row>
    <row r="6149">
      <c r="C6149" t="str">
        <v>Kolom / balok kiri</v>
      </c>
      <c r="D6149">
        <f>VLOOKUP(C6145,'Data Panjang Balok'!$C$9:$N$254,9,FALSE)</f>
        <v>0</v>
      </c>
    </row>
    <row r="6150">
      <c r="C6150" t="str">
        <v>Kolom / balok kanan</v>
      </c>
      <c r="D6150">
        <f>VLOOKUP(C6145,'Data Panjang Balok'!$C$9:$N$254,10,FALSE)</f>
        <v>0</v>
      </c>
    </row>
    <row r="6151">
      <c r="C6151" t="str">
        <v>Jumlah</v>
      </c>
      <c r="D6151">
        <f>VLOOKUP(C6145,'Data Panjang Balok'!$C$9:$N$254,3,FALSE)</f>
        <v>1</v>
      </c>
    </row>
    <row r="6152">
      <c r="A6152" t="str">
        <f>A6145</f>
        <v>Lantai 3</v>
      </c>
      <c r="B6152">
        <f>B6145</f>
        <v>63</v>
      </c>
      <c r="C6152" t="str">
        <v>Tul Atas Tumpuan</v>
      </c>
      <c r="D6152">
        <f>VLOOKUP(D6145,'Detail Balok'!$C$10:$AU$140,4,FALSE)</f>
        <v>3</v>
      </c>
      <c r="E6152" t="str">
        <v>D</v>
      </c>
      <c r="F6152">
        <f>VLOOKUP(D6145,'Detail Balok'!$C$10:$AU$140,6,FALSE)</f>
        <v>13</v>
      </c>
      <c r="I6152" t="str">
        <v>(</v>
      </c>
      <c r="J6152">
        <f>+D6147/4/1000</f>
        <v>1.04375</v>
      </c>
      <c r="K6152" t="str">
        <v>+</v>
      </c>
      <c r="L6152">
        <f>MAX(VLOOKUP(F6152,N$6:P$15,3,FALSE)/1000,2/3*D6149/1000)+F$16*F6152/1000</f>
        <v>0.156</v>
      </c>
      <c r="M6152" t="str">
        <v>=</v>
      </c>
      <c r="N6152">
        <f>J6152+L6152</f>
        <v>1.1997499999999999</v>
      </c>
      <c r="O6152" t="str">
        <v>+</v>
      </c>
      <c r="P6152">
        <f>D6152-D6153</f>
        <v>0</v>
      </c>
      <c r="Q6152" t="str">
        <v>x</v>
      </c>
      <c r="R6152">
        <f>IF(P6152&gt;0,$F$18*F6152/1000,0)</f>
        <v>0</v>
      </c>
      <c r="S6152" t="str">
        <v>)</v>
      </c>
      <c r="T6152" t="str">
        <v>x</v>
      </c>
      <c r="U6152">
        <f>0.006165*F6152^2</f>
        <v>1.041885</v>
      </c>
      <c r="X6152" t="str">
        <v>x</v>
      </c>
      <c r="Y6152">
        <f>D6151</f>
        <v>1</v>
      </c>
      <c r="Z6152" t="str">
        <v>=</v>
      </c>
      <c r="AA6152">
        <f>IF(AA6155=0,(D6152*N6152+P6152*R6152)*U6152*Y6152,0)</f>
        <v>0</v>
      </c>
    </row>
    <row r="6153">
      <c r="A6153" t="str">
        <f>A6145</f>
        <v>Lantai 3</v>
      </c>
      <c r="B6153">
        <f>B6145</f>
        <v>63</v>
      </c>
      <c r="C6153" t="str">
        <v>Tul Atas Lapangan</v>
      </c>
      <c r="D6153">
        <f>VLOOKUP(D6145,'Detail Balok'!$C$10:$AU$140,7,FALSE)</f>
        <v>3</v>
      </c>
      <c r="E6153" t="str">
        <v>D</v>
      </c>
      <c r="F6153">
        <f>VLOOKUP(D6145,'Detail Balok'!$C$10:$AU$140,9,FALSE)</f>
        <v>13</v>
      </c>
      <c r="I6153" t="str">
        <v>(</v>
      </c>
      <c r="J6153">
        <f>+D6147/2/1000</f>
        <v>2.0875</v>
      </c>
      <c r="K6153" t="str">
        <v>+</v>
      </c>
      <c r="M6153" t="str">
        <v>=</v>
      </c>
      <c r="N6153">
        <f>J6153+L6153</f>
        <v>2.0875</v>
      </c>
      <c r="O6153" t="str">
        <v>+</v>
      </c>
      <c r="P6153">
        <f>MAX(D6153-D6152,D6153-D6154)</f>
        <v>0</v>
      </c>
      <c r="Q6153" t="str">
        <v>x</v>
      </c>
      <c r="R6153">
        <f>IF(P6153&gt;0,2*(1-2*$F$19-1/2)*D6148/1000,0)</f>
        <v>0</v>
      </c>
      <c r="S6153" t="str">
        <v>)</v>
      </c>
      <c r="T6153" t="str">
        <v>x</v>
      </c>
      <c r="U6153">
        <f>0.006165*F6153^2</f>
        <v>1.041885</v>
      </c>
      <c r="X6153" t="str">
        <v>x</v>
      </c>
      <c r="Y6153">
        <f>D6151</f>
        <v>1</v>
      </c>
      <c r="Z6153" t="str">
        <v>=</v>
      </c>
      <c r="AA6153">
        <f>IF(AA6155=0,(D6153*N6153+P6153*R6153)*U6153*Y6153,0)</f>
        <v>0</v>
      </c>
    </row>
    <row r="6154">
      <c r="A6154" t="str">
        <f>A6145</f>
        <v>Lantai 3</v>
      </c>
      <c r="B6154">
        <f>B6145</f>
        <v>63</v>
      </c>
      <c r="C6154" t="str">
        <v>Tul Atas Tumpuan</v>
      </c>
      <c r="D6154">
        <f>VLOOKUP(D6145,'Detail Balok'!$C$10:$AU$140,10,FALSE)</f>
        <v>3</v>
      </c>
      <c r="E6154" t="str">
        <v>D</v>
      </c>
      <c r="F6154">
        <f>VLOOKUP(D6145,'Detail Balok'!$C$10:$AU$140,12,FALSE)</f>
        <v>13</v>
      </c>
      <c r="I6154" t="str">
        <v>(</v>
      </c>
      <c r="J6154">
        <f>+D6147/4/1000</f>
        <v>1.04375</v>
      </c>
      <c r="K6154" t="str">
        <v>+</v>
      </c>
      <c r="L6154">
        <f>MAX(VLOOKUP(F6154,N$6:P$15,3,FALSE)/1000,2/3*D6149/1000)+F$16*F6154/1000</f>
        <v>0.156</v>
      </c>
      <c r="M6154" t="str">
        <v>=</v>
      </c>
      <c r="N6154">
        <f>J6154+L6154</f>
        <v>1.1997499999999999</v>
      </c>
      <c r="O6154" t="str">
        <v>+</v>
      </c>
      <c r="P6154">
        <f>D6154-D6153</f>
        <v>0</v>
      </c>
      <c r="Q6154" t="str">
        <v>x</v>
      </c>
      <c r="R6154">
        <f>IF(P6154&gt;0,$F$18*F6154/1000,0)</f>
        <v>0</v>
      </c>
      <c r="S6154" t="str">
        <v>)</v>
      </c>
      <c r="T6154" t="str">
        <v>x</v>
      </c>
      <c r="U6154">
        <f>0.006165*F6154^2</f>
        <v>1.041885</v>
      </c>
      <c r="X6154" t="str">
        <v>x</v>
      </c>
      <c r="Y6154">
        <f>D6151</f>
        <v>1</v>
      </c>
      <c r="Z6154" t="str">
        <v>=</v>
      </c>
      <c r="AA6154">
        <f>IF(AA6155=0,(D6154*N6154+P6154*R6154)*U6154*Y6154,0)</f>
        <v>0</v>
      </c>
    </row>
    <row r="6155">
      <c r="A6155" t="str">
        <f>A6145</f>
        <v>Lantai 3</v>
      </c>
      <c r="B6155">
        <f>B6145</f>
        <v>63</v>
      </c>
      <c r="D6155">
        <f>IF(AND(D6152=D6153,D6153=D6154,D6152=D6154),D6152,0)</f>
        <v>3</v>
      </c>
      <c r="E6155" t="str">
        <v>D</v>
      </c>
      <c r="F6155">
        <f>IF(AND(F6152=F6153,F6152=F6154,F6153=F6154),F6152,0)</f>
        <v>13</v>
      </c>
      <c r="L6155" t="str">
        <v>Total panjang per balok</v>
      </c>
      <c r="M6155" t="str">
        <v>=</v>
      </c>
      <c r="N6155">
        <f>IF(AND(D6152=D6153,D6152=D6154,D6153=D6154,F6152=F6153,F6152=F6154,F6153=F6154),SUM(N6152:N6154),0)</f>
        <v>4.487</v>
      </c>
      <c r="O6155" t="str">
        <v>+</v>
      </c>
      <c r="P6155">
        <f>IF(N6155&gt;12,ROUNDDOWN(N6155/12,0),0)</f>
        <v>0</v>
      </c>
      <c r="Q6155" t="str">
        <v>x</v>
      </c>
      <c r="R6155">
        <f>IF(P6155&gt;0,MAX(VLOOKUP(F6155,$D$6:$G$15,3,FALSE),600),0)/1000</f>
        <v>0</v>
      </c>
      <c r="T6155" t="str">
        <v>x</v>
      </c>
      <c r="U6155">
        <f>U6154</f>
        <v>1.041885</v>
      </c>
      <c r="V6155" t="str">
        <v>x</v>
      </c>
      <c r="W6155">
        <f>D6155</f>
        <v>3</v>
      </c>
      <c r="X6155" t="str">
        <v>x</v>
      </c>
      <c r="Y6155">
        <f>Y6154</f>
        <v>1</v>
      </c>
      <c r="Z6155" t="str">
        <v>=</v>
      </c>
      <c r="AA6155">
        <f>(N6155+P6155*R6155/1000)*U6155*W6155*Y6155</f>
        <v>14.024813984999998</v>
      </c>
    </row>
    <row r="6157">
      <c r="A6157" t="str">
        <f>A6145</f>
        <v>Lantai 3</v>
      </c>
      <c r="B6157">
        <f>B6145</f>
        <v>63</v>
      </c>
      <c r="C6157" t="str">
        <v>Tul Peminggang</v>
      </c>
      <c r="D6157">
        <f>VLOOKUP(D6145,'Detail Balok'!$C$10:$AU$140,13,FALSE)</f>
        <v>0</v>
      </c>
      <c r="E6157" t="str">
        <v>D</v>
      </c>
      <c r="F6157">
        <f>VLOOKUP(D6145,'Detail Balok'!$C$10:$AU$140,15,FALSE)</f>
        <v>8</v>
      </c>
      <c r="J6157">
        <f>+D6147/1000</f>
        <v>4.175</v>
      </c>
      <c r="K6157" t="str">
        <v>+</v>
      </c>
      <c r="L6157">
        <f>2*$F$16*F6157/1000</f>
        <v>0.192</v>
      </c>
      <c r="M6157" t="str">
        <v>=</v>
      </c>
      <c r="N6157">
        <f>J6157+L6157</f>
        <v>4.367</v>
      </c>
      <c r="O6157" t="str">
        <v>+</v>
      </c>
      <c r="P6157">
        <f>IF(N6157&gt;12,ROUNDDOWN(N6157/12,0),0)</f>
        <v>0</v>
      </c>
      <c r="Q6157" t="str">
        <v>x</v>
      </c>
      <c r="R6157">
        <f>IF(P6157&gt;0,MAX(VLOOKUP(F6157,$D$6:$G$15,3,FALSE),600),0)/1000</f>
        <v>0</v>
      </c>
      <c r="T6157" t="str">
        <v>x</v>
      </c>
      <c r="U6157">
        <f>0.006165*F6157^2</f>
        <v>0.39456</v>
      </c>
      <c r="V6157" t="str">
        <v>x</v>
      </c>
      <c r="W6157">
        <f>+D6157</f>
        <v>0</v>
      </c>
      <c r="X6157" t="str">
        <v>x</v>
      </c>
      <c r="Y6157">
        <f>D6151</f>
        <v>1</v>
      </c>
      <c r="Z6157" t="str">
        <v>=</v>
      </c>
      <c r="AA6157">
        <f>(N6157+P6157*R6157/1000)*U6157*W6157*Y6157</f>
        <v>0</v>
      </c>
    </row>
    <row r="6160">
      <c r="A6160" t="str">
        <f>A6145</f>
        <v>Lantai 3</v>
      </c>
      <c r="B6160">
        <f>B6145</f>
        <v>63</v>
      </c>
      <c r="C6160" t="str">
        <v>Tul Bawah Tumpuan</v>
      </c>
      <c r="D6160">
        <f>VLOOKUP(D6145,'Detail Balok'!$C$10:$AU$140,22,FALSE)</f>
        <v>3</v>
      </c>
      <c r="E6160" t="str">
        <v>D</v>
      </c>
      <c r="F6160">
        <f>VLOOKUP(D6145,'Detail Balok'!$C$10:$AU$140,24,FALSE)</f>
        <v>13</v>
      </c>
      <c r="I6160" t="str">
        <v>(</v>
      </c>
      <c r="J6160">
        <f>+J6152</f>
        <v>1.04375</v>
      </c>
      <c r="K6160" t="str">
        <v>+</v>
      </c>
      <c r="L6160">
        <f>MAX(VLOOKUP(F6160,N$6:P$15,3,FALSE)/1000,2/3*D6150/1000)+F$16*F6160/1000</f>
        <v>0.156</v>
      </c>
      <c r="M6160" t="str">
        <v>=</v>
      </c>
      <c r="N6160">
        <f>J6160+L6160</f>
        <v>1.1997499999999999</v>
      </c>
      <c r="O6160" t="str">
        <v>+</v>
      </c>
      <c r="P6160">
        <f>D6160-D6161</f>
        <v>0</v>
      </c>
      <c r="Q6160" t="str">
        <v>x</v>
      </c>
      <c r="R6160">
        <f>IF(P6160&gt;0,$F$18*F6160/1000,0)</f>
        <v>0</v>
      </c>
      <c r="S6160" t="str">
        <v>)</v>
      </c>
      <c r="T6160" t="str">
        <v>x</v>
      </c>
      <c r="U6160">
        <f>0.006165*F6160^2</f>
        <v>1.041885</v>
      </c>
      <c r="X6160" t="str">
        <v>x</v>
      </c>
      <c r="Y6160">
        <f>D6151</f>
        <v>1</v>
      </c>
      <c r="Z6160" t="str">
        <v>=</v>
      </c>
      <c r="AA6160">
        <f>IF(AA6163=0,(D6160*N6160+P6160*R6160)*U6160*Y6160,0)</f>
        <v>0</v>
      </c>
    </row>
    <row r="6161">
      <c r="A6161" t="str">
        <f>A6145</f>
        <v>Lantai 3</v>
      </c>
      <c r="B6161">
        <f>B6145</f>
        <v>63</v>
      </c>
      <c r="C6161" t="str">
        <v>Tul Bawah Lapangan</v>
      </c>
      <c r="D6161">
        <f>VLOOKUP(D6145,'Detail Balok'!$C$10:$AU$140,25,FALSE)</f>
        <v>3</v>
      </c>
      <c r="E6161" t="str">
        <v>D</v>
      </c>
      <c r="F6161">
        <f>VLOOKUP(D6145,'Detail Balok'!$C$10:$AU$140,27,FALSE)</f>
        <v>13</v>
      </c>
      <c r="I6161" t="str">
        <v>(</v>
      </c>
      <c r="J6161">
        <f>+J6153</f>
        <v>2.0875</v>
      </c>
      <c r="K6161" t="str">
        <v>+</v>
      </c>
      <c r="M6161" t="str">
        <v>=</v>
      </c>
      <c r="N6161">
        <f>J6161+L6161</f>
        <v>2.0875</v>
      </c>
      <c r="O6161" t="str">
        <v>+</v>
      </c>
      <c r="P6161">
        <f>MAX(D6161-D6160,D6161-D6162)</f>
        <v>0</v>
      </c>
      <c r="Q6161" t="str">
        <v>x</v>
      </c>
      <c r="R6161">
        <f>IF(P6161&gt;0,2*(1-2*$F$19-1/2)*D6148/1000,0)</f>
        <v>0</v>
      </c>
      <c r="S6161" t="str">
        <v>)</v>
      </c>
      <c r="T6161" t="str">
        <v>x</v>
      </c>
      <c r="U6161">
        <f>0.006165*F6161^2</f>
        <v>1.041885</v>
      </c>
      <c r="X6161" t="str">
        <v>x</v>
      </c>
      <c r="Y6161">
        <f>D6151</f>
        <v>1</v>
      </c>
      <c r="Z6161" t="str">
        <v>=</v>
      </c>
      <c r="AA6161">
        <f>IF(AA6163=0,(D6161*N6161+P6161*R6161)*U6161*Y6161,0)</f>
        <v>0</v>
      </c>
    </row>
    <row r="6162">
      <c r="A6162" t="str">
        <f>A6145</f>
        <v>Lantai 3</v>
      </c>
      <c r="B6162">
        <f>B6145</f>
        <v>63</v>
      </c>
      <c r="C6162" t="str">
        <v>Tul Bawah Tumpuan</v>
      </c>
      <c r="D6162">
        <f>VLOOKUP(D6145,'Detail Balok'!$C$10:$AU$140,28,FALSE)</f>
        <v>3</v>
      </c>
      <c r="E6162" t="str">
        <v>D</v>
      </c>
      <c r="F6162">
        <f>VLOOKUP(D6145,'Detail Balok'!$C$10:$AU$140,30,FALSE)</f>
        <v>13</v>
      </c>
      <c r="I6162" t="str">
        <v>(</v>
      </c>
      <c r="J6162">
        <f>+J6154</f>
        <v>1.04375</v>
      </c>
      <c r="K6162" t="str">
        <v>+</v>
      </c>
      <c r="L6162">
        <f>MAX(VLOOKUP(F6162,N$6:P$15,3,FALSE)/1000,2/3*D6150/1000)+F$16*F6162/1000</f>
        <v>0.156</v>
      </c>
      <c r="M6162" t="str">
        <v>=</v>
      </c>
      <c r="N6162">
        <f>J6162+L6162</f>
        <v>1.1997499999999999</v>
      </c>
      <c r="O6162" t="str">
        <v>+</v>
      </c>
      <c r="P6162">
        <f>D6162-D6161</f>
        <v>0</v>
      </c>
      <c r="Q6162" t="str">
        <v>x</v>
      </c>
      <c r="R6162">
        <f>IF(P6162&gt;0,$F$18*F6162/1000,0)</f>
        <v>0</v>
      </c>
      <c r="S6162" t="str">
        <v>)</v>
      </c>
      <c r="T6162" t="str">
        <v>x</v>
      </c>
      <c r="U6162">
        <f>0.006165*F6162^2</f>
        <v>1.041885</v>
      </c>
      <c r="X6162" t="str">
        <v>x</v>
      </c>
      <c r="Y6162">
        <f>D6151</f>
        <v>1</v>
      </c>
      <c r="Z6162" t="str">
        <v>=</v>
      </c>
      <c r="AA6162">
        <f>IF(AA6163=0,(D6162*N6162+P6162*R6162)*U6162*Y6162,0)</f>
        <v>0</v>
      </c>
    </row>
    <row r="6163">
      <c r="A6163" t="str">
        <f>A6145</f>
        <v>Lantai 3</v>
      </c>
      <c r="B6163">
        <f>B6145</f>
        <v>63</v>
      </c>
      <c r="D6163">
        <f>IF(AND(D6160=D6161,D6161=D6162,D6160=D6162),D6160,0)</f>
        <v>3</v>
      </c>
      <c r="E6163" t="str">
        <v>D</v>
      </c>
      <c r="F6163">
        <f>IF(AND(F6160=F6161,F6160=F6162,F6161=F6162),F6160,0)</f>
        <v>13</v>
      </c>
      <c r="L6163" t="str">
        <v>Total panjang per balok</v>
      </c>
      <c r="M6163" t="str">
        <v>=</v>
      </c>
      <c r="N6163">
        <f>IF(AND(D6160=D6161,D6160=D6162,D6161=D6162,F6160=F6161,F6160=F6162,F6161=F6162),SUM(N6160:N6162),0)</f>
        <v>4.487</v>
      </c>
      <c r="O6163" t="str">
        <v>+</v>
      </c>
      <c r="P6163">
        <f>IF(N6163&gt;12,ROUNDDOWN(N6163/12,0),0)</f>
        <v>0</v>
      </c>
      <c r="Q6163" t="str">
        <v>x</v>
      </c>
      <c r="R6163">
        <f>IF(P6163&gt;0,MAX(VLOOKUP(F6163,$D$6:$G$15,3,FALSE),600),0)/1000</f>
        <v>0</v>
      </c>
      <c r="T6163" t="str">
        <v>x</v>
      </c>
      <c r="U6163">
        <f>U6162</f>
        <v>1.041885</v>
      </c>
      <c r="V6163" t="str">
        <v>x</v>
      </c>
      <c r="W6163">
        <f>D6163</f>
        <v>3</v>
      </c>
      <c r="X6163" t="str">
        <v>x</v>
      </c>
      <c r="Y6163">
        <f>Y6162</f>
        <v>1</v>
      </c>
      <c r="Z6163" t="str">
        <v>=</v>
      </c>
      <c r="AA6163">
        <f>(N6163+P6163*R6163/1000)*U6163*W6163*Y6163</f>
        <v>14.024813984999998</v>
      </c>
    </row>
    <row r="6165">
      <c r="A6165" t="str">
        <f>A6145</f>
        <v>Lantai 3</v>
      </c>
      <c r="B6165">
        <f>B6145</f>
        <v>63</v>
      </c>
      <c r="C6165" t="str">
        <v>Sengkang Tumpuan</v>
      </c>
      <c r="D6165">
        <f>VLOOKUP(D6145,'Detail Balok'!$C$10:$AU$140,31,FALSE)</f>
        <v>0</v>
      </c>
      <c r="E6165" t="str">
        <v>D</v>
      </c>
      <c r="F6165">
        <f>VLOOKUP(D6145,'Detail Balok'!$C$10:$AU$140,33,FALSE)</f>
        <v>10</v>
      </c>
      <c r="G6165" t="str">
        <v>-</v>
      </c>
      <c r="H6165">
        <f>VLOOKUP(D6145,'Detail Balok'!$C$10:$AU$140,35,FALSE)</f>
        <v>100</v>
      </c>
      <c r="J6165">
        <f>(IF(D6165=0,(2*(D6146+G6146))-(F$5*8),IF(D6165=3,(2*(D6146+G6146))-(F$5*8)+(G6146-2*F$5),IF(D6165=4,(2*(D6146+G6146))-(F$5*8)+2*(G6146-2*F$5)))))/1000</f>
        <v>0.68</v>
      </c>
      <c r="K6165" t="str">
        <v>+</v>
      </c>
      <c r="L6165">
        <f>IF(D6165=0,2*MAX(6*F6165,75),(D6165-1)*2*MAX(6*F6165,75))/1000</f>
        <v>0.15</v>
      </c>
      <c r="M6165" t="str">
        <v>=</v>
      </c>
      <c r="N6165">
        <f>J6165+L6165</f>
        <v>0.8300000000000001</v>
      </c>
      <c r="T6165" t="str">
        <v>x</v>
      </c>
      <c r="U6165">
        <f>0.006165*F6165^2</f>
        <v>0.6165</v>
      </c>
      <c r="V6165" t="str">
        <v>x</v>
      </c>
      <c r="W6165">
        <f>IF(D6148&gt;4*G6146,ROUND(MAX(D6148/4,2*G6146)/H6165,0)+1,ROUND(D6148/H6165,0)+1)</f>
        <v>11</v>
      </c>
      <c r="X6165" t="str">
        <v>x</v>
      </c>
      <c r="Y6165">
        <f>D6151</f>
        <v>1</v>
      </c>
      <c r="Z6165" t="str">
        <v>=</v>
      </c>
      <c r="AA6165">
        <f>N6165*U6165*W6165*Y6165</f>
        <v>5.6286450000000015</v>
      </c>
    </row>
    <row r="6166">
      <c r="A6166" t="str">
        <f>A6145</f>
        <v>Lantai 3</v>
      </c>
      <c r="B6166">
        <f>B6145</f>
        <v>63</v>
      </c>
      <c r="C6166" t="str">
        <v>Sengkang Lapangan</v>
      </c>
      <c r="D6166">
        <f>VLOOKUP(D6145,'Detail Balok'!$C$10:$AU$140,36,FALSE)</f>
        <v>0</v>
      </c>
      <c r="E6166" t="str">
        <v>D</v>
      </c>
      <c r="F6166">
        <f>VLOOKUP(D6145,'Detail Balok'!$C$10:$AU$140,38,FALSE)</f>
        <v>10</v>
      </c>
      <c r="G6166" t="str">
        <v>-</v>
      </c>
      <c r="H6166">
        <f>VLOOKUP(D6145,'Detail Balok'!$C$10:$AU$140,40,FALSE)</f>
        <v>200</v>
      </c>
      <c r="J6166">
        <f>(IF(D6166=0,(2*(D6146+G6146))-(F$5*8),IF(D6166=3,(2*(D6146+G6146))-(F$5*8)+(G6146-2*F$5),IF(D6166=4,(2*(D6146+G6146))-(F$5*8)+2*(G6146-2*F$5)))))/1000</f>
        <v>0.68</v>
      </c>
      <c r="K6166" t="str">
        <v>+</v>
      </c>
      <c r="L6166">
        <f>IF(D6166=0,2*MAX(6*F6166,75),(D6166-1)*2*MAX(6*F6166,75))/1000</f>
        <v>0.15</v>
      </c>
      <c r="M6166" t="str">
        <v>=</v>
      </c>
      <c r="N6166">
        <f>J6166+L6166</f>
        <v>0.8300000000000001</v>
      </c>
      <c r="T6166" t="str">
        <v>x</v>
      </c>
      <c r="U6166">
        <f>0.006165*F6166^2</f>
        <v>0.6165</v>
      </c>
      <c r="V6166" t="str">
        <v>x</v>
      </c>
      <c r="W6166">
        <f>IF(D6148-MAX(D6148/4,2*G6146)*2&gt;0,ROUND((D6148-MAX(D6148/4,2*G6146)*2)/H6166,0),0)</f>
        <v>10</v>
      </c>
      <c r="X6166" t="str">
        <v>x</v>
      </c>
      <c r="Y6166">
        <f>D6151</f>
        <v>1</v>
      </c>
      <c r="Z6166" t="str">
        <v>=</v>
      </c>
      <c r="AA6166">
        <f>N6166*U6166*W6166*Y6166</f>
        <v>5.116950000000001</v>
      </c>
    </row>
    <row r="6167">
      <c r="A6167" t="str">
        <f>A6145</f>
        <v>Lantai 3</v>
      </c>
      <c r="B6167">
        <f>B6145</f>
        <v>63</v>
      </c>
      <c r="C6167" t="str">
        <v>Sengkang Tumpuan</v>
      </c>
      <c r="D6167">
        <f>VLOOKUP(D6145,'Detail Balok'!$C$10:$AU$140,41,FALSE)</f>
        <v>0</v>
      </c>
      <c r="E6167" t="str">
        <v>D</v>
      </c>
      <c r="F6167">
        <f>VLOOKUP(D6145,'Detail Balok'!$C$10:$AU$140,43,FALSE)</f>
        <v>10</v>
      </c>
      <c r="G6167" t="str">
        <v>-</v>
      </c>
      <c r="H6167">
        <f>VLOOKUP(D6145,'Detail Balok'!$C$10:$AU$140,45,FALSE)</f>
        <v>100</v>
      </c>
      <c r="J6167">
        <f>(IF(D6167=0,(2*(D6146+G6146))-(F$5*8),IF(D6167=3,(2*(D6146+G6146))-(F$5*8)+(G6146-2*F$5),IF(D6167=4,(2*(D6146+G6146))-(F$5*8)+2*(G6146-2*F$5)))))/1000</f>
        <v>0.68</v>
      </c>
      <c r="K6167" t="str">
        <v>+</v>
      </c>
      <c r="L6167">
        <f>IF(D6167=0,2*MAX(6*F6167,75),(D6167-1)*2*MAX(6*F6167,75))/1000</f>
        <v>0.15</v>
      </c>
      <c r="M6167" t="str">
        <v>=</v>
      </c>
      <c r="N6167">
        <f>J6167+L6167</f>
        <v>0.8300000000000001</v>
      </c>
      <c r="T6167" t="str">
        <v>x</v>
      </c>
      <c r="U6167">
        <f>0.006165*F6167^2</f>
        <v>0.6165</v>
      </c>
      <c r="V6167" t="str">
        <v>x</v>
      </c>
      <c r="W6167">
        <f>IF(D6148&gt;4*G6146,ROUND(MAX(D6148/4,2*G6146)/H6167,0)+1,0)</f>
        <v>11</v>
      </c>
      <c r="X6167" t="str">
        <v>x</v>
      </c>
      <c r="Y6167">
        <f>D6151</f>
        <v>1</v>
      </c>
      <c r="Z6167" t="str">
        <v>=</v>
      </c>
      <c r="AA6167">
        <f>N6167*U6167*W6167*Y6167</f>
        <v>5.6286450000000015</v>
      </c>
    </row>
    <row r="6169">
      <c r="A6169" t="str">
        <f>A6145</f>
        <v>Lantai 3</v>
      </c>
      <c r="B6169">
        <f>B6145</f>
        <v>63</v>
      </c>
      <c r="C6169" t="str">
        <v>Kait Horizontal Tump.</v>
      </c>
      <c r="D6169">
        <f>VLOOKUP(D6145,'Detail Balok'!$C$10:$BJ$140,46,FALSE)</f>
        <v>0</v>
      </c>
      <c r="E6169" t="str">
        <v>D</v>
      </c>
      <c r="F6169">
        <f>VLOOKUP(D6145,'Detail Balok'!$C$10:$BJ$140,48,FALSE)</f>
        <v>0</v>
      </c>
      <c r="G6169" t="str">
        <v>-</v>
      </c>
      <c r="H6169">
        <f>VLOOKUP(D6145,'Detail Balok'!$C$10:$BJ$140,50,FALSE)</f>
        <v>100</v>
      </c>
      <c r="J6169">
        <f>(D6146-2*F$5)/1000</f>
        <v>0.12</v>
      </c>
      <c r="K6169" t="str">
        <v>+</v>
      </c>
      <c r="L6169">
        <f>IF(D6169=0,2*MAX(6*F6169,75),(D6169-1)*2*MAX(6*F6169,75))/1000</f>
        <v>0.15</v>
      </c>
      <c r="M6169" t="str">
        <v>=</v>
      </c>
      <c r="N6169">
        <f>J6169+L6169</f>
        <v>0.27</v>
      </c>
      <c r="T6169" t="str">
        <v>x</v>
      </c>
      <c r="U6169">
        <f>0.006165*F6169^2</f>
        <v>0</v>
      </c>
      <c r="V6169" t="str">
        <v>x</v>
      </c>
      <c r="W6169">
        <f>W6165</f>
        <v>11</v>
      </c>
      <c r="X6169" t="str">
        <v>x</v>
      </c>
      <c r="Y6169">
        <f>D6155</f>
        <v>3</v>
      </c>
      <c r="Z6169" t="str">
        <v>=</v>
      </c>
      <c r="AA6169">
        <f>N6169*U6169*W6169*Y6169</f>
        <v>0</v>
      </c>
    </row>
    <row r="6170">
      <c r="A6170" t="str">
        <f>A6145</f>
        <v>Lantai 3</v>
      </c>
      <c r="B6170">
        <f>B6145</f>
        <v>63</v>
      </c>
      <c r="C6170" t="str">
        <v>Kait Horizontal Lap.</v>
      </c>
      <c r="D6170">
        <f>VLOOKUP(D6145,'Detail Balok'!$C$10:$BJ$140,51,FALSE)</f>
        <v>0</v>
      </c>
      <c r="E6170" t="str">
        <v>D</v>
      </c>
      <c r="F6170">
        <f>VLOOKUP(D6145,'Detail Balok'!$C$10:$BJ$140,53,FALSE)</f>
        <v>0</v>
      </c>
      <c r="G6170" t="str">
        <v>-</v>
      </c>
      <c r="H6170">
        <f>VLOOKUP(D6145,'Detail Balok'!$C$10:$BJ$140,55,FALSE)</f>
        <v>100</v>
      </c>
      <c r="J6170">
        <f>(D6146-2*F$5)/1000</f>
        <v>0.12</v>
      </c>
      <c r="K6170" t="str">
        <v>+</v>
      </c>
      <c r="L6170">
        <f>IF(D6170=0,2*MAX(6*F6170,75),(D6170-1)*2*MAX(6*F6170,75))/1000</f>
        <v>0.15</v>
      </c>
      <c r="M6170" t="str">
        <v>=</v>
      </c>
      <c r="N6170">
        <f>J6170+L6170</f>
        <v>0.27</v>
      </c>
      <c r="T6170" t="str">
        <v>x</v>
      </c>
      <c r="U6170">
        <f>0.006165*F6170^2</f>
        <v>0</v>
      </c>
      <c r="V6170" t="str">
        <v>x</v>
      </c>
      <c r="W6170">
        <f>W6166</f>
        <v>10</v>
      </c>
      <c r="X6170" t="str">
        <v>x</v>
      </c>
      <c r="Y6170">
        <f>D6155</f>
        <v>3</v>
      </c>
      <c r="Z6170" t="str">
        <v>=</v>
      </c>
      <c r="AA6170">
        <f>N6170*U6170*W6170*Y6170</f>
        <v>0</v>
      </c>
    </row>
    <row r="6171">
      <c r="A6171" t="str">
        <f>A6145</f>
        <v>Lantai 3</v>
      </c>
      <c r="B6171">
        <f>B6145</f>
        <v>63</v>
      </c>
      <c r="C6171" t="str">
        <v>Kait Horizontal Tump.</v>
      </c>
      <c r="D6171">
        <f>VLOOKUP(D6145,'Detail Balok'!$C$10:$BJ$140,56,FALSE)</f>
        <v>0</v>
      </c>
      <c r="E6171" t="str">
        <v>D</v>
      </c>
      <c r="F6171">
        <f>VLOOKUP(D6145,'Detail Balok'!$C$10:$BJ$140,58,FALSE)</f>
        <v>0</v>
      </c>
      <c r="G6171" t="str">
        <v>-</v>
      </c>
      <c r="H6171">
        <f>VLOOKUP(D6145,'Detail Balok'!$C$10:$BJ$140,60,FALSE)</f>
        <v>100</v>
      </c>
      <c r="J6171">
        <f>(D6146-2*F$5)/1000</f>
        <v>0.12</v>
      </c>
      <c r="K6171" t="str">
        <v>+</v>
      </c>
      <c r="L6171">
        <f>IF(D6171=0,2*MAX(6*F6171,75),(D6171-1)*2*MAX(6*F6171,75))/1000</f>
        <v>0.15</v>
      </c>
      <c r="M6171" t="str">
        <v>=</v>
      </c>
      <c r="N6171">
        <f>J6171+L6171</f>
        <v>0.27</v>
      </c>
      <c r="T6171" t="str">
        <v>x</v>
      </c>
      <c r="U6171">
        <f>0.006165*F6171^2</f>
        <v>0</v>
      </c>
      <c r="V6171" t="str">
        <v>x</v>
      </c>
      <c r="W6171">
        <f>W6167</f>
        <v>11</v>
      </c>
      <c r="X6171" t="str">
        <v>x</v>
      </c>
      <c r="Y6171">
        <f>D6155</f>
        <v>3</v>
      </c>
      <c r="Z6171" t="str">
        <v>=</v>
      </c>
      <c r="AA6171">
        <f>N6171*U6171*W6171*Y6171</f>
        <v>0</v>
      </c>
    </row>
    <row r="6175">
      <c r="A6175" t="str">
        <f>A6145</f>
        <v>Lantai 3</v>
      </c>
      <c r="B6175">
        <f>B6145+1</f>
        <v>64</v>
      </c>
      <c r="C6175" t="str">
        <f>CONCATENATE(A6175," no. ",B6175)</f>
        <v>Lantai 3 no. 64</v>
      </c>
      <c r="D6175" t="str">
        <f>VLOOKUP(C6175,'Data Panjang Balok'!$C$9:$N$254,2,FALSE)</f>
        <v>B4-1</v>
      </c>
    </row>
    <row r="6176">
      <c r="C6176" t="str">
        <v>Dimensi</v>
      </c>
      <c r="D6176">
        <f>VLOOKUP(D6175,'Detail Balok'!$C$10:$AU$140,2,FALSE)</f>
        <v>130</v>
      </c>
      <c r="F6176" t="str">
        <v>x</v>
      </c>
      <c r="G6176">
        <f>VLOOKUP(D6175,'Detail Balok'!$C$10:$AU$140,3,FALSE)</f>
        <v>400</v>
      </c>
    </row>
    <row r="6177">
      <c r="C6177" t="str">
        <v>Panjang as ke as</v>
      </c>
      <c r="D6177">
        <f>VLOOKUP(C6175,'Data Panjang Balok'!$C$9:$N$254,4,FALSE)</f>
        <v>6570</v>
      </c>
    </row>
    <row r="6178">
      <c r="C6178" t="str">
        <v>Panjang netto</v>
      </c>
      <c r="D6178">
        <f>VLOOKUP(C6175,'Data Panjang Balok'!$C$9:$N$254,7,FALSE)</f>
        <v>6570</v>
      </c>
    </row>
    <row r="6179">
      <c r="C6179" t="str">
        <v>Kolom / balok kiri</v>
      </c>
      <c r="D6179">
        <f>VLOOKUP(C6175,'Data Panjang Balok'!$C$9:$N$254,9,FALSE)</f>
        <v>0</v>
      </c>
    </row>
    <row r="6180">
      <c r="C6180" t="str">
        <v>Kolom / balok kanan</v>
      </c>
      <c r="D6180">
        <f>VLOOKUP(C6175,'Data Panjang Balok'!$C$9:$N$254,10,FALSE)</f>
        <v>0</v>
      </c>
    </row>
    <row r="6181">
      <c r="C6181" t="str">
        <v>Jumlah</v>
      </c>
      <c r="D6181">
        <f>VLOOKUP(C6175,'Data Panjang Balok'!$C$9:$N$254,3,FALSE)</f>
        <v>1</v>
      </c>
    </row>
    <row r="6182">
      <c r="A6182" t="str">
        <f>A6175</f>
        <v>Lantai 3</v>
      </c>
      <c r="B6182">
        <f>B6175</f>
        <v>64</v>
      </c>
      <c r="C6182" t="str">
        <v>Tul Atas Tumpuan</v>
      </c>
      <c r="D6182">
        <f>VLOOKUP(D6175,'Detail Balok'!$C$10:$AU$140,4,FALSE)</f>
        <v>2</v>
      </c>
      <c r="E6182" t="str">
        <v>D</v>
      </c>
      <c r="F6182">
        <f>VLOOKUP(D6175,'Detail Balok'!$C$10:$AU$140,6,FALSE)</f>
        <v>13</v>
      </c>
      <c r="I6182" t="str">
        <v>(</v>
      </c>
      <c r="J6182">
        <f>+D6177/4/1000</f>
        <v>1.6425</v>
      </c>
      <c r="K6182" t="str">
        <v>+</v>
      </c>
      <c r="L6182">
        <f>MAX(VLOOKUP(F6182,N$6:P$15,3,FALSE)/1000,2/3*D6179/1000)+F$16*F6182/1000</f>
        <v>0.156</v>
      </c>
      <c r="M6182" t="str">
        <v>=</v>
      </c>
      <c r="N6182">
        <f>J6182+L6182</f>
        <v>1.7985</v>
      </c>
      <c r="O6182" t="str">
        <v>+</v>
      </c>
      <c r="P6182">
        <f>D6182-D6183</f>
        <v>0</v>
      </c>
      <c r="Q6182" t="str">
        <v>x</v>
      </c>
      <c r="R6182">
        <f>IF(P6182&gt;0,$F$18*F6182/1000,0)</f>
        <v>0</v>
      </c>
      <c r="S6182" t="str">
        <v>)</v>
      </c>
      <c r="T6182" t="str">
        <v>x</v>
      </c>
      <c r="U6182">
        <f>0.006165*F6182^2</f>
        <v>1.041885</v>
      </c>
      <c r="X6182" t="str">
        <v>x</v>
      </c>
      <c r="Y6182">
        <f>D6181</f>
        <v>1</v>
      </c>
      <c r="Z6182" t="str">
        <v>=</v>
      </c>
      <c r="AA6182">
        <f>IF(AA6185=0,(D6182*N6182+P6182*R6182)*U6182*Y6182,0)</f>
        <v>0</v>
      </c>
    </row>
    <row r="6183">
      <c r="A6183" t="str">
        <f>A6175</f>
        <v>Lantai 3</v>
      </c>
      <c r="B6183">
        <f>B6175</f>
        <v>64</v>
      </c>
      <c r="C6183" t="str">
        <v>Tul Atas Lapangan</v>
      </c>
      <c r="D6183">
        <f>VLOOKUP(D6175,'Detail Balok'!$C$10:$AU$140,7,FALSE)</f>
        <v>2</v>
      </c>
      <c r="E6183" t="str">
        <v>D</v>
      </c>
      <c r="F6183">
        <f>VLOOKUP(D6175,'Detail Balok'!$C$10:$AU$140,9,FALSE)</f>
        <v>13</v>
      </c>
      <c r="I6183" t="str">
        <v>(</v>
      </c>
      <c r="J6183">
        <f>+D6177/2/1000</f>
        <v>3.285</v>
      </c>
      <c r="K6183" t="str">
        <v>+</v>
      </c>
      <c r="M6183" t="str">
        <v>=</v>
      </c>
      <c r="N6183">
        <f>J6183+L6183</f>
        <v>3.285</v>
      </c>
      <c r="O6183" t="str">
        <v>+</v>
      </c>
      <c r="P6183">
        <f>MAX(D6183-D6182,D6183-D6184)</f>
        <v>0</v>
      </c>
      <c r="Q6183" t="str">
        <v>x</v>
      </c>
      <c r="R6183">
        <f>IF(P6183&gt;0,2*(1-2*$F$19-1/2)*D6178/1000,0)</f>
        <v>0</v>
      </c>
      <c r="S6183" t="str">
        <v>)</v>
      </c>
      <c r="T6183" t="str">
        <v>x</v>
      </c>
      <c r="U6183">
        <f>0.006165*F6183^2</f>
        <v>1.041885</v>
      </c>
      <c r="X6183" t="str">
        <v>x</v>
      </c>
      <c r="Y6183">
        <f>D6181</f>
        <v>1</v>
      </c>
      <c r="Z6183" t="str">
        <v>=</v>
      </c>
      <c r="AA6183">
        <f>IF(AA6185=0,(D6183*N6183+P6183*R6183)*U6183*Y6183,0)</f>
        <v>0</v>
      </c>
    </row>
    <row r="6184">
      <c r="A6184" t="str">
        <f>A6175</f>
        <v>Lantai 3</v>
      </c>
      <c r="B6184">
        <f>B6175</f>
        <v>64</v>
      </c>
      <c r="C6184" t="str">
        <v>Tul Atas Tumpuan</v>
      </c>
      <c r="D6184">
        <f>VLOOKUP(D6175,'Detail Balok'!$C$10:$AU$140,10,FALSE)</f>
        <v>2</v>
      </c>
      <c r="E6184" t="str">
        <v>D</v>
      </c>
      <c r="F6184">
        <f>VLOOKUP(D6175,'Detail Balok'!$C$10:$AU$140,12,FALSE)</f>
        <v>13</v>
      </c>
      <c r="I6184" t="str">
        <v>(</v>
      </c>
      <c r="J6184">
        <f>+D6177/4/1000</f>
        <v>1.6425</v>
      </c>
      <c r="K6184" t="str">
        <v>+</v>
      </c>
      <c r="L6184">
        <f>MAX(VLOOKUP(F6184,N$6:P$15,3,FALSE)/1000,2/3*D6179/1000)+F$16*F6184/1000</f>
        <v>0.156</v>
      </c>
      <c r="M6184" t="str">
        <v>=</v>
      </c>
      <c r="N6184">
        <f>J6184+L6184</f>
        <v>1.7985</v>
      </c>
      <c r="O6184" t="str">
        <v>+</v>
      </c>
      <c r="P6184">
        <f>D6184-D6183</f>
        <v>0</v>
      </c>
      <c r="Q6184" t="str">
        <v>x</v>
      </c>
      <c r="R6184">
        <f>IF(P6184&gt;0,$F$18*F6184/1000,0)</f>
        <v>0</v>
      </c>
      <c r="S6184" t="str">
        <v>)</v>
      </c>
      <c r="T6184" t="str">
        <v>x</v>
      </c>
      <c r="U6184">
        <f>0.006165*F6184^2</f>
        <v>1.041885</v>
      </c>
      <c r="X6184" t="str">
        <v>x</v>
      </c>
      <c r="Y6184">
        <f>D6181</f>
        <v>1</v>
      </c>
      <c r="Z6184" t="str">
        <v>=</v>
      </c>
      <c r="AA6184">
        <f>IF(AA6185=0,(D6184*N6184+P6184*R6184)*U6184*Y6184,0)</f>
        <v>0</v>
      </c>
    </row>
    <row r="6185">
      <c r="A6185" t="str">
        <f>A6175</f>
        <v>Lantai 3</v>
      </c>
      <c r="B6185">
        <f>B6175</f>
        <v>64</v>
      </c>
      <c r="D6185">
        <f>IF(AND(D6182=D6183,D6183=D6184,D6182=D6184),D6182,0)</f>
        <v>2</v>
      </c>
      <c r="E6185" t="str">
        <v>D</v>
      </c>
      <c r="F6185">
        <f>IF(AND(F6182=F6183,F6182=F6184,F6183=F6184),F6182,0)</f>
        <v>13</v>
      </c>
      <c r="L6185" t="str">
        <v>Total panjang per balok</v>
      </c>
      <c r="M6185" t="str">
        <v>=</v>
      </c>
      <c r="N6185">
        <f>IF(AND(D6182=D6183,D6182=D6184,D6183=D6184,F6182=F6183,F6182=F6184,F6183=F6184),SUM(N6182:N6184),0)</f>
        <v>6.882</v>
      </c>
      <c r="O6185" t="str">
        <v>+</v>
      </c>
      <c r="P6185">
        <f>IF(N6185&gt;12,ROUNDDOWN(N6185/12,0),0)</f>
        <v>0</v>
      </c>
      <c r="Q6185" t="str">
        <v>x</v>
      </c>
      <c r="R6185">
        <f>IF(P6185&gt;0,MAX(VLOOKUP(F6185,$D$6:$G$15,3,FALSE),600),0)/1000</f>
        <v>0</v>
      </c>
      <c r="T6185" t="str">
        <v>x</v>
      </c>
      <c r="U6185">
        <f>U6184</f>
        <v>1.041885</v>
      </c>
      <c r="V6185" t="str">
        <v>x</v>
      </c>
      <c r="W6185">
        <f>D6185</f>
        <v>2</v>
      </c>
      <c r="X6185" t="str">
        <v>x</v>
      </c>
      <c r="Y6185">
        <f>Y6184</f>
        <v>1</v>
      </c>
      <c r="Z6185" t="str">
        <v>=</v>
      </c>
      <c r="AA6185">
        <f>(N6185+P6185*R6185/1000)*U6185*W6185*Y6185</f>
        <v>14.34050514</v>
      </c>
    </row>
    <row r="6187">
      <c r="A6187" t="str">
        <f>A6175</f>
        <v>Lantai 3</v>
      </c>
      <c r="B6187">
        <f>B6175</f>
        <v>64</v>
      </c>
      <c r="C6187" t="str">
        <v>Tul Peminggang</v>
      </c>
      <c r="D6187">
        <f>VLOOKUP(D6175,'Detail Balok'!$C$10:$AU$140,13,FALSE)</f>
        <v>0</v>
      </c>
      <c r="E6187" t="str">
        <v>D</v>
      </c>
      <c r="F6187">
        <f>VLOOKUP(D6175,'Detail Balok'!$C$10:$AU$140,15,FALSE)</f>
        <v>8</v>
      </c>
      <c r="J6187">
        <f>+D6177/1000</f>
        <v>6.57</v>
      </c>
      <c r="K6187" t="str">
        <v>+</v>
      </c>
      <c r="L6187">
        <f>2*$F$16*F6187/1000</f>
        <v>0.192</v>
      </c>
      <c r="M6187" t="str">
        <v>=</v>
      </c>
      <c r="N6187">
        <f>J6187+L6187</f>
        <v>6.7620000000000005</v>
      </c>
      <c r="O6187" t="str">
        <v>+</v>
      </c>
      <c r="P6187">
        <f>IF(N6187&gt;12,ROUNDDOWN(N6187/12,0),0)</f>
        <v>0</v>
      </c>
      <c r="Q6187" t="str">
        <v>x</v>
      </c>
      <c r="R6187">
        <f>IF(P6187&gt;0,MAX(VLOOKUP(F6187,$D$6:$G$15,3,FALSE),600),0)/1000</f>
        <v>0</v>
      </c>
      <c r="T6187" t="str">
        <v>x</v>
      </c>
      <c r="U6187">
        <f>0.006165*F6187^2</f>
        <v>0.39456</v>
      </c>
      <c r="V6187" t="str">
        <v>x</v>
      </c>
      <c r="W6187">
        <f>+D6187</f>
        <v>0</v>
      </c>
      <c r="X6187" t="str">
        <v>x</v>
      </c>
      <c r="Y6187">
        <f>D6181</f>
        <v>1</v>
      </c>
      <c r="Z6187" t="str">
        <v>=</v>
      </c>
      <c r="AA6187">
        <f>(N6187+P6187*R6187/1000)*U6187*W6187*Y6187</f>
        <v>0</v>
      </c>
    </row>
    <row r="6190">
      <c r="A6190" t="str">
        <f>A6175</f>
        <v>Lantai 3</v>
      </c>
      <c r="B6190">
        <f>B6175</f>
        <v>64</v>
      </c>
      <c r="C6190" t="str">
        <v>Tul Bawah Tumpuan</v>
      </c>
      <c r="D6190">
        <f>VLOOKUP(D6175,'Detail Balok'!$C$10:$AU$140,22,FALSE)</f>
        <v>2</v>
      </c>
      <c r="E6190" t="str">
        <v>D</v>
      </c>
      <c r="F6190">
        <f>VLOOKUP(D6175,'Detail Balok'!$C$10:$AU$140,24,FALSE)</f>
        <v>13</v>
      </c>
      <c r="I6190" t="str">
        <v>(</v>
      </c>
      <c r="J6190">
        <f>+J6182</f>
        <v>1.6425</v>
      </c>
      <c r="K6190" t="str">
        <v>+</v>
      </c>
      <c r="L6190">
        <f>MAX(VLOOKUP(F6190,N$6:P$15,3,FALSE)/1000,2/3*D6180/1000)+F$16*F6190/1000</f>
        <v>0.156</v>
      </c>
      <c r="M6190" t="str">
        <v>=</v>
      </c>
      <c r="N6190">
        <f>J6190+L6190</f>
        <v>1.7985</v>
      </c>
      <c r="O6190" t="str">
        <v>+</v>
      </c>
      <c r="P6190">
        <f>D6190-D6191</f>
        <v>0</v>
      </c>
      <c r="Q6190" t="str">
        <v>x</v>
      </c>
      <c r="R6190">
        <f>IF(P6190&gt;0,$F$18*F6190/1000,0)</f>
        <v>0</v>
      </c>
      <c r="S6190" t="str">
        <v>)</v>
      </c>
      <c r="T6190" t="str">
        <v>x</v>
      </c>
      <c r="U6190">
        <f>0.006165*F6190^2</f>
        <v>1.041885</v>
      </c>
      <c r="X6190" t="str">
        <v>x</v>
      </c>
      <c r="Y6190">
        <f>D6181</f>
        <v>1</v>
      </c>
      <c r="Z6190" t="str">
        <v>=</v>
      </c>
      <c r="AA6190">
        <f>IF(AA6193=0,(D6190*N6190+P6190*R6190)*U6190*Y6190,0)</f>
        <v>0</v>
      </c>
    </row>
    <row r="6191">
      <c r="A6191" t="str">
        <f>A6175</f>
        <v>Lantai 3</v>
      </c>
      <c r="B6191">
        <f>B6175</f>
        <v>64</v>
      </c>
      <c r="C6191" t="str">
        <v>Tul Bawah Lapangan</v>
      </c>
      <c r="D6191">
        <f>VLOOKUP(D6175,'Detail Balok'!$C$10:$AU$140,25,FALSE)</f>
        <v>2</v>
      </c>
      <c r="E6191" t="str">
        <v>D</v>
      </c>
      <c r="F6191">
        <f>VLOOKUP(D6175,'Detail Balok'!$C$10:$AU$140,27,FALSE)</f>
        <v>13</v>
      </c>
      <c r="I6191" t="str">
        <v>(</v>
      </c>
      <c r="J6191">
        <f>+J6183</f>
        <v>3.285</v>
      </c>
      <c r="K6191" t="str">
        <v>+</v>
      </c>
      <c r="M6191" t="str">
        <v>=</v>
      </c>
      <c r="N6191">
        <f>J6191+L6191</f>
        <v>3.285</v>
      </c>
      <c r="O6191" t="str">
        <v>+</v>
      </c>
      <c r="P6191">
        <f>MAX(D6191-D6190,D6191-D6192)</f>
        <v>0</v>
      </c>
      <c r="Q6191" t="str">
        <v>x</v>
      </c>
      <c r="R6191">
        <f>IF(P6191&gt;0,2*(1-2*$F$19-1/2)*D6178/1000,0)</f>
        <v>0</v>
      </c>
      <c r="S6191" t="str">
        <v>)</v>
      </c>
      <c r="T6191" t="str">
        <v>x</v>
      </c>
      <c r="U6191">
        <f>0.006165*F6191^2</f>
        <v>1.041885</v>
      </c>
      <c r="X6191" t="str">
        <v>x</v>
      </c>
      <c r="Y6191">
        <f>D6181</f>
        <v>1</v>
      </c>
      <c r="Z6191" t="str">
        <v>=</v>
      </c>
      <c r="AA6191">
        <f>IF(AA6193=0,(D6191*N6191+P6191*R6191)*U6191*Y6191,0)</f>
        <v>0</v>
      </c>
    </row>
    <row r="6192">
      <c r="A6192" t="str">
        <f>A6175</f>
        <v>Lantai 3</v>
      </c>
      <c r="B6192">
        <f>B6175</f>
        <v>64</v>
      </c>
      <c r="C6192" t="str">
        <v>Tul Bawah Tumpuan</v>
      </c>
      <c r="D6192">
        <f>VLOOKUP(D6175,'Detail Balok'!$C$10:$AU$140,28,FALSE)</f>
        <v>2</v>
      </c>
      <c r="E6192" t="str">
        <v>D</v>
      </c>
      <c r="F6192">
        <f>VLOOKUP(D6175,'Detail Balok'!$C$10:$AU$140,30,FALSE)</f>
        <v>13</v>
      </c>
      <c r="I6192" t="str">
        <v>(</v>
      </c>
      <c r="J6192">
        <f>+J6184</f>
        <v>1.6425</v>
      </c>
      <c r="K6192" t="str">
        <v>+</v>
      </c>
      <c r="L6192">
        <f>MAX(VLOOKUP(F6192,N$6:P$15,3,FALSE)/1000,2/3*D6180/1000)+F$16*F6192/1000</f>
        <v>0.156</v>
      </c>
      <c r="M6192" t="str">
        <v>=</v>
      </c>
      <c r="N6192">
        <f>J6192+L6192</f>
        <v>1.7985</v>
      </c>
      <c r="O6192" t="str">
        <v>+</v>
      </c>
      <c r="P6192">
        <f>D6192-D6191</f>
        <v>0</v>
      </c>
      <c r="Q6192" t="str">
        <v>x</v>
      </c>
      <c r="R6192">
        <f>IF(P6192&gt;0,$F$18*F6192/1000,0)</f>
        <v>0</v>
      </c>
      <c r="S6192" t="str">
        <v>)</v>
      </c>
      <c r="T6192" t="str">
        <v>x</v>
      </c>
      <c r="U6192">
        <f>0.006165*F6192^2</f>
        <v>1.041885</v>
      </c>
      <c r="X6192" t="str">
        <v>x</v>
      </c>
      <c r="Y6192">
        <f>D6181</f>
        <v>1</v>
      </c>
      <c r="Z6192" t="str">
        <v>=</v>
      </c>
      <c r="AA6192">
        <f>IF(AA6193=0,(D6192*N6192+P6192*R6192)*U6192*Y6192,0)</f>
        <v>0</v>
      </c>
    </row>
    <row r="6193">
      <c r="A6193" t="str">
        <f>A6175</f>
        <v>Lantai 3</v>
      </c>
      <c r="B6193">
        <f>B6175</f>
        <v>64</v>
      </c>
      <c r="D6193">
        <f>IF(AND(D6190=D6191,D6191=D6192,D6190=D6192),D6190,0)</f>
        <v>2</v>
      </c>
      <c r="E6193" t="str">
        <v>D</v>
      </c>
      <c r="F6193">
        <f>IF(AND(F6190=F6191,F6190=F6192,F6191=F6192),F6190,0)</f>
        <v>13</v>
      </c>
      <c r="L6193" t="str">
        <v>Total panjang per balok</v>
      </c>
      <c r="M6193" t="str">
        <v>=</v>
      </c>
      <c r="N6193">
        <f>IF(AND(D6190=D6191,D6190=D6192,D6191=D6192,F6190=F6191,F6190=F6192,F6191=F6192),SUM(N6190:N6192),0)</f>
        <v>6.882</v>
      </c>
      <c r="O6193" t="str">
        <v>+</v>
      </c>
      <c r="P6193">
        <f>IF(N6193&gt;12,ROUNDDOWN(N6193/12,0),0)</f>
        <v>0</v>
      </c>
      <c r="Q6193" t="str">
        <v>x</v>
      </c>
      <c r="R6193">
        <f>IF(P6193&gt;0,MAX(VLOOKUP(F6193,$D$6:$G$15,3,FALSE),600),0)/1000</f>
        <v>0</v>
      </c>
      <c r="T6193" t="str">
        <v>x</v>
      </c>
      <c r="U6193">
        <f>U6192</f>
        <v>1.041885</v>
      </c>
      <c r="V6193" t="str">
        <v>x</v>
      </c>
      <c r="W6193">
        <f>D6193</f>
        <v>2</v>
      </c>
      <c r="X6193" t="str">
        <v>x</v>
      </c>
      <c r="Y6193">
        <f>Y6192</f>
        <v>1</v>
      </c>
      <c r="Z6193" t="str">
        <v>=</v>
      </c>
      <c r="AA6193">
        <f>(N6193+P6193*R6193/1000)*U6193*W6193*Y6193</f>
        <v>14.34050514</v>
      </c>
    </row>
    <row r="6195">
      <c r="A6195" t="str">
        <f>A6175</f>
        <v>Lantai 3</v>
      </c>
      <c r="B6195">
        <f>B6175</f>
        <v>64</v>
      </c>
      <c r="C6195" t="str">
        <v>Sengkang Tumpuan</v>
      </c>
      <c r="D6195">
        <f>VLOOKUP(D6175,'Detail Balok'!$C$10:$AU$140,31,FALSE)</f>
        <v>0</v>
      </c>
      <c r="E6195" t="str">
        <v>D</v>
      </c>
      <c r="F6195">
        <f>VLOOKUP(D6175,'Detail Balok'!$C$10:$AU$140,33,FALSE)</f>
        <v>8</v>
      </c>
      <c r="G6195" t="str">
        <v>-</v>
      </c>
      <c r="H6195">
        <f>VLOOKUP(D6175,'Detail Balok'!$C$10:$AU$140,35,FALSE)</f>
        <v>150</v>
      </c>
      <c r="J6195">
        <f>(IF(D6195=0,(2*(D6176+G6176))-(F$5*8),IF(D6195=3,(2*(D6176+G6176))-(F$5*8)+(G6176-2*F$5),IF(D6195=4,(2*(D6176+G6176))-(F$5*8)+2*(G6176-2*F$5)))))/1000</f>
        <v>0.74</v>
      </c>
      <c r="K6195" t="str">
        <v>+</v>
      </c>
      <c r="L6195">
        <f>IF(D6195=0,2*MAX(6*F6195,75),(D6195-1)*2*MAX(6*F6195,75))/1000</f>
        <v>0.15</v>
      </c>
      <c r="M6195" t="str">
        <v>=</v>
      </c>
      <c r="N6195">
        <f>J6195+L6195</f>
        <v>0.89</v>
      </c>
      <c r="T6195" t="str">
        <v>x</v>
      </c>
      <c r="U6195">
        <f>0.006165*F6195^2</f>
        <v>0.39456</v>
      </c>
      <c r="V6195" t="str">
        <v>x</v>
      </c>
      <c r="W6195">
        <f>IF(D6178&gt;4*G6176,ROUND(MAX(D6178/4,2*G6176)/H6195,0)+1,ROUND(D6178/H6195,0)+1)</f>
        <v>12</v>
      </c>
      <c r="X6195" t="str">
        <v>x</v>
      </c>
      <c r="Y6195">
        <f>D6181</f>
        <v>1</v>
      </c>
      <c r="Z6195" t="str">
        <v>=</v>
      </c>
      <c r="AA6195">
        <f>N6195*U6195*W6195*Y6195</f>
        <v>4.2139008</v>
      </c>
    </row>
    <row r="6196">
      <c r="A6196" t="str">
        <f>A6175</f>
        <v>Lantai 3</v>
      </c>
      <c r="B6196">
        <f>B6175</f>
        <v>64</v>
      </c>
      <c r="C6196" t="str">
        <v>Sengkang Lapangan</v>
      </c>
      <c r="D6196">
        <f>VLOOKUP(D6175,'Detail Balok'!$C$10:$AU$140,36,FALSE)</f>
        <v>0</v>
      </c>
      <c r="E6196" t="str">
        <v>D</v>
      </c>
      <c r="F6196">
        <f>VLOOKUP(D6175,'Detail Balok'!$C$10:$AU$140,38,FALSE)</f>
        <v>8</v>
      </c>
      <c r="G6196" t="str">
        <v>-</v>
      </c>
      <c r="H6196">
        <f>VLOOKUP(D6175,'Detail Balok'!$C$10:$AU$140,40,FALSE)</f>
        <v>200</v>
      </c>
      <c r="J6196">
        <f>(IF(D6196=0,(2*(D6176+G6176))-(F$5*8),IF(D6196=3,(2*(D6176+G6176))-(F$5*8)+(G6176-2*F$5),IF(D6196=4,(2*(D6176+G6176))-(F$5*8)+2*(G6176-2*F$5)))))/1000</f>
        <v>0.74</v>
      </c>
      <c r="K6196" t="str">
        <v>+</v>
      </c>
      <c r="L6196">
        <f>IF(D6196=0,2*MAX(6*F6196,75),(D6196-1)*2*MAX(6*F6196,75))/1000</f>
        <v>0.15</v>
      </c>
      <c r="M6196" t="str">
        <v>=</v>
      </c>
      <c r="N6196">
        <f>J6196+L6196</f>
        <v>0.89</v>
      </c>
      <c r="T6196" t="str">
        <v>x</v>
      </c>
      <c r="U6196">
        <f>0.006165*F6196^2</f>
        <v>0.39456</v>
      </c>
      <c r="V6196" t="str">
        <v>x</v>
      </c>
      <c r="W6196">
        <f>IF(D6178-MAX(D6178/4,2*G6176)*2&gt;0,ROUND((D6178-MAX(D6178/4,2*G6176)*2)/H6196,0),0)</f>
        <v>16</v>
      </c>
      <c r="X6196" t="str">
        <v>x</v>
      </c>
      <c r="Y6196">
        <f>D6181</f>
        <v>1</v>
      </c>
      <c r="Z6196" t="str">
        <v>=</v>
      </c>
      <c r="AA6196">
        <f>N6196*U6196*W6196*Y6196</f>
        <v>5.618534400000001</v>
      </c>
    </row>
    <row r="6197">
      <c r="A6197" t="str">
        <f>A6175</f>
        <v>Lantai 3</v>
      </c>
      <c r="B6197">
        <f>B6175</f>
        <v>64</v>
      </c>
      <c r="C6197" t="str">
        <v>Sengkang Tumpuan</v>
      </c>
      <c r="D6197">
        <f>VLOOKUP(D6175,'Detail Balok'!$C$10:$AU$140,41,FALSE)</f>
        <v>0</v>
      </c>
      <c r="E6197" t="str">
        <v>D</v>
      </c>
      <c r="F6197">
        <f>VLOOKUP(D6175,'Detail Balok'!$C$10:$AU$140,43,FALSE)</f>
        <v>8</v>
      </c>
      <c r="G6197" t="str">
        <v>-</v>
      </c>
      <c r="H6197">
        <f>VLOOKUP(D6175,'Detail Balok'!$C$10:$AU$140,45,FALSE)</f>
        <v>150</v>
      </c>
      <c r="J6197">
        <f>(IF(D6197=0,(2*(D6176+G6176))-(F$5*8),IF(D6197=3,(2*(D6176+G6176))-(F$5*8)+(G6176-2*F$5),IF(D6197=4,(2*(D6176+G6176))-(F$5*8)+2*(G6176-2*F$5)))))/1000</f>
        <v>0.74</v>
      </c>
      <c r="K6197" t="str">
        <v>+</v>
      </c>
      <c r="L6197">
        <f>IF(D6197=0,2*MAX(6*F6197,75),(D6197-1)*2*MAX(6*F6197,75))/1000</f>
        <v>0.15</v>
      </c>
      <c r="M6197" t="str">
        <v>=</v>
      </c>
      <c r="N6197">
        <f>J6197+L6197</f>
        <v>0.89</v>
      </c>
      <c r="T6197" t="str">
        <v>x</v>
      </c>
      <c r="U6197">
        <f>0.006165*F6197^2</f>
        <v>0.39456</v>
      </c>
      <c r="V6197" t="str">
        <v>x</v>
      </c>
      <c r="W6197">
        <f>IF(D6178&gt;4*G6176,ROUND(MAX(D6178/4,2*G6176)/H6197,0)+1,0)</f>
        <v>12</v>
      </c>
      <c r="X6197" t="str">
        <v>x</v>
      </c>
      <c r="Y6197">
        <f>D6181</f>
        <v>1</v>
      </c>
      <c r="Z6197" t="str">
        <v>=</v>
      </c>
      <c r="AA6197">
        <f>N6197*U6197*W6197*Y6197</f>
        <v>4.2139008</v>
      </c>
    </row>
    <row r="6199">
      <c r="A6199" t="str">
        <f>A6175</f>
        <v>Lantai 3</v>
      </c>
      <c r="B6199">
        <f>B6175</f>
        <v>64</v>
      </c>
      <c r="C6199" t="str">
        <v>Kait Horizontal Tump.</v>
      </c>
      <c r="D6199">
        <f>VLOOKUP(D6175,'Detail Balok'!$C$10:$BJ$140,46,FALSE)</f>
        <v>0</v>
      </c>
      <c r="E6199" t="str">
        <v>D</v>
      </c>
      <c r="F6199">
        <f>VLOOKUP(D6175,'Detail Balok'!$C$10:$BJ$140,48,FALSE)</f>
        <v>0</v>
      </c>
      <c r="G6199" t="str">
        <v>-</v>
      </c>
      <c r="H6199">
        <f>VLOOKUP(D6175,'Detail Balok'!$C$10:$BJ$140,50,FALSE)</f>
        <v>100</v>
      </c>
      <c r="J6199">
        <f>(D6176-2*F$5)/1000</f>
        <v>0.05</v>
      </c>
      <c r="K6199" t="str">
        <v>+</v>
      </c>
      <c r="L6199">
        <f>IF(D6199=0,2*MAX(6*F6199,75),(D6199-1)*2*MAX(6*F6199,75))/1000</f>
        <v>0.15</v>
      </c>
      <c r="M6199" t="str">
        <v>=</v>
      </c>
      <c r="N6199">
        <f>J6199+L6199</f>
        <v>0.2</v>
      </c>
      <c r="T6199" t="str">
        <v>x</v>
      </c>
      <c r="U6199">
        <f>0.006165*F6199^2</f>
        <v>0</v>
      </c>
      <c r="V6199" t="str">
        <v>x</v>
      </c>
      <c r="W6199">
        <f>W6195</f>
        <v>12</v>
      </c>
      <c r="X6199" t="str">
        <v>x</v>
      </c>
      <c r="Y6199">
        <f>D6185</f>
        <v>2</v>
      </c>
      <c r="Z6199" t="str">
        <v>=</v>
      </c>
      <c r="AA6199">
        <f>N6199*U6199*W6199*Y6199</f>
        <v>0</v>
      </c>
    </row>
    <row r="6200">
      <c r="A6200" t="str">
        <f>A6175</f>
        <v>Lantai 3</v>
      </c>
      <c r="B6200">
        <f>B6175</f>
        <v>64</v>
      </c>
      <c r="C6200" t="str">
        <v>Kait Horizontal Lap.</v>
      </c>
      <c r="D6200">
        <f>VLOOKUP(D6175,'Detail Balok'!$C$10:$BJ$140,51,FALSE)</f>
        <v>0</v>
      </c>
      <c r="E6200" t="str">
        <v>D</v>
      </c>
      <c r="F6200">
        <f>VLOOKUP(D6175,'Detail Balok'!$C$10:$BJ$140,53,FALSE)</f>
        <v>0</v>
      </c>
      <c r="G6200" t="str">
        <v>-</v>
      </c>
      <c r="H6200">
        <f>VLOOKUP(D6175,'Detail Balok'!$C$10:$BJ$140,55,FALSE)</f>
        <v>100</v>
      </c>
      <c r="J6200">
        <f>(D6176-2*F$5)/1000</f>
        <v>0.05</v>
      </c>
      <c r="K6200" t="str">
        <v>+</v>
      </c>
      <c r="L6200">
        <f>IF(D6200=0,2*MAX(6*F6200,75),(D6200-1)*2*MAX(6*F6200,75))/1000</f>
        <v>0.15</v>
      </c>
      <c r="M6200" t="str">
        <v>=</v>
      </c>
      <c r="N6200">
        <f>J6200+L6200</f>
        <v>0.2</v>
      </c>
      <c r="T6200" t="str">
        <v>x</v>
      </c>
      <c r="U6200">
        <f>0.006165*F6200^2</f>
        <v>0</v>
      </c>
      <c r="V6200" t="str">
        <v>x</v>
      </c>
      <c r="W6200">
        <f>W6196</f>
        <v>16</v>
      </c>
      <c r="X6200" t="str">
        <v>x</v>
      </c>
      <c r="Y6200">
        <f>D6185</f>
        <v>2</v>
      </c>
      <c r="Z6200" t="str">
        <v>=</v>
      </c>
      <c r="AA6200">
        <f>N6200*U6200*W6200*Y6200</f>
        <v>0</v>
      </c>
    </row>
    <row r="6201">
      <c r="A6201" t="str">
        <f>A6175</f>
        <v>Lantai 3</v>
      </c>
      <c r="B6201">
        <f>B6175</f>
        <v>64</v>
      </c>
      <c r="C6201" t="str">
        <v>Kait Horizontal Tump.</v>
      </c>
      <c r="D6201">
        <f>VLOOKUP(D6175,'Detail Balok'!$C$10:$BJ$140,56,FALSE)</f>
        <v>0</v>
      </c>
      <c r="E6201" t="str">
        <v>D</v>
      </c>
      <c r="F6201">
        <f>VLOOKUP(D6175,'Detail Balok'!$C$10:$BJ$140,58,FALSE)</f>
        <v>0</v>
      </c>
      <c r="G6201" t="str">
        <v>-</v>
      </c>
      <c r="H6201">
        <f>VLOOKUP(D6175,'Detail Balok'!$C$10:$BJ$140,60,FALSE)</f>
        <v>100</v>
      </c>
      <c r="J6201">
        <f>(D6176-2*F$5)/1000</f>
        <v>0.05</v>
      </c>
      <c r="K6201" t="str">
        <v>+</v>
      </c>
      <c r="L6201">
        <f>IF(D6201=0,2*MAX(6*F6201,75),(D6201-1)*2*MAX(6*F6201,75))/1000</f>
        <v>0.15</v>
      </c>
      <c r="M6201" t="str">
        <v>=</v>
      </c>
      <c r="N6201">
        <f>J6201+L6201</f>
        <v>0.2</v>
      </c>
      <c r="T6201" t="str">
        <v>x</v>
      </c>
      <c r="U6201">
        <f>0.006165*F6201^2</f>
        <v>0</v>
      </c>
      <c r="V6201" t="str">
        <v>x</v>
      </c>
      <c r="W6201">
        <f>W6197</f>
        <v>12</v>
      </c>
      <c r="X6201" t="str">
        <v>x</v>
      </c>
      <c r="Y6201">
        <f>D6185</f>
        <v>2</v>
      </c>
      <c r="Z6201" t="str">
        <v>=</v>
      </c>
      <c r="AA6201">
        <f>N6201*U6201*W6201*Y6201</f>
        <v>0</v>
      </c>
    </row>
    <row r="6205">
      <c r="A6205" t="str">
        <v>Lantai Atap</v>
      </c>
      <c r="B6205">
        <v>1</v>
      </c>
      <c r="C6205" t="str">
        <f>CONCATENATE(A6205," no. ",B6205)</f>
        <v>Lantai Atap no. 1</v>
      </c>
      <c r="D6205" t="str">
        <f>VLOOKUP(C6205,'Data Panjang Balok'!$C$9:$N$254,2,FALSE)</f>
        <v>B4-1</v>
      </c>
    </row>
    <row r="6206">
      <c r="C6206" t="str">
        <v>Dimensi</v>
      </c>
      <c r="D6206">
        <f>VLOOKUP(D6205,'Detail Balok'!$C$10:$AU$140,2,FALSE)</f>
        <v>130</v>
      </c>
      <c r="F6206" t="str">
        <v>x</v>
      </c>
      <c r="G6206">
        <f>VLOOKUP(D6205,'Detail Balok'!$C$10:$AU$140,3,FALSE)</f>
        <v>400</v>
      </c>
    </row>
    <row r="6207">
      <c r="C6207" t="str">
        <v>Panjang as ke as</v>
      </c>
      <c r="D6207">
        <f>VLOOKUP(C6205,'Data Panjang Balok'!$C$9:$N$254,4,FALSE)</f>
        <v>9250</v>
      </c>
    </row>
    <row r="6208">
      <c r="C6208" t="str">
        <v>Panjang netto</v>
      </c>
      <c r="D6208">
        <f>VLOOKUP(C6205,'Data Panjang Balok'!$C$9:$N$254,7,FALSE)</f>
        <v>9250</v>
      </c>
    </row>
    <row r="6209">
      <c r="C6209" t="str">
        <v>Kolom / balok kiri</v>
      </c>
      <c r="D6209">
        <f>VLOOKUP(C6205,'Data Panjang Balok'!$C$9:$N$254,9,FALSE)</f>
        <v>0</v>
      </c>
    </row>
    <row r="6210">
      <c r="C6210" t="str">
        <v>Kolom / balok kanan</v>
      </c>
      <c r="D6210">
        <f>VLOOKUP(C6205,'Data Panjang Balok'!$C$9:$N$254,10,FALSE)</f>
        <v>0</v>
      </c>
    </row>
    <row r="6211">
      <c r="C6211" t="str">
        <v>Jumlah</v>
      </c>
      <c r="D6211">
        <f>VLOOKUP(C6205,'Data Panjang Balok'!$C$9:$N$254,3,FALSE)</f>
        <v>1</v>
      </c>
    </row>
    <row r="6212">
      <c r="A6212" t="str">
        <f>A6205</f>
        <v>Lantai Atap</v>
      </c>
      <c r="B6212">
        <f>B6205</f>
        <v>1</v>
      </c>
      <c r="C6212" t="str">
        <v>Tul Atas Tumpuan</v>
      </c>
      <c r="D6212">
        <f>VLOOKUP(D6205,'Detail Balok'!$C$10:$AU$140,4,FALSE)</f>
        <v>2</v>
      </c>
      <c r="E6212" t="str">
        <v>D</v>
      </c>
      <c r="F6212">
        <f>VLOOKUP(D6205,'Detail Balok'!$C$10:$AU$140,6,FALSE)</f>
        <v>13</v>
      </c>
      <c r="I6212" t="str">
        <v>(</v>
      </c>
      <c r="J6212">
        <f>+D6207/4/1000</f>
        <v>2.3125</v>
      </c>
      <c r="K6212" t="str">
        <v>+</v>
      </c>
      <c r="L6212">
        <f>MAX(VLOOKUP(F6212,N$6:P$15,3,FALSE)/1000,2/3*D6209/1000)+F$16*F6212/1000</f>
        <v>0.156</v>
      </c>
      <c r="M6212" t="str">
        <v>=</v>
      </c>
      <c r="N6212">
        <f>J6212+L6212</f>
        <v>2.4685</v>
      </c>
      <c r="O6212" t="str">
        <v>+</v>
      </c>
      <c r="P6212">
        <f>D6212-D6213</f>
        <v>0</v>
      </c>
      <c r="Q6212" t="str">
        <v>x</v>
      </c>
      <c r="R6212">
        <f>IF(P6212&gt;0,$F$18*F6212/1000,0)</f>
        <v>0</v>
      </c>
      <c r="S6212" t="str">
        <v>)</v>
      </c>
      <c r="T6212" t="str">
        <v>x</v>
      </c>
      <c r="U6212">
        <f>0.006165*F6212^2</f>
        <v>1.041885</v>
      </c>
      <c r="X6212" t="str">
        <v>x</v>
      </c>
      <c r="Y6212">
        <f>D6211</f>
        <v>1</v>
      </c>
      <c r="Z6212" t="str">
        <v>=</v>
      </c>
      <c r="AA6212">
        <f>IF(AA6215=0,(D6212*N6212+P6212*R6212)*U6212*Y6212,0)</f>
        <v>0</v>
      </c>
    </row>
    <row r="6213">
      <c r="A6213" t="str">
        <f>A6205</f>
        <v>Lantai Atap</v>
      </c>
      <c r="B6213">
        <f>B6205</f>
        <v>1</v>
      </c>
      <c r="C6213" t="str">
        <v>Tul Atas Lapangan</v>
      </c>
      <c r="D6213">
        <f>VLOOKUP(D6205,'Detail Balok'!$C$10:$AU$140,7,FALSE)</f>
        <v>2</v>
      </c>
      <c r="E6213" t="str">
        <v>D</v>
      </c>
      <c r="F6213">
        <f>VLOOKUP(D6205,'Detail Balok'!$C$10:$AU$140,9,FALSE)</f>
        <v>13</v>
      </c>
      <c r="I6213" t="str">
        <v>(</v>
      </c>
      <c r="J6213">
        <f>+D6207/2/1000</f>
        <v>4.625</v>
      </c>
      <c r="K6213" t="str">
        <v>+</v>
      </c>
      <c r="M6213" t="str">
        <v>=</v>
      </c>
      <c r="N6213">
        <f>J6213+L6213</f>
        <v>4.625</v>
      </c>
      <c r="O6213" t="str">
        <v>+</v>
      </c>
      <c r="P6213">
        <f>MAX(D6213-D6212,D6213-D6214)</f>
        <v>0</v>
      </c>
      <c r="Q6213" t="str">
        <v>x</v>
      </c>
      <c r="R6213">
        <f>IF(P6213&gt;0,2*(1-2*$F$19-1/2)*D6208/1000,0)</f>
        <v>0</v>
      </c>
      <c r="S6213" t="str">
        <v>)</v>
      </c>
      <c r="T6213" t="str">
        <v>x</v>
      </c>
      <c r="U6213">
        <f>0.006165*F6213^2</f>
        <v>1.041885</v>
      </c>
      <c r="X6213" t="str">
        <v>x</v>
      </c>
      <c r="Y6213">
        <f>D6211</f>
        <v>1</v>
      </c>
      <c r="Z6213" t="str">
        <v>=</v>
      </c>
      <c r="AA6213">
        <f>IF(AA6215=0,(D6213*N6213+P6213*R6213)*U6213*Y6213,0)</f>
        <v>0</v>
      </c>
    </row>
    <row r="6214">
      <c r="A6214" t="str">
        <f>A6205</f>
        <v>Lantai Atap</v>
      </c>
      <c r="B6214">
        <f>B6205</f>
        <v>1</v>
      </c>
      <c r="C6214" t="str">
        <v>Tul Atas Tumpuan</v>
      </c>
      <c r="D6214">
        <f>VLOOKUP(D6205,'Detail Balok'!$C$10:$AU$140,10,FALSE)</f>
        <v>2</v>
      </c>
      <c r="E6214" t="str">
        <v>D</v>
      </c>
      <c r="F6214">
        <f>VLOOKUP(D6205,'Detail Balok'!$C$10:$AU$140,12,FALSE)</f>
        <v>13</v>
      </c>
      <c r="I6214" t="str">
        <v>(</v>
      </c>
      <c r="J6214">
        <f>+D6207/4/1000</f>
        <v>2.3125</v>
      </c>
      <c r="K6214" t="str">
        <v>+</v>
      </c>
      <c r="L6214">
        <f>MAX(VLOOKUP(F6214,N$6:P$15,3,FALSE)/1000,2/3*D6209/1000)+F$16*F6214/1000</f>
        <v>0.156</v>
      </c>
      <c r="M6214" t="str">
        <v>=</v>
      </c>
      <c r="N6214">
        <f>J6214+L6214</f>
        <v>2.4685</v>
      </c>
      <c r="O6214" t="str">
        <v>+</v>
      </c>
      <c r="P6214">
        <f>D6214-D6213</f>
        <v>0</v>
      </c>
      <c r="Q6214" t="str">
        <v>x</v>
      </c>
      <c r="R6214">
        <f>IF(P6214&gt;0,$F$18*F6214/1000,0)</f>
        <v>0</v>
      </c>
      <c r="S6214" t="str">
        <v>)</v>
      </c>
      <c r="T6214" t="str">
        <v>x</v>
      </c>
      <c r="U6214">
        <f>0.006165*F6214^2</f>
        <v>1.041885</v>
      </c>
      <c r="X6214" t="str">
        <v>x</v>
      </c>
      <c r="Y6214">
        <f>D6211</f>
        <v>1</v>
      </c>
      <c r="Z6214" t="str">
        <v>=</v>
      </c>
      <c r="AA6214">
        <f>IF(AA6215=0,(D6214*N6214+P6214*R6214)*U6214*Y6214,0)</f>
        <v>0</v>
      </c>
    </row>
    <row r="6215">
      <c r="A6215" t="str">
        <f>A6205</f>
        <v>Lantai Atap</v>
      </c>
      <c r="B6215">
        <f>B6205</f>
        <v>1</v>
      </c>
      <c r="D6215">
        <f>IF(AND(D6212=D6213,D6213=D6214,D6212=D6214),D6212,0)</f>
        <v>2</v>
      </c>
      <c r="E6215" t="str">
        <v>D</v>
      </c>
      <c r="F6215">
        <f>IF(AND(F6212=F6213,F6212=F6214,F6213=F6214),F6212,0)</f>
        <v>13</v>
      </c>
      <c r="L6215" t="str">
        <v>Total panjang per balok</v>
      </c>
      <c r="M6215" t="str">
        <v>=</v>
      </c>
      <c r="N6215">
        <f>IF(AND(D6212=D6213,D6212=D6214,D6213=D6214,F6212=F6213,F6212=F6214,F6213=F6214),SUM(N6212:N6214),0)</f>
        <v>9.562000000000001</v>
      </c>
      <c r="O6215" t="str">
        <v>+</v>
      </c>
      <c r="P6215">
        <f>IF(N6215&gt;12,ROUNDDOWN(N6215/12,0),0)</f>
        <v>0</v>
      </c>
      <c r="Q6215" t="str">
        <v>x</v>
      </c>
      <c r="R6215">
        <f>IF(P6215&gt;0,MAX(VLOOKUP(F6215,$D$6:$G$15,3,FALSE),600),0)/1000</f>
        <v>0</v>
      </c>
      <c r="T6215" t="str">
        <v>x</v>
      </c>
      <c r="U6215">
        <f>U6214</f>
        <v>1.041885</v>
      </c>
      <c r="V6215" t="str">
        <v>x</v>
      </c>
      <c r="W6215">
        <f>D6215</f>
        <v>2</v>
      </c>
      <c r="X6215" t="str">
        <v>x</v>
      </c>
      <c r="Y6215">
        <f>Y6214</f>
        <v>1</v>
      </c>
      <c r="Z6215" t="str">
        <v>=</v>
      </c>
      <c r="AA6215">
        <f>(N6215+P6215*R6215/1000)*U6215*W6215*Y6215</f>
        <v>19.925008740000003</v>
      </c>
    </row>
    <row r="6217">
      <c r="A6217" t="str">
        <f>A6205</f>
        <v>Lantai Atap</v>
      </c>
      <c r="B6217">
        <f>B6205</f>
        <v>1</v>
      </c>
      <c r="C6217" t="str">
        <v>Tul Peminggang</v>
      </c>
      <c r="D6217">
        <f>VLOOKUP(D6205,'Detail Balok'!$C$10:$AU$140,13,FALSE)</f>
        <v>0</v>
      </c>
      <c r="E6217" t="str">
        <v>D</v>
      </c>
      <c r="F6217">
        <f>VLOOKUP(D6205,'Detail Balok'!$C$10:$AU$140,15,FALSE)</f>
        <v>8</v>
      </c>
      <c r="J6217">
        <f>+D6207/1000</f>
        <v>9.25</v>
      </c>
      <c r="K6217" t="str">
        <v>+</v>
      </c>
      <c r="L6217">
        <f>2*$F$16*F6217/1000</f>
        <v>0.192</v>
      </c>
      <c r="M6217" t="str">
        <v>=</v>
      </c>
      <c r="N6217">
        <f>J6217+L6217</f>
        <v>9.442</v>
      </c>
      <c r="O6217" t="str">
        <v>+</v>
      </c>
      <c r="P6217">
        <f>IF(N6217&gt;12,ROUNDDOWN(N6217/12,0),0)</f>
        <v>0</v>
      </c>
      <c r="Q6217" t="str">
        <v>x</v>
      </c>
      <c r="R6217">
        <f>IF(P6217&gt;0,MAX(VLOOKUP(F6217,$D$6:$G$15,3,FALSE),600),0)/1000</f>
        <v>0</v>
      </c>
      <c r="T6217" t="str">
        <v>x</v>
      </c>
      <c r="U6217">
        <f>0.006165*F6217^2</f>
        <v>0.39456</v>
      </c>
      <c r="V6217" t="str">
        <v>x</v>
      </c>
      <c r="W6217">
        <f>+D6217</f>
        <v>0</v>
      </c>
      <c r="X6217" t="str">
        <v>x</v>
      </c>
      <c r="Y6217">
        <f>D6211</f>
        <v>1</v>
      </c>
      <c r="Z6217" t="str">
        <v>=</v>
      </c>
      <c r="AA6217">
        <f>(N6217+P6217*R6217/1000)*U6217*W6217*Y6217</f>
        <v>0</v>
      </c>
    </row>
    <row r="6220">
      <c r="A6220" t="str">
        <f>A6205</f>
        <v>Lantai Atap</v>
      </c>
      <c r="B6220">
        <f>B6205</f>
        <v>1</v>
      </c>
      <c r="C6220" t="str">
        <v>Tul Bawah Tumpuan</v>
      </c>
      <c r="D6220">
        <f>VLOOKUP(D6205,'Detail Balok'!$C$10:$AU$140,22,FALSE)</f>
        <v>2</v>
      </c>
      <c r="E6220" t="str">
        <v>D</v>
      </c>
      <c r="F6220">
        <f>VLOOKUP(D6205,'Detail Balok'!$C$10:$AU$140,24,FALSE)</f>
        <v>13</v>
      </c>
      <c r="I6220" t="str">
        <v>(</v>
      </c>
      <c r="J6220">
        <f>+J6212</f>
        <v>2.3125</v>
      </c>
      <c r="K6220" t="str">
        <v>+</v>
      </c>
      <c r="L6220">
        <f>MAX(VLOOKUP(F6220,N$6:P$15,3,FALSE)/1000,2/3*D6210/1000)+F$16*F6220/1000</f>
        <v>0.156</v>
      </c>
      <c r="M6220" t="str">
        <v>=</v>
      </c>
      <c r="N6220">
        <f>J6220+L6220</f>
        <v>2.4685</v>
      </c>
      <c r="O6220" t="str">
        <v>+</v>
      </c>
      <c r="P6220">
        <f>D6220-D6221</f>
        <v>0</v>
      </c>
      <c r="Q6220" t="str">
        <v>x</v>
      </c>
      <c r="R6220">
        <f>IF(P6220&gt;0,$F$18*F6220/1000,0)</f>
        <v>0</v>
      </c>
      <c r="S6220" t="str">
        <v>)</v>
      </c>
      <c r="T6220" t="str">
        <v>x</v>
      </c>
      <c r="U6220">
        <f>0.006165*F6220^2</f>
        <v>1.041885</v>
      </c>
      <c r="X6220" t="str">
        <v>x</v>
      </c>
      <c r="Y6220">
        <f>D6211</f>
        <v>1</v>
      </c>
      <c r="Z6220" t="str">
        <v>=</v>
      </c>
      <c r="AA6220">
        <f>IF(AA6223=0,(D6220*N6220+P6220*R6220)*U6220*Y6220,0)</f>
        <v>0</v>
      </c>
    </row>
    <row r="6221">
      <c r="A6221" t="str">
        <f>A6205</f>
        <v>Lantai Atap</v>
      </c>
      <c r="B6221">
        <f>B6205</f>
        <v>1</v>
      </c>
      <c r="C6221" t="str">
        <v>Tul Bawah Lapangan</v>
      </c>
      <c r="D6221">
        <f>VLOOKUP(D6205,'Detail Balok'!$C$10:$AU$140,25,FALSE)</f>
        <v>2</v>
      </c>
      <c r="E6221" t="str">
        <v>D</v>
      </c>
      <c r="F6221">
        <f>VLOOKUP(D6205,'Detail Balok'!$C$10:$AU$140,27,FALSE)</f>
        <v>13</v>
      </c>
      <c r="I6221" t="str">
        <v>(</v>
      </c>
      <c r="J6221">
        <f>+J6213</f>
        <v>4.625</v>
      </c>
      <c r="K6221" t="str">
        <v>+</v>
      </c>
      <c r="M6221" t="str">
        <v>=</v>
      </c>
      <c r="N6221">
        <f>J6221+L6221</f>
        <v>4.625</v>
      </c>
      <c r="O6221" t="str">
        <v>+</v>
      </c>
      <c r="P6221">
        <f>MAX(D6221-D6220,D6221-D6222)</f>
        <v>0</v>
      </c>
      <c r="Q6221" t="str">
        <v>x</v>
      </c>
      <c r="R6221">
        <f>IF(P6221&gt;0,2*(1-2*$F$19-1/2)*D6208/1000,0)</f>
        <v>0</v>
      </c>
      <c r="S6221" t="str">
        <v>)</v>
      </c>
      <c r="T6221" t="str">
        <v>x</v>
      </c>
      <c r="U6221">
        <f>0.006165*F6221^2</f>
        <v>1.041885</v>
      </c>
      <c r="X6221" t="str">
        <v>x</v>
      </c>
      <c r="Y6221">
        <f>D6211</f>
        <v>1</v>
      </c>
      <c r="Z6221" t="str">
        <v>=</v>
      </c>
      <c r="AA6221">
        <f>IF(AA6223=0,(D6221*N6221+P6221*R6221)*U6221*Y6221,0)</f>
        <v>0</v>
      </c>
    </row>
    <row r="6222">
      <c r="A6222" t="str">
        <f>A6205</f>
        <v>Lantai Atap</v>
      </c>
      <c r="B6222">
        <f>B6205</f>
        <v>1</v>
      </c>
      <c r="C6222" t="str">
        <v>Tul Bawah Tumpuan</v>
      </c>
      <c r="D6222">
        <f>VLOOKUP(D6205,'Detail Balok'!$C$10:$AU$140,28,FALSE)</f>
        <v>2</v>
      </c>
      <c r="E6222" t="str">
        <v>D</v>
      </c>
      <c r="F6222">
        <f>VLOOKUP(D6205,'Detail Balok'!$C$10:$AU$140,30,FALSE)</f>
        <v>13</v>
      </c>
      <c r="I6222" t="str">
        <v>(</v>
      </c>
      <c r="J6222">
        <f>+J6214</f>
        <v>2.3125</v>
      </c>
      <c r="K6222" t="str">
        <v>+</v>
      </c>
      <c r="L6222">
        <f>MAX(VLOOKUP(F6222,N$6:P$15,3,FALSE)/1000,2/3*D6210/1000)+F$16*F6222/1000</f>
        <v>0.156</v>
      </c>
      <c r="M6222" t="str">
        <v>=</v>
      </c>
      <c r="N6222">
        <f>J6222+L6222</f>
        <v>2.4685</v>
      </c>
      <c r="O6222" t="str">
        <v>+</v>
      </c>
      <c r="P6222">
        <f>D6222-D6221</f>
        <v>0</v>
      </c>
      <c r="Q6222" t="str">
        <v>x</v>
      </c>
      <c r="R6222">
        <f>IF(P6222&gt;0,$F$18*F6222/1000,0)</f>
        <v>0</v>
      </c>
      <c r="S6222" t="str">
        <v>)</v>
      </c>
      <c r="T6222" t="str">
        <v>x</v>
      </c>
      <c r="U6222">
        <f>0.006165*F6222^2</f>
        <v>1.041885</v>
      </c>
      <c r="X6222" t="str">
        <v>x</v>
      </c>
      <c r="Y6222">
        <f>D6211</f>
        <v>1</v>
      </c>
      <c r="Z6222" t="str">
        <v>=</v>
      </c>
      <c r="AA6222">
        <f>IF(AA6223=0,(D6222*N6222+P6222*R6222)*U6222*Y6222,0)</f>
        <v>0</v>
      </c>
    </row>
    <row r="6223">
      <c r="A6223" t="str">
        <f>A6205</f>
        <v>Lantai Atap</v>
      </c>
      <c r="B6223">
        <f>B6205</f>
        <v>1</v>
      </c>
      <c r="D6223">
        <f>IF(AND(D6220=D6221,D6221=D6222,D6220=D6222),D6220,0)</f>
        <v>2</v>
      </c>
      <c r="E6223" t="str">
        <v>D</v>
      </c>
      <c r="F6223">
        <f>IF(AND(F6220=F6221,F6220=F6222,F6221=F6222),F6220,0)</f>
        <v>13</v>
      </c>
      <c r="L6223" t="str">
        <v>Total panjang per balok</v>
      </c>
      <c r="M6223" t="str">
        <v>=</v>
      </c>
      <c r="N6223">
        <f>IF(AND(D6220=D6221,D6220=D6222,D6221=D6222,F6220=F6221,F6220=F6222,F6221=F6222),SUM(N6220:N6222),0)</f>
        <v>9.562000000000001</v>
      </c>
      <c r="O6223" t="str">
        <v>+</v>
      </c>
      <c r="P6223">
        <f>IF(N6223&gt;12,ROUNDDOWN(N6223/12,0),0)</f>
        <v>0</v>
      </c>
      <c r="Q6223" t="str">
        <v>x</v>
      </c>
      <c r="R6223">
        <f>IF(P6223&gt;0,MAX(VLOOKUP(F6223,$D$6:$G$15,3,FALSE),600),0)/1000</f>
        <v>0</v>
      </c>
      <c r="T6223" t="str">
        <v>x</v>
      </c>
      <c r="U6223">
        <f>U6222</f>
        <v>1.041885</v>
      </c>
      <c r="V6223" t="str">
        <v>x</v>
      </c>
      <c r="W6223">
        <f>D6223</f>
        <v>2</v>
      </c>
      <c r="X6223" t="str">
        <v>x</v>
      </c>
      <c r="Y6223">
        <f>Y6222</f>
        <v>1</v>
      </c>
      <c r="Z6223" t="str">
        <v>=</v>
      </c>
      <c r="AA6223">
        <f>(N6223+P6223*R6223/1000)*U6223*W6223*Y6223</f>
        <v>19.925008740000003</v>
      </c>
    </row>
    <row r="6225">
      <c r="A6225" t="str">
        <f>A6205</f>
        <v>Lantai Atap</v>
      </c>
      <c r="B6225">
        <f>B6205</f>
        <v>1</v>
      </c>
      <c r="C6225" t="str">
        <v>Sengkang Tumpuan</v>
      </c>
      <c r="D6225">
        <f>VLOOKUP(D6205,'Detail Balok'!$C$10:$AU$140,31,FALSE)</f>
        <v>0</v>
      </c>
      <c r="E6225" t="str">
        <v>D</v>
      </c>
      <c r="F6225">
        <f>VLOOKUP(D6205,'Detail Balok'!$C$10:$AU$140,33,FALSE)</f>
        <v>8</v>
      </c>
      <c r="G6225" t="str">
        <v>-</v>
      </c>
      <c r="H6225">
        <f>VLOOKUP(D6205,'Detail Balok'!$C$10:$AU$140,35,FALSE)</f>
        <v>150</v>
      </c>
      <c r="J6225">
        <f>(IF(D6225=0,(2*(D6206+G6206))-(F$5*8),IF(D6225=3,(2*(D6206+G6206))-(F$5*8)+(G6206-2*F$5),IF(D6225=4,(2*(D6206+G6206))-(F$5*8)+2*(G6206-2*F$5)))))/1000</f>
        <v>0.74</v>
      </c>
      <c r="K6225" t="str">
        <v>+</v>
      </c>
      <c r="L6225">
        <f>IF(D6225=0,2*MAX(6*F6225,75),(D6225-1)*2*MAX(6*F6225,75))/1000</f>
        <v>0.15</v>
      </c>
      <c r="M6225" t="str">
        <v>=</v>
      </c>
      <c r="N6225">
        <f>J6225+L6225</f>
        <v>0.89</v>
      </c>
      <c r="T6225" t="str">
        <v>x</v>
      </c>
      <c r="U6225">
        <f>0.006165*F6225^2</f>
        <v>0.39456</v>
      </c>
      <c r="V6225" t="str">
        <v>x</v>
      </c>
      <c r="W6225">
        <f>IF(D6208&gt;4*G6206,ROUND(MAX(D6208/4,2*G6206)/H6225,0)+1,ROUND(D6208/H6225,0)+1)</f>
        <v>16</v>
      </c>
      <c r="X6225" t="str">
        <v>x</v>
      </c>
      <c r="Y6225">
        <f>D6211</f>
        <v>1</v>
      </c>
      <c r="Z6225" t="str">
        <v>=</v>
      </c>
      <c r="AA6225">
        <f>N6225*U6225*W6225*Y6225</f>
        <v>5.618534400000001</v>
      </c>
    </row>
    <row r="6226">
      <c r="A6226" t="str">
        <f>A6205</f>
        <v>Lantai Atap</v>
      </c>
      <c r="B6226">
        <f>B6205</f>
        <v>1</v>
      </c>
      <c r="C6226" t="str">
        <v>Sengkang Lapangan</v>
      </c>
      <c r="D6226">
        <f>VLOOKUP(D6205,'Detail Balok'!$C$10:$AU$140,36,FALSE)</f>
        <v>0</v>
      </c>
      <c r="E6226" t="str">
        <v>D</v>
      </c>
      <c r="F6226">
        <f>VLOOKUP(D6205,'Detail Balok'!$C$10:$AU$140,38,FALSE)</f>
        <v>8</v>
      </c>
      <c r="G6226" t="str">
        <v>-</v>
      </c>
      <c r="H6226">
        <f>VLOOKUP(D6205,'Detail Balok'!$C$10:$AU$140,40,FALSE)</f>
        <v>200</v>
      </c>
      <c r="J6226">
        <f>(IF(D6226=0,(2*(D6206+G6206))-(F$5*8),IF(D6226=3,(2*(D6206+G6206))-(F$5*8)+(G6206-2*F$5),IF(D6226=4,(2*(D6206+G6206))-(F$5*8)+2*(G6206-2*F$5)))))/1000</f>
        <v>0.74</v>
      </c>
      <c r="K6226" t="str">
        <v>+</v>
      </c>
      <c r="L6226">
        <f>IF(D6226=0,2*MAX(6*F6226,75),(D6226-1)*2*MAX(6*F6226,75))/1000</f>
        <v>0.15</v>
      </c>
      <c r="M6226" t="str">
        <v>=</v>
      </c>
      <c r="N6226">
        <f>J6226+L6226</f>
        <v>0.89</v>
      </c>
      <c r="T6226" t="str">
        <v>x</v>
      </c>
      <c r="U6226">
        <f>0.006165*F6226^2</f>
        <v>0.39456</v>
      </c>
      <c r="V6226" t="str">
        <v>x</v>
      </c>
      <c r="W6226">
        <f>IF(D6208-MAX(D6208/4,2*G6206)*2&gt;0,ROUND((D6208-MAX(D6208/4,2*G6206)*2)/H6226,0),0)</f>
        <v>23</v>
      </c>
      <c r="X6226" t="str">
        <v>x</v>
      </c>
      <c r="Y6226">
        <f>D6211</f>
        <v>1</v>
      </c>
      <c r="Z6226" t="str">
        <v>=</v>
      </c>
      <c r="AA6226">
        <f>N6226*U6226*W6226*Y6226</f>
        <v>8.076643200000001</v>
      </c>
    </row>
    <row r="6227">
      <c r="A6227" t="str">
        <f>A6205</f>
        <v>Lantai Atap</v>
      </c>
      <c r="B6227">
        <f>B6205</f>
        <v>1</v>
      </c>
      <c r="C6227" t="str">
        <v>Sengkang Tumpuan</v>
      </c>
      <c r="D6227">
        <f>VLOOKUP(D6205,'Detail Balok'!$C$10:$AU$140,41,FALSE)</f>
        <v>0</v>
      </c>
      <c r="E6227" t="str">
        <v>D</v>
      </c>
      <c r="F6227">
        <f>VLOOKUP(D6205,'Detail Balok'!$C$10:$AU$140,43,FALSE)</f>
        <v>8</v>
      </c>
      <c r="G6227" t="str">
        <v>-</v>
      </c>
      <c r="H6227">
        <f>VLOOKUP(D6205,'Detail Balok'!$C$10:$AU$140,45,FALSE)</f>
        <v>150</v>
      </c>
      <c r="J6227">
        <f>(IF(D6227=0,(2*(D6206+G6206))-(F$5*8),IF(D6227=3,(2*(D6206+G6206))-(F$5*8)+(G6206-2*F$5),IF(D6227=4,(2*(D6206+G6206))-(F$5*8)+2*(G6206-2*F$5)))))/1000</f>
        <v>0.74</v>
      </c>
      <c r="K6227" t="str">
        <v>+</v>
      </c>
      <c r="L6227">
        <f>IF(D6227=0,2*MAX(6*F6227,75),(D6227-1)*2*MAX(6*F6227,75))/1000</f>
        <v>0.15</v>
      </c>
      <c r="M6227" t="str">
        <v>=</v>
      </c>
      <c r="N6227">
        <f>J6227+L6227</f>
        <v>0.89</v>
      </c>
      <c r="T6227" t="str">
        <v>x</v>
      </c>
      <c r="U6227">
        <f>0.006165*F6227^2</f>
        <v>0.39456</v>
      </c>
      <c r="V6227" t="str">
        <v>x</v>
      </c>
      <c r="W6227">
        <f>IF(D6208&gt;4*G6206,ROUND(MAX(D6208/4,2*G6206)/H6227,0)+1,0)</f>
        <v>16</v>
      </c>
      <c r="X6227" t="str">
        <v>x</v>
      </c>
      <c r="Y6227">
        <f>D6211</f>
        <v>1</v>
      </c>
      <c r="Z6227" t="str">
        <v>=</v>
      </c>
      <c r="AA6227">
        <f>N6227*U6227*W6227*Y6227</f>
        <v>5.618534400000001</v>
      </c>
    </row>
    <row r="6229">
      <c r="A6229" t="str">
        <f>A6205</f>
        <v>Lantai Atap</v>
      </c>
      <c r="B6229">
        <f>B6205</f>
        <v>1</v>
      </c>
      <c r="C6229" t="str">
        <v>Kait Horizontal Tump.</v>
      </c>
      <c r="D6229">
        <f>VLOOKUP(D6205,'Detail Balok'!$C$10:$BJ$140,46,FALSE)</f>
        <v>0</v>
      </c>
      <c r="E6229" t="str">
        <v>D</v>
      </c>
      <c r="F6229">
        <f>VLOOKUP(D6205,'Detail Balok'!$C$10:$BJ$140,48,FALSE)</f>
        <v>0</v>
      </c>
      <c r="G6229" t="str">
        <v>-</v>
      </c>
      <c r="H6229">
        <f>VLOOKUP(D6205,'Detail Balok'!$C$10:$BJ$140,50,FALSE)</f>
        <v>100</v>
      </c>
      <c r="J6229">
        <f>(D6206-2*F$5)/1000</f>
        <v>0.05</v>
      </c>
      <c r="K6229" t="str">
        <v>+</v>
      </c>
      <c r="L6229">
        <f>IF(D6229=0,2*MAX(6*F6229,75),(D6229-1)*2*MAX(6*F6229,75))/1000</f>
        <v>0.15</v>
      </c>
      <c r="M6229" t="str">
        <v>=</v>
      </c>
      <c r="N6229">
        <f>J6229+L6229</f>
        <v>0.2</v>
      </c>
      <c r="T6229" t="str">
        <v>x</v>
      </c>
      <c r="U6229">
        <f>0.006165*F6229^2</f>
        <v>0</v>
      </c>
      <c r="V6229" t="str">
        <v>x</v>
      </c>
      <c r="W6229">
        <f>W6225</f>
        <v>16</v>
      </c>
      <c r="X6229" t="str">
        <v>x</v>
      </c>
      <c r="Y6229">
        <f>D6215</f>
        <v>2</v>
      </c>
      <c r="Z6229" t="str">
        <v>=</v>
      </c>
      <c r="AA6229">
        <f>N6229*U6229*W6229*Y6229</f>
        <v>0</v>
      </c>
    </row>
    <row r="6230">
      <c r="A6230" t="str">
        <f>A6205</f>
        <v>Lantai Atap</v>
      </c>
      <c r="B6230">
        <f>B6205</f>
        <v>1</v>
      </c>
      <c r="C6230" t="str">
        <v>Kait Horizontal Lap.</v>
      </c>
      <c r="D6230">
        <f>VLOOKUP(D6205,'Detail Balok'!$C$10:$BJ$140,51,FALSE)</f>
        <v>0</v>
      </c>
      <c r="E6230" t="str">
        <v>D</v>
      </c>
      <c r="F6230">
        <f>VLOOKUP(D6205,'Detail Balok'!$C$10:$BJ$140,53,FALSE)</f>
        <v>0</v>
      </c>
      <c r="G6230" t="str">
        <v>-</v>
      </c>
      <c r="H6230">
        <f>VLOOKUP(D6205,'Detail Balok'!$C$10:$BJ$140,55,FALSE)</f>
        <v>100</v>
      </c>
      <c r="J6230">
        <f>(D6206-2*F$5)/1000</f>
        <v>0.05</v>
      </c>
      <c r="K6230" t="str">
        <v>+</v>
      </c>
      <c r="L6230">
        <f>IF(D6230=0,2*MAX(6*F6230,75),(D6230-1)*2*MAX(6*F6230,75))/1000</f>
        <v>0.15</v>
      </c>
      <c r="M6230" t="str">
        <v>=</v>
      </c>
      <c r="N6230">
        <f>J6230+L6230</f>
        <v>0.2</v>
      </c>
      <c r="T6230" t="str">
        <v>x</v>
      </c>
      <c r="U6230">
        <f>0.006165*F6230^2</f>
        <v>0</v>
      </c>
      <c r="V6230" t="str">
        <v>x</v>
      </c>
      <c r="W6230">
        <f>W6226</f>
        <v>23</v>
      </c>
      <c r="X6230" t="str">
        <v>x</v>
      </c>
      <c r="Y6230">
        <f>D6215</f>
        <v>2</v>
      </c>
      <c r="Z6230" t="str">
        <v>=</v>
      </c>
      <c r="AA6230">
        <f>N6230*U6230*W6230*Y6230</f>
        <v>0</v>
      </c>
    </row>
    <row r="6231">
      <c r="A6231" t="str">
        <f>A6205</f>
        <v>Lantai Atap</v>
      </c>
      <c r="B6231">
        <f>B6205</f>
        <v>1</v>
      </c>
      <c r="C6231" t="str">
        <v>Kait Horizontal Tump.</v>
      </c>
      <c r="D6231">
        <f>VLOOKUP(D6205,'Detail Balok'!$C$10:$BJ$140,56,FALSE)</f>
        <v>0</v>
      </c>
      <c r="E6231" t="str">
        <v>D</v>
      </c>
      <c r="F6231">
        <f>VLOOKUP(D6205,'Detail Balok'!$C$10:$BJ$140,58,FALSE)</f>
        <v>0</v>
      </c>
      <c r="G6231" t="str">
        <v>-</v>
      </c>
      <c r="H6231">
        <f>VLOOKUP(D6205,'Detail Balok'!$C$10:$BJ$140,60,FALSE)</f>
        <v>100</v>
      </c>
      <c r="J6231">
        <f>(D6206-2*F$5)/1000</f>
        <v>0.05</v>
      </c>
      <c r="K6231" t="str">
        <v>+</v>
      </c>
      <c r="L6231">
        <f>IF(D6231=0,2*MAX(6*F6231,75),(D6231-1)*2*MAX(6*F6231,75))/1000</f>
        <v>0.15</v>
      </c>
      <c r="M6231" t="str">
        <v>=</v>
      </c>
      <c r="N6231">
        <f>J6231+L6231</f>
        <v>0.2</v>
      </c>
      <c r="T6231" t="str">
        <v>x</v>
      </c>
      <c r="U6231">
        <f>0.006165*F6231^2</f>
        <v>0</v>
      </c>
      <c r="V6231" t="str">
        <v>x</v>
      </c>
      <c r="W6231">
        <f>W6227</f>
        <v>16</v>
      </c>
      <c r="X6231" t="str">
        <v>x</v>
      </c>
      <c r="Y6231">
        <f>D6215</f>
        <v>2</v>
      </c>
      <c r="Z6231" t="str">
        <v>=</v>
      </c>
      <c r="AA6231">
        <f>N6231*U6231*W6231*Y6231</f>
        <v>0</v>
      </c>
    </row>
    <row r="6235">
      <c r="A6235" t="str">
        <f>A6205</f>
        <v>Lantai Atap</v>
      </c>
      <c r="B6235">
        <f>B6205+1</f>
        <v>2</v>
      </c>
      <c r="C6235" t="str">
        <f>CONCATENATE(A6235," no. ",B6235)</f>
        <v>Lantai Atap no. 2</v>
      </c>
      <c r="D6235" t="str">
        <f>VLOOKUP(C6235,'Data Panjang Balok'!$C$9:$N$254,2,FALSE)</f>
        <v>B4-1</v>
      </c>
    </row>
    <row r="6236">
      <c r="C6236" t="str">
        <v>Dimensi</v>
      </c>
      <c r="D6236">
        <f>VLOOKUP(D6235,'Detail Balok'!$C$10:$AU$140,2,FALSE)</f>
        <v>130</v>
      </c>
      <c r="F6236" t="str">
        <v>x</v>
      </c>
      <c r="G6236">
        <f>VLOOKUP(D6235,'Detail Balok'!$C$10:$AU$140,3,FALSE)</f>
        <v>400</v>
      </c>
    </row>
    <row r="6237">
      <c r="C6237" t="str">
        <v>Panjang as ke as</v>
      </c>
      <c r="D6237">
        <f>VLOOKUP(C6235,'Data Panjang Balok'!$C$9:$N$254,4,FALSE)</f>
        <v>5145</v>
      </c>
    </row>
    <row r="6238">
      <c r="C6238" t="str">
        <v>Panjang netto</v>
      </c>
      <c r="D6238">
        <f>VLOOKUP(C6235,'Data Panjang Balok'!$C$9:$N$254,7,FALSE)</f>
        <v>5145</v>
      </c>
    </row>
    <row r="6239">
      <c r="C6239" t="str">
        <v>Kolom / balok kiri</v>
      </c>
      <c r="D6239">
        <f>VLOOKUP(C6235,'Data Panjang Balok'!$C$9:$N$254,9,FALSE)</f>
        <v>0</v>
      </c>
    </row>
    <row r="6240">
      <c r="C6240" t="str">
        <v>Kolom / balok kanan</v>
      </c>
      <c r="D6240">
        <f>VLOOKUP(C6235,'Data Panjang Balok'!$C$9:$N$254,10,FALSE)</f>
        <v>0</v>
      </c>
    </row>
    <row r="6241">
      <c r="C6241" t="str">
        <v>Jumlah</v>
      </c>
      <c r="D6241">
        <f>VLOOKUP(C6235,'Data Panjang Balok'!$C$9:$N$254,3,FALSE)</f>
        <v>1</v>
      </c>
    </row>
    <row r="6242">
      <c r="A6242" t="str">
        <f>A6235</f>
        <v>Lantai Atap</v>
      </c>
      <c r="B6242">
        <f>B6235</f>
        <v>2</v>
      </c>
      <c r="C6242" t="str">
        <v>Tul Atas Tumpuan</v>
      </c>
      <c r="D6242">
        <f>VLOOKUP(D6235,'Detail Balok'!$C$10:$AU$140,4,FALSE)</f>
        <v>2</v>
      </c>
      <c r="E6242" t="str">
        <v>D</v>
      </c>
      <c r="F6242">
        <f>VLOOKUP(D6235,'Detail Balok'!$C$10:$AU$140,6,FALSE)</f>
        <v>13</v>
      </c>
      <c r="I6242" t="str">
        <v>(</v>
      </c>
      <c r="J6242">
        <f>+D6237/4/1000</f>
        <v>1.28625</v>
      </c>
      <c r="K6242" t="str">
        <v>+</v>
      </c>
      <c r="L6242">
        <f>MAX(VLOOKUP(F6242,N$6:P$15,3,FALSE)/1000,2/3*D6239/1000)+F$16*F6242/1000</f>
        <v>0.156</v>
      </c>
      <c r="M6242" t="str">
        <v>=</v>
      </c>
      <c r="N6242">
        <f>J6242+L6242</f>
        <v>1.4422499999999998</v>
      </c>
      <c r="O6242" t="str">
        <v>+</v>
      </c>
      <c r="P6242">
        <f>D6242-D6243</f>
        <v>0</v>
      </c>
      <c r="Q6242" t="str">
        <v>x</v>
      </c>
      <c r="R6242">
        <f>IF(P6242&gt;0,$F$18*F6242/1000,0)</f>
        <v>0</v>
      </c>
      <c r="S6242" t="str">
        <v>)</v>
      </c>
      <c r="T6242" t="str">
        <v>x</v>
      </c>
      <c r="U6242">
        <f>0.006165*F6242^2</f>
        <v>1.041885</v>
      </c>
      <c r="X6242" t="str">
        <v>x</v>
      </c>
      <c r="Y6242">
        <f>D6241</f>
        <v>1</v>
      </c>
      <c r="Z6242" t="str">
        <v>=</v>
      </c>
      <c r="AA6242">
        <f>IF(AA6245=0,(D6242*N6242+P6242*R6242)*U6242*Y6242,0)</f>
        <v>0</v>
      </c>
    </row>
    <row r="6243">
      <c r="A6243" t="str">
        <f>A6235</f>
        <v>Lantai Atap</v>
      </c>
      <c r="B6243">
        <f>B6235</f>
        <v>2</v>
      </c>
      <c r="C6243" t="str">
        <v>Tul Atas Lapangan</v>
      </c>
      <c r="D6243">
        <f>VLOOKUP(D6235,'Detail Balok'!$C$10:$AU$140,7,FALSE)</f>
        <v>2</v>
      </c>
      <c r="E6243" t="str">
        <v>D</v>
      </c>
      <c r="F6243">
        <f>VLOOKUP(D6235,'Detail Balok'!$C$10:$AU$140,9,FALSE)</f>
        <v>13</v>
      </c>
      <c r="I6243" t="str">
        <v>(</v>
      </c>
      <c r="J6243">
        <f>+D6237/2/1000</f>
        <v>2.5725</v>
      </c>
      <c r="K6243" t="str">
        <v>+</v>
      </c>
      <c r="M6243" t="str">
        <v>=</v>
      </c>
      <c r="N6243">
        <f>J6243+L6243</f>
        <v>2.5725</v>
      </c>
      <c r="O6243" t="str">
        <v>+</v>
      </c>
      <c r="P6243">
        <f>MAX(D6243-D6242,D6243-D6244)</f>
        <v>0</v>
      </c>
      <c r="Q6243" t="str">
        <v>x</v>
      </c>
      <c r="R6243">
        <f>IF(P6243&gt;0,2*(1-2*$F$19-1/2)*D6238/1000,0)</f>
        <v>0</v>
      </c>
      <c r="S6243" t="str">
        <v>)</v>
      </c>
      <c r="T6243" t="str">
        <v>x</v>
      </c>
      <c r="U6243">
        <f>0.006165*F6243^2</f>
        <v>1.041885</v>
      </c>
      <c r="X6243" t="str">
        <v>x</v>
      </c>
      <c r="Y6243">
        <f>D6241</f>
        <v>1</v>
      </c>
      <c r="Z6243" t="str">
        <v>=</v>
      </c>
      <c r="AA6243">
        <f>IF(AA6245=0,(D6243*N6243+P6243*R6243)*U6243*Y6243,0)</f>
        <v>0</v>
      </c>
    </row>
    <row r="6244">
      <c r="A6244" t="str">
        <f>A6235</f>
        <v>Lantai Atap</v>
      </c>
      <c r="B6244">
        <f>B6235</f>
        <v>2</v>
      </c>
      <c r="C6244" t="str">
        <v>Tul Atas Tumpuan</v>
      </c>
      <c r="D6244">
        <f>VLOOKUP(D6235,'Detail Balok'!$C$10:$AU$140,10,FALSE)</f>
        <v>2</v>
      </c>
      <c r="E6244" t="str">
        <v>D</v>
      </c>
      <c r="F6244">
        <f>VLOOKUP(D6235,'Detail Balok'!$C$10:$AU$140,12,FALSE)</f>
        <v>13</v>
      </c>
      <c r="I6244" t="str">
        <v>(</v>
      </c>
      <c r="J6244">
        <f>+D6237/4/1000</f>
        <v>1.28625</v>
      </c>
      <c r="K6244" t="str">
        <v>+</v>
      </c>
      <c r="L6244">
        <f>MAX(VLOOKUP(F6244,N$6:P$15,3,FALSE)/1000,2/3*D6239/1000)+F$16*F6244/1000</f>
        <v>0.156</v>
      </c>
      <c r="M6244" t="str">
        <v>=</v>
      </c>
      <c r="N6244">
        <f>J6244+L6244</f>
        <v>1.4422499999999998</v>
      </c>
      <c r="O6244" t="str">
        <v>+</v>
      </c>
      <c r="P6244">
        <f>D6244-D6243</f>
        <v>0</v>
      </c>
      <c r="Q6244" t="str">
        <v>x</v>
      </c>
      <c r="R6244">
        <f>IF(P6244&gt;0,$F$18*F6244/1000,0)</f>
        <v>0</v>
      </c>
      <c r="S6244" t="str">
        <v>)</v>
      </c>
      <c r="T6244" t="str">
        <v>x</v>
      </c>
      <c r="U6244">
        <f>0.006165*F6244^2</f>
        <v>1.041885</v>
      </c>
      <c r="X6244" t="str">
        <v>x</v>
      </c>
      <c r="Y6244">
        <f>D6241</f>
        <v>1</v>
      </c>
      <c r="Z6244" t="str">
        <v>=</v>
      </c>
      <c r="AA6244">
        <f>IF(AA6245=0,(D6244*N6244+P6244*R6244)*U6244*Y6244,0)</f>
        <v>0</v>
      </c>
    </row>
    <row r="6245">
      <c r="A6245" t="str">
        <f>A6235</f>
        <v>Lantai Atap</v>
      </c>
      <c r="B6245">
        <f>B6235</f>
        <v>2</v>
      </c>
      <c r="D6245">
        <f>IF(AND(D6242=D6243,D6243=D6244,D6242=D6244),D6242,0)</f>
        <v>2</v>
      </c>
      <c r="E6245" t="str">
        <v>D</v>
      </c>
      <c r="F6245">
        <f>IF(AND(F6242=F6243,F6242=F6244,F6243=F6244),F6242,0)</f>
        <v>13</v>
      </c>
      <c r="L6245" t="str">
        <v>Total panjang per balok</v>
      </c>
      <c r="M6245" t="str">
        <v>=</v>
      </c>
      <c r="N6245">
        <f>IF(AND(D6242=D6243,D6242=D6244,D6243=D6244,F6242=F6243,F6242=F6244,F6243=F6244),SUM(N6242:N6244),0)</f>
        <v>5.456999999999999</v>
      </c>
      <c r="O6245" t="str">
        <v>+</v>
      </c>
      <c r="P6245">
        <f>IF(N6245&gt;12,ROUNDDOWN(N6245/12,0),0)</f>
        <v>0</v>
      </c>
      <c r="Q6245" t="str">
        <v>x</v>
      </c>
      <c r="R6245">
        <f>IF(P6245&gt;0,MAX(VLOOKUP(F6245,$D$6:$G$15,3,FALSE),600),0)/1000</f>
        <v>0</v>
      </c>
      <c r="T6245" t="str">
        <v>x</v>
      </c>
      <c r="U6245">
        <f>U6244</f>
        <v>1.041885</v>
      </c>
      <c r="V6245" t="str">
        <v>x</v>
      </c>
      <c r="W6245">
        <f>D6245</f>
        <v>2</v>
      </c>
      <c r="X6245" t="str">
        <v>x</v>
      </c>
      <c r="Y6245">
        <f>Y6244</f>
        <v>1</v>
      </c>
      <c r="Z6245" t="str">
        <v>=</v>
      </c>
      <c r="AA6245">
        <f>(N6245+P6245*R6245/1000)*U6245*W6245*Y6245</f>
        <v>11.371132889999997</v>
      </c>
    </row>
    <row r="6247">
      <c r="A6247" t="str">
        <f>A6235</f>
        <v>Lantai Atap</v>
      </c>
      <c r="B6247">
        <f>B6235</f>
        <v>2</v>
      </c>
      <c r="C6247" t="str">
        <v>Tul Peminggang</v>
      </c>
      <c r="D6247">
        <f>VLOOKUP(D6235,'Detail Balok'!$C$10:$AU$140,13,FALSE)</f>
        <v>0</v>
      </c>
      <c r="E6247" t="str">
        <v>D</v>
      </c>
      <c r="F6247">
        <f>VLOOKUP(D6235,'Detail Balok'!$C$10:$AU$140,15,FALSE)</f>
        <v>8</v>
      </c>
      <c r="J6247">
        <f>+D6237/1000</f>
        <v>5.145</v>
      </c>
      <c r="K6247" t="str">
        <v>+</v>
      </c>
      <c r="L6247">
        <f>2*$F$16*F6247/1000</f>
        <v>0.192</v>
      </c>
      <c r="M6247" t="str">
        <v>=</v>
      </c>
      <c r="N6247">
        <f>J6247+L6247</f>
        <v>5.337</v>
      </c>
      <c r="O6247" t="str">
        <v>+</v>
      </c>
      <c r="P6247">
        <f>IF(N6247&gt;12,ROUNDDOWN(N6247/12,0),0)</f>
        <v>0</v>
      </c>
      <c r="Q6247" t="str">
        <v>x</v>
      </c>
      <c r="R6247">
        <f>IF(P6247&gt;0,MAX(VLOOKUP(F6247,$D$6:$G$15,3,FALSE),600),0)/1000</f>
        <v>0</v>
      </c>
      <c r="T6247" t="str">
        <v>x</v>
      </c>
      <c r="U6247">
        <f>0.006165*F6247^2</f>
        <v>0.39456</v>
      </c>
      <c r="V6247" t="str">
        <v>x</v>
      </c>
      <c r="W6247">
        <f>+D6247</f>
        <v>0</v>
      </c>
      <c r="X6247" t="str">
        <v>x</v>
      </c>
      <c r="Y6247">
        <f>D6241</f>
        <v>1</v>
      </c>
      <c r="Z6247" t="str">
        <v>=</v>
      </c>
      <c r="AA6247">
        <f>(N6247+P6247*R6247/1000)*U6247*W6247*Y6247</f>
        <v>0</v>
      </c>
    </row>
    <row r="6250">
      <c r="A6250" t="str">
        <f>A6235</f>
        <v>Lantai Atap</v>
      </c>
      <c r="B6250">
        <f>B6235</f>
        <v>2</v>
      </c>
      <c r="C6250" t="str">
        <v>Tul Bawah Tumpuan</v>
      </c>
      <c r="D6250">
        <f>VLOOKUP(D6235,'Detail Balok'!$C$10:$AU$140,22,FALSE)</f>
        <v>2</v>
      </c>
      <c r="E6250" t="str">
        <v>D</v>
      </c>
      <c r="F6250">
        <f>VLOOKUP(D6235,'Detail Balok'!$C$10:$AU$140,24,FALSE)</f>
        <v>13</v>
      </c>
      <c r="I6250" t="str">
        <v>(</v>
      </c>
      <c r="J6250">
        <f>+J6242</f>
        <v>1.28625</v>
      </c>
      <c r="K6250" t="str">
        <v>+</v>
      </c>
      <c r="L6250">
        <f>MAX(VLOOKUP(F6250,N$6:P$15,3,FALSE)/1000,2/3*D6240/1000)+F$16*F6250/1000</f>
        <v>0.156</v>
      </c>
      <c r="M6250" t="str">
        <v>=</v>
      </c>
      <c r="N6250">
        <f>J6250+L6250</f>
        <v>1.4422499999999998</v>
      </c>
      <c r="O6250" t="str">
        <v>+</v>
      </c>
      <c r="P6250">
        <f>D6250-D6251</f>
        <v>0</v>
      </c>
      <c r="Q6250" t="str">
        <v>x</v>
      </c>
      <c r="R6250">
        <f>IF(P6250&gt;0,$F$18*F6250/1000,0)</f>
        <v>0</v>
      </c>
      <c r="S6250" t="str">
        <v>)</v>
      </c>
      <c r="T6250" t="str">
        <v>x</v>
      </c>
      <c r="U6250">
        <f>0.006165*F6250^2</f>
        <v>1.041885</v>
      </c>
      <c r="X6250" t="str">
        <v>x</v>
      </c>
      <c r="Y6250">
        <f>D6241</f>
        <v>1</v>
      </c>
      <c r="Z6250" t="str">
        <v>=</v>
      </c>
      <c r="AA6250">
        <f>IF(AA6253=0,(D6250*N6250+P6250*R6250)*U6250*Y6250,0)</f>
        <v>0</v>
      </c>
    </row>
    <row r="6251">
      <c r="A6251" t="str">
        <f>A6235</f>
        <v>Lantai Atap</v>
      </c>
      <c r="B6251">
        <f>B6235</f>
        <v>2</v>
      </c>
      <c r="C6251" t="str">
        <v>Tul Bawah Lapangan</v>
      </c>
      <c r="D6251">
        <f>VLOOKUP(D6235,'Detail Balok'!$C$10:$AU$140,25,FALSE)</f>
        <v>2</v>
      </c>
      <c r="E6251" t="str">
        <v>D</v>
      </c>
      <c r="F6251">
        <f>VLOOKUP(D6235,'Detail Balok'!$C$10:$AU$140,27,FALSE)</f>
        <v>13</v>
      </c>
      <c r="I6251" t="str">
        <v>(</v>
      </c>
      <c r="J6251">
        <f>+J6243</f>
        <v>2.5725</v>
      </c>
      <c r="K6251" t="str">
        <v>+</v>
      </c>
      <c r="M6251" t="str">
        <v>=</v>
      </c>
      <c r="N6251">
        <f>J6251+L6251</f>
        <v>2.5725</v>
      </c>
      <c r="O6251" t="str">
        <v>+</v>
      </c>
      <c r="P6251">
        <f>MAX(D6251-D6250,D6251-D6252)</f>
        <v>0</v>
      </c>
      <c r="Q6251" t="str">
        <v>x</v>
      </c>
      <c r="R6251">
        <f>IF(P6251&gt;0,2*(1-2*$F$19-1/2)*D6238/1000,0)</f>
        <v>0</v>
      </c>
      <c r="S6251" t="str">
        <v>)</v>
      </c>
      <c r="T6251" t="str">
        <v>x</v>
      </c>
      <c r="U6251">
        <f>0.006165*F6251^2</f>
        <v>1.041885</v>
      </c>
      <c r="X6251" t="str">
        <v>x</v>
      </c>
      <c r="Y6251">
        <f>D6241</f>
        <v>1</v>
      </c>
      <c r="Z6251" t="str">
        <v>=</v>
      </c>
      <c r="AA6251">
        <f>IF(AA6253=0,(D6251*N6251+P6251*R6251)*U6251*Y6251,0)</f>
        <v>0</v>
      </c>
    </row>
    <row r="6252">
      <c r="A6252" t="str">
        <f>A6235</f>
        <v>Lantai Atap</v>
      </c>
      <c r="B6252">
        <f>B6235</f>
        <v>2</v>
      </c>
      <c r="C6252" t="str">
        <v>Tul Bawah Tumpuan</v>
      </c>
      <c r="D6252">
        <f>VLOOKUP(D6235,'Detail Balok'!$C$10:$AU$140,28,FALSE)</f>
        <v>2</v>
      </c>
      <c r="E6252" t="str">
        <v>D</v>
      </c>
      <c r="F6252">
        <f>VLOOKUP(D6235,'Detail Balok'!$C$10:$AU$140,30,FALSE)</f>
        <v>13</v>
      </c>
      <c r="I6252" t="str">
        <v>(</v>
      </c>
      <c r="J6252">
        <f>+J6244</f>
        <v>1.28625</v>
      </c>
      <c r="K6252" t="str">
        <v>+</v>
      </c>
      <c r="L6252">
        <f>MAX(VLOOKUP(F6252,N$6:P$15,3,FALSE)/1000,2/3*D6240/1000)+F$16*F6252/1000</f>
        <v>0.156</v>
      </c>
      <c r="M6252" t="str">
        <v>=</v>
      </c>
      <c r="N6252">
        <f>J6252+L6252</f>
        <v>1.4422499999999998</v>
      </c>
      <c r="O6252" t="str">
        <v>+</v>
      </c>
      <c r="P6252">
        <f>D6252-D6251</f>
        <v>0</v>
      </c>
      <c r="Q6252" t="str">
        <v>x</v>
      </c>
      <c r="R6252">
        <f>IF(P6252&gt;0,$F$18*F6252/1000,0)</f>
        <v>0</v>
      </c>
      <c r="S6252" t="str">
        <v>)</v>
      </c>
      <c r="T6252" t="str">
        <v>x</v>
      </c>
      <c r="U6252">
        <f>0.006165*F6252^2</f>
        <v>1.041885</v>
      </c>
      <c r="X6252" t="str">
        <v>x</v>
      </c>
      <c r="Y6252">
        <f>D6241</f>
        <v>1</v>
      </c>
      <c r="Z6252" t="str">
        <v>=</v>
      </c>
      <c r="AA6252">
        <f>IF(AA6253=0,(D6252*N6252+P6252*R6252)*U6252*Y6252,0)</f>
        <v>0</v>
      </c>
    </row>
    <row r="6253">
      <c r="A6253" t="str">
        <f>A6235</f>
        <v>Lantai Atap</v>
      </c>
      <c r="B6253">
        <f>B6235</f>
        <v>2</v>
      </c>
      <c r="D6253">
        <f>IF(AND(D6250=D6251,D6251=D6252,D6250=D6252),D6250,0)</f>
        <v>2</v>
      </c>
      <c r="E6253" t="str">
        <v>D</v>
      </c>
      <c r="F6253">
        <f>IF(AND(F6250=F6251,F6250=F6252,F6251=F6252),F6250,0)</f>
        <v>13</v>
      </c>
      <c r="L6253" t="str">
        <v>Total panjang per balok</v>
      </c>
      <c r="M6253" t="str">
        <v>=</v>
      </c>
      <c r="N6253">
        <f>IF(AND(D6250=D6251,D6250=D6252,D6251=D6252,F6250=F6251,F6250=F6252,F6251=F6252),SUM(N6250:N6252),0)</f>
        <v>5.456999999999999</v>
      </c>
      <c r="O6253" t="str">
        <v>+</v>
      </c>
      <c r="P6253">
        <f>IF(N6253&gt;12,ROUNDDOWN(N6253/12,0),0)</f>
        <v>0</v>
      </c>
      <c r="Q6253" t="str">
        <v>x</v>
      </c>
      <c r="R6253">
        <f>IF(P6253&gt;0,MAX(VLOOKUP(F6253,$D$6:$G$15,3,FALSE),600),0)/1000</f>
        <v>0</v>
      </c>
      <c r="T6253" t="str">
        <v>x</v>
      </c>
      <c r="U6253">
        <f>U6252</f>
        <v>1.041885</v>
      </c>
      <c r="V6253" t="str">
        <v>x</v>
      </c>
      <c r="W6253">
        <f>D6253</f>
        <v>2</v>
      </c>
      <c r="X6253" t="str">
        <v>x</v>
      </c>
      <c r="Y6253">
        <f>Y6252</f>
        <v>1</v>
      </c>
      <c r="Z6253" t="str">
        <v>=</v>
      </c>
      <c r="AA6253">
        <f>(N6253+P6253*R6253/1000)*U6253*W6253*Y6253</f>
        <v>11.371132889999997</v>
      </c>
    </row>
    <row r="6255">
      <c r="A6255" t="str">
        <f>A6235</f>
        <v>Lantai Atap</v>
      </c>
      <c r="B6255">
        <f>B6235</f>
        <v>2</v>
      </c>
      <c r="C6255" t="str">
        <v>Sengkang Tumpuan</v>
      </c>
      <c r="D6255">
        <f>VLOOKUP(D6235,'Detail Balok'!$C$10:$AU$140,31,FALSE)</f>
        <v>0</v>
      </c>
      <c r="E6255" t="str">
        <v>D</v>
      </c>
      <c r="F6255">
        <f>VLOOKUP(D6235,'Detail Balok'!$C$10:$AU$140,33,FALSE)</f>
        <v>8</v>
      </c>
      <c r="G6255" t="str">
        <v>-</v>
      </c>
      <c r="H6255">
        <f>VLOOKUP(D6235,'Detail Balok'!$C$10:$AU$140,35,FALSE)</f>
        <v>150</v>
      </c>
      <c r="J6255">
        <f>(IF(D6255=0,(2*(D6236+G6236))-(F$5*8),IF(D6255=3,(2*(D6236+G6236))-(F$5*8)+(G6236-2*F$5),IF(D6255=4,(2*(D6236+G6236))-(F$5*8)+2*(G6236-2*F$5)))))/1000</f>
        <v>0.74</v>
      </c>
      <c r="K6255" t="str">
        <v>+</v>
      </c>
      <c r="L6255">
        <f>IF(D6255=0,2*MAX(6*F6255,75),(D6255-1)*2*MAX(6*F6255,75))/1000</f>
        <v>0.15</v>
      </c>
      <c r="M6255" t="str">
        <v>=</v>
      </c>
      <c r="N6255">
        <f>J6255+L6255</f>
        <v>0.89</v>
      </c>
      <c r="T6255" t="str">
        <v>x</v>
      </c>
      <c r="U6255">
        <f>0.006165*F6255^2</f>
        <v>0.39456</v>
      </c>
      <c r="V6255" t="str">
        <v>x</v>
      </c>
      <c r="W6255">
        <f>IF(D6238&gt;4*G6236,ROUND(MAX(D6238/4,2*G6236)/H6255,0)+1,ROUND(D6238/H6255,0)+1)</f>
        <v>10</v>
      </c>
      <c r="X6255" t="str">
        <v>x</v>
      </c>
      <c r="Y6255">
        <f>D6241</f>
        <v>1</v>
      </c>
      <c r="Z6255" t="str">
        <v>=</v>
      </c>
      <c r="AA6255">
        <f>N6255*U6255*W6255*Y6255</f>
        <v>3.5115840000000005</v>
      </c>
    </row>
    <row r="6256">
      <c r="A6256" t="str">
        <f>A6235</f>
        <v>Lantai Atap</v>
      </c>
      <c r="B6256">
        <f>B6235</f>
        <v>2</v>
      </c>
      <c r="C6256" t="str">
        <v>Sengkang Lapangan</v>
      </c>
      <c r="D6256">
        <f>VLOOKUP(D6235,'Detail Balok'!$C$10:$AU$140,36,FALSE)</f>
        <v>0</v>
      </c>
      <c r="E6256" t="str">
        <v>D</v>
      </c>
      <c r="F6256">
        <f>VLOOKUP(D6235,'Detail Balok'!$C$10:$AU$140,38,FALSE)</f>
        <v>8</v>
      </c>
      <c r="G6256" t="str">
        <v>-</v>
      </c>
      <c r="H6256">
        <f>VLOOKUP(D6235,'Detail Balok'!$C$10:$AU$140,40,FALSE)</f>
        <v>200</v>
      </c>
      <c r="J6256">
        <f>(IF(D6256=0,(2*(D6236+G6236))-(F$5*8),IF(D6256=3,(2*(D6236+G6236))-(F$5*8)+(G6236-2*F$5),IF(D6256=4,(2*(D6236+G6236))-(F$5*8)+2*(G6236-2*F$5)))))/1000</f>
        <v>0.74</v>
      </c>
      <c r="K6256" t="str">
        <v>+</v>
      </c>
      <c r="L6256">
        <f>IF(D6256=0,2*MAX(6*F6256,75),(D6256-1)*2*MAX(6*F6256,75))/1000</f>
        <v>0.15</v>
      </c>
      <c r="M6256" t="str">
        <v>=</v>
      </c>
      <c r="N6256">
        <f>J6256+L6256</f>
        <v>0.89</v>
      </c>
      <c r="T6256" t="str">
        <v>x</v>
      </c>
      <c r="U6256">
        <f>0.006165*F6256^2</f>
        <v>0.39456</v>
      </c>
      <c r="V6256" t="str">
        <v>x</v>
      </c>
      <c r="W6256">
        <f>IF(D6238-MAX(D6238/4,2*G6236)*2&gt;0,ROUND((D6238-MAX(D6238/4,2*G6236)*2)/H6256,0),0)</f>
        <v>13</v>
      </c>
      <c r="X6256" t="str">
        <v>x</v>
      </c>
      <c r="Y6256">
        <f>D6241</f>
        <v>1</v>
      </c>
      <c r="Z6256" t="str">
        <v>=</v>
      </c>
      <c r="AA6256">
        <f>N6256*U6256*W6256*Y6256</f>
        <v>4.5650592</v>
      </c>
    </row>
    <row r="6257">
      <c r="A6257" t="str">
        <f>A6235</f>
        <v>Lantai Atap</v>
      </c>
      <c r="B6257">
        <f>B6235</f>
        <v>2</v>
      </c>
      <c r="C6257" t="str">
        <v>Sengkang Tumpuan</v>
      </c>
      <c r="D6257">
        <f>VLOOKUP(D6235,'Detail Balok'!$C$10:$AU$140,41,FALSE)</f>
        <v>0</v>
      </c>
      <c r="E6257" t="str">
        <v>D</v>
      </c>
      <c r="F6257">
        <f>VLOOKUP(D6235,'Detail Balok'!$C$10:$AU$140,43,FALSE)</f>
        <v>8</v>
      </c>
      <c r="G6257" t="str">
        <v>-</v>
      </c>
      <c r="H6257">
        <f>VLOOKUP(D6235,'Detail Balok'!$C$10:$AU$140,45,FALSE)</f>
        <v>150</v>
      </c>
      <c r="J6257">
        <f>(IF(D6257=0,(2*(D6236+G6236))-(F$5*8),IF(D6257=3,(2*(D6236+G6236))-(F$5*8)+(G6236-2*F$5),IF(D6257=4,(2*(D6236+G6236))-(F$5*8)+2*(G6236-2*F$5)))))/1000</f>
        <v>0.74</v>
      </c>
      <c r="K6257" t="str">
        <v>+</v>
      </c>
      <c r="L6257">
        <f>IF(D6257=0,2*MAX(6*F6257,75),(D6257-1)*2*MAX(6*F6257,75))/1000</f>
        <v>0.15</v>
      </c>
      <c r="M6257" t="str">
        <v>=</v>
      </c>
      <c r="N6257">
        <f>J6257+L6257</f>
        <v>0.89</v>
      </c>
      <c r="T6257" t="str">
        <v>x</v>
      </c>
      <c r="U6257">
        <f>0.006165*F6257^2</f>
        <v>0.39456</v>
      </c>
      <c r="V6257" t="str">
        <v>x</v>
      </c>
      <c r="W6257">
        <f>IF(D6238&gt;4*G6236,ROUND(MAX(D6238/4,2*G6236)/H6257,0)+1,0)</f>
        <v>10</v>
      </c>
      <c r="X6257" t="str">
        <v>x</v>
      </c>
      <c r="Y6257">
        <f>D6241</f>
        <v>1</v>
      </c>
      <c r="Z6257" t="str">
        <v>=</v>
      </c>
      <c r="AA6257">
        <f>N6257*U6257*W6257*Y6257</f>
        <v>3.5115840000000005</v>
      </c>
    </row>
    <row r="6259">
      <c r="A6259" t="str">
        <f>A6235</f>
        <v>Lantai Atap</v>
      </c>
      <c r="B6259">
        <f>B6235</f>
        <v>2</v>
      </c>
      <c r="C6259" t="str">
        <v>Kait Horizontal Tump.</v>
      </c>
      <c r="D6259">
        <f>VLOOKUP(D6235,'Detail Balok'!$C$10:$BJ$140,46,FALSE)</f>
        <v>0</v>
      </c>
      <c r="E6259" t="str">
        <v>D</v>
      </c>
      <c r="F6259">
        <f>VLOOKUP(D6235,'Detail Balok'!$C$10:$BJ$140,48,FALSE)</f>
        <v>0</v>
      </c>
      <c r="G6259" t="str">
        <v>-</v>
      </c>
      <c r="H6259">
        <f>VLOOKUP(D6235,'Detail Balok'!$C$10:$BJ$140,50,FALSE)</f>
        <v>100</v>
      </c>
      <c r="J6259">
        <f>(D6236-2*F$5)/1000</f>
        <v>0.05</v>
      </c>
      <c r="K6259" t="str">
        <v>+</v>
      </c>
      <c r="L6259">
        <f>IF(D6259=0,2*MAX(6*F6259,75),(D6259-1)*2*MAX(6*F6259,75))/1000</f>
        <v>0.15</v>
      </c>
      <c r="M6259" t="str">
        <v>=</v>
      </c>
      <c r="N6259">
        <f>J6259+L6259</f>
        <v>0.2</v>
      </c>
      <c r="T6259" t="str">
        <v>x</v>
      </c>
      <c r="U6259">
        <f>0.006165*F6259^2</f>
        <v>0</v>
      </c>
      <c r="V6259" t="str">
        <v>x</v>
      </c>
      <c r="W6259">
        <f>W6255</f>
        <v>10</v>
      </c>
      <c r="X6259" t="str">
        <v>x</v>
      </c>
      <c r="Y6259">
        <f>D6245</f>
        <v>2</v>
      </c>
      <c r="Z6259" t="str">
        <v>=</v>
      </c>
      <c r="AA6259">
        <f>N6259*U6259*W6259*Y6259</f>
        <v>0</v>
      </c>
    </row>
    <row r="6260">
      <c r="A6260" t="str">
        <f>A6235</f>
        <v>Lantai Atap</v>
      </c>
      <c r="B6260">
        <f>B6235</f>
        <v>2</v>
      </c>
      <c r="C6260" t="str">
        <v>Kait Horizontal Lap.</v>
      </c>
      <c r="D6260">
        <f>VLOOKUP(D6235,'Detail Balok'!$C$10:$BJ$140,51,FALSE)</f>
        <v>0</v>
      </c>
      <c r="E6260" t="str">
        <v>D</v>
      </c>
      <c r="F6260">
        <f>VLOOKUP(D6235,'Detail Balok'!$C$10:$BJ$140,53,FALSE)</f>
        <v>0</v>
      </c>
      <c r="G6260" t="str">
        <v>-</v>
      </c>
      <c r="H6260">
        <f>VLOOKUP(D6235,'Detail Balok'!$C$10:$BJ$140,55,FALSE)</f>
        <v>100</v>
      </c>
      <c r="J6260">
        <f>(D6236-2*F$5)/1000</f>
        <v>0.05</v>
      </c>
      <c r="K6260" t="str">
        <v>+</v>
      </c>
      <c r="L6260">
        <f>IF(D6260=0,2*MAX(6*F6260,75),(D6260-1)*2*MAX(6*F6260,75))/1000</f>
        <v>0.15</v>
      </c>
      <c r="M6260" t="str">
        <v>=</v>
      </c>
      <c r="N6260">
        <f>J6260+L6260</f>
        <v>0.2</v>
      </c>
      <c r="T6260" t="str">
        <v>x</v>
      </c>
      <c r="U6260">
        <f>0.006165*F6260^2</f>
        <v>0</v>
      </c>
      <c r="V6260" t="str">
        <v>x</v>
      </c>
      <c r="W6260">
        <f>W6256</f>
        <v>13</v>
      </c>
      <c r="X6260" t="str">
        <v>x</v>
      </c>
      <c r="Y6260">
        <f>D6245</f>
        <v>2</v>
      </c>
      <c r="Z6260" t="str">
        <v>=</v>
      </c>
      <c r="AA6260">
        <f>N6260*U6260*W6260*Y6260</f>
        <v>0</v>
      </c>
    </row>
    <row r="6261">
      <c r="A6261" t="str">
        <f>A6235</f>
        <v>Lantai Atap</v>
      </c>
      <c r="B6261">
        <f>B6235</f>
        <v>2</v>
      </c>
      <c r="C6261" t="str">
        <v>Kait Horizontal Tump.</v>
      </c>
      <c r="D6261">
        <f>VLOOKUP(D6235,'Detail Balok'!$C$10:$BJ$140,56,FALSE)</f>
        <v>0</v>
      </c>
      <c r="E6261" t="str">
        <v>D</v>
      </c>
      <c r="F6261">
        <f>VLOOKUP(D6235,'Detail Balok'!$C$10:$BJ$140,58,FALSE)</f>
        <v>0</v>
      </c>
      <c r="G6261" t="str">
        <v>-</v>
      </c>
      <c r="H6261">
        <f>VLOOKUP(D6235,'Detail Balok'!$C$10:$BJ$140,60,FALSE)</f>
        <v>100</v>
      </c>
      <c r="J6261">
        <f>(D6236-2*F$5)/1000</f>
        <v>0.05</v>
      </c>
      <c r="K6261" t="str">
        <v>+</v>
      </c>
      <c r="L6261">
        <f>IF(D6261=0,2*MAX(6*F6261,75),(D6261-1)*2*MAX(6*F6261,75))/1000</f>
        <v>0.15</v>
      </c>
      <c r="M6261" t="str">
        <v>=</v>
      </c>
      <c r="N6261">
        <f>J6261+L6261</f>
        <v>0.2</v>
      </c>
      <c r="T6261" t="str">
        <v>x</v>
      </c>
      <c r="U6261">
        <f>0.006165*F6261^2</f>
        <v>0</v>
      </c>
      <c r="V6261" t="str">
        <v>x</v>
      </c>
      <c r="W6261">
        <f>W6257</f>
        <v>10</v>
      </c>
      <c r="X6261" t="str">
        <v>x</v>
      </c>
      <c r="Y6261">
        <f>D6245</f>
        <v>2</v>
      </c>
      <c r="Z6261" t="str">
        <v>=</v>
      </c>
      <c r="AA6261">
        <f>N6261*U6261*W6261*Y6261</f>
        <v>0</v>
      </c>
    </row>
    <row r="6265">
      <c r="A6265" t="str">
        <f>A6235</f>
        <v>Lantai Atap</v>
      </c>
      <c r="B6265">
        <f>B6235+1</f>
        <v>3</v>
      </c>
      <c r="C6265" t="str">
        <f>CONCATENATE(A6265," no. ",B6265)</f>
        <v>Lantai Atap no. 3</v>
      </c>
      <c r="D6265" t="str">
        <f>VLOOKUP(C6265,'Data Panjang Balok'!$C$9:$N$254,2,FALSE)</f>
        <v>B4-1</v>
      </c>
    </row>
    <row r="6266">
      <c r="C6266" t="str">
        <v>Dimensi</v>
      </c>
      <c r="D6266">
        <f>VLOOKUP(D6265,'Detail Balok'!$C$10:$AU$140,2,FALSE)</f>
        <v>130</v>
      </c>
      <c r="F6266" t="str">
        <v>x</v>
      </c>
      <c r="G6266">
        <f>VLOOKUP(D6265,'Detail Balok'!$C$10:$AU$140,3,FALSE)</f>
        <v>400</v>
      </c>
    </row>
    <row r="6267">
      <c r="C6267" t="str">
        <v>Panjang as ke as</v>
      </c>
      <c r="D6267">
        <f>VLOOKUP(C6265,'Data Panjang Balok'!$C$9:$N$254,4,FALSE)</f>
        <v>4075</v>
      </c>
    </row>
    <row r="6268">
      <c r="C6268" t="str">
        <v>Panjang netto</v>
      </c>
      <c r="D6268">
        <f>VLOOKUP(C6265,'Data Panjang Balok'!$C$9:$N$254,7,FALSE)</f>
        <v>4075</v>
      </c>
    </row>
    <row r="6269">
      <c r="C6269" t="str">
        <v>Kolom / balok kiri</v>
      </c>
      <c r="D6269">
        <f>VLOOKUP(C6265,'Data Panjang Balok'!$C$9:$N$254,9,FALSE)</f>
        <v>0</v>
      </c>
    </row>
    <row r="6270">
      <c r="C6270" t="str">
        <v>Kolom / balok kanan</v>
      </c>
      <c r="D6270">
        <f>VLOOKUP(C6265,'Data Panjang Balok'!$C$9:$N$254,10,FALSE)</f>
        <v>0</v>
      </c>
    </row>
    <row r="6271">
      <c r="C6271" t="str">
        <v>Jumlah</v>
      </c>
      <c r="D6271">
        <f>VLOOKUP(C6265,'Data Panjang Balok'!$C$9:$N$254,3,FALSE)</f>
        <v>1</v>
      </c>
    </row>
    <row r="6272">
      <c r="A6272" t="str">
        <f>A6265</f>
        <v>Lantai Atap</v>
      </c>
      <c r="B6272">
        <f>B6265</f>
        <v>3</v>
      </c>
      <c r="C6272" t="str">
        <v>Tul Atas Tumpuan</v>
      </c>
      <c r="D6272">
        <f>VLOOKUP(D6265,'Detail Balok'!$C$10:$AU$140,4,FALSE)</f>
        <v>2</v>
      </c>
      <c r="E6272" t="str">
        <v>D</v>
      </c>
      <c r="F6272">
        <f>VLOOKUP(D6265,'Detail Balok'!$C$10:$AU$140,6,FALSE)</f>
        <v>13</v>
      </c>
      <c r="I6272" t="str">
        <v>(</v>
      </c>
      <c r="J6272">
        <f>+D6267/4/1000</f>
        <v>1.01875</v>
      </c>
      <c r="K6272" t="str">
        <v>+</v>
      </c>
      <c r="L6272">
        <f>MAX(VLOOKUP(F6272,N$6:P$15,3,FALSE)/1000,2/3*D6269/1000)+F$16*F6272/1000</f>
        <v>0.156</v>
      </c>
      <c r="M6272" t="str">
        <v>=</v>
      </c>
      <c r="N6272">
        <f>J6272+L6272</f>
        <v>1.17475</v>
      </c>
      <c r="O6272" t="str">
        <v>+</v>
      </c>
      <c r="P6272">
        <f>D6272-D6273</f>
        <v>0</v>
      </c>
      <c r="Q6272" t="str">
        <v>x</v>
      </c>
      <c r="R6272">
        <f>IF(P6272&gt;0,$F$18*F6272/1000,0)</f>
        <v>0</v>
      </c>
      <c r="S6272" t="str">
        <v>)</v>
      </c>
      <c r="T6272" t="str">
        <v>x</v>
      </c>
      <c r="U6272">
        <f>0.006165*F6272^2</f>
        <v>1.041885</v>
      </c>
      <c r="X6272" t="str">
        <v>x</v>
      </c>
      <c r="Y6272">
        <f>D6271</f>
        <v>1</v>
      </c>
      <c r="Z6272" t="str">
        <v>=</v>
      </c>
      <c r="AA6272">
        <f>IF(AA6275=0,(D6272*N6272+P6272*R6272)*U6272*Y6272,0)</f>
        <v>0</v>
      </c>
    </row>
    <row r="6273">
      <c r="A6273" t="str">
        <f>A6265</f>
        <v>Lantai Atap</v>
      </c>
      <c r="B6273">
        <f>B6265</f>
        <v>3</v>
      </c>
      <c r="C6273" t="str">
        <v>Tul Atas Lapangan</v>
      </c>
      <c r="D6273">
        <f>VLOOKUP(D6265,'Detail Balok'!$C$10:$AU$140,7,FALSE)</f>
        <v>2</v>
      </c>
      <c r="E6273" t="str">
        <v>D</v>
      </c>
      <c r="F6273">
        <f>VLOOKUP(D6265,'Detail Balok'!$C$10:$AU$140,9,FALSE)</f>
        <v>13</v>
      </c>
      <c r="I6273" t="str">
        <v>(</v>
      </c>
      <c r="J6273">
        <f>+D6267/2/1000</f>
        <v>2.0375</v>
      </c>
      <c r="K6273" t="str">
        <v>+</v>
      </c>
      <c r="M6273" t="str">
        <v>=</v>
      </c>
      <c r="N6273">
        <f>J6273+L6273</f>
        <v>2.0375</v>
      </c>
      <c r="O6273" t="str">
        <v>+</v>
      </c>
      <c r="P6273">
        <f>MAX(D6273-D6272,D6273-D6274)</f>
        <v>0</v>
      </c>
      <c r="Q6273" t="str">
        <v>x</v>
      </c>
      <c r="R6273">
        <f>IF(P6273&gt;0,2*(1-2*$F$19-1/2)*D6268/1000,0)</f>
        <v>0</v>
      </c>
      <c r="S6273" t="str">
        <v>)</v>
      </c>
      <c r="T6273" t="str">
        <v>x</v>
      </c>
      <c r="U6273">
        <f>0.006165*F6273^2</f>
        <v>1.041885</v>
      </c>
      <c r="X6273" t="str">
        <v>x</v>
      </c>
      <c r="Y6273">
        <f>D6271</f>
        <v>1</v>
      </c>
      <c r="Z6273" t="str">
        <v>=</v>
      </c>
      <c r="AA6273">
        <f>IF(AA6275=0,(D6273*N6273+P6273*R6273)*U6273*Y6273,0)</f>
        <v>0</v>
      </c>
    </row>
    <row r="6274">
      <c r="A6274" t="str">
        <f>A6265</f>
        <v>Lantai Atap</v>
      </c>
      <c r="B6274">
        <f>B6265</f>
        <v>3</v>
      </c>
      <c r="C6274" t="str">
        <v>Tul Atas Tumpuan</v>
      </c>
      <c r="D6274">
        <f>VLOOKUP(D6265,'Detail Balok'!$C$10:$AU$140,10,FALSE)</f>
        <v>2</v>
      </c>
      <c r="E6274" t="str">
        <v>D</v>
      </c>
      <c r="F6274">
        <f>VLOOKUP(D6265,'Detail Balok'!$C$10:$AU$140,12,FALSE)</f>
        <v>13</v>
      </c>
      <c r="I6274" t="str">
        <v>(</v>
      </c>
      <c r="J6274">
        <f>+D6267/4/1000</f>
        <v>1.01875</v>
      </c>
      <c r="K6274" t="str">
        <v>+</v>
      </c>
      <c r="L6274">
        <f>MAX(VLOOKUP(F6274,N$6:P$15,3,FALSE)/1000,2/3*D6269/1000)+F$16*F6274/1000</f>
        <v>0.156</v>
      </c>
      <c r="M6274" t="str">
        <v>=</v>
      </c>
      <c r="N6274">
        <f>J6274+L6274</f>
        <v>1.17475</v>
      </c>
      <c r="O6274" t="str">
        <v>+</v>
      </c>
      <c r="P6274">
        <f>D6274-D6273</f>
        <v>0</v>
      </c>
      <c r="Q6274" t="str">
        <v>x</v>
      </c>
      <c r="R6274">
        <f>IF(P6274&gt;0,$F$18*F6274/1000,0)</f>
        <v>0</v>
      </c>
      <c r="S6274" t="str">
        <v>)</v>
      </c>
      <c r="T6274" t="str">
        <v>x</v>
      </c>
      <c r="U6274">
        <f>0.006165*F6274^2</f>
        <v>1.041885</v>
      </c>
      <c r="X6274" t="str">
        <v>x</v>
      </c>
      <c r="Y6274">
        <f>D6271</f>
        <v>1</v>
      </c>
      <c r="Z6274" t="str">
        <v>=</v>
      </c>
      <c r="AA6274">
        <f>IF(AA6275=0,(D6274*N6274+P6274*R6274)*U6274*Y6274,0)</f>
        <v>0</v>
      </c>
    </row>
    <row r="6275">
      <c r="A6275" t="str">
        <f>A6265</f>
        <v>Lantai Atap</v>
      </c>
      <c r="B6275">
        <f>B6265</f>
        <v>3</v>
      </c>
      <c r="D6275">
        <f>IF(AND(D6272=D6273,D6273=D6274,D6272=D6274),D6272,0)</f>
        <v>2</v>
      </c>
      <c r="E6275" t="str">
        <v>D</v>
      </c>
      <c r="F6275">
        <f>IF(AND(F6272=F6273,F6272=F6274,F6273=F6274),F6272,0)</f>
        <v>13</v>
      </c>
      <c r="L6275" t="str">
        <v>Total panjang per balok</v>
      </c>
      <c r="M6275" t="str">
        <v>=</v>
      </c>
      <c r="N6275">
        <f>IF(AND(D6272=D6273,D6272=D6274,D6273=D6274,F6272=F6273,F6272=F6274,F6273=F6274),SUM(N6272:N6274),0)</f>
        <v>4.3870000000000005</v>
      </c>
      <c r="O6275" t="str">
        <v>+</v>
      </c>
      <c r="P6275">
        <f>IF(N6275&gt;12,ROUNDDOWN(N6275/12,0),0)</f>
        <v>0</v>
      </c>
      <c r="Q6275" t="str">
        <v>x</v>
      </c>
      <c r="R6275">
        <f>IF(P6275&gt;0,MAX(VLOOKUP(F6275,$D$6:$G$15,3,FALSE),600),0)/1000</f>
        <v>0</v>
      </c>
      <c r="T6275" t="str">
        <v>x</v>
      </c>
      <c r="U6275">
        <f>U6274</f>
        <v>1.041885</v>
      </c>
      <c r="V6275" t="str">
        <v>x</v>
      </c>
      <c r="W6275">
        <f>D6275</f>
        <v>2</v>
      </c>
      <c r="X6275" t="str">
        <v>x</v>
      </c>
      <c r="Y6275">
        <f>Y6274</f>
        <v>1</v>
      </c>
      <c r="Z6275" t="str">
        <v>=</v>
      </c>
      <c r="AA6275">
        <f>(N6275+P6275*R6275/1000)*U6275*W6275*Y6275</f>
        <v>9.14149899</v>
      </c>
    </row>
    <row r="6277">
      <c r="A6277" t="str">
        <f>A6265</f>
        <v>Lantai Atap</v>
      </c>
      <c r="B6277">
        <f>B6265</f>
        <v>3</v>
      </c>
      <c r="C6277" t="str">
        <v>Tul Peminggang</v>
      </c>
      <c r="D6277">
        <f>VLOOKUP(D6265,'Detail Balok'!$C$10:$AU$140,13,FALSE)</f>
        <v>0</v>
      </c>
      <c r="E6277" t="str">
        <v>D</v>
      </c>
      <c r="F6277">
        <f>VLOOKUP(D6265,'Detail Balok'!$C$10:$AU$140,15,FALSE)</f>
        <v>8</v>
      </c>
      <c r="J6277">
        <f>+D6267/1000</f>
        <v>4.075</v>
      </c>
      <c r="K6277" t="str">
        <v>+</v>
      </c>
      <c r="L6277">
        <f>2*$F$16*F6277/1000</f>
        <v>0.192</v>
      </c>
      <c r="M6277" t="str">
        <v>=</v>
      </c>
      <c r="N6277">
        <f>J6277+L6277</f>
        <v>4.267</v>
      </c>
      <c r="O6277" t="str">
        <v>+</v>
      </c>
      <c r="P6277">
        <f>IF(N6277&gt;12,ROUNDDOWN(N6277/12,0),0)</f>
        <v>0</v>
      </c>
      <c r="Q6277" t="str">
        <v>x</v>
      </c>
      <c r="R6277">
        <f>IF(P6277&gt;0,MAX(VLOOKUP(F6277,$D$6:$G$15,3,FALSE),600),0)/1000</f>
        <v>0</v>
      </c>
      <c r="T6277" t="str">
        <v>x</v>
      </c>
      <c r="U6277">
        <f>0.006165*F6277^2</f>
        <v>0.39456</v>
      </c>
      <c r="V6277" t="str">
        <v>x</v>
      </c>
      <c r="W6277">
        <f>+D6277</f>
        <v>0</v>
      </c>
      <c r="X6277" t="str">
        <v>x</v>
      </c>
      <c r="Y6277">
        <f>D6271</f>
        <v>1</v>
      </c>
      <c r="Z6277" t="str">
        <v>=</v>
      </c>
      <c r="AA6277">
        <f>(N6277+P6277*R6277/1000)*U6277*W6277*Y6277</f>
        <v>0</v>
      </c>
    </row>
    <row r="6280">
      <c r="A6280" t="str">
        <f>A6265</f>
        <v>Lantai Atap</v>
      </c>
      <c r="B6280">
        <f>B6265</f>
        <v>3</v>
      </c>
      <c r="C6280" t="str">
        <v>Tul Bawah Tumpuan</v>
      </c>
      <c r="D6280">
        <f>VLOOKUP(D6265,'Detail Balok'!$C$10:$AU$140,22,FALSE)</f>
        <v>2</v>
      </c>
      <c r="E6280" t="str">
        <v>D</v>
      </c>
      <c r="F6280">
        <f>VLOOKUP(D6265,'Detail Balok'!$C$10:$AU$140,24,FALSE)</f>
        <v>13</v>
      </c>
      <c r="I6280" t="str">
        <v>(</v>
      </c>
      <c r="J6280">
        <f>+J6272</f>
        <v>1.01875</v>
      </c>
      <c r="K6280" t="str">
        <v>+</v>
      </c>
      <c r="L6280">
        <f>MAX(VLOOKUP(F6280,N$6:P$15,3,FALSE)/1000,2/3*D6270/1000)+F$16*F6280/1000</f>
        <v>0.156</v>
      </c>
      <c r="M6280" t="str">
        <v>=</v>
      </c>
      <c r="N6280">
        <f>J6280+L6280</f>
        <v>1.17475</v>
      </c>
      <c r="O6280" t="str">
        <v>+</v>
      </c>
      <c r="P6280">
        <f>D6280-D6281</f>
        <v>0</v>
      </c>
      <c r="Q6280" t="str">
        <v>x</v>
      </c>
      <c r="R6280">
        <f>IF(P6280&gt;0,$F$18*F6280/1000,0)</f>
        <v>0</v>
      </c>
      <c r="S6280" t="str">
        <v>)</v>
      </c>
      <c r="T6280" t="str">
        <v>x</v>
      </c>
      <c r="U6280">
        <f>0.006165*F6280^2</f>
        <v>1.041885</v>
      </c>
      <c r="X6280" t="str">
        <v>x</v>
      </c>
      <c r="Y6280">
        <f>D6271</f>
        <v>1</v>
      </c>
      <c r="Z6280" t="str">
        <v>=</v>
      </c>
      <c r="AA6280">
        <f>IF(AA6283=0,(D6280*N6280+P6280*R6280)*U6280*Y6280,0)</f>
        <v>0</v>
      </c>
    </row>
    <row r="6281">
      <c r="A6281" t="str">
        <f>A6265</f>
        <v>Lantai Atap</v>
      </c>
      <c r="B6281">
        <f>B6265</f>
        <v>3</v>
      </c>
      <c r="C6281" t="str">
        <v>Tul Bawah Lapangan</v>
      </c>
      <c r="D6281">
        <f>VLOOKUP(D6265,'Detail Balok'!$C$10:$AU$140,25,FALSE)</f>
        <v>2</v>
      </c>
      <c r="E6281" t="str">
        <v>D</v>
      </c>
      <c r="F6281">
        <f>VLOOKUP(D6265,'Detail Balok'!$C$10:$AU$140,27,FALSE)</f>
        <v>13</v>
      </c>
      <c r="I6281" t="str">
        <v>(</v>
      </c>
      <c r="J6281">
        <f>+J6273</f>
        <v>2.0375</v>
      </c>
      <c r="K6281" t="str">
        <v>+</v>
      </c>
      <c r="M6281" t="str">
        <v>=</v>
      </c>
      <c r="N6281">
        <f>J6281+L6281</f>
        <v>2.0375</v>
      </c>
      <c r="O6281" t="str">
        <v>+</v>
      </c>
      <c r="P6281">
        <f>MAX(D6281-D6280,D6281-D6282)</f>
        <v>0</v>
      </c>
      <c r="Q6281" t="str">
        <v>x</v>
      </c>
      <c r="R6281">
        <f>IF(P6281&gt;0,2*(1-2*$F$19-1/2)*D6268/1000,0)</f>
        <v>0</v>
      </c>
      <c r="S6281" t="str">
        <v>)</v>
      </c>
      <c r="T6281" t="str">
        <v>x</v>
      </c>
      <c r="U6281">
        <f>0.006165*F6281^2</f>
        <v>1.041885</v>
      </c>
      <c r="X6281" t="str">
        <v>x</v>
      </c>
      <c r="Y6281">
        <f>D6271</f>
        <v>1</v>
      </c>
      <c r="Z6281" t="str">
        <v>=</v>
      </c>
      <c r="AA6281">
        <f>IF(AA6283=0,(D6281*N6281+P6281*R6281)*U6281*Y6281,0)</f>
        <v>0</v>
      </c>
    </row>
    <row r="6282">
      <c r="A6282" t="str">
        <f>A6265</f>
        <v>Lantai Atap</v>
      </c>
      <c r="B6282">
        <f>B6265</f>
        <v>3</v>
      </c>
      <c r="C6282" t="str">
        <v>Tul Bawah Tumpuan</v>
      </c>
      <c r="D6282">
        <f>VLOOKUP(D6265,'Detail Balok'!$C$10:$AU$140,28,FALSE)</f>
        <v>2</v>
      </c>
      <c r="E6282" t="str">
        <v>D</v>
      </c>
      <c r="F6282">
        <f>VLOOKUP(D6265,'Detail Balok'!$C$10:$AU$140,30,FALSE)</f>
        <v>13</v>
      </c>
      <c r="I6282" t="str">
        <v>(</v>
      </c>
      <c r="J6282">
        <f>+J6274</f>
        <v>1.01875</v>
      </c>
      <c r="K6282" t="str">
        <v>+</v>
      </c>
      <c r="L6282">
        <f>MAX(VLOOKUP(F6282,N$6:P$15,3,FALSE)/1000,2/3*D6270/1000)+F$16*F6282/1000</f>
        <v>0.156</v>
      </c>
      <c r="M6282" t="str">
        <v>=</v>
      </c>
      <c r="N6282">
        <f>J6282+L6282</f>
        <v>1.17475</v>
      </c>
      <c r="O6282" t="str">
        <v>+</v>
      </c>
      <c r="P6282">
        <f>D6282-D6281</f>
        <v>0</v>
      </c>
      <c r="Q6282" t="str">
        <v>x</v>
      </c>
      <c r="R6282">
        <f>IF(P6282&gt;0,$F$18*F6282/1000,0)</f>
        <v>0</v>
      </c>
      <c r="S6282" t="str">
        <v>)</v>
      </c>
      <c r="T6282" t="str">
        <v>x</v>
      </c>
      <c r="U6282">
        <f>0.006165*F6282^2</f>
        <v>1.041885</v>
      </c>
      <c r="X6282" t="str">
        <v>x</v>
      </c>
      <c r="Y6282">
        <f>D6271</f>
        <v>1</v>
      </c>
      <c r="Z6282" t="str">
        <v>=</v>
      </c>
      <c r="AA6282">
        <f>IF(AA6283=0,(D6282*N6282+P6282*R6282)*U6282*Y6282,0)</f>
        <v>0</v>
      </c>
    </row>
    <row r="6283">
      <c r="A6283" t="str">
        <f>A6265</f>
        <v>Lantai Atap</v>
      </c>
      <c r="B6283">
        <f>B6265</f>
        <v>3</v>
      </c>
      <c r="D6283">
        <f>IF(AND(D6280=D6281,D6281=D6282,D6280=D6282),D6280,0)</f>
        <v>2</v>
      </c>
      <c r="E6283" t="str">
        <v>D</v>
      </c>
      <c r="F6283">
        <f>IF(AND(F6280=F6281,F6280=F6282,F6281=F6282),F6280,0)</f>
        <v>13</v>
      </c>
      <c r="L6283" t="str">
        <v>Total panjang per balok</v>
      </c>
      <c r="M6283" t="str">
        <v>=</v>
      </c>
      <c r="N6283">
        <f>IF(AND(D6280=D6281,D6280=D6282,D6281=D6282,F6280=F6281,F6280=F6282,F6281=F6282),SUM(N6280:N6282),0)</f>
        <v>4.3870000000000005</v>
      </c>
      <c r="O6283" t="str">
        <v>+</v>
      </c>
      <c r="P6283">
        <f>IF(N6283&gt;12,ROUNDDOWN(N6283/12,0),0)</f>
        <v>0</v>
      </c>
      <c r="Q6283" t="str">
        <v>x</v>
      </c>
      <c r="R6283">
        <f>IF(P6283&gt;0,MAX(VLOOKUP(F6283,$D$6:$G$15,3,FALSE),600),0)/1000</f>
        <v>0</v>
      </c>
      <c r="T6283" t="str">
        <v>x</v>
      </c>
      <c r="U6283">
        <f>U6282</f>
        <v>1.041885</v>
      </c>
      <c r="V6283" t="str">
        <v>x</v>
      </c>
      <c r="W6283">
        <f>D6283</f>
        <v>2</v>
      </c>
      <c r="X6283" t="str">
        <v>x</v>
      </c>
      <c r="Y6283">
        <f>Y6282</f>
        <v>1</v>
      </c>
      <c r="Z6283" t="str">
        <v>=</v>
      </c>
      <c r="AA6283">
        <f>(N6283+P6283*R6283/1000)*U6283*W6283*Y6283</f>
        <v>9.14149899</v>
      </c>
    </row>
    <row r="6285">
      <c r="A6285" t="str">
        <f>A6265</f>
        <v>Lantai Atap</v>
      </c>
      <c r="B6285">
        <f>B6265</f>
        <v>3</v>
      </c>
      <c r="C6285" t="str">
        <v>Sengkang Tumpuan</v>
      </c>
      <c r="D6285">
        <f>VLOOKUP(D6265,'Detail Balok'!$C$10:$AU$140,31,FALSE)</f>
        <v>0</v>
      </c>
      <c r="E6285" t="str">
        <v>D</v>
      </c>
      <c r="F6285">
        <f>VLOOKUP(D6265,'Detail Balok'!$C$10:$AU$140,33,FALSE)</f>
        <v>8</v>
      </c>
      <c r="G6285" t="str">
        <v>-</v>
      </c>
      <c r="H6285">
        <f>VLOOKUP(D6265,'Detail Balok'!$C$10:$AU$140,35,FALSE)</f>
        <v>150</v>
      </c>
      <c r="J6285">
        <f>(IF(D6285=0,(2*(D6266+G6266))-(F$5*8),IF(D6285=3,(2*(D6266+G6266))-(F$5*8)+(G6266-2*F$5),IF(D6285=4,(2*(D6266+G6266))-(F$5*8)+2*(G6266-2*F$5)))))/1000</f>
        <v>0.74</v>
      </c>
      <c r="K6285" t="str">
        <v>+</v>
      </c>
      <c r="L6285">
        <f>IF(D6285=0,2*MAX(6*F6285,75),(D6285-1)*2*MAX(6*F6285,75))/1000</f>
        <v>0.15</v>
      </c>
      <c r="M6285" t="str">
        <v>=</v>
      </c>
      <c r="N6285">
        <f>J6285+L6285</f>
        <v>0.89</v>
      </c>
      <c r="T6285" t="str">
        <v>x</v>
      </c>
      <c r="U6285">
        <f>0.006165*F6285^2</f>
        <v>0.39456</v>
      </c>
      <c r="V6285" t="str">
        <v>x</v>
      </c>
      <c r="W6285">
        <f>IF(D6268&gt;4*G6266,ROUND(MAX(D6268/4,2*G6266)/H6285,0)+1,ROUND(D6268/H6285,0)+1)</f>
        <v>8</v>
      </c>
      <c r="X6285" t="str">
        <v>x</v>
      </c>
      <c r="Y6285">
        <f>D6271</f>
        <v>1</v>
      </c>
      <c r="Z6285" t="str">
        <v>=</v>
      </c>
      <c r="AA6285">
        <f>N6285*U6285*W6285*Y6285</f>
        <v>2.8092672000000003</v>
      </c>
    </row>
    <row r="6286">
      <c r="A6286" t="str">
        <f>A6265</f>
        <v>Lantai Atap</v>
      </c>
      <c r="B6286">
        <f>B6265</f>
        <v>3</v>
      </c>
      <c r="C6286" t="str">
        <v>Sengkang Lapangan</v>
      </c>
      <c r="D6286">
        <f>VLOOKUP(D6265,'Detail Balok'!$C$10:$AU$140,36,FALSE)</f>
        <v>0</v>
      </c>
      <c r="E6286" t="str">
        <v>D</v>
      </c>
      <c r="F6286">
        <f>VLOOKUP(D6265,'Detail Balok'!$C$10:$AU$140,38,FALSE)</f>
        <v>8</v>
      </c>
      <c r="G6286" t="str">
        <v>-</v>
      </c>
      <c r="H6286">
        <f>VLOOKUP(D6265,'Detail Balok'!$C$10:$AU$140,40,FALSE)</f>
        <v>200</v>
      </c>
      <c r="J6286">
        <f>(IF(D6286=0,(2*(D6266+G6266))-(F$5*8),IF(D6286=3,(2*(D6266+G6266))-(F$5*8)+(G6266-2*F$5),IF(D6286=4,(2*(D6266+G6266))-(F$5*8)+2*(G6266-2*F$5)))))/1000</f>
        <v>0.74</v>
      </c>
      <c r="K6286" t="str">
        <v>+</v>
      </c>
      <c r="L6286">
        <f>IF(D6286=0,2*MAX(6*F6286,75),(D6286-1)*2*MAX(6*F6286,75))/1000</f>
        <v>0.15</v>
      </c>
      <c r="M6286" t="str">
        <v>=</v>
      </c>
      <c r="N6286">
        <f>J6286+L6286</f>
        <v>0.89</v>
      </c>
      <c r="T6286" t="str">
        <v>x</v>
      </c>
      <c r="U6286">
        <f>0.006165*F6286^2</f>
        <v>0.39456</v>
      </c>
      <c r="V6286" t="str">
        <v>x</v>
      </c>
      <c r="W6286">
        <f>IF(D6268-MAX(D6268/4,2*G6266)*2&gt;0,ROUND((D6268-MAX(D6268/4,2*G6266)*2)/H6286,0),0)</f>
        <v>10</v>
      </c>
      <c r="X6286" t="str">
        <v>x</v>
      </c>
      <c r="Y6286">
        <f>D6271</f>
        <v>1</v>
      </c>
      <c r="Z6286" t="str">
        <v>=</v>
      </c>
      <c r="AA6286">
        <f>N6286*U6286*W6286*Y6286</f>
        <v>3.5115840000000005</v>
      </c>
    </row>
    <row r="6287">
      <c r="A6287" t="str">
        <f>A6265</f>
        <v>Lantai Atap</v>
      </c>
      <c r="B6287">
        <f>B6265</f>
        <v>3</v>
      </c>
      <c r="C6287" t="str">
        <v>Sengkang Tumpuan</v>
      </c>
      <c r="D6287">
        <f>VLOOKUP(D6265,'Detail Balok'!$C$10:$AU$140,41,FALSE)</f>
        <v>0</v>
      </c>
      <c r="E6287" t="str">
        <v>D</v>
      </c>
      <c r="F6287">
        <f>VLOOKUP(D6265,'Detail Balok'!$C$10:$AU$140,43,FALSE)</f>
        <v>8</v>
      </c>
      <c r="G6287" t="str">
        <v>-</v>
      </c>
      <c r="H6287">
        <f>VLOOKUP(D6265,'Detail Balok'!$C$10:$AU$140,45,FALSE)</f>
        <v>150</v>
      </c>
      <c r="J6287">
        <f>(IF(D6287=0,(2*(D6266+G6266))-(F$5*8),IF(D6287=3,(2*(D6266+G6266))-(F$5*8)+(G6266-2*F$5),IF(D6287=4,(2*(D6266+G6266))-(F$5*8)+2*(G6266-2*F$5)))))/1000</f>
        <v>0.74</v>
      </c>
      <c r="K6287" t="str">
        <v>+</v>
      </c>
      <c r="L6287">
        <f>IF(D6287=0,2*MAX(6*F6287,75),(D6287-1)*2*MAX(6*F6287,75))/1000</f>
        <v>0.15</v>
      </c>
      <c r="M6287" t="str">
        <v>=</v>
      </c>
      <c r="N6287">
        <f>J6287+L6287</f>
        <v>0.89</v>
      </c>
      <c r="T6287" t="str">
        <v>x</v>
      </c>
      <c r="U6287">
        <f>0.006165*F6287^2</f>
        <v>0.39456</v>
      </c>
      <c r="V6287" t="str">
        <v>x</v>
      </c>
      <c r="W6287">
        <f>IF(D6268&gt;4*G6266,ROUND(MAX(D6268/4,2*G6266)/H6287,0)+1,0)</f>
        <v>8</v>
      </c>
      <c r="X6287" t="str">
        <v>x</v>
      </c>
      <c r="Y6287">
        <f>D6271</f>
        <v>1</v>
      </c>
      <c r="Z6287" t="str">
        <v>=</v>
      </c>
      <c r="AA6287">
        <f>N6287*U6287*W6287*Y6287</f>
        <v>2.8092672000000003</v>
      </c>
    </row>
    <row r="6289">
      <c r="A6289" t="str">
        <f>A6265</f>
        <v>Lantai Atap</v>
      </c>
      <c r="B6289">
        <f>B6265</f>
        <v>3</v>
      </c>
      <c r="C6289" t="str">
        <v>Kait Horizontal Tump.</v>
      </c>
      <c r="D6289">
        <f>VLOOKUP(D6265,'Detail Balok'!$C$10:$BJ$140,46,FALSE)</f>
        <v>0</v>
      </c>
      <c r="E6289" t="str">
        <v>D</v>
      </c>
      <c r="F6289">
        <f>VLOOKUP(D6265,'Detail Balok'!$C$10:$BJ$140,48,FALSE)</f>
        <v>0</v>
      </c>
      <c r="G6289" t="str">
        <v>-</v>
      </c>
      <c r="H6289">
        <f>VLOOKUP(D6265,'Detail Balok'!$C$10:$BJ$140,50,FALSE)</f>
        <v>100</v>
      </c>
      <c r="J6289">
        <f>(D6266-2*F$5)/1000</f>
        <v>0.05</v>
      </c>
      <c r="K6289" t="str">
        <v>+</v>
      </c>
      <c r="L6289">
        <f>IF(D6289=0,2*MAX(6*F6289,75),(D6289-1)*2*MAX(6*F6289,75))/1000</f>
        <v>0.15</v>
      </c>
      <c r="M6289" t="str">
        <v>=</v>
      </c>
      <c r="N6289">
        <f>J6289+L6289</f>
        <v>0.2</v>
      </c>
      <c r="T6289" t="str">
        <v>x</v>
      </c>
      <c r="U6289">
        <f>0.006165*F6289^2</f>
        <v>0</v>
      </c>
      <c r="V6289" t="str">
        <v>x</v>
      </c>
      <c r="W6289">
        <f>W6285</f>
        <v>8</v>
      </c>
      <c r="X6289" t="str">
        <v>x</v>
      </c>
      <c r="Y6289">
        <f>D6275</f>
        <v>2</v>
      </c>
      <c r="Z6289" t="str">
        <v>=</v>
      </c>
      <c r="AA6289">
        <f>N6289*U6289*W6289*Y6289</f>
        <v>0</v>
      </c>
    </row>
    <row r="6290">
      <c r="A6290" t="str">
        <f>A6265</f>
        <v>Lantai Atap</v>
      </c>
      <c r="B6290">
        <f>B6265</f>
        <v>3</v>
      </c>
      <c r="C6290" t="str">
        <v>Kait Horizontal Lap.</v>
      </c>
      <c r="D6290">
        <f>VLOOKUP(D6265,'Detail Balok'!$C$10:$BJ$140,51,FALSE)</f>
        <v>0</v>
      </c>
      <c r="E6290" t="str">
        <v>D</v>
      </c>
      <c r="F6290">
        <f>VLOOKUP(D6265,'Detail Balok'!$C$10:$BJ$140,53,FALSE)</f>
        <v>0</v>
      </c>
      <c r="G6290" t="str">
        <v>-</v>
      </c>
      <c r="H6290">
        <f>VLOOKUP(D6265,'Detail Balok'!$C$10:$BJ$140,55,FALSE)</f>
        <v>100</v>
      </c>
      <c r="J6290">
        <f>(D6266-2*F$5)/1000</f>
        <v>0.05</v>
      </c>
      <c r="K6290" t="str">
        <v>+</v>
      </c>
      <c r="L6290">
        <f>IF(D6290=0,2*MAX(6*F6290,75),(D6290-1)*2*MAX(6*F6290,75))/1000</f>
        <v>0.15</v>
      </c>
      <c r="M6290" t="str">
        <v>=</v>
      </c>
      <c r="N6290">
        <f>J6290+L6290</f>
        <v>0.2</v>
      </c>
      <c r="T6290" t="str">
        <v>x</v>
      </c>
      <c r="U6290">
        <f>0.006165*F6290^2</f>
        <v>0</v>
      </c>
      <c r="V6290" t="str">
        <v>x</v>
      </c>
      <c r="W6290">
        <f>W6286</f>
        <v>10</v>
      </c>
      <c r="X6290" t="str">
        <v>x</v>
      </c>
      <c r="Y6290">
        <f>D6275</f>
        <v>2</v>
      </c>
      <c r="Z6290" t="str">
        <v>=</v>
      </c>
      <c r="AA6290">
        <f>N6290*U6290*W6290*Y6290</f>
        <v>0</v>
      </c>
    </row>
    <row r="6291">
      <c r="A6291" t="str">
        <f>A6265</f>
        <v>Lantai Atap</v>
      </c>
      <c r="B6291">
        <f>B6265</f>
        <v>3</v>
      </c>
      <c r="C6291" t="str">
        <v>Kait Horizontal Tump.</v>
      </c>
      <c r="D6291">
        <f>VLOOKUP(D6265,'Detail Balok'!$C$10:$BJ$140,56,FALSE)</f>
        <v>0</v>
      </c>
      <c r="E6291" t="str">
        <v>D</v>
      </c>
      <c r="F6291">
        <f>VLOOKUP(D6265,'Detail Balok'!$C$10:$BJ$140,58,FALSE)</f>
        <v>0</v>
      </c>
      <c r="G6291" t="str">
        <v>-</v>
      </c>
      <c r="H6291">
        <f>VLOOKUP(D6265,'Detail Balok'!$C$10:$BJ$140,60,FALSE)</f>
        <v>100</v>
      </c>
      <c r="J6291">
        <f>(D6266-2*F$5)/1000</f>
        <v>0.05</v>
      </c>
      <c r="K6291" t="str">
        <v>+</v>
      </c>
      <c r="L6291">
        <f>IF(D6291=0,2*MAX(6*F6291,75),(D6291-1)*2*MAX(6*F6291,75))/1000</f>
        <v>0.15</v>
      </c>
      <c r="M6291" t="str">
        <v>=</v>
      </c>
      <c r="N6291">
        <f>J6291+L6291</f>
        <v>0.2</v>
      </c>
      <c r="T6291" t="str">
        <v>x</v>
      </c>
      <c r="U6291">
        <f>0.006165*F6291^2</f>
        <v>0</v>
      </c>
      <c r="V6291" t="str">
        <v>x</v>
      </c>
      <c r="W6291">
        <f>W6287</f>
        <v>8</v>
      </c>
      <c r="X6291" t="str">
        <v>x</v>
      </c>
      <c r="Y6291">
        <f>D6275</f>
        <v>2</v>
      </c>
      <c r="Z6291" t="str">
        <v>=</v>
      </c>
      <c r="AA6291">
        <f>N6291*U6291*W6291*Y6291</f>
        <v>0</v>
      </c>
    </row>
    <row r="6295">
      <c r="A6295" t="str">
        <f>A6265</f>
        <v>Lantai Atap</v>
      </c>
      <c r="B6295">
        <f>B6265+1</f>
        <v>4</v>
      </c>
      <c r="C6295" t="str">
        <f>CONCATENATE(A6295," no. ",B6295)</f>
        <v>Lantai Atap no. 4</v>
      </c>
      <c r="D6295" t="str">
        <f>VLOOKUP(C6295,'Data Panjang Balok'!$C$9:$N$254,2,FALSE)</f>
        <v>B4-1</v>
      </c>
    </row>
    <row r="6296">
      <c r="C6296" t="str">
        <v>Dimensi</v>
      </c>
      <c r="D6296">
        <f>VLOOKUP(D6295,'Detail Balok'!$C$10:$AU$140,2,FALSE)</f>
        <v>130</v>
      </c>
      <c r="F6296" t="str">
        <v>x</v>
      </c>
      <c r="G6296">
        <f>VLOOKUP(D6295,'Detail Balok'!$C$10:$AU$140,3,FALSE)</f>
        <v>400</v>
      </c>
    </row>
    <row r="6297">
      <c r="C6297" t="str">
        <v>Panjang as ke as</v>
      </c>
      <c r="D6297">
        <f>VLOOKUP(C6295,'Data Panjang Balok'!$C$9:$N$254,4,FALSE)</f>
        <v>5160</v>
      </c>
    </row>
    <row r="6298">
      <c r="C6298" t="str">
        <v>Panjang netto</v>
      </c>
      <c r="D6298">
        <f>VLOOKUP(C6295,'Data Panjang Balok'!$C$9:$N$254,7,FALSE)</f>
        <v>5160</v>
      </c>
    </row>
    <row r="6299">
      <c r="C6299" t="str">
        <v>Kolom / balok kiri</v>
      </c>
      <c r="D6299">
        <f>VLOOKUP(C6295,'Data Panjang Balok'!$C$9:$N$254,9,FALSE)</f>
        <v>0</v>
      </c>
    </row>
    <row r="6300">
      <c r="C6300" t="str">
        <v>Kolom / balok kanan</v>
      </c>
      <c r="D6300">
        <f>VLOOKUP(C6295,'Data Panjang Balok'!$C$9:$N$254,10,FALSE)</f>
        <v>0</v>
      </c>
    </row>
    <row r="6301">
      <c r="C6301" t="str">
        <v>Jumlah</v>
      </c>
      <c r="D6301">
        <f>VLOOKUP(C6295,'Data Panjang Balok'!$C$9:$N$254,3,FALSE)</f>
        <v>1</v>
      </c>
    </row>
    <row r="6302">
      <c r="A6302" t="str">
        <f>A6295</f>
        <v>Lantai Atap</v>
      </c>
      <c r="B6302">
        <f>B6295</f>
        <v>4</v>
      </c>
      <c r="C6302" t="str">
        <v>Tul Atas Tumpuan</v>
      </c>
      <c r="D6302">
        <f>VLOOKUP(D6295,'Detail Balok'!$C$10:$AU$140,4,FALSE)</f>
        <v>2</v>
      </c>
      <c r="E6302" t="str">
        <v>D</v>
      </c>
      <c r="F6302">
        <f>VLOOKUP(D6295,'Detail Balok'!$C$10:$AU$140,6,FALSE)</f>
        <v>13</v>
      </c>
      <c r="I6302" t="str">
        <v>(</v>
      </c>
      <c r="J6302">
        <f>+D6297/4/1000</f>
        <v>1.29</v>
      </c>
      <c r="K6302" t="str">
        <v>+</v>
      </c>
      <c r="L6302">
        <f>MAX(VLOOKUP(F6302,N$6:P$15,3,FALSE)/1000,2/3*D6299/1000)+F$16*F6302/1000</f>
        <v>0.156</v>
      </c>
      <c r="M6302" t="str">
        <v>=</v>
      </c>
      <c r="N6302">
        <f>J6302+L6302</f>
        <v>1.446</v>
      </c>
      <c r="O6302" t="str">
        <v>+</v>
      </c>
      <c r="P6302">
        <f>D6302-D6303</f>
        <v>0</v>
      </c>
      <c r="Q6302" t="str">
        <v>x</v>
      </c>
      <c r="R6302">
        <f>IF(P6302&gt;0,$F$18*F6302/1000,0)</f>
        <v>0</v>
      </c>
      <c r="S6302" t="str">
        <v>)</v>
      </c>
      <c r="T6302" t="str">
        <v>x</v>
      </c>
      <c r="U6302">
        <f>0.006165*F6302^2</f>
        <v>1.041885</v>
      </c>
      <c r="X6302" t="str">
        <v>x</v>
      </c>
      <c r="Y6302">
        <f>D6301</f>
        <v>1</v>
      </c>
      <c r="Z6302" t="str">
        <v>=</v>
      </c>
      <c r="AA6302">
        <f>IF(AA6305=0,(D6302*N6302+P6302*R6302)*U6302*Y6302,0)</f>
        <v>0</v>
      </c>
    </row>
    <row r="6303">
      <c r="A6303" t="str">
        <f>A6295</f>
        <v>Lantai Atap</v>
      </c>
      <c r="B6303">
        <f>B6295</f>
        <v>4</v>
      </c>
      <c r="C6303" t="str">
        <v>Tul Atas Lapangan</v>
      </c>
      <c r="D6303">
        <f>VLOOKUP(D6295,'Detail Balok'!$C$10:$AU$140,7,FALSE)</f>
        <v>2</v>
      </c>
      <c r="E6303" t="str">
        <v>D</v>
      </c>
      <c r="F6303">
        <f>VLOOKUP(D6295,'Detail Balok'!$C$10:$AU$140,9,FALSE)</f>
        <v>13</v>
      </c>
      <c r="I6303" t="str">
        <v>(</v>
      </c>
      <c r="J6303">
        <f>+D6297/2/1000</f>
        <v>2.58</v>
      </c>
      <c r="K6303" t="str">
        <v>+</v>
      </c>
      <c r="M6303" t="str">
        <v>=</v>
      </c>
      <c r="N6303">
        <f>J6303+L6303</f>
        <v>2.58</v>
      </c>
      <c r="O6303" t="str">
        <v>+</v>
      </c>
      <c r="P6303">
        <f>MAX(D6303-D6302,D6303-D6304)</f>
        <v>0</v>
      </c>
      <c r="Q6303" t="str">
        <v>x</v>
      </c>
      <c r="R6303">
        <f>IF(P6303&gt;0,2*(1-2*$F$19-1/2)*D6298/1000,0)</f>
        <v>0</v>
      </c>
      <c r="S6303" t="str">
        <v>)</v>
      </c>
      <c r="T6303" t="str">
        <v>x</v>
      </c>
      <c r="U6303">
        <f>0.006165*F6303^2</f>
        <v>1.041885</v>
      </c>
      <c r="X6303" t="str">
        <v>x</v>
      </c>
      <c r="Y6303">
        <f>D6301</f>
        <v>1</v>
      </c>
      <c r="Z6303" t="str">
        <v>=</v>
      </c>
      <c r="AA6303">
        <f>IF(AA6305=0,(D6303*N6303+P6303*R6303)*U6303*Y6303,0)</f>
        <v>0</v>
      </c>
    </row>
    <row r="6304">
      <c r="A6304" t="str">
        <f>A6295</f>
        <v>Lantai Atap</v>
      </c>
      <c r="B6304">
        <f>B6295</f>
        <v>4</v>
      </c>
      <c r="C6304" t="str">
        <v>Tul Atas Tumpuan</v>
      </c>
      <c r="D6304">
        <f>VLOOKUP(D6295,'Detail Balok'!$C$10:$AU$140,10,FALSE)</f>
        <v>2</v>
      </c>
      <c r="E6304" t="str">
        <v>D</v>
      </c>
      <c r="F6304">
        <f>VLOOKUP(D6295,'Detail Balok'!$C$10:$AU$140,12,FALSE)</f>
        <v>13</v>
      </c>
      <c r="I6304" t="str">
        <v>(</v>
      </c>
      <c r="J6304">
        <f>+D6297/4/1000</f>
        <v>1.29</v>
      </c>
      <c r="K6304" t="str">
        <v>+</v>
      </c>
      <c r="L6304">
        <f>MAX(VLOOKUP(F6304,N$6:P$15,3,FALSE)/1000,2/3*D6299/1000)+F$16*F6304/1000</f>
        <v>0.156</v>
      </c>
      <c r="M6304" t="str">
        <v>=</v>
      </c>
      <c r="N6304">
        <f>J6304+L6304</f>
        <v>1.446</v>
      </c>
      <c r="O6304" t="str">
        <v>+</v>
      </c>
      <c r="P6304">
        <f>D6304-D6303</f>
        <v>0</v>
      </c>
      <c r="Q6304" t="str">
        <v>x</v>
      </c>
      <c r="R6304">
        <f>IF(P6304&gt;0,$F$18*F6304/1000,0)</f>
        <v>0</v>
      </c>
      <c r="S6304" t="str">
        <v>)</v>
      </c>
      <c r="T6304" t="str">
        <v>x</v>
      </c>
      <c r="U6304">
        <f>0.006165*F6304^2</f>
        <v>1.041885</v>
      </c>
      <c r="X6304" t="str">
        <v>x</v>
      </c>
      <c r="Y6304">
        <f>D6301</f>
        <v>1</v>
      </c>
      <c r="Z6304" t="str">
        <v>=</v>
      </c>
      <c r="AA6304">
        <f>IF(AA6305=0,(D6304*N6304+P6304*R6304)*U6304*Y6304,0)</f>
        <v>0</v>
      </c>
    </row>
    <row r="6305">
      <c r="A6305" t="str">
        <f>A6295</f>
        <v>Lantai Atap</v>
      </c>
      <c r="B6305">
        <f>B6295</f>
        <v>4</v>
      </c>
      <c r="D6305">
        <f>IF(AND(D6302=D6303,D6303=D6304,D6302=D6304),D6302,0)</f>
        <v>2</v>
      </c>
      <c r="E6305" t="str">
        <v>D</v>
      </c>
      <c r="F6305">
        <f>IF(AND(F6302=F6303,F6302=F6304,F6303=F6304),F6302,0)</f>
        <v>13</v>
      </c>
      <c r="L6305" t="str">
        <v>Total panjang per balok</v>
      </c>
      <c r="M6305" t="str">
        <v>=</v>
      </c>
      <c r="N6305">
        <f>IF(AND(D6302=D6303,D6302=D6304,D6303=D6304,F6302=F6303,F6302=F6304,F6303=F6304),SUM(N6302:N6304),0)</f>
        <v>5.4719999999999995</v>
      </c>
      <c r="O6305" t="str">
        <v>+</v>
      </c>
      <c r="P6305">
        <f>IF(N6305&gt;12,ROUNDDOWN(N6305/12,0),0)</f>
        <v>0</v>
      </c>
      <c r="Q6305" t="str">
        <v>x</v>
      </c>
      <c r="R6305">
        <f>IF(P6305&gt;0,MAX(VLOOKUP(F6305,$D$6:$G$15,3,FALSE),600),0)/1000</f>
        <v>0</v>
      </c>
      <c r="T6305" t="str">
        <v>x</v>
      </c>
      <c r="U6305">
        <f>U6304</f>
        <v>1.041885</v>
      </c>
      <c r="V6305" t="str">
        <v>x</v>
      </c>
      <c r="W6305">
        <f>D6305</f>
        <v>2</v>
      </c>
      <c r="X6305" t="str">
        <v>x</v>
      </c>
      <c r="Y6305">
        <f>Y6304</f>
        <v>1</v>
      </c>
      <c r="Z6305" t="str">
        <v>=</v>
      </c>
      <c r="AA6305">
        <f>(N6305+P6305*R6305/1000)*U6305*W6305*Y6305</f>
        <v>11.402389439999999</v>
      </c>
    </row>
    <row r="6307">
      <c r="A6307" t="str">
        <f>A6295</f>
        <v>Lantai Atap</v>
      </c>
      <c r="B6307">
        <f>B6295</f>
        <v>4</v>
      </c>
      <c r="C6307" t="str">
        <v>Tul Peminggang</v>
      </c>
      <c r="D6307">
        <f>VLOOKUP(D6295,'Detail Balok'!$C$10:$AU$140,13,FALSE)</f>
        <v>0</v>
      </c>
      <c r="E6307" t="str">
        <v>D</v>
      </c>
      <c r="F6307">
        <f>VLOOKUP(D6295,'Detail Balok'!$C$10:$AU$140,15,FALSE)</f>
        <v>8</v>
      </c>
      <c r="J6307">
        <f>+D6297/1000</f>
        <v>5.16</v>
      </c>
      <c r="K6307" t="str">
        <v>+</v>
      </c>
      <c r="L6307">
        <f>2*$F$16*F6307/1000</f>
        <v>0.192</v>
      </c>
      <c r="M6307" t="str">
        <v>=</v>
      </c>
      <c r="N6307">
        <f>J6307+L6307</f>
        <v>5.352</v>
      </c>
      <c r="O6307" t="str">
        <v>+</v>
      </c>
      <c r="P6307">
        <f>IF(N6307&gt;12,ROUNDDOWN(N6307/12,0),0)</f>
        <v>0</v>
      </c>
      <c r="Q6307" t="str">
        <v>x</v>
      </c>
      <c r="R6307">
        <f>IF(P6307&gt;0,MAX(VLOOKUP(F6307,$D$6:$G$15,3,FALSE),600),0)/1000</f>
        <v>0</v>
      </c>
      <c r="T6307" t="str">
        <v>x</v>
      </c>
      <c r="U6307">
        <f>0.006165*F6307^2</f>
        <v>0.39456</v>
      </c>
      <c r="V6307" t="str">
        <v>x</v>
      </c>
      <c r="W6307">
        <f>+D6307</f>
        <v>0</v>
      </c>
      <c r="X6307" t="str">
        <v>x</v>
      </c>
      <c r="Y6307">
        <f>D6301</f>
        <v>1</v>
      </c>
      <c r="Z6307" t="str">
        <v>=</v>
      </c>
      <c r="AA6307">
        <f>(N6307+P6307*R6307/1000)*U6307*W6307*Y6307</f>
        <v>0</v>
      </c>
    </row>
    <row r="6310">
      <c r="A6310" t="str">
        <f>A6295</f>
        <v>Lantai Atap</v>
      </c>
      <c r="B6310">
        <f>B6295</f>
        <v>4</v>
      </c>
      <c r="C6310" t="str">
        <v>Tul Bawah Tumpuan</v>
      </c>
      <c r="D6310">
        <f>VLOOKUP(D6295,'Detail Balok'!$C$10:$AU$140,22,FALSE)</f>
        <v>2</v>
      </c>
      <c r="E6310" t="str">
        <v>D</v>
      </c>
      <c r="F6310">
        <f>VLOOKUP(D6295,'Detail Balok'!$C$10:$AU$140,24,FALSE)</f>
        <v>13</v>
      </c>
      <c r="I6310" t="str">
        <v>(</v>
      </c>
      <c r="J6310">
        <f>+J6302</f>
        <v>1.29</v>
      </c>
      <c r="K6310" t="str">
        <v>+</v>
      </c>
      <c r="L6310">
        <f>MAX(VLOOKUP(F6310,N$6:P$15,3,FALSE)/1000,2/3*D6300/1000)+F$16*F6310/1000</f>
        <v>0.156</v>
      </c>
      <c r="M6310" t="str">
        <v>=</v>
      </c>
      <c r="N6310">
        <f>J6310+L6310</f>
        <v>1.446</v>
      </c>
      <c r="O6310" t="str">
        <v>+</v>
      </c>
      <c r="P6310">
        <f>D6310-D6311</f>
        <v>0</v>
      </c>
      <c r="Q6310" t="str">
        <v>x</v>
      </c>
      <c r="R6310">
        <f>IF(P6310&gt;0,$F$18*F6310/1000,0)</f>
        <v>0</v>
      </c>
      <c r="S6310" t="str">
        <v>)</v>
      </c>
      <c r="T6310" t="str">
        <v>x</v>
      </c>
      <c r="U6310">
        <f>0.006165*F6310^2</f>
        <v>1.041885</v>
      </c>
      <c r="X6310" t="str">
        <v>x</v>
      </c>
      <c r="Y6310">
        <f>D6301</f>
        <v>1</v>
      </c>
      <c r="Z6310" t="str">
        <v>=</v>
      </c>
      <c r="AA6310">
        <f>IF(AA6313=0,(D6310*N6310+P6310*R6310)*U6310*Y6310,0)</f>
        <v>0</v>
      </c>
    </row>
    <row r="6311">
      <c r="A6311" t="str">
        <f>A6295</f>
        <v>Lantai Atap</v>
      </c>
      <c r="B6311">
        <f>B6295</f>
        <v>4</v>
      </c>
      <c r="C6311" t="str">
        <v>Tul Bawah Lapangan</v>
      </c>
      <c r="D6311">
        <f>VLOOKUP(D6295,'Detail Balok'!$C$10:$AU$140,25,FALSE)</f>
        <v>2</v>
      </c>
      <c r="E6311" t="str">
        <v>D</v>
      </c>
      <c r="F6311">
        <f>VLOOKUP(D6295,'Detail Balok'!$C$10:$AU$140,27,FALSE)</f>
        <v>13</v>
      </c>
      <c r="I6311" t="str">
        <v>(</v>
      </c>
      <c r="J6311">
        <f>+J6303</f>
        <v>2.58</v>
      </c>
      <c r="K6311" t="str">
        <v>+</v>
      </c>
      <c r="M6311" t="str">
        <v>=</v>
      </c>
      <c r="N6311">
        <f>J6311+L6311</f>
        <v>2.58</v>
      </c>
      <c r="O6311" t="str">
        <v>+</v>
      </c>
      <c r="P6311">
        <f>MAX(D6311-D6310,D6311-D6312)</f>
        <v>0</v>
      </c>
      <c r="Q6311" t="str">
        <v>x</v>
      </c>
      <c r="R6311">
        <f>IF(P6311&gt;0,2*(1-2*$F$19-1/2)*D6298/1000,0)</f>
        <v>0</v>
      </c>
      <c r="S6311" t="str">
        <v>)</v>
      </c>
      <c r="T6311" t="str">
        <v>x</v>
      </c>
      <c r="U6311">
        <f>0.006165*F6311^2</f>
        <v>1.041885</v>
      </c>
      <c r="X6311" t="str">
        <v>x</v>
      </c>
      <c r="Y6311">
        <f>D6301</f>
        <v>1</v>
      </c>
      <c r="Z6311" t="str">
        <v>=</v>
      </c>
      <c r="AA6311">
        <f>IF(AA6313=0,(D6311*N6311+P6311*R6311)*U6311*Y6311,0)</f>
        <v>0</v>
      </c>
    </row>
    <row r="6312">
      <c r="A6312" t="str">
        <f>A6295</f>
        <v>Lantai Atap</v>
      </c>
      <c r="B6312">
        <f>B6295</f>
        <v>4</v>
      </c>
      <c r="C6312" t="str">
        <v>Tul Bawah Tumpuan</v>
      </c>
      <c r="D6312">
        <f>VLOOKUP(D6295,'Detail Balok'!$C$10:$AU$140,28,FALSE)</f>
        <v>2</v>
      </c>
      <c r="E6312" t="str">
        <v>D</v>
      </c>
      <c r="F6312">
        <f>VLOOKUP(D6295,'Detail Balok'!$C$10:$AU$140,30,FALSE)</f>
        <v>13</v>
      </c>
      <c r="I6312" t="str">
        <v>(</v>
      </c>
      <c r="J6312">
        <f>+J6304</f>
        <v>1.29</v>
      </c>
      <c r="K6312" t="str">
        <v>+</v>
      </c>
      <c r="L6312">
        <f>MAX(VLOOKUP(F6312,N$6:P$15,3,FALSE)/1000,2/3*D6300/1000)+F$16*F6312/1000</f>
        <v>0.156</v>
      </c>
      <c r="M6312" t="str">
        <v>=</v>
      </c>
      <c r="N6312">
        <f>J6312+L6312</f>
        <v>1.446</v>
      </c>
      <c r="O6312" t="str">
        <v>+</v>
      </c>
      <c r="P6312">
        <f>D6312-D6311</f>
        <v>0</v>
      </c>
      <c r="Q6312" t="str">
        <v>x</v>
      </c>
      <c r="R6312">
        <f>IF(P6312&gt;0,$F$18*F6312/1000,0)</f>
        <v>0</v>
      </c>
      <c r="S6312" t="str">
        <v>)</v>
      </c>
      <c r="T6312" t="str">
        <v>x</v>
      </c>
      <c r="U6312">
        <f>0.006165*F6312^2</f>
        <v>1.041885</v>
      </c>
      <c r="X6312" t="str">
        <v>x</v>
      </c>
      <c r="Y6312">
        <f>D6301</f>
        <v>1</v>
      </c>
      <c r="Z6312" t="str">
        <v>=</v>
      </c>
      <c r="AA6312">
        <f>IF(AA6313=0,(D6312*N6312+P6312*R6312)*U6312*Y6312,0)</f>
        <v>0</v>
      </c>
    </row>
    <row r="6313">
      <c r="A6313" t="str">
        <f>A6295</f>
        <v>Lantai Atap</v>
      </c>
      <c r="B6313">
        <f>B6295</f>
        <v>4</v>
      </c>
      <c r="D6313">
        <f>IF(AND(D6310=D6311,D6311=D6312,D6310=D6312),D6310,0)</f>
        <v>2</v>
      </c>
      <c r="E6313" t="str">
        <v>D</v>
      </c>
      <c r="F6313">
        <f>IF(AND(F6310=F6311,F6310=F6312,F6311=F6312),F6310,0)</f>
        <v>13</v>
      </c>
      <c r="L6313" t="str">
        <v>Total panjang per balok</v>
      </c>
      <c r="M6313" t="str">
        <v>=</v>
      </c>
      <c r="N6313">
        <f>IF(AND(D6310=D6311,D6310=D6312,D6311=D6312,F6310=F6311,F6310=F6312,F6311=F6312),SUM(N6310:N6312),0)</f>
        <v>5.4719999999999995</v>
      </c>
      <c r="O6313" t="str">
        <v>+</v>
      </c>
      <c r="P6313">
        <f>IF(N6313&gt;12,ROUNDDOWN(N6313/12,0),0)</f>
        <v>0</v>
      </c>
      <c r="Q6313" t="str">
        <v>x</v>
      </c>
      <c r="R6313">
        <f>IF(P6313&gt;0,MAX(VLOOKUP(F6313,$D$6:$G$15,3,FALSE),600),0)/1000</f>
        <v>0</v>
      </c>
      <c r="T6313" t="str">
        <v>x</v>
      </c>
      <c r="U6313">
        <f>U6312</f>
        <v>1.041885</v>
      </c>
      <c r="V6313" t="str">
        <v>x</v>
      </c>
      <c r="W6313">
        <f>D6313</f>
        <v>2</v>
      </c>
      <c r="X6313" t="str">
        <v>x</v>
      </c>
      <c r="Y6313">
        <f>Y6312</f>
        <v>1</v>
      </c>
      <c r="Z6313" t="str">
        <v>=</v>
      </c>
      <c r="AA6313">
        <f>(N6313+P6313*R6313/1000)*U6313*W6313*Y6313</f>
        <v>11.402389439999999</v>
      </c>
    </row>
    <row r="6315">
      <c r="A6315" t="str">
        <f>A6295</f>
        <v>Lantai Atap</v>
      </c>
      <c r="B6315">
        <f>B6295</f>
        <v>4</v>
      </c>
      <c r="C6315" t="str">
        <v>Sengkang Tumpuan</v>
      </c>
      <c r="D6315">
        <f>VLOOKUP(D6295,'Detail Balok'!$C$10:$AU$140,31,FALSE)</f>
        <v>0</v>
      </c>
      <c r="E6315" t="str">
        <v>D</v>
      </c>
      <c r="F6315">
        <f>VLOOKUP(D6295,'Detail Balok'!$C$10:$AU$140,33,FALSE)</f>
        <v>8</v>
      </c>
      <c r="G6315" t="str">
        <v>-</v>
      </c>
      <c r="H6315">
        <f>VLOOKUP(D6295,'Detail Balok'!$C$10:$AU$140,35,FALSE)</f>
        <v>150</v>
      </c>
      <c r="J6315">
        <f>(IF(D6315=0,(2*(D6296+G6296))-(F$5*8),IF(D6315=3,(2*(D6296+G6296))-(F$5*8)+(G6296-2*F$5),IF(D6315=4,(2*(D6296+G6296))-(F$5*8)+2*(G6296-2*F$5)))))/1000</f>
        <v>0.74</v>
      </c>
      <c r="K6315" t="str">
        <v>+</v>
      </c>
      <c r="L6315">
        <f>IF(D6315=0,2*MAX(6*F6315,75),(D6315-1)*2*MAX(6*F6315,75))/1000</f>
        <v>0.15</v>
      </c>
      <c r="M6315" t="str">
        <v>=</v>
      </c>
      <c r="N6315">
        <f>J6315+L6315</f>
        <v>0.89</v>
      </c>
      <c r="T6315" t="str">
        <v>x</v>
      </c>
      <c r="U6315">
        <f>0.006165*F6315^2</f>
        <v>0.39456</v>
      </c>
      <c r="V6315" t="str">
        <v>x</v>
      </c>
      <c r="W6315">
        <f>IF(D6298&gt;4*G6296,ROUND(MAX(D6298/4,2*G6296)/H6315,0)+1,ROUND(D6298/H6315,0)+1)</f>
        <v>10</v>
      </c>
      <c r="X6315" t="str">
        <v>x</v>
      </c>
      <c r="Y6315">
        <f>D6301</f>
        <v>1</v>
      </c>
      <c r="Z6315" t="str">
        <v>=</v>
      </c>
      <c r="AA6315">
        <f>N6315*U6315*W6315*Y6315</f>
        <v>3.5115840000000005</v>
      </c>
    </row>
    <row r="6316">
      <c r="A6316" t="str">
        <f>A6295</f>
        <v>Lantai Atap</v>
      </c>
      <c r="B6316">
        <f>B6295</f>
        <v>4</v>
      </c>
      <c r="C6316" t="str">
        <v>Sengkang Lapangan</v>
      </c>
      <c r="D6316">
        <f>VLOOKUP(D6295,'Detail Balok'!$C$10:$AU$140,36,FALSE)</f>
        <v>0</v>
      </c>
      <c r="E6316" t="str">
        <v>D</v>
      </c>
      <c r="F6316">
        <f>VLOOKUP(D6295,'Detail Balok'!$C$10:$AU$140,38,FALSE)</f>
        <v>8</v>
      </c>
      <c r="G6316" t="str">
        <v>-</v>
      </c>
      <c r="H6316">
        <f>VLOOKUP(D6295,'Detail Balok'!$C$10:$AU$140,40,FALSE)</f>
        <v>200</v>
      </c>
      <c r="J6316">
        <f>(IF(D6316=0,(2*(D6296+G6296))-(F$5*8),IF(D6316=3,(2*(D6296+G6296))-(F$5*8)+(G6296-2*F$5),IF(D6316=4,(2*(D6296+G6296))-(F$5*8)+2*(G6296-2*F$5)))))/1000</f>
        <v>0.74</v>
      </c>
      <c r="K6316" t="str">
        <v>+</v>
      </c>
      <c r="L6316">
        <f>IF(D6316=0,2*MAX(6*F6316,75),(D6316-1)*2*MAX(6*F6316,75))/1000</f>
        <v>0.15</v>
      </c>
      <c r="M6316" t="str">
        <v>=</v>
      </c>
      <c r="N6316">
        <f>J6316+L6316</f>
        <v>0.89</v>
      </c>
      <c r="T6316" t="str">
        <v>x</v>
      </c>
      <c r="U6316">
        <f>0.006165*F6316^2</f>
        <v>0.39456</v>
      </c>
      <c r="V6316" t="str">
        <v>x</v>
      </c>
      <c r="W6316">
        <f>IF(D6298-MAX(D6298/4,2*G6296)*2&gt;0,ROUND((D6298-MAX(D6298/4,2*G6296)*2)/H6316,0),0)</f>
        <v>13</v>
      </c>
      <c r="X6316" t="str">
        <v>x</v>
      </c>
      <c r="Y6316">
        <f>D6301</f>
        <v>1</v>
      </c>
      <c r="Z6316" t="str">
        <v>=</v>
      </c>
      <c r="AA6316">
        <f>N6316*U6316*W6316*Y6316</f>
        <v>4.5650592</v>
      </c>
    </row>
    <row r="6317">
      <c r="A6317" t="str">
        <f>A6295</f>
        <v>Lantai Atap</v>
      </c>
      <c r="B6317">
        <f>B6295</f>
        <v>4</v>
      </c>
      <c r="C6317" t="str">
        <v>Sengkang Tumpuan</v>
      </c>
      <c r="D6317">
        <f>VLOOKUP(D6295,'Detail Balok'!$C$10:$AU$140,41,FALSE)</f>
        <v>0</v>
      </c>
      <c r="E6317" t="str">
        <v>D</v>
      </c>
      <c r="F6317">
        <f>VLOOKUP(D6295,'Detail Balok'!$C$10:$AU$140,43,FALSE)</f>
        <v>8</v>
      </c>
      <c r="G6317" t="str">
        <v>-</v>
      </c>
      <c r="H6317">
        <f>VLOOKUP(D6295,'Detail Balok'!$C$10:$AU$140,45,FALSE)</f>
        <v>150</v>
      </c>
      <c r="J6317">
        <f>(IF(D6317=0,(2*(D6296+G6296))-(F$5*8),IF(D6317=3,(2*(D6296+G6296))-(F$5*8)+(G6296-2*F$5),IF(D6317=4,(2*(D6296+G6296))-(F$5*8)+2*(G6296-2*F$5)))))/1000</f>
        <v>0.74</v>
      </c>
      <c r="K6317" t="str">
        <v>+</v>
      </c>
      <c r="L6317">
        <f>IF(D6317=0,2*MAX(6*F6317,75),(D6317-1)*2*MAX(6*F6317,75))/1000</f>
        <v>0.15</v>
      </c>
      <c r="M6317" t="str">
        <v>=</v>
      </c>
      <c r="N6317">
        <f>J6317+L6317</f>
        <v>0.89</v>
      </c>
      <c r="T6317" t="str">
        <v>x</v>
      </c>
      <c r="U6317">
        <f>0.006165*F6317^2</f>
        <v>0.39456</v>
      </c>
      <c r="V6317" t="str">
        <v>x</v>
      </c>
      <c r="W6317">
        <f>IF(D6298&gt;4*G6296,ROUND(MAX(D6298/4,2*G6296)/H6317,0)+1,0)</f>
        <v>10</v>
      </c>
      <c r="X6317" t="str">
        <v>x</v>
      </c>
      <c r="Y6317">
        <f>D6301</f>
        <v>1</v>
      </c>
      <c r="Z6317" t="str">
        <v>=</v>
      </c>
      <c r="AA6317">
        <f>N6317*U6317*W6317*Y6317</f>
        <v>3.5115840000000005</v>
      </c>
    </row>
    <row r="6319">
      <c r="A6319" t="str">
        <f>A6295</f>
        <v>Lantai Atap</v>
      </c>
      <c r="B6319">
        <f>B6295</f>
        <v>4</v>
      </c>
      <c r="C6319" t="str">
        <v>Kait Horizontal Tump.</v>
      </c>
      <c r="D6319">
        <f>VLOOKUP(D6295,'Detail Balok'!$C$10:$BJ$140,46,FALSE)</f>
        <v>0</v>
      </c>
      <c r="E6319" t="str">
        <v>D</v>
      </c>
      <c r="F6319">
        <f>VLOOKUP(D6295,'Detail Balok'!$C$10:$BJ$140,48,FALSE)</f>
        <v>0</v>
      </c>
      <c r="G6319" t="str">
        <v>-</v>
      </c>
      <c r="H6319">
        <f>VLOOKUP(D6295,'Detail Balok'!$C$10:$BJ$140,50,FALSE)</f>
        <v>100</v>
      </c>
      <c r="J6319">
        <f>(D6296-2*F$5)/1000</f>
        <v>0.05</v>
      </c>
      <c r="K6319" t="str">
        <v>+</v>
      </c>
      <c r="L6319">
        <f>IF(D6319=0,2*MAX(6*F6319,75),(D6319-1)*2*MAX(6*F6319,75))/1000</f>
        <v>0.15</v>
      </c>
      <c r="M6319" t="str">
        <v>=</v>
      </c>
      <c r="N6319">
        <f>J6319+L6319</f>
        <v>0.2</v>
      </c>
      <c r="T6319" t="str">
        <v>x</v>
      </c>
      <c r="U6319">
        <f>0.006165*F6319^2</f>
        <v>0</v>
      </c>
      <c r="V6319" t="str">
        <v>x</v>
      </c>
      <c r="W6319">
        <f>W6315</f>
        <v>10</v>
      </c>
      <c r="X6319" t="str">
        <v>x</v>
      </c>
      <c r="Y6319">
        <f>D6305</f>
        <v>2</v>
      </c>
      <c r="Z6319" t="str">
        <v>=</v>
      </c>
      <c r="AA6319">
        <f>N6319*U6319*W6319*Y6319</f>
        <v>0</v>
      </c>
    </row>
    <row r="6320">
      <c r="A6320" t="str">
        <f>A6295</f>
        <v>Lantai Atap</v>
      </c>
      <c r="B6320">
        <f>B6295</f>
        <v>4</v>
      </c>
      <c r="C6320" t="str">
        <v>Kait Horizontal Lap.</v>
      </c>
      <c r="D6320">
        <f>VLOOKUP(D6295,'Detail Balok'!$C$10:$BJ$140,51,FALSE)</f>
        <v>0</v>
      </c>
      <c r="E6320" t="str">
        <v>D</v>
      </c>
      <c r="F6320">
        <f>VLOOKUP(D6295,'Detail Balok'!$C$10:$BJ$140,53,FALSE)</f>
        <v>0</v>
      </c>
      <c r="G6320" t="str">
        <v>-</v>
      </c>
      <c r="H6320">
        <f>VLOOKUP(D6295,'Detail Balok'!$C$10:$BJ$140,55,FALSE)</f>
        <v>100</v>
      </c>
      <c r="J6320">
        <f>(D6296-2*F$5)/1000</f>
        <v>0.05</v>
      </c>
      <c r="K6320" t="str">
        <v>+</v>
      </c>
      <c r="L6320">
        <f>IF(D6320=0,2*MAX(6*F6320,75),(D6320-1)*2*MAX(6*F6320,75))/1000</f>
        <v>0.15</v>
      </c>
      <c r="M6320" t="str">
        <v>=</v>
      </c>
      <c r="N6320">
        <f>J6320+L6320</f>
        <v>0.2</v>
      </c>
      <c r="T6320" t="str">
        <v>x</v>
      </c>
      <c r="U6320">
        <f>0.006165*F6320^2</f>
        <v>0</v>
      </c>
      <c r="V6320" t="str">
        <v>x</v>
      </c>
      <c r="W6320">
        <f>W6316</f>
        <v>13</v>
      </c>
      <c r="X6320" t="str">
        <v>x</v>
      </c>
      <c r="Y6320">
        <f>D6305</f>
        <v>2</v>
      </c>
      <c r="Z6320" t="str">
        <v>=</v>
      </c>
      <c r="AA6320">
        <f>N6320*U6320*W6320*Y6320</f>
        <v>0</v>
      </c>
    </row>
    <row r="6321">
      <c r="A6321" t="str">
        <f>A6295</f>
        <v>Lantai Atap</v>
      </c>
      <c r="B6321">
        <f>B6295</f>
        <v>4</v>
      </c>
      <c r="C6321" t="str">
        <v>Kait Horizontal Tump.</v>
      </c>
      <c r="D6321">
        <f>VLOOKUP(D6295,'Detail Balok'!$C$10:$BJ$140,56,FALSE)</f>
        <v>0</v>
      </c>
      <c r="E6321" t="str">
        <v>D</v>
      </c>
      <c r="F6321">
        <f>VLOOKUP(D6295,'Detail Balok'!$C$10:$BJ$140,58,FALSE)</f>
        <v>0</v>
      </c>
      <c r="G6321" t="str">
        <v>-</v>
      </c>
      <c r="H6321">
        <f>VLOOKUP(D6295,'Detail Balok'!$C$10:$BJ$140,60,FALSE)</f>
        <v>100</v>
      </c>
      <c r="J6321">
        <f>(D6296-2*F$5)/1000</f>
        <v>0.05</v>
      </c>
      <c r="K6321" t="str">
        <v>+</v>
      </c>
      <c r="L6321">
        <f>IF(D6321=0,2*MAX(6*F6321,75),(D6321-1)*2*MAX(6*F6321,75))/1000</f>
        <v>0.15</v>
      </c>
      <c r="M6321" t="str">
        <v>=</v>
      </c>
      <c r="N6321">
        <f>J6321+L6321</f>
        <v>0.2</v>
      </c>
      <c r="T6321" t="str">
        <v>x</v>
      </c>
      <c r="U6321">
        <f>0.006165*F6321^2</f>
        <v>0</v>
      </c>
      <c r="V6321" t="str">
        <v>x</v>
      </c>
      <c r="W6321">
        <f>W6317</f>
        <v>10</v>
      </c>
      <c r="X6321" t="str">
        <v>x</v>
      </c>
      <c r="Y6321">
        <f>D6305</f>
        <v>2</v>
      </c>
      <c r="Z6321" t="str">
        <v>=</v>
      </c>
      <c r="AA6321">
        <f>N6321*U6321*W6321*Y6321</f>
        <v>0</v>
      </c>
    </row>
    <row r="6325">
      <c r="A6325" t="str">
        <f>A6295</f>
        <v>Lantai Atap</v>
      </c>
      <c r="B6325">
        <f>B6295+1</f>
        <v>5</v>
      </c>
      <c r="C6325" t="str">
        <f>CONCATENATE(A6325," no. ",B6325)</f>
        <v>Lantai Atap no. 5</v>
      </c>
      <c r="D6325" t="str">
        <f>VLOOKUP(C6325,'Data Panjang Balok'!$C$9:$N$254,2,FALSE)</f>
        <v>B5-1</v>
      </c>
    </row>
    <row r="6326">
      <c r="C6326" t="str">
        <v>Dimensi</v>
      </c>
      <c r="D6326">
        <f>VLOOKUP(D6325,'Detail Balok'!$C$10:$AU$140,2,FALSE)</f>
        <v>130</v>
      </c>
      <c r="F6326" t="str">
        <v>x</v>
      </c>
      <c r="G6326">
        <f>VLOOKUP(D6325,'Detail Balok'!$C$10:$AU$140,3,FALSE)</f>
        <v>500</v>
      </c>
    </row>
    <row r="6327">
      <c r="C6327" t="str">
        <v>Panjang as ke as</v>
      </c>
      <c r="D6327">
        <f>VLOOKUP(C6325,'Data Panjang Balok'!$C$9:$N$254,4,FALSE)</f>
        <v>6015</v>
      </c>
    </row>
    <row r="6328">
      <c r="C6328" t="str">
        <v>Panjang netto</v>
      </c>
      <c r="D6328">
        <f>VLOOKUP(C6325,'Data Panjang Balok'!$C$9:$N$254,7,FALSE)</f>
        <v>6015</v>
      </c>
    </row>
    <row r="6329">
      <c r="C6329" t="str">
        <v>Kolom / balok kiri</v>
      </c>
      <c r="D6329">
        <f>VLOOKUP(C6325,'Data Panjang Balok'!$C$9:$N$254,9,FALSE)</f>
        <v>0</v>
      </c>
    </row>
    <row r="6330">
      <c r="C6330" t="str">
        <v>Kolom / balok kanan</v>
      </c>
      <c r="D6330">
        <f>VLOOKUP(C6325,'Data Panjang Balok'!$C$9:$N$254,10,FALSE)</f>
        <v>0</v>
      </c>
    </row>
    <row r="6331">
      <c r="C6331" t="str">
        <v>Jumlah</v>
      </c>
      <c r="D6331">
        <f>VLOOKUP(C6325,'Data Panjang Balok'!$C$9:$N$254,3,FALSE)</f>
        <v>1</v>
      </c>
    </row>
    <row r="6332">
      <c r="A6332" t="str">
        <f>A6325</f>
        <v>Lantai Atap</v>
      </c>
      <c r="B6332">
        <f>B6325</f>
        <v>5</v>
      </c>
      <c r="C6332" t="str">
        <v>Tul Atas Tumpuan</v>
      </c>
      <c r="D6332">
        <f>VLOOKUP(D6325,'Detail Balok'!$C$10:$AU$140,4,FALSE)</f>
        <v>3</v>
      </c>
      <c r="E6332" t="str">
        <v>D</v>
      </c>
      <c r="F6332">
        <f>VLOOKUP(D6325,'Detail Balok'!$C$10:$AU$140,6,FALSE)</f>
        <v>13</v>
      </c>
      <c r="I6332" t="str">
        <v>(</v>
      </c>
      <c r="J6332">
        <f>+D6327/4/1000</f>
        <v>1.50375</v>
      </c>
      <c r="K6332" t="str">
        <v>+</v>
      </c>
      <c r="L6332">
        <f>MAX(VLOOKUP(F6332,N$6:P$15,3,FALSE)/1000,2/3*D6329/1000)+F$16*F6332/1000</f>
        <v>0.156</v>
      </c>
      <c r="M6332" t="str">
        <v>=</v>
      </c>
      <c r="N6332">
        <f>J6332+L6332</f>
        <v>1.6597499999999998</v>
      </c>
      <c r="O6332" t="str">
        <v>+</v>
      </c>
      <c r="P6332">
        <f>D6332-D6333</f>
        <v>0</v>
      </c>
      <c r="Q6332" t="str">
        <v>x</v>
      </c>
      <c r="R6332">
        <f>IF(P6332&gt;0,$F$18*F6332/1000,0)</f>
        <v>0</v>
      </c>
      <c r="S6332" t="str">
        <v>)</v>
      </c>
      <c r="T6332" t="str">
        <v>x</v>
      </c>
      <c r="U6332">
        <f>0.006165*F6332^2</f>
        <v>1.041885</v>
      </c>
      <c r="X6332" t="str">
        <v>x</v>
      </c>
      <c r="Y6332">
        <f>D6331</f>
        <v>1</v>
      </c>
      <c r="Z6332" t="str">
        <v>=</v>
      </c>
      <c r="AA6332">
        <f>IF(AA6335=0,(D6332*N6332+P6332*R6332)*U6332*Y6332,0)</f>
        <v>0</v>
      </c>
    </row>
    <row r="6333">
      <c r="A6333" t="str">
        <f>A6325</f>
        <v>Lantai Atap</v>
      </c>
      <c r="B6333">
        <f>B6325</f>
        <v>5</v>
      </c>
      <c r="C6333" t="str">
        <v>Tul Atas Lapangan</v>
      </c>
      <c r="D6333">
        <f>VLOOKUP(D6325,'Detail Balok'!$C$10:$AU$140,7,FALSE)</f>
        <v>3</v>
      </c>
      <c r="E6333" t="str">
        <v>D</v>
      </c>
      <c r="F6333">
        <f>VLOOKUP(D6325,'Detail Balok'!$C$10:$AU$140,9,FALSE)</f>
        <v>13</v>
      </c>
      <c r="I6333" t="str">
        <v>(</v>
      </c>
      <c r="J6333">
        <f>+D6327/2/1000</f>
        <v>3.0075</v>
      </c>
      <c r="K6333" t="str">
        <v>+</v>
      </c>
      <c r="M6333" t="str">
        <v>=</v>
      </c>
      <c r="N6333">
        <f>J6333+L6333</f>
        <v>3.0075</v>
      </c>
      <c r="O6333" t="str">
        <v>+</v>
      </c>
      <c r="P6333">
        <f>MAX(D6333-D6332,D6333-D6334)</f>
        <v>0</v>
      </c>
      <c r="Q6333" t="str">
        <v>x</v>
      </c>
      <c r="R6333">
        <f>IF(P6333&gt;0,2*(1-2*$F$19-1/2)*D6328/1000,0)</f>
        <v>0</v>
      </c>
      <c r="S6333" t="str">
        <v>)</v>
      </c>
      <c r="T6333" t="str">
        <v>x</v>
      </c>
      <c r="U6333">
        <f>0.006165*F6333^2</f>
        <v>1.041885</v>
      </c>
      <c r="X6333" t="str">
        <v>x</v>
      </c>
      <c r="Y6333">
        <f>D6331</f>
        <v>1</v>
      </c>
      <c r="Z6333" t="str">
        <v>=</v>
      </c>
      <c r="AA6333">
        <f>IF(AA6335=0,(D6333*N6333+P6333*R6333)*U6333*Y6333,0)</f>
        <v>0</v>
      </c>
    </row>
    <row r="6334">
      <c r="A6334" t="str">
        <f>A6325</f>
        <v>Lantai Atap</v>
      </c>
      <c r="B6334">
        <f>B6325</f>
        <v>5</v>
      </c>
      <c r="C6334" t="str">
        <v>Tul Atas Tumpuan</v>
      </c>
      <c r="D6334">
        <f>VLOOKUP(D6325,'Detail Balok'!$C$10:$AU$140,10,FALSE)</f>
        <v>3</v>
      </c>
      <c r="E6334" t="str">
        <v>D</v>
      </c>
      <c r="F6334">
        <f>VLOOKUP(D6325,'Detail Balok'!$C$10:$AU$140,12,FALSE)</f>
        <v>13</v>
      </c>
      <c r="I6334" t="str">
        <v>(</v>
      </c>
      <c r="J6334">
        <f>+D6327/4/1000</f>
        <v>1.50375</v>
      </c>
      <c r="K6334" t="str">
        <v>+</v>
      </c>
      <c r="L6334">
        <f>MAX(VLOOKUP(F6334,N$6:P$15,3,FALSE)/1000,2/3*D6329/1000)+F$16*F6334/1000</f>
        <v>0.156</v>
      </c>
      <c r="M6334" t="str">
        <v>=</v>
      </c>
      <c r="N6334">
        <f>J6334+L6334</f>
        <v>1.6597499999999998</v>
      </c>
      <c r="O6334" t="str">
        <v>+</v>
      </c>
      <c r="P6334">
        <f>D6334-D6333</f>
        <v>0</v>
      </c>
      <c r="Q6334" t="str">
        <v>x</v>
      </c>
      <c r="R6334">
        <f>IF(P6334&gt;0,$F$18*F6334/1000,0)</f>
        <v>0</v>
      </c>
      <c r="S6334" t="str">
        <v>)</v>
      </c>
      <c r="T6334" t="str">
        <v>x</v>
      </c>
      <c r="U6334">
        <f>0.006165*F6334^2</f>
        <v>1.041885</v>
      </c>
      <c r="X6334" t="str">
        <v>x</v>
      </c>
      <c r="Y6334">
        <f>D6331</f>
        <v>1</v>
      </c>
      <c r="Z6334" t="str">
        <v>=</v>
      </c>
      <c r="AA6334">
        <f>IF(AA6335=0,(D6334*N6334+P6334*R6334)*U6334*Y6334,0)</f>
        <v>0</v>
      </c>
    </row>
    <row r="6335">
      <c r="A6335" t="str">
        <f>A6325</f>
        <v>Lantai Atap</v>
      </c>
      <c r="B6335">
        <f>B6325</f>
        <v>5</v>
      </c>
      <c r="D6335">
        <f>IF(AND(D6332=D6333,D6333=D6334,D6332=D6334),D6332,0)</f>
        <v>3</v>
      </c>
      <c r="E6335" t="str">
        <v>D</v>
      </c>
      <c r="F6335">
        <f>IF(AND(F6332=F6333,F6332=F6334,F6333=F6334),F6332,0)</f>
        <v>13</v>
      </c>
      <c r="L6335" t="str">
        <v>Total panjang per balok</v>
      </c>
      <c r="M6335" t="str">
        <v>=</v>
      </c>
      <c r="N6335">
        <f>IF(AND(D6332=D6333,D6332=D6334,D6333=D6334,F6332=F6333,F6332=F6334,F6333=F6334),SUM(N6332:N6334),0)</f>
        <v>6.326999999999999</v>
      </c>
      <c r="O6335" t="str">
        <v>+</v>
      </c>
      <c r="P6335">
        <f>IF(N6335&gt;12,ROUNDDOWN(N6335/12,0),0)</f>
        <v>0</v>
      </c>
      <c r="Q6335" t="str">
        <v>x</v>
      </c>
      <c r="R6335">
        <f>IF(P6335&gt;0,MAX(VLOOKUP(F6335,$D$6:$G$15,3,FALSE),600),0)/1000</f>
        <v>0</v>
      </c>
      <c r="T6335" t="str">
        <v>x</v>
      </c>
      <c r="U6335">
        <f>U6334</f>
        <v>1.041885</v>
      </c>
      <c r="V6335" t="str">
        <v>x</v>
      </c>
      <c r="W6335">
        <f>D6335</f>
        <v>3</v>
      </c>
      <c r="X6335" t="str">
        <v>x</v>
      </c>
      <c r="Y6335">
        <f>Y6334</f>
        <v>1</v>
      </c>
      <c r="Z6335" t="str">
        <v>=</v>
      </c>
      <c r="AA6335">
        <f>(N6335+P6335*R6335/1000)*U6335*W6335*Y6335</f>
        <v>19.776019184999996</v>
      </c>
    </row>
    <row r="6337">
      <c r="A6337" t="str">
        <f>A6325</f>
        <v>Lantai Atap</v>
      </c>
      <c r="B6337">
        <f>B6325</f>
        <v>5</v>
      </c>
      <c r="C6337" t="str">
        <v>Tul Peminggang</v>
      </c>
      <c r="D6337">
        <f>VLOOKUP(D6325,'Detail Balok'!$C$10:$AU$140,13,FALSE)</f>
        <v>2</v>
      </c>
      <c r="E6337" t="str">
        <v>D</v>
      </c>
      <c r="F6337">
        <f>VLOOKUP(D6325,'Detail Balok'!$C$10:$AU$140,15,FALSE)</f>
        <v>10</v>
      </c>
      <c r="J6337">
        <f>+D6327/1000</f>
        <v>6.015</v>
      </c>
      <c r="K6337" t="str">
        <v>+</v>
      </c>
      <c r="L6337">
        <f>2*$F$16*F6337/1000</f>
        <v>0.24</v>
      </c>
      <c r="M6337" t="str">
        <v>=</v>
      </c>
      <c r="N6337">
        <f>J6337+L6337</f>
        <v>6.255</v>
      </c>
      <c r="O6337" t="str">
        <v>+</v>
      </c>
      <c r="P6337">
        <f>IF(N6337&gt;12,ROUNDDOWN(N6337/12,0),0)</f>
        <v>0</v>
      </c>
      <c r="Q6337" t="str">
        <v>x</v>
      </c>
      <c r="R6337">
        <f>IF(P6337&gt;0,MAX(VLOOKUP(F6337,$D$6:$G$15,3,FALSE),600),0)/1000</f>
        <v>0</v>
      </c>
      <c r="T6337" t="str">
        <v>x</v>
      </c>
      <c r="U6337">
        <f>0.006165*F6337^2</f>
        <v>0.6165</v>
      </c>
      <c r="V6337" t="str">
        <v>x</v>
      </c>
      <c r="W6337">
        <f>+D6337</f>
        <v>2</v>
      </c>
      <c r="X6337" t="str">
        <v>x</v>
      </c>
      <c r="Y6337">
        <f>D6331</f>
        <v>1</v>
      </c>
      <c r="Z6337" t="str">
        <v>=</v>
      </c>
      <c r="AA6337">
        <f>(N6337+P6337*R6337/1000)*U6337*W6337*Y6337</f>
        <v>7.712415000000001</v>
      </c>
    </row>
    <row r="6340">
      <c r="A6340" t="str">
        <f>A6325</f>
        <v>Lantai Atap</v>
      </c>
      <c r="B6340">
        <f>B6325</f>
        <v>5</v>
      </c>
      <c r="C6340" t="str">
        <v>Tul Bawah Tumpuan</v>
      </c>
      <c r="D6340">
        <f>VLOOKUP(D6325,'Detail Balok'!$C$10:$AU$140,22,FALSE)</f>
        <v>3</v>
      </c>
      <c r="E6340" t="str">
        <v>D</v>
      </c>
      <c r="F6340">
        <f>VLOOKUP(D6325,'Detail Balok'!$C$10:$AU$140,24,FALSE)</f>
        <v>13</v>
      </c>
      <c r="I6340" t="str">
        <v>(</v>
      </c>
      <c r="J6340">
        <f>+J6332</f>
        <v>1.50375</v>
      </c>
      <c r="K6340" t="str">
        <v>+</v>
      </c>
      <c r="L6340">
        <f>MAX(VLOOKUP(F6340,N$6:P$15,3,FALSE)/1000,2/3*D6330/1000)+F$16*F6340/1000</f>
        <v>0.156</v>
      </c>
      <c r="M6340" t="str">
        <v>=</v>
      </c>
      <c r="N6340">
        <f>J6340+L6340</f>
        <v>1.6597499999999998</v>
      </c>
      <c r="O6340" t="str">
        <v>+</v>
      </c>
      <c r="P6340">
        <f>D6340-D6341</f>
        <v>0</v>
      </c>
      <c r="Q6340" t="str">
        <v>x</v>
      </c>
      <c r="R6340">
        <f>IF(P6340&gt;0,$F$18*F6340/1000,0)</f>
        <v>0</v>
      </c>
      <c r="S6340" t="str">
        <v>)</v>
      </c>
      <c r="T6340" t="str">
        <v>x</v>
      </c>
      <c r="U6340">
        <f>0.006165*F6340^2</f>
        <v>1.041885</v>
      </c>
      <c r="X6340" t="str">
        <v>x</v>
      </c>
      <c r="Y6340">
        <f>D6331</f>
        <v>1</v>
      </c>
      <c r="Z6340" t="str">
        <v>=</v>
      </c>
      <c r="AA6340">
        <f>IF(AA6343=0,(D6340*N6340+P6340*R6340)*U6340*Y6340,0)</f>
        <v>0</v>
      </c>
    </row>
    <row r="6341">
      <c r="A6341" t="str">
        <f>A6325</f>
        <v>Lantai Atap</v>
      </c>
      <c r="B6341">
        <f>B6325</f>
        <v>5</v>
      </c>
      <c r="C6341" t="str">
        <v>Tul Bawah Lapangan</v>
      </c>
      <c r="D6341">
        <f>VLOOKUP(D6325,'Detail Balok'!$C$10:$AU$140,25,FALSE)</f>
        <v>3</v>
      </c>
      <c r="E6341" t="str">
        <v>D</v>
      </c>
      <c r="F6341">
        <f>VLOOKUP(D6325,'Detail Balok'!$C$10:$AU$140,27,FALSE)</f>
        <v>13</v>
      </c>
      <c r="I6341" t="str">
        <v>(</v>
      </c>
      <c r="J6341">
        <f>+J6333</f>
        <v>3.0075</v>
      </c>
      <c r="K6341" t="str">
        <v>+</v>
      </c>
      <c r="M6341" t="str">
        <v>=</v>
      </c>
      <c r="N6341">
        <f>J6341+L6341</f>
        <v>3.0075</v>
      </c>
      <c r="O6341" t="str">
        <v>+</v>
      </c>
      <c r="P6341">
        <f>MAX(D6341-D6340,D6341-D6342)</f>
        <v>0</v>
      </c>
      <c r="Q6341" t="str">
        <v>x</v>
      </c>
      <c r="R6341">
        <f>IF(P6341&gt;0,2*(1-2*$F$19-1/2)*D6328/1000,0)</f>
        <v>0</v>
      </c>
      <c r="S6341" t="str">
        <v>)</v>
      </c>
      <c r="T6341" t="str">
        <v>x</v>
      </c>
      <c r="U6341">
        <f>0.006165*F6341^2</f>
        <v>1.041885</v>
      </c>
      <c r="X6341" t="str">
        <v>x</v>
      </c>
      <c r="Y6341">
        <f>D6331</f>
        <v>1</v>
      </c>
      <c r="Z6341" t="str">
        <v>=</v>
      </c>
      <c r="AA6341">
        <f>IF(AA6343=0,(D6341*N6341+P6341*R6341)*U6341*Y6341,0)</f>
        <v>0</v>
      </c>
    </row>
    <row r="6342">
      <c r="A6342" t="str">
        <f>A6325</f>
        <v>Lantai Atap</v>
      </c>
      <c r="B6342">
        <f>B6325</f>
        <v>5</v>
      </c>
      <c r="C6342" t="str">
        <v>Tul Bawah Tumpuan</v>
      </c>
      <c r="D6342">
        <f>VLOOKUP(D6325,'Detail Balok'!$C$10:$AU$140,28,FALSE)</f>
        <v>3</v>
      </c>
      <c r="E6342" t="str">
        <v>D</v>
      </c>
      <c r="F6342">
        <f>VLOOKUP(D6325,'Detail Balok'!$C$10:$AU$140,30,FALSE)</f>
        <v>13</v>
      </c>
      <c r="I6342" t="str">
        <v>(</v>
      </c>
      <c r="J6342">
        <f>+J6334</f>
        <v>1.50375</v>
      </c>
      <c r="K6342" t="str">
        <v>+</v>
      </c>
      <c r="L6342">
        <f>MAX(VLOOKUP(F6342,N$6:P$15,3,FALSE)/1000,2/3*D6330/1000)+F$16*F6342/1000</f>
        <v>0.156</v>
      </c>
      <c r="M6342" t="str">
        <v>=</v>
      </c>
      <c r="N6342">
        <f>J6342+L6342</f>
        <v>1.6597499999999998</v>
      </c>
      <c r="O6342" t="str">
        <v>+</v>
      </c>
      <c r="P6342">
        <f>D6342-D6341</f>
        <v>0</v>
      </c>
      <c r="Q6342" t="str">
        <v>x</v>
      </c>
      <c r="R6342">
        <f>IF(P6342&gt;0,$F$18*F6342/1000,0)</f>
        <v>0</v>
      </c>
      <c r="S6342" t="str">
        <v>)</v>
      </c>
      <c r="T6342" t="str">
        <v>x</v>
      </c>
      <c r="U6342">
        <f>0.006165*F6342^2</f>
        <v>1.041885</v>
      </c>
      <c r="X6342" t="str">
        <v>x</v>
      </c>
      <c r="Y6342">
        <f>D6331</f>
        <v>1</v>
      </c>
      <c r="Z6342" t="str">
        <v>=</v>
      </c>
      <c r="AA6342">
        <f>IF(AA6343=0,(D6342*N6342+P6342*R6342)*U6342*Y6342,0)</f>
        <v>0</v>
      </c>
    </row>
    <row r="6343">
      <c r="A6343" t="str">
        <f>A6325</f>
        <v>Lantai Atap</v>
      </c>
      <c r="B6343">
        <f>B6325</f>
        <v>5</v>
      </c>
      <c r="D6343">
        <f>IF(AND(D6340=D6341,D6341=D6342,D6340=D6342),D6340,0)</f>
        <v>3</v>
      </c>
      <c r="E6343" t="str">
        <v>D</v>
      </c>
      <c r="F6343">
        <f>IF(AND(F6340=F6341,F6340=F6342,F6341=F6342),F6340,0)</f>
        <v>13</v>
      </c>
      <c r="L6343" t="str">
        <v>Total panjang per balok</v>
      </c>
      <c r="M6343" t="str">
        <v>=</v>
      </c>
      <c r="N6343">
        <f>IF(AND(D6340=D6341,D6340=D6342,D6341=D6342,F6340=F6341,F6340=F6342,F6341=F6342),SUM(N6340:N6342),0)</f>
        <v>6.326999999999999</v>
      </c>
      <c r="O6343" t="str">
        <v>+</v>
      </c>
      <c r="P6343">
        <f>IF(N6343&gt;12,ROUNDDOWN(N6343/12,0),0)</f>
        <v>0</v>
      </c>
      <c r="Q6343" t="str">
        <v>x</v>
      </c>
      <c r="R6343">
        <f>IF(P6343&gt;0,MAX(VLOOKUP(F6343,$D$6:$G$15,3,FALSE),600),0)/1000</f>
        <v>0</v>
      </c>
      <c r="T6343" t="str">
        <v>x</v>
      </c>
      <c r="U6343">
        <f>U6342</f>
        <v>1.041885</v>
      </c>
      <c r="V6343" t="str">
        <v>x</v>
      </c>
      <c r="W6343">
        <f>D6343</f>
        <v>3</v>
      </c>
      <c r="X6343" t="str">
        <v>x</v>
      </c>
      <c r="Y6343">
        <f>Y6342</f>
        <v>1</v>
      </c>
      <c r="Z6343" t="str">
        <v>=</v>
      </c>
      <c r="AA6343">
        <f>(N6343+P6343*R6343/1000)*U6343*W6343*Y6343</f>
        <v>19.776019184999996</v>
      </c>
    </row>
    <row r="6345">
      <c r="A6345" t="str">
        <f>A6325</f>
        <v>Lantai Atap</v>
      </c>
      <c r="B6345">
        <f>B6325</f>
        <v>5</v>
      </c>
      <c r="C6345" t="str">
        <v>Sengkang Tumpuan</v>
      </c>
      <c r="D6345">
        <f>VLOOKUP(D6325,'Detail Balok'!$C$10:$AU$140,31,FALSE)</f>
        <v>0</v>
      </c>
      <c r="E6345" t="str">
        <v>D</v>
      </c>
      <c r="F6345">
        <f>VLOOKUP(D6325,'Detail Balok'!$C$10:$AU$140,33,FALSE)</f>
        <v>8</v>
      </c>
      <c r="G6345" t="str">
        <v>-</v>
      </c>
      <c r="H6345">
        <f>VLOOKUP(D6325,'Detail Balok'!$C$10:$AU$140,35,FALSE)</f>
        <v>150</v>
      </c>
      <c r="J6345">
        <f>(IF(D6345=0,(2*(D6326+G6326))-(F$5*8),IF(D6345=3,(2*(D6326+G6326))-(F$5*8)+(G6326-2*F$5),IF(D6345=4,(2*(D6326+G6326))-(F$5*8)+2*(G6326-2*F$5)))))/1000</f>
        <v>0.94</v>
      </c>
      <c r="K6345" t="str">
        <v>+</v>
      </c>
      <c r="L6345">
        <f>IF(D6345=0,2*MAX(6*F6345,75),(D6345-1)*2*MAX(6*F6345,75))/1000</f>
        <v>0.15</v>
      </c>
      <c r="M6345" t="str">
        <v>=</v>
      </c>
      <c r="N6345">
        <f>J6345+L6345</f>
        <v>1.0899999999999999</v>
      </c>
      <c r="T6345" t="str">
        <v>x</v>
      </c>
      <c r="U6345">
        <f>0.006165*F6345^2</f>
        <v>0.39456</v>
      </c>
      <c r="V6345" t="str">
        <v>x</v>
      </c>
      <c r="W6345">
        <f>IF(D6328&gt;4*G6326,ROUND(MAX(D6328/4,2*G6326)/H6345,0)+1,ROUND(D6328/H6345,0)+1)</f>
        <v>11</v>
      </c>
      <c r="X6345" t="str">
        <v>x</v>
      </c>
      <c r="Y6345">
        <f>D6331</f>
        <v>1</v>
      </c>
      <c r="Z6345" t="str">
        <v>=</v>
      </c>
      <c r="AA6345">
        <f>N6345*U6345*W6345*Y6345</f>
        <v>4.7307744</v>
      </c>
    </row>
    <row r="6346">
      <c r="A6346" t="str">
        <f>A6325</f>
        <v>Lantai Atap</v>
      </c>
      <c r="B6346">
        <f>B6325</f>
        <v>5</v>
      </c>
      <c r="C6346" t="str">
        <v>Sengkang Lapangan</v>
      </c>
      <c r="D6346">
        <f>VLOOKUP(D6325,'Detail Balok'!$C$10:$AU$140,36,FALSE)</f>
        <v>0</v>
      </c>
      <c r="E6346" t="str">
        <v>D</v>
      </c>
      <c r="F6346">
        <f>VLOOKUP(D6325,'Detail Balok'!$C$10:$AU$140,38,FALSE)</f>
        <v>8</v>
      </c>
      <c r="G6346" t="str">
        <v>-</v>
      </c>
      <c r="H6346">
        <f>VLOOKUP(D6325,'Detail Balok'!$C$10:$AU$140,40,FALSE)</f>
        <v>200</v>
      </c>
      <c r="J6346">
        <f>(IF(D6346=0,(2*(D6326+G6326))-(F$5*8),IF(D6346=3,(2*(D6326+G6326))-(F$5*8)+(G6326-2*F$5),IF(D6346=4,(2*(D6326+G6326))-(F$5*8)+2*(G6326-2*F$5)))))/1000</f>
        <v>0.94</v>
      </c>
      <c r="K6346" t="str">
        <v>+</v>
      </c>
      <c r="L6346">
        <f>IF(D6346=0,2*MAX(6*F6346,75),(D6346-1)*2*MAX(6*F6346,75))/1000</f>
        <v>0.15</v>
      </c>
      <c r="M6346" t="str">
        <v>=</v>
      </c>
      <c r="N6346">
        <f>J6346+L6346</f>
        <v>1.0899999999999999</v>
      </c>
      <c r="T6346" t="str">
        <v>x</v>
      </c>
      <c r="U6346">
        <f>0.006165*F6346^2</f>
        <v>0.39456</v>
      </c>
      <c r="V6346" t="str">
        <v>x</v>
      </c>
      <c r="W6346">
        <f>IF(D6328-MAX(D6328/4,2*G6326)*2&gt;0,ROUND((D6328-MAX(D6328/4,2*G6326)*2)/H6346,0),0)</f>
        <v>15</v>
      </c>
      <c r="X6346" t="str">
        <v>x</v>
      </c>
      <c r="Y6346">
        <f>D6331</f>
        <v>1</v>
      </c>
      <c r="Z6346" t="str">
        <v>=</v>
      </c>
      <c r="AA6346">
        <f>N6346*U6346*W6346*Y6346</f>
        <v>6.4510559999999995</v>
      </c>
    </row>
    <row r="6347">
      <c r="A6347" t="str">
        <f>A6325</f>
        <v>Lantai Atap</v>
      </c>
      <c r="B6347">
        <f>B6325</f>
        <v>5</v>
      </c>
      <c r="C6347" t="str">
        <v>Sengkang Tumpuan</v>
      </c>
      <c r="D6347">
        <f>VLOOKUP(D6325,'Detail Balok'!$C$10:$AU$140,41,FALSE)</f>
        <v>0</v>
      </c>
      <c r="E6347" t="str">
        <v>D</v>
      </c>
      <c r="F6347">
        <f>VLOOKUP(D6325,'Detail Balok'!$C$10:$AU$140,43,FALSE)</f>
        <v>8</v>
      </c>
      <c r="G6347" t="str">
        <v>-</v>
      </c>
      <c r="H6347">
        <f>VLOOKUP(D6325,'Detail Balok'!$C$10:$AU$140,45,FALSE)</f>
        <v>150</v>
      </c>
      <c r="J6347">
        <f>(IF(D6347=0,(2*(D6326+G6326))-(F$5*8),IF(D6347=3,(2*(D6326+G6326))-(F$5*8)+(G6326-2*F$5),IF(D6347=4,(2*(D6326+G6326))-(F$5*8)+2*(G6326-2*F$5)))))/1000</f>
        <v>0.94</v>
      </c>
      <c r="K6347" t="str">
        <v>+</v>
      </c>
      <c r="L6347">
        <f>IF(D6347=0,2*MAX(6*F6347,75),(D6347-1)*2*MAX(6*F6347,75))/1000</f>
        <v>0.15</v>
      </c>
      <c r="M6347" t="str">
        <v>=</v>
      </c>
      <c r="N6347">
        <f>J6347+L6347</f>
        <v>1.0899999999999999</v>
      </c>
      <c r="T6347" t="str">
        <v>x</v>
      </c>
      <c r="U6347">
        <f>0.006165*F6347^2</f>
        <v>0.39456</v>
      </c>
      <c r="V6347" t="str">
        <v>x</v>
      </c>
      <c r="W6347">
        <f>IF(D6328&gt;4*G6326,ROUND(MAX(D6328/4,2*G6326)/H6347,0)+1,0)</f>
        <v>11</v>
      </c>
      <c r="X6347" t="str">
        <v>x</v>
      </c>
      <c r="Y6347">
        <f>D6331</f>
        <v>1</v>
      </c>
      <c r="Z6347" t="str">
        <v>=</v>
      </c>
      <c r="AA6347">
        <f>N6347*U6347*W6347*Y6347</f>
        <v>4.7307744</v>
      </c>
    </row>
    <row r="6349">
      <c r="A6349" t="str">
        <f>A6325</f>
        <v>Lantai Atap</v>
      </c>
      <c r="B6349">
        <f>B6325</f>
        <v>5</v>
      </c>
      <c r="C6349" t="str">
        <v>Kait Horizontal Tump.</v>
      </c>
      <c r="D6349">
        <f>VLOOKUP(D6325,'Detail Balok'!$C$10:$BJ$140,46,FALSE)</f>
        <v>0</v>
      </c>
      <c r="E6349" t="str">
        <v>D</v>
      </c>
      <c r="F6349">
        <f>VLOOKUP(D6325,'Detail Balok'!$C$10:$BJ$140,48,FALSE)</f>
        <v>0</v>
      </c>
      <c r="G6349" t="str">
        <v>-</v>
      </c>
      <c r="H6349">
        <f>VLOOKUP(D6325,'Detail Balok'!$C$10:$BJ$140,50,FALSE)</f>
        <v>100</v>
      </c>
      <c r="J6349">
        <f>(D6326-2*F$5)/1000</f>
        <v>0.05</v>
      </c>
      <c r="K6349" t="str">
        <v>+</v>
      </c>
      <c r="L6349">
        <f>IF(D6349=0,2*MAX(6*F6349,75),(D6349-1)*2*MAX(6*F6349,75))/1000</f>
        <v>0.15</v>
      </c>
      <c r="M6349" t="str">
        <v>=</v>
      </c>
      <c r="N6349">
        <f>J6349+L6349</f>
        <v>0.2</v>
      </c>
      <c r="T6349" t="str">
        <v>x</v>
      </c>
      <c r="U6349">
        <f>0.006165*F6349^2</f>
        <v>0</v>
      </c>
      <c r="V6349" t="str">
        <v>x</v>
      </c>
      <c r="W6349">
        <f>W6345</f>
        <v>11</v>
      </c>
      <c r="X6349" t="str">
        <v>x</v>
      </c>
      <c r="Y6349">
        <f>D6335</f>
        <v>3</v>
      </c>
      <c r="Z6349" t="str">
        <v>=</v>
      </c>
      <c r="AA6349">
        <f>N6349*U6349*W6349*Y6349</f>
        <v>0</v>
      </c>
    </row>
    <row r="6350">
      <c r="A6350" t="str">
        <f>A6325</f>
        <v>Lantai Atap</v>
      </c>
      <c r="B6350">
        <f>B6325</f>
        <v>5</v>
      </c>
      <c r="C6350" t="str">
        <v>Kait Horizontal Lap.</v>
      </c>
      <c r="D6350">
        <f>VLOOKUP(D6325,'Detail Balok'!$C$10:$BJ$140,51,FALSE)</f>
        <v>0</v>
      </c>
      <c r="E6350" t="str">
        <v>D</v>
      </c>
      <c r="F6350">
        <f>VLOOKUP(D6325,'Detail Balok'!$C$10:$BJ$140,53,FALSE)</f>
        <v>0</v>
      </c>
      <c r="G6350" t="str">
        <v>-</v>
      </c>
      <c r="H6350">
        <f>VLOOKUP(D6325,'Detail Balok'!$C$10:$BJ$140,55,FALSE)</f>
        <v>100</v>
      </c>
      <c r="J6350">
        <f>(D6326-2*F$5)/1000</f>
        <v>0.05</v>
      </c>
      <c r="K6350" t="str">
        <v>+</v>
      </c>
      <c r="L6350">
        <f>IF(D6350=0,2*MAX(6*F6350,75),(D6350-1)*2*MAX(6*F6350,75))/1000</f>
        <v>0.15</v>
      </c>
      <c r="M6350" t="str">
        <v>=</v>
      </c>
      <c r="N6350">
        <f>J6350+L6350</f>
        <v>0.2</v>
      </c>
      <c r="T6350" t="str">
        <v>x</v>
      </c>
      <c r="U6350">
        <f>0.006165*F6350^2</f>
        <v>0</v>
      </c>
      <c r="V6350" t="str">
        <v>x</v>
      </c>
      <c r="W6350">
        <f>W6346</f>
        <v>15</v>
      </c>
      <c r="X6350" t="str">
        <v>x</v>
      </c>
      <c r="Y6350">
        <f>D6335</f>
        <v>3</v>
      </c>
      <c r="Z6350" t="str">
        <v>=</v>
      </c>
      <c r="AA6350">
        <f>N6350*U6350*W6350*Y6350</f>
        <v>0</v>
      </c>
    </row>
    <row r="6351">
      <c r="A6351" t="str">
        <f>A6325</f>
        <v>Lantai Atap</v>
      </c>
      <c r="B6351">
        <f>B6325</f>
        <v>5</v>
      </c>
      <c r="C6351" t="str">
        <v>Kait Horizontal Tump.</v>
      </c>
      <c r="D6351">
        <f>VLOOKUP(D6325,'Detail Balok'!$C$10:$BJ$140,56,FALSE)</f>
        <v>0</v>
      </c>
      <c r="E6351" t="str">
        <v>D</v>
      </c>
      <c r="F6351">
        <f>VLOOKUP(D6325,'Detail Balok'!$C$10:$BJ$140,58,FALSE)</f>
        <v>0</v>
      </c>
      <c r="G6351" t="str">
        <v>-</v>
      </c>
      <c r="H6351">
        <f>VLOOKUP(D6325,'Detail Balok'!$C$10:$BJ$140,60,FALSE)</f>
        <v>100</v>
      </c>
      <c r="J6351">
        <f>(D6326-2*F$5)/1000</f>
        <v>0.05</v>
      </c>
      <c r="K6351" t="str">
        <v>+</v>
      </c>
      <c r="L6351">
        <f>IF(D6351=0,2*MAX(6*F6351,75),(D6351-1)*2*MAX(6*F6351,75))/1000</f>
        <v>0.15</v>
      </c>
      <c r="M6351" t="str">
        <v>=</v>
      </c>
      <c r="N6351">
        <f>J6351+L6351</f>
        <v>0.2</v>
      </c>
      <c r="T6351" t="str">
        <v>x</v>
      </c>
      <c r="U6351">
        <f>0.006165*F6351^2</f>
        <v>0</v>
      </c>
      <c r="V6351" t="str">
        <v>x</v>
      </c>
      <c r="W6351">
        <f>W6347</f>
        <v>11</v>
      </c>
      <c r="X6351" t="str">
        <v>x</v>
      </c>
      <c r="Y6351">
        <f>D6335</f>
        <v>3</v>
      </c>
      <c r="Z6351" t="str">
        <v>=</v>
      </c>
      <c r="AA6351">
        <f>N6351*U6351*W6351*Y6351</f>
        <v>0</v>
      </c>
    </row>
    <row r="6355">
      <c r="A6355" t="str">
        <f>A6325</f>
        <v>Lantai Atap</v>
      </c>
      <c r="B6355">
        <f>B6325+1</f>
        <v>6</v>
      </c>
      <c r="C6355" t="str">
        <f>CONCATENATE(A6355," no. ",B6355)</f>
        <v>Lantai Atap no. 6</v>
      </c>
      <c r="D6355" t="str">
        <f>VLOOKUP(C6355,'Data Panjang Balok'!$C$9:$N$254,2,FALSE)</f>
        <v>B24-1</v>
      </c>
    </row>
    <row r="6356">
      <c r="C6356" t="str">
        <v>Dimensi</v>
      </c>
      <c r="D6356">
        <f>VLOOKUP(D6355,'Detail Balok'!$C$10:$AU$140,2,FALSE)</f>
        <v>200</v>
      </c>
      <c r="F6356" t="str">
        <v>x</v>
      </c>
      <c r="G6356">
        <f>VLOOKUP(D6355,'Detail Balok'!$C$10:$AU$140,3,FALSE)</f>
        <v>400</v>
      </c>
    </row>
    <row r="6357">
      <c r="C6357" t="str">
        <v>Panjang as ke as</v>
      </c>
      <c r="D6357">
        <f>VLOOKUP(C6355,'Data Panjang Balok'!$C$9:$N$254,4,FALSE)</f>
        <v>3925</v>
      </c>
    </row>
    <row r="6358">
      <c r="C6358" t="str">
        <v>Panjang netto</v>
      </c>
      <c r="D6358">
        <f>VLOOKUP(C6355,'Data Panjang Balok'!$C$9:$N$254,7,FALSE)</f>
        <v>3925</v>
      </c>
    </row>
    <row r="6359">
      <c r="C6359" t="str">
        <v>Kolom / balok kiri</v>
      </c>
      <c r="D6359">
        <f>VLOOKUP(C6355,'Data Panjang Balok'!$C$9:$N$254,9,FALSE)</f>
        <v>0</v>
      </c>
    </row>
    <row r="6360">
      <c r="C6360" t="str">
        <v>Kolom / balok kanan</v>
      </c>
      <c r="D6360">
        <f>VLOOKUP(C6355,'Data Panjang Balok'!$C$9:$N$254,10,FALSE)</f>
        <v>0</v>
      </c>
    </row>
    <row r="6361">
      <c r="C6361" t="str">
        <v>Jumlah</v>
      </c>
      <c r="D6361">
        <f>VLOOKUP(C6355,'Data Panjang Balok'!$C$9:$N$254,3,FALSE)</f>
        <v>1</v>
      </c>
    </row>
    <row r="6362">
      <c r="A6362" t="str">
        <f>A6355</f>
        <v>Lantai Atap</v>
      </c>
      <c r="B6362">
        <f>B6355</f>
        <v>6</v>
      </c>
      <c r="C6362" t="str">
        <v>Tul Atas Tumpuan</v>
      </c>
      <c r="D6362">
        <f>VLOOKUP(D6355,'Detail Balok'!$C$10:$AU$140,4,FALSE)</f>
        <v>3</v>
      </c>
      <c r="E6362" t="str">
        <v>D</v>
      </c>
      <c r="F6362">
        <f>VLOOKUP(D6355,'Detail Balok'!$C$10:$AU$140,6,FALSE)</f>
        <v>13</v>
      </c>
      <c r="I6362" t="str">
        <v>(</v>
      </c>
      <c r="J6362">
        <f>+D6357/4/1000</f>
        <v>0.98125</v>
      </c>
      <c r="K6362" t="str">
        <v>+</v>
      </c>
      <c r="L6362">
        <f>MAX(VLOOKUP(F6362,N$6:P$15,3,FALSE)/1000,2/3*D6359/1000)+F$16*F6362/1000</f>
        <v>0.156</v>
      </c>
      <c r="M6362" t="str">
        <v>=</v>
      </c>
      <c r="N6362">
        <f>J6362+L6362</f>
        <v>1.1372499999999999</v>
      </c>
      <c r="O6362" t="str">
        <v>+</v>
      </c>
      <c r="P6362">
        <f>D6362-D6363</f>
        <v>0</v>
      </c>
      <c r="Q6362" t="str">
        <v>x</v>
      </c>
      <c r="R6362">
        <f>IF(P6362&gt;0,$F$18*F6362/1000,0)</f>
        <v>0</v>
      </c>
      <c r="S6362" t="str">
        <v>)</v>
      </c>
      <c r="T6362" t="str">
        <v>x</v>
      </c>
      <c r="U6362">
        <f>0.006165*F6362^2</f>
        <v>1.041885</v>
      </c>
      <c r="X6362" t="str">
        <v>x</v>
      </c>
      <c r="Y6362">
        <f>D6361</f>
        <v>1</v>
      </c>
      <c r="Z6362" t="str">
        <v>=</v>
      </c>
      <c r="AA6362">
        <f>IF(AA6365=0,(D6362*N6362+P6362*R6362)*U6362*Y6362,0)</f>
        <v>0</v>
      </c>
    </row>
    <row r="6363">
      <c r="A6363" t="str">
        <f>A6355</f>
        <v>Lantai Atap</v>
      </c>
      <c r="B6363">
        <f>B6355</f>
        <v>6</v>
      </c>
      <c r="C6363" t="str">
        <v>Tul Atas Lapangan</v>
      </c>
      <c r="D6363">
        <f>VLOOKUP(D6355,'Detail Balok'!$C$10:$AU$140,7,FALSE)</f>
        <v>3</v>
      </c>
      <c r="E6363" t="str">
        <v>D</v>
      </c>
      <c r="F6363">
        <f>VLOOKUP(D6355,'Detail Balok'!$C$10:$AU$140,9,FALSE)</f>
        <v>13</v>
      </c>
      <c r="I6363" t="str">
        <v>(</v>
      </c>
      <c r="J6363">
        <f>+D6357/2/1000</f>
        <v>1.9625</v>
      </c>
      <c r="K6363" t="str">
        <v>+</v>
      </c>
      <c r="M6363" t="str">
        <v>=</v>
      </c>
      <c r="N6363">
        <f>J6363+L6363</f>
        <v>1.9625</v>
      </c>
      <c r="O6363" t="str">
        <v>+</v>
      </c>
      <c r="P6363">
        <f>MAX(D6363-D6362,D6363-D6364)</f>
        <v>0</v>
      </c>
      <c r="Q6363" t="str">
        <v>x</v>
      </c>
      <c r="R6363">
        <f>IF(P6363&gt;0,2*(1-2*$F$19-1/2)*D6358/1000,0)</f>
        <v>0</v>
      </c>
      <c r="S6363" t="str">
        <v>)</v>
      </c>
      <c r="T6363" t="str">
        <v>x</v>
      </c>
      <c r="U6363">
        <f>0.006165*F6363^2</f>
        <v>1.041885</v>
      </c>
      <c r="X6363" t="str">
        <v>x</v>
      </c>
      <c r="Y6363">
        <f>D6361</f>
        <v>1</v>
      </c>
      <c r="Z6363" t="str">
        <v>=</v>
      </c>
      <c r="AA6363">
        <f>IF(AA6365=0,(D6363*N6363+P6363*R6363)*U6363*Y6363,0)</f>
        <v>0</v>
      </c>
    </row>
    <row r="6364">
      <c r="A6364" t="str">
        <f>A6355</f>
        <v>Lantai Atap</v>
      </c>
      <c r="B6364">
        <f>B6355</f>
        <v>6</v>
      </c>
      <c r="C6364" t="str">
        <v>Tul Atas Tumpuan</v>
      </c>
      <c r="D6364">
        <f>VLOOKUP(D6355,'Detail Balok'!$C$10:$AU$140,10,FALSE)</f>
        <v>3</v>
      </c>
      <c r="E6364" t="str">
        <v>D</v>
      </c>
      <c r="F6364">
        <f>VLOOKUP(D6355,'Detail Balok'!$C$10:$AU$140,12,FALSE)</f>
        <v>13</v>
      </c>
      <c r="I6364" t="str">
        <v>(</v>
      </c>
      <c r="J6364">
        <f>+D6357/4/1000</f>
        <v>0.98125</v>
      </c>
      <c r="K6364" t="str">
        <v>+</v>
      </c>
      <c r="L6364">
        <f>MAX(VLOOKUP(F6364,N$6:P$15,3,FALSE)/1000,2/3*D6359/1000)+F$16*F6364/1000</f>
        <v>0.156</v>
      </c>
      <c r="M6364" t="str">
        <v>=</v>
      </c>
      <c r="N6364">
        <f>J6364+L6364</f>
        <v>1.1372499999999999</v>
      </c>
      <c r="O6364" t="str">
        <v>+</v>
      </c>
      <c r="P6364">
        <f>D6364-D6363</f>
        <v>0</v>
      </c>
      <c r="Q6364" t="str">
        <v>x</v>
      </c>
      <c r="R6364">
        <f>IF(P6364&gt;0,$F$18*F6364/1000,0)</f>
        <v>0</v>
      </c>
      <c r="S6364" t="str">
        <v>)</v>
      </c>
      <c r="T6364" t="str">
        <v>x</v>
      </c>
      <c r="U6364">
        <f>0.006165*F6364^2</f>
        <v>1.041885</v>
      </c>
      <c r="X6364" t="str">
        <v>x</v>
      </c>
      <c r="Y6364">
        <f>D6361</f>
        <v>1</v>
      </c>
      <c r="Z6364" t="str">
        <v>=</v>
      </c>
      <c r="AA6364">
        <f>IF(AA6365=0,(D6364*N6364+P6364*R6364)*U6364*Y6364,0)</f>
        <v>0</v>
      </c>
    </row>
    <row r="6365">
      <c r="A6365" t="str">
        <f>A6355</f>
        <v>Lantai Atap</v>
      </c>
      <c r="B6365">
        <f>B6355</f>
        <v>6</v>
      </c>
      <c r="D6365">
        <f>IF(AND(D6362=D6363,D6363=D6364,D6362=D6364),D6362,0)</f>
        <v>3</v>
      </c>
      <c r="E6365" t="str">
        <v>D</v>
      </c>
      <c r="F6365">
        <f>IF(AND(F6362=F6363,F6362=F6364,F6363=F6364),F6362,0)</f>
        <v>13</v>
      </c>
      <c r="L6365" t="str">
        <v>Total panjang per balok</v>
      </c>
      <c r="M6365" t="str">
        <v>=</v>
      </c>
      <c r="N6365">
        <f>IF(AND(D6362=D6363,D6362=D6364,D6363=D6364,F6362=F6363,F6362=F6364,F6363=F6364),SUM(N6362:N6364),0)</f>
        <v>4.237</v>
      </c>
      <c r="O6365" t="str">
        <v>+</v>
      </c>
      <c r="P6365">
        <f>IF(N6365&gt;12,ROUNDDOWN(N6365/12,0),0)</f>
        <v>0</v>
      </c>
      <c r="Q6365" t="str">
        <v>x</v>
      </c>
      <c r="R6365">
        <f>IF(P6365&gt;0,MAX(VLOOKUP(F6365,$D$6:$G$15,3,FALSE),600),0)/1000</f>
        <v>0</v>
      </c>
      <c r="T6365" t="str">
        <v>x</v>
      </c>
      <c r="U6365">
        <f>U6364</f>
        <v>1.041885</v>
      </c>
      <c r="V6365" t="str">
        <v>x</v>
      </c>
      <c r="W6365">
        <f>D6365</f>
        <v>3</v>
      </c>
      <c r="X6365" t="str">
        <v>x</v>
      </c>
      <c r="Y6365">
        <f>Y6364</f>
        <v>1</v>
      </c>
      <c r="Z6365" t="str">
        <v>=</v>
      </c>
      <c r="AA6365">
        <f>(N6365+P6365*R6365/1000)*U6365*W6365*Y6365</f>
        <v>13.243400235</v>
      </c>
    </row>
    <row r="6367">
      <c r="A6367" t="str">
        <f>A6355</f>
        <v>Lantai Atap</v>
      </c>
      <c r="B6367">
        <f>B6355</f>
        <v>6</v>
      </c>
      <c r="C6367" t="str">
        <v>Tul Peminggang</v>
      </c>
      <c r="D6367">
        <f>VLOOKUP(D6355,'Detail Balok'!$C$10:$AU$140,13,FALSE)</f>
        <v>0</v>
      </c>
      <c r="E6367" t="str">
        <v>D</v>
      </c>
      <c r="F6367">
        <f>VLOOKUP(D6355,'Detail Balok'!$C$10:$AU$140,15,FALSE)</f>
        <v>8</v>
      </c>
      <c r="J6367">
        <f>+D6357/1000</f>
        <v>3.925</v>
      </c>
      <c r="K6367" t="str">
        <v>+</v>
      </c>
      <c r="L6367">
        <f>2*$F$16*F6367/1000</f>
        <v>0.192</v>
      </c>
      <c r="M6367" t="str">
        <v>=</v>
      </c>
      <c r="N6367">
        <f>J6367+L6367</f>
        <v>4.117</v>
      </c>
      <c r="O6367" t="str">
        <v>+</v>
      </c>
      <c r="P6367">
        <f>IF(N6367&gt;12,ROUNDDOWN(N6367/12,0),0)</f>
        <v>0</v>
      </c>
      <c r="Q6367" t="str">
        <v>x</v>
      </c>
      <c r="R6367">
        <f>IF(P6367&gt;0,MAX(VLOOKUP(F6367,$D$6:$G$15,3,FALSE),600),0)/1000</f>
        <v>0</v>
      </c>
      <c r="T6367" t="str">
        <v>x</v>
      </c>
      <c r="U6367">
        <f>0.006165*F6367^2</f>
        <v>0.39456</v>
      </c>
      <c r="V6367" t="str">
        <v>x</v>
      </c>
      <c r="W6367">
        <f>+D6367</f>
        <v>0</v>
      </c>
      <c r="X6367" t="str">
        <v>x</v>
      </c>
      <c r="Y6367">
        <f>D6361</f>
        <v>1</v>
      </c>
      <c r="Z6367" t="str">
        <v>=</v>
      </c>
      <c r="AA6367">
        <f>(N6367+P6367*R6367/1000)*U6367*W6367*Y6367</f>
        <v>0</v>
      </c>
    </row>
    <row r="6370">
      <c r="A6370" t="str">
        <f>A6355</f>
        <v>Lantai Atap</v>
      </c>
      <c r="B6370">
        <f>B6355</f>
        <v>6</v>
      </c>
      <c r="C6370" t="str">
        <v>Tul Bawah Tumpuan</v>
      </c>
      <c r="D6370">
        <f>VLOOKUP(D6355,'Detail Balok'!$C$10:$AU$140,22,FALSE)</f>
        <v>3</v>
      </c>
      <c r="E6370" t="str">
        <v>D</v>
      </c>
      <c r="F6370">
        <f>VLOOKUP(D6355,'Detail Balok'!$C$10:$AU$140,24,FALSE)</f>
        <v>13</v>
      </c>
      <c r="I6370" t="str">
        <v>(</v>
      </c>
      <c r="J6370">
        <f>+J6362</f>
        <v>0.98125</v>
      </c>
      <c r="K6370" t="str">
        <v>+</v>
      </c>
      <c r="L6370">
        <f>MAX(VLOOKUP(F6370,N$6:P$15,3,FALSE)/1000,2/3*D6360/1000)+F$16*F6370/1000</f>
        <v>0.156</v>
      </c>
      <c r="M6370" t="str">
        <v>=</v>
      </c>
      <c r="N6370">
        <f>J6370+L6370</f>
        <v>1.1372499999999999</v>
      </c>
      <c r="O6370" t="str">
        <v>+</v>
      </c>
      <c r="P6370">
        <f>D6370-D6371</f>
        <v>0</v>
      </c>
      <c r="Q6370" t="str">
        <v>x</v>
      </c>
      <c r="R6370">
        <f>IF(P6370&gt;0,$F$18*F6370/1000,0)</f>
        <v>0</v>
      </c>
      <c r="S6370" t="str">
        <v>)</v>
      </c>
      <c r="T6370" t="str">
        <v>x</v>
      </c>
      <c r="U6370">
        <f>0.006165*F6370^2</f>
        <v>1.041885</v>
      </c>
      <c r="X6370" t="str">
        <v>x</v>
      </c>
      <c r="Y6370">
        <f>D6361</f>
        <v>1</v>
      </c>
      <c r="Z6370" t="str">
        <v>=</v>
      </c>
      <c r="AA6370">
        <f>IF(AA6373=0,(D6370*N6370+P6370*R6370)*U6370*Y6370,0)</f>
        <v>0</v>
      </c>
    </row>
    <row r="6371">
      <c r="A6371" t="str">
        <f>A6355</f>
        <v>Lantai Atap</v>
      </c>
      <c r="B6371">
        <f>B6355</f>
        <v>6</v>
      </c>
      <c r="C6371" t="str">
        <v>Tul Bawah Lapangan</v>
      </c>
      <c r="D6371">
        <f>VLOOKUP(D6355,'Detail Balok'!$C$10:$AU$140,25,FALSE)</f>
        <v>3</v>
      </c>
      <c r="E6371" t="str">
        <v>D</v>
      </c>
      <c r="F6371">
        <f>VLOOKUP(D6355,'Detail Balok'!$C$10:$AU$140,27,FALSE)</f>
        <v>13</v>
      </c>
      <c r="I6371" t="str">
        <v>(</v>
      </c>
      <c r="J6371">
        <f>+J6363</f>
        <v>1.9625</v>
      </c>
      <c r="K6371" t="str">
        <v>+</v>
      </c>
      <c r="M6371" t="str">
        <v>=</v>
      </c>
      <c r="N6371">
        <f>J6371+L6371</f>
        <v>1.9625</v>
      </c>
      <c r="O6371" t="str">
        <v>+</v>
      </c>
      <c r="P6371">
        <f>MAX(D6371-D6370,D6371-D6372)</f>
        <v>0</v>
      </c>
      <c r="Q6371" t="str">
        <v>x</v>
      </c>
      <c r="R6371">
        <f>IF(P6371&gt;0,2*(1-2*$F$19-1/2)*D6358/1000,0)</f>
        <v>0</v>
      </c>
      <c r="S6371" t="str">
        <v>)</v>
      </c>
      <c r="T6371" t="str">
        <v>x</v>
      </c>
      <c r="U6371">
        <f>0.006165*F6371^2</f>
        <v>1.041885</v>
      </c>
      <c r="X6371" t="str">
        <v>x</v>
      </c>
      <c r="Y6371">
        <f>D6361</f>
        <v>1</v>
      </c>
      <c r="Z6371" t="str">
        <v>=</v>
      </c>
      <c r="AA6371">
        <f>IF(AA6373=0,(D6371*N6371+P6371*R6371)*U6371*Y6371,0)</f>
        <v>0</v>
      </c>
    </row>
    <row r="6372">
      <c r="A6372" t="str">
        <f>A6355</f>
        <v>Lantai Atap</v>
      </c>
      <c r="B6372">
        <f>B6355</f>
        <v>6</v>
      </c>
      <c r="C6372" t="str">
        <v>Tul Bawah Tumpuan</v>
      </c>
      <c r="D6372">
        <f>VLOOKUP(D6355,'Detail Balok'!$C$10:$AU$140,28,FALSE)</f>
        <v>3</v>
      </c>
      <c r="E6372" t="str">
        <v>D</v>
      </c>
      <c r="F6372">
        <f>VLOOKUP(D6355,'Detail Balok'!$C$10:$AU$140,30,FALSE)</f>
        <v>13</v>
      </c>
      <c r="I6372" t="str">
        <v>(</v>
      </c>
      <c r="J6372">
        <f>+J6364</f>
        <v>0.98125</v>
      </c>
      <c r="K6372" t="str">
        <v>+</v>
      </c>
      <c r="L6372">
        <f>MAX(VLOOKUP(F6372,N$6:P$15,3,FALSE)/1000,2/3*D6360/1000)+F$16*F6372/1000</f>
        <v>0.156</v>
      </c>
      <c r="M6372" t="str">
        <v>=</v>
      </c>
      <c r="N6372">
        <f>J6372+L6372</f>
        <v>1.1372499999999999</v>
      </c>
      <c r="O6372" t="str">
        <v>+</v>
      </c>
      <c r="P6372">
        <f>D6372-D6371</f>
        <v>0</v>
      </c>
      <c r="Q6372" t="str">
        <v>x</v>
      </c>
      <c r="R6372">
        <f>IF(P6372&gt;0,$F$18*F6372/1000,0)</f>
        <v>0</v>
      </c>
      <c r="S6372" t="str">
        <v>)</v>
      </c>
      <c r="T6372" t="str">
        <v>x</v>
      </c>
      <c r="U6372">
        <f>0.006165*F6372^2</f>
        <v>1.041885</v>
      </c>
      <c r="X6372" t="str">
        <v>x</v>
      </c>
      <c r="Y6372">
        <f>D6361</f>
        <v>1</v>
      </c>
      <c r="Z6372" t="str">
        <v>=</v>
      </c>
      <c r="AA6372">
        <f>IF(AA6373=0,(D6372*N6372+P6372*R6372)*U6372*Y6372,0)</f>
        <v>0</v>
      </c>
    </row>
    <row r="6373">
      <c r="A6373" t="str">
        <f>A6355</f>
        <v>Lantai Atap</v>
      </c>
      <c r="B6373">
        <f>B6355</f>
        <v>6</v>
      </c>
      <c r="D6373">
        <f>IF(AND(D6370=D6371,D6371=D6372,D6370=D6372),D6370,0)</f>
        <v>3</v>
      </c>
      <c r="E6373" t="str">
        <v>D</v>
      </c>
      <c r="F6373">
        <f>IF(AND(F6370=F6371,F6370=F6372,F6371=F6372),F6370,0)</f>
        <v>13</v>
      </c>
      <c r="L6373" t="str">
        <v>Total panjang per balok</v>
      </c>
      <c r="M6373" t="str">
        <v>=</v>
      </c>
      <c r="N6373">
        <f>IF(AND(D6370=D6371,D6370=D6372,D6371=D6372,F6370=F6371,F6370=F6372,F6371=F6372),SUM(N6370:N6372),0)</f>
        <v>4.237</v>
      </c>
      <c r="O6373" t="str">
        <v>+</v>
      </c>
      <c r="P6373">
        <f>IF(N6373&gt;12,ROUNDDOWN(N6373/12,0),0)</f>
        <v>0</v>
      </c>
      <c r="Q6373" t="str">
        <v>x</v>
      </c>
      <c r="R6373">
        <f>IF(P6373&gt;0,MAX(VLOOKUP(F6373,$D$6:$G$15,3,FALSE),600),0)/1000</f>
        <v>0</v>
      </c>
      <c r="T6373" t="str">
        <v>x</v>
      </c>
      <c r="U6373">
        <f>U6372</f>
        <v>1.041885</v>
      </c>
      <c r="V6373" t="str">
        <v>x</v>
      </c>
      <c r="W6373">
        <f>D6373</f>
        <v>3</v>
      </c>
      <c r="X6373" t="str">
        <v>x</v>
      </c>
      <c r="Y6373">
        <f>Y6372</f>
        <v>1</v>
      </c>
      <c r="Z6373" t="str">
        <v>=</v>
      </c>
      <c r="AA6373">
        <f>(N6373+P6373*R6373/1000)*U6373*W6373*Y6373</f>
        <v>13.243400235</v>
      </c>
    </row>
    <row r="6375">
      <c r="A6375" t="str">
        <f>A6355</f>
        <v>Lantai Atap</v>
      </c>
      <c r="B6375">
        <f>B6355</f>
        <v>6</v>
      </c>
      <c r="C6375" t="str">
        <v>Sengkang Tumpuan</v>
      </c>
      <c r="D6375">
        <f>VLOOKUP(D6355,'Detail Balok'!$C$10:$AU$140,31,FALSE)</f>
        <v>0</v>
      </c>
      <c r="E6375" t="str">
        <v>D</v>
      </c>
      <c r="F6375">
        <f>VLOOKUP(D6355,'Detail Balok'!$C$10:$AU$140,33,FALSE)</f>
        <v>10</v>
      </c>
      <c r="G6375" t="str">
        <v>-</v>
      </c>
      <c r="H6375">
        <f>VLOOKUP(D6355,'Detail Balok'!$C$10:$AU$140,35,FALSE)</f>
        <v>100</v>
      </c>
      <c r="J6375">
        <f>(IF(D6375=0,(2*(D6356+G6356))-(F$5*8),IF(D6375=3,(2*(D6356+G6356))-(F$5*8)+(G6356-2*F$5),IF(D6375=4,(2*(D6356+G6356))-(F$5*8)+2*(G6356-2*F$5)))))/1000</f>
        <v>0.88</v>
      </c>
      <c r="K6375" t="str">
        <v>+</v>
      </c>
      <c r="L6375">
        <f>IF(D6375=0,2*MAX(6*F6375,75),(D6375-1)*2*MAX(6*F6375,75))/1000</f>
        <v>0.15</v>
      </c>
      <c r="M6375" t="str">
        <v>=</v>
      </c>
      <c r="N6375">
        <f>J6375+L6375</f>
        <v>1.03</v>
      </c>
      <c r="T6375" t="str">
        <v>x</v>
      </c>
      <c r="U6375">
        <f>0.006165*F6375^2</f>
        <v>0.6165</v>
      </c>
      <c r="V6375" t="str">
        <v>x</v>
      </c>
      <c r="W6375">
        <f>IF(D6358&gt;4*G6356,ROUND(MAX(D6358/4,2*G6356)/H6375,0)+1,ROUND(D6358/H6375,0)+1)</f>
        <v>11</v>
      </c>
      <c r="X6375" t="str">
        <v>x</v>
      </c>
      <c r="Y6375">
        <f>D6361</f>
        <v>1</v>
      </c>
      <c r="Z6375" t="str">
        <v>=</v>
      </c>
      <c r="AA6375">
        <f>N6375*U6375*W6375*Y6375</f>
        <v>6.984945000000001</v>
      </c>
    </row>
    <row r="6376">
      <c r="A6376" t="str">
        <f>A6355</f>
        <v>Lantai Atap</v>
      </c>
      <c r="B6376">
        <f>B6355</f>
        <v>6</v>
      </c>
      <c r="C6376" t="str">
        <v>Sengkang Lapangan</v>
      </c>
      <c r="D6376">
        <f>VLOOKUP(D6355,'Detail Balok'!$C$10:$AU$140,36,FALSE)</f>
        <v>0</v>
      </c>
      <c r="E6376" t="str">
        <v>D</v>
      </c>
      <c r="F6376">
        <f>VLOOKUP(D6355,'Detail Balok'!$C$10:$AU$140,38,FALSE)</f>
        <v>10</v>
      </c>
      <c r="G6376" t="str">
        <v>-</v>
      </c>
      <c r="H6376">
        <f>VLOOKUP(D6355,'Detail Balok'!$C$10:$AU$140,40,FALSE)</f>
        <v>200</v>
      </c>
      <c r="J6376">
        <f>(IF(D6376=0,(2*(D6356+G6356))-(F$5*8),IF(D6376=3,(2*(D6356+G6356))-(F$5*8)+(G6356-2*F$5),IF(D6376=4,(2*(D6356+G6356))-(F$5*8)+2*(G6356-2*F$5)))))/1000</f>
        <v>0.88</v>
      </c>
      <c r="K6376" t="str">
        <v>+</v>
      </c>
      <c r="L6376">
        <f>IF(D6376=0,2*MAX(6*F6376,75),(D6376-1)*2*MAX(6*F6376,75))/1000</f>
        <v>0.15</v>
      </c>
      <c r="M6376" t="str">
        <v>=</v>
      </c>
      <c r="N6376">
        <f>J6376+L6376</f>
        <v>1.03</v>
      </c>
      <c r="T6376" t="str">
        <v>x</v>
      </c>
      <c r="U6376">
        <f>0.006165*F6376^2</f>
        <v>0.6165</v>
      </c>
      <c r="V6376" t="str">
        <v>x</v>
      </c>
      <c r="W6376">
        <f>IF(D6358-MAX(D6358/4,2*G6356)*2&gt;0,ROUND((D6358-MAX(D6358/4,2*G6356)*2)/H6376,0),0)</f>
        <v>10</v>
      </c>
      <c r="X6376" t="str">
        <v>x</v>
      </c>
      <c r="Y6376">
        <f>D6361</f>
        <v>1</v>
      </c>
      <c r="Z6376" t="str">
        <v>=</v>
      </c>
      <c r="AA6376">
        <f>N6376*U6376*W6376*Y6376</f>
        <v>6.349950000000001</v>
      </c>
    </row>
    <row r="6377">
      <c r="A6377" t="str">
        <f>A6355</f>
        <v>Lantai Atap</v>
      </c>
      <c r="B6377">
        <f>B6355</f>
        <v>6</v>
      </c>
      <c r="C6377" t="str">
        <v>Sengkang Tumpuan</v>
      </c>
      <c r="D6377">
        <f>VLOOKUP(D6355,'Detail Balok'!$C$10:$AU$140,41,FALSE)</f>
        <v>0</v>
      </c>
      <c r="E6377" t="str">
        <v>D</v>
      </c>
      <c r="F6377">
        <f>VLOOKUP(D6355,'Detail Balok'!$C$10:$AU$140,43,FALSE)</f>
        <v>10</v>
      </c>
      <c r="G6377" t="str">
        <v>-</v>
      </c>
      <c r="H6377">
        <f>VLOOKUP(D6355,'Detail Balok'!$C$10:$AU$140,45,FALSE)</f>
        <v>100</v>
      </c>
      <c r="J6377">
        <f>(IF(D6377=0,(2*(D6356+G6356))-(F$5*8),IF(D6377=3,(2*(D6356+G6356))-(F$5*8)+(G6356-2*F$5),IF(D6377=4,(2*(D6356+G6356))-(F$5*8)+2*(G6356-2*F$5)))))/1000</f>
        <v>0.88</v>
      </c>
      <c r="K6377" t="str">
        <v>+</v>
      </c>
      <c r="L6377">
        <f>IF(D6377=0,2*MAX(6*F6377,75),(D6377-1)*2*MAX(6*F6377,75))/1000</f>
        <v>0.15</v>
      </c>
      <c r="M6377" t="str">
        <v>=</v>
      </c>
      <c r="N6377">
        <f>J6377+L6377</f>
        <v>1.03</v>
      </c>
      <c r="T6377" t="str">
        <v>x</v>
      </c>
      <c r="U6377">
        <f>0.006165*F6377^2</f>
        <v>0.6165</v>
      </c>
      <c r="V6377" t="str">
        <v>x</v>
      </c>
      <c r="W6377">
        <f>IF(D6358&gt;4*G6356,ROUND(MAX(D6358/4,2*G6356)/H6377,0)+1,0)</f>
        <v>11</v>
      </c>
      <c r="X6377" t="str">
        <v>x</v>
      </c>
      <c r="Y6377">
        <f>D6361</f>
        <v>1</v>
      </c>
      <c r="Z6377" t="str">
        <v>=</v>
      </c>
      <c r="AA6377">
        <f>N6377*U6377*W6377*Y6377</f>
        <v>6.984945000000001</v>
      </c>
    </row>
    <row r="6379">
      <c r="A6379" t="str">
        <f>A6355</f>
        <v>Lantai Atap</v>
      </c>
      <c r="B6379">
        <f>B6355</f>
        <v>6</v>
      </c>
      <c r="C6379" t="str">
        <v>Kait Horizontal Tump.</v>
      </c>
      <c r="D6379">
        <f>VLOOKUP(D6355,'Detail Balok'!$C$10:$BJ$140,46,FALSE)</f>
        <v>0</v>
      </c>
      <c r="E6379" t="str">
        <v>D</v>
      </c>
      <c r="F6379">
        <f>VLOOKUP(D6355,'Detail Balok'!$C$10:$BJ$140,48,FALSE)</f>
        <v>0</v>
      </c>
      <c r="G6379" t="str">
        <v>-</v>
      </c>
      <c r="H6379">
        <f>VLOOKUP(D6355,'Detail Balok'!$C$10:$BJ$140,50,FALSE)</f>
        <v>100</v>
      </c>
      <c r="J6379">
        <f>(D6356-2*F$5)/1000</f>
        <v>0.12</v>
      </c>
      <c r="K6379" t="str">
        <v>+</v>
      </c>
      <c r="L6379">
        <f>IF(D6379=0,2*MAX(6*F6379,75),(D6379-1)*2*MAX(6*F6379,75))/1000</f>
        <v>0.15</v>
      </c>
      <c r="M6379" t="str">
        <v>=</v>
      </c>
      <c r="N6379">
        <f>J6379+L6379</f>
        <v>0.27</v>
      </c>
      <c r="T6379" t="str">
        <v>x</v>
      </c>
      <c r="U6379">
        <f>0.006165*F6379^2</f>
        <v>0</v>
      </c>
      <c r="V6379" t="str">
        <v>x</v>
      </c>
      <c r="W6379">
        <f>W6375</f>
        <v>11</v>
      </c>
      <c r="X6379" t="str">
        <v>x</v>
      </c>
      <c r="Y6379">
        <f>D6365</f>
        <v>3</v>
      </c>
      <c r="Z6379" t="str">
        <v>=</v>
      </c>
      <c r="AA6379">
        <f>N6379*U6379*W6379*Y6379</f>
        <v>0</v>
      </c>
    </row>
    <row r="6380">
      <c r="A6380" t="str">
        <f>A6355</f>
        <v>Lantai Atap</v>
      </c>
      <c r="B6380">
        <f>B6355</f>
        <v>6</v>
      </c>
      <c r="C6380" t="str">
        <v>Kait Horizontal Lap.</v>
      </c>
      <c r="D6380">
        <f>VLOOKUP(D6355,'Detail Balok'!$C$10:$BJ$140,51,FALSE)</f>
        <v>0</v>
      </c>
      <c r="E6380" t="str">
        <v>D</v>
      </c>
      <c r="F6380">
        <f>VLOOKUP(D6355,'Detail Balok'!$C$10:$BJ$140,53,FALSE)</f>
        <v>0</v>
      </c>
      <c r="G6380" t="str">
        <v>-</v>
      </c>
      <c r="H6380">
        <f>VLOOKUP(D6355,'Detail Balok'!$C$10:$BJ$140,55,FALSE)</f>
        <v>100</v>
      </c>
      <c r="J6380">
        <f>(D6356-2*F$5)/1000</f>
        <v>0.12</v>
      </c>
      <c r="K6380" t="str">
        <v>+</v>
      </c>
      <c r="L6380">
        <f>IF(D6380=0,2*MAX(6*F6380,75),(D6380-1)*2*MAX(6*F6380,75))/1000</f>
        <v>0.15</v>
      </c>
      <c r="M6380" t="str">
        <v>=</v>
      </c>
      <c r="N6380">
        <f>J6380+L6380</f>
        <v>0.27</v>
      </c>
      <c r="T6380" t="str">
        <v>x</v>
      </c>
      <c r="U6380">
        <f>0.006165*F6380^2</f>
        <v>0</v>
      </c>
      <c r="V6380" t="str">
        <v>x</v>
      </c>
      <c r="W6380">
        <f>W6376</f>
        <v>10</v>
      </c>
      <c r="X6380" t="str">
        <v>x</v>
      </c>
      <c r="Y6380">
        <f>D6365</f>
        <v>3</v>
      </c>
      <c r="Z6380" t="str">
        <v>=</v>
      </c>
      <c r="AA6380">
        <f>N6380*U6380*W6380*Y6380</f>
        <v>0</v>
      </c>
    </row>
    <row r="6381">
      <c r="A6381" t="str">
        <f>A6355</f>
        <v>Lantai Atap</v>
      </c>
      <c r="B6381">
        <f>B6355</f>
        <v>6</v>
      </c>
      <c r="C6381" t="str">
        <v>Kait Horizontal Tump.</v>
      </c>
      <c r="D6381">
        <f>VLOOKUP(D6355,'Detail Balok'!$C$10:$BJ$140,56,FALSE)</f>
        <v>0</v>
      </c>
      <c r="E6381" t="str">
        <v>D</v>
      </c>
      <c r="F6381">
        <f>VLOOKUP(D6355,'Detail Balok'!$C$10:$BJ$140,58,FALSE)</f>
        <v>0</v>
      </c>
      <c r="G6381" t="str">
        <v>-</v>
      </c>
      <c r="H6381">
        <f>VLOOKUP(D6355,'Detail Balok'!$C$10:$BJ$140,60,FALSE)</f>
        <v>100</v>
      </c>
      <c r="J6381">
        <f>(D6356-2*F$5)/1000</f>
        <v>0.12</v>
      </c>
      <c r="K6381" t="str">
        <v>+</v>
      </c>
      <c r="L6381">
        <f>IF(D6381=0,2*MAX(6*F6381,75),(D6381-1)*2*MAX(6*F6381,75))/1000</f>
        <v>0.15</v>
      </c>
      <c r="M6381" t="str">
        <v>=</v>
      </c>
      <c r="N6381">
        <f>J6381+L6381</f>
        <v>0.27</v>
      </c>
      <c r="T6381" t="str">
        <v>x</v>
      </c>
      <c r="U6381">
        <f>0.006165*F6381^2</f>
        <v>0</v>
      </c>
      <c r="V6381" t="str">
        <v>x</v>
      </c>
      <c r="W6381">
        <f>W6377</f>
        <v>11</v>
      </c>
      <c r="X6381" t="str">
        <v>x</v>
      </c>
      <c r="Y6381">
        <f>D6365</f>
        <v>3</v>
      </c>
      <c r="Z6381" t="str">
        <v>=</v>
      </c>
      <c r="AA6381">
        <f>N6381*U6381*W6381*Y6381</f>
        <v>0</v>
      </c>
    </row>
    <row r="6385">
      <c r="A6385" t="str">
        <f>A6355</f>
        <v>Lantai Atap</v>
      </c>
      <c r="B6385">
        <f>B6355+1</f>
        <v>7</v>
      </c>
      <c r="C6385" t="str">
        <f>CONCATENATE(A6385," no. ",B6385)</f>
        <v>Lantai Atap no. 7</v>
      </c>
      <c r="D6385" t="str">
        <f>VLOOKUP(C6385,'Data Panjang Balok'!$C$9:$N$254,2,FALSE)</f>
        <v>B2A4A-1</v>
      </c>
    </row>
    <row r="6386">
      <c r="C6386" t="str">
        <v>Dimensi</v>
      </c>
      <c r="D6386">
        <f>VLOOKUP(D6385,'Detail Balok'!$C$10:$AU$140,2,FALSE)</f>
        <v>250</v>
      </c>
      <c r="F6386" t="str">
        <v>x</v>
      </c>
      <c r="G6386">
        <f>VLOOKUP(D6385,'Detail Balok'!$C$10:$AU$140,3,FALSE)</f>
        <v>450</v>
      </c>
    </row>
    <row r="6387">
      <c r="C6387" t="str">
        <v>Panjang as ke as</v>
      </c>
      <c r="D6387">
        <f>VLOOKUP(C6385,'Data Panjang Balok'!$C$9:$N$254,4,FALSE)</f>
        <v>11150</v>
      </c>
    </row>
    <row r="6388">
      <c r="C6388" t="str">
        <v>Panjang netto</v>
      </c>
      <c r="D6388">
        <f>VLOOKUP(C6385,'Data Panjang Balok'!$C$9:$N$254,7,FALSE)</f>
        <v>11150</v>
      </c>
    </row>
    <row r="6389">
      <c r="C6389" t="str">
        <v>Kolom / balok kiri</v>
      </c>
      <c r="D6389">
        <f>VLOOKUP(C6385,'Data Panjang Balok'!$C$9:$N$254,9,FALSE)</f>
        <v>0</v>
      </c>
    </row>
    <row r="6390">
      <c r="C6390" t="str">
        <v>Kolom / balok kanan</v>
      </c>
      <c r="D6390">
        <f>VLOOKUP(C6385,'Data Panjang Balok'!$C$9:$N$254,10,FALSE)</f>
        <v>0</v>
      </c>
    </row>
    <row r="6391">
      <c r="C6391" t="str">
        <v>Jumlah</v>
      </c>
      <c r="D6391">
        <f>VLOOKUP(C6385,'Data Panjang Balok'!$C$9:$N$254,3,FALSE)</f>
        <v>1</v>
      </c>
    </row>
    <row r="6392">
      <c r="A6392" t="str">
        <f>A6385</f>
        <v>Lantai Atap</v>
      </c>
      <c r="B6392">
        <f>B6385</f>
        <v>7</v>
      </c>
      <c r="C6392" t="str">
        <v>Tul Atas Tumpuan</v>
      </c>
      <c r="D6392">
        <f>VLOOKUP(D6385,'Detail Balok'!$C$10:$AU$140,4,FALSE)</f>
        <v>3</v>
      </c>
      <c r="E6392" t="str">
        <v>D</v>
      </c>
      <c r="F6392">
        <f>VLOOKUP(D6385,'Detail Balok'!$C$10:$AU$140,6,FALSE)</f>
        <v>13</v>
      </c>
      <c r="I6392" t="str">
        <v>(</v>
      </c>
      <c r="J6392">
        <f>+D6387/4/1000</f>
        <v>2.7875</v>
      </c>
      <c r="K6392" t="str">
        <v>+</v>
      </c>
      <c r="L6392">
        <f>MAX(VLOOKUP(F6392,N$6:P$15,3,FALSE)/1000,2/3*D6389/1000)+F$16*F6392/1000</f>
        <v>0.156</v>
      </c>
      <c r="M6392" t="str">
        <v>=</v>
      </c>
      <c r="N6392">
        <f>J6392+L6392</f>
        <v>2.9435000000000002</v>
      </c>
      <c r="O6392" t="str">
        <v>+</v>
      </c>
      <c r="P6392">
        <f>D6392-D6393</f>
        <v>0</v>
      </c>
      <c r="Q6392" t="str">
        <v>x</v>
      </c>
      <c r="R6392">
        <f>IF(P6392&gt;0,$F$18*F6392/1000,0)</f>
        <v>0</v>
      </c>
      <c r="S6392" t="str">
        <v>)</v>
      </c>
      <c r="T6392" t="str">
        <v>x</v>
      </c>
      <c r="U6392">
        <f>0.006165*F6392^2</f>
        <v>1.041885</v>
      </c>
      <c r="X6392" t="str">
        <v>x</v>
      </c>
      <c r="Y6392">
        <f>D6391</f>
        <v>1</v>
      </c>
      <c r="Z6392" t="str">
        <v>=</v>
      </c>
      <c r="AA6392">
        <f>IF(AA6395=0,(D6392*N6392+P6392*R6392)*U6392*Y6392,0)</f>
        <v>0</v>
      </c>
    </row>
    <row r="6393">
      <c r="A6393" t="str">
        <f>A6385</f>
        <v>Lantai Atap</v>
      </c>
      <c r="B6393">
        <f>B6385</f>
        <v>7</v>
      </c>
      <c r="C6393" t="str">
        <v>Tul Atas Lapangan</v>
      </c>
      <c r="D6393">
        <f>VLOOKUP(D6385,'Detail Balok'!$C$10:$AU$140,7,FALSE)</f>
        <v>3</v>
      </c>
      <c r="E6393" t="str">
        <v>D</v>
      </c>
      <c r="F6393">
        <f>VLOOKUP(D6385,'Detail Balok'!$C$10:$AU$140,9,FALSE)</f>
        <v>13</v>
      </c>
      <c r="I6393" t="str">
        <v>(</v>
      </c>
      <c r="J6393">
        <f>+D6387/2/1000</f>
        <v>5.575</v>
      </c>
      <c r="K6393" t="str">
        <v>+</v>
      </c>
      <c r="M6393" t="str">
        <v>=</v>
      </c>
      <c r="N6393">
        <f>J6393+L6393</f>
        <v>5.575</v>
      </c>
      <c r="O6393" t="str">
        <v>+</v>
      </c>
      <c r="P6393">
        <f>MAX(D6393-D6392,D6393-D6394)</f>
        <v>0</v>
      </c>
      <c r="Q6393" t="str">
        <v>x</v>
      </c>
      <c r="R6393">
        <f>IF(P6393&gt;0,2*(1-2*$F$19-1/2)*D6388/1000,0)</f>
        <v>0</v>
      </c>
      <c r="S6393" t="str">
        <v>)</v>
      </c>
      <c r="T6393" t="str">
        <v>x</v>
      </c>
      <c r="U6393">
        <f>0.006165*F6393^2</f>
        <v>1.041885</v>
      </c>
      <c r="X6393" t="str">
        <v>x</v>
      </c>
      <c r="Y6393">
        <f>D6391</f>
        <v>1</v>
      </c>
      <c r="Z6393" t="str">
        <v>=</v>
      </c>
      <c r="AA6393">
        <f>IF(AA6395=0,(D6393*N6393+P6393*R6393)*U6393*Y6393,0)</f>
        <v>0</v>
      </c>
    </row>
    <row r="6394">
      <c r="A6394" t="str">
        <f>A6385</f>
        <v>Lantai Atap</v>
      </c>
      <c r="B6394">
        <f>B6385</f>
        <v>7</v>
      </c>
      <c r="C6394" t="str">
        <v>Tul Atas Tumpuan</v>
      </c>
      <c r="D6394">
        <f>VLOOKUP(D6385,'Detail Balok'!$C$10:$AU$140,10,FALSE)</f>
        <v>3</v>
      </c>
      <c r="E6394" t="str">
        <v>D</v>
      </c>
      <c r="F6394">
        <f>VLOOKUP(D6385,'Detail Balok'!$C$10:$AU$140,12,FALSE)</f>
        <v>13</v>
      </c>
      <c r="I6394" t="str">
        <v>(</v>
      </c>
      <c r="J6394">
        <f>+D6387/4/1000</f>
        <v>2.7875</v>
      </c>
      <c r="K6394" t="str">
        <v>+</v>
      </c>
      <c r="L6394">
        <f>MAX(VLOOKUP(F6394,N$6:P$15,3,FALSE)/1000,2/3*D6389/1000)+F$16*F6394/1000</f>
        <v>0.156</v>
      </c>
      <c r="M6394" t="str">
        <v>=</v>
      </c>
      <c r="N6394">
        <f>J6394+L6394</f>
        <v>2.9435000000000002</v>
      </c>
      <c r="O6394" t="str">
        <v>+</v>
      </c>
      <c r="P6394">
        <f>D6394-D6393</f>
        <v>0</v>
      </c>
      <c r="Q6394" t="str">
        <v>x</v>
      </c>
      <c r="R6394">
        <f>IF(P6394&gt;0,$F$18*F6394/1000,0)</f>
        <v>0</v>
      </c>
      <c r="S6394" t="str">
        <v>)</v>
      </c>
      <c r="T6394" t="str">
        <v>x</v>
      </c>
      <c r="U6394">
        <f>0.006165*F6394^2</f>
        <v>1.041885</v>
      </c>
      <c r="X6394" t="str">
        <v>x</v>
      </c>
      <c r="Y6394">
        <f>D6391</f>
        <v>1</v>
      </c>
      <c r="Z6394" t="str">
        <v>=</v>
      </c>
      <c r="AA6394">
        <f>IF(AA6395=0,(D6394*N6394+P6394*R6394)*U6394*Y6394,0)</f>
        <v>0</v>
      </c>
    </row>
    <row r="6395">
      <c r="A6395" t="str">
        <f>A6385</f>
        <v>Lantai Atap</v>
      </c>
      <c r="B6395">
        <f>B6385</f>
        <v>7</v>
      </c>
      <c r="D6395">
        <f>IF(AND(D6392=D6393,D6393=D6394,D6392=D6394),D6392,0)</f>
        <v>3</v>
      </c>
      <c r="E6395" t="str">
        <v>D</v>
      </c>
      <c r="F6395">
        <f>IF(AND(F6392=F6393,F6392=F6394,F6393=F6394),F6392,0)</f>
        <v>13</v>
      </c>
      <c r="L6395" t="str">
        <v>Total panjang per balok</v>
      </c>
      <c r="M6395" t="str">
        <v>=</v>
      </c>
      <c r="N6395">
        <f>IF(AND(D6392=D6393,D6392=D6394,D6393=D6394,F6392=F6393,F6392=F6394,F6393=F6394),SUM(N6392:N6394),0)</f>
        <v>11.462</v>
      </c>
      <c r="O6395" t="str">
        <v>+</v>
      </c>
      <c r="P6395">
        <f>IF(N6395&gt;12,ROUNDDOWN(N6395/12,0),0)</f>
        <v>0</v>
      </c>
      <c r="Q6395" t="str">
        <v>x</v>
      </c>
      <c r="R6395">
        <f>IF(P6395&gt;0,MAX(VLOOKUP(F6395,$D$6:$G$15,3,FALSE),600),0)/1000</f>
        <v>0</v>
      </c>
      <c r="T6395" t="str">
        <v>x</v>
      </c>
      <c r="U6395">
        <f>U6394</f>
        <v>1.041885</v>
      </c>
      <c r="V6395" t="str">
        <v>x</v>
      </c>
      <c r="W6395">
        <f>D6395</f>
        <v>3</v>
      </c>
      <c r="X6395" t="str">
        <v>x</v>
      </c>
      <c r="Y6395">
        <f>Y6394</f>
        <v>1</v>
      </c>
      <c r="Z6395" t="str">
        <v>=</v>
      </c>
      <c r="AA6395">
        <f>(N6395+P6395*R6395/1000)*U6395*W6395*Y6395</f>
        <v>35.82625761</v>
      </c>
    </row>
    <row r="6397">
      <c r="A6397" t="str">
        <f>A6385</f>
        <v>Lantai Atap</v>
      </c>
      <c r="B6397">
        <f>B6385</f>
        <v>7</v>
      </c>
      <c r="C6397" t="str">
        <v>Tul Peminggang</v>
      </c>
      <c r="D6397">
        <f>VLOOKUP(D6385,'Detail Balok'!$C$10:$AU$140,13,FALSE)</f>
        <v>0</v>
      </c>
      <c r="E6397" t="str">
        <v>D</v>
      </c>
      <c r="F6397">
        <f>VLOOKUP(D6385,'Detail Balok'!$C$10:$AU$140,15,FALSE)</f>
        <v>8</v>
      </c>
      <c r="J6397">
        <f>+D6387/1000</f>
        <v>11.15</v>
      </c>
      <c r="K6397" t="str">
        <v>+</v>
      </c>
      <c r="L6397">
        <f>2*$F$16*F6397/1000</f>
        <v>0.192</v>
      </c>
      <c r="M6397" t="str">
        <v>=</v>
      </c>
      <c r="N6397">
        <f>J6397+L6397</f>
        <v>11.342</v>
      </c>
      <c r="O6397" t="str">
        <v>+</v>
      </c>
      <c r="P6397">
        <f>IF(N6397&gt;12,ROUNDDOWN(N6397/12,0),0)</f>
        <v>0</v>
      </c>
      <c r="Q6397" t="str">
        <v>x</v>
      </c>
      <c r="R6397">
        <f>IF(P6397&gt;0,MAX(VLOOKUP(F6397,$D$6:$G$15,3,FALSE),600),0)/1000</f>
        <v>0</v>
      </c>
      <c r="T6397" t="str">
        <v>x</v>
      </c>
      <c r="U6397">
        <f>0.006165*F6397^2</f>
        <v>0.39456</v>
      </c>
      <c r="V6397" t="str">
        <v>x</v>
      </c>
      <c r="W6397">
        <f>+D6397</f>
        <v>0</v>
      </c>
      <c r="X6397" t="str">
        <v>x</v>
      </c>
      <c r="Y6397">
        <f>D6391</f>
        <v>1</v>
      </c>
      <c r="Z6397" t="str">
        <v>=</v>
      </c>
      <c r="AA6397">
        <f>(N6397+P6397*R6397/1000)*U6397*W6397*Y6397</f>
        <v>0</v>
      </c>
    </row>
    <row r="6400">
      <c r="A6400" t="str">
        <f>A6385</f>
        <v>Lantai Atap</v>
      </c>
      <c r="B6400">
        <f>B6385</f>
        <v>7</v>
      </c>
      <c r="C6400" t="str">
        <v>Tul Bawah Tumpuan</v>
      </c>
      <c r="D6400">
        <f>VLOOKUP(D6385,'Detail Balok'!$C$10:$AU$140,22,FALSE)</f>
        <v>3</v>
      </c>
      <c r="E6400" t="str">
        <v>D</v>
      </c>
      <c r="F6400">
        <f>VLOOKUP(D6385,'Detail Balok'!$C$10:$AU$140,24,FALSE)</f>
        <v>13</v>
      </c>
      <c r="I6400" t="str">
        <v>(</v>
      </c>
      <c r="J6400">
        <f>+J6392</f>
        <v>2.7875</v>
      </c>
      <c r="K6400" t="str">
        <v>+</v>
      </c>
      <c r="L6400">
        <f>MAX(VLOOKUP(F6400,N$6:P$15,3,FALSE)/1000,2/3*D6390/1000)+F$16*F6400/1000</f>
        <v>0.156</v>
      </c>
      <c r="M6400" t="str">
        <v>=</v>
      </c>
      <c r="N6400">
        <f>J6400+L6400</f>
        <v>2.9435000000000002</v>
      </c>
      <c r="O6400" t="str">
        <v>+</v>
      </c>
      <c r="P6400">
        <f>D6400-D6401</f>
        <v>0</v>
      </c>
      <c r="Q6400" t="str">
        <v>x</v>
      </c>
      <c r="R6400">
        <f>IF(P6400&gt;0,$F$18*F6400/1000,0)</f>
        <v>0</v>
      </c>
      <c r="S6400" t="str">
        <v>)</v>
      </c>
      <c r="T6400" t="str">
        <v>x</v>
      </c>
      <c r="U6400">
        <f>0.006165*F6400^2</f>
        <v>1.041885</v>
      </c>
      <c r="X6400" t="str">
        <v>x</v>
      </c>
      <c r="Y6400">
        <f>D6391</f>
        <v>1</v>
      </c>
      <c r="Z6400" t="str">
        <v>=</v>
      </c>
      <c r="AA6400">
        <f>IF(AA6403=0,(D6400*N6400+P6400*R6400)*U6400*Y6400,0)</f>
        <v>0</v>
      </c>
    </row>
    <row r="6401">
      <c r="A6401" t="str">
        <f>A6385</f>
        <v>Lantai Atap</v>
      </c>
      <c r="B6401">
        <f>B6385</f>
        <v>7</v>
      </c>
      <c r="C6401" t="str">
        <v>Tul Bawah Lapangan</v>
      </c>
      <c r="D6401">
        <f>VLOOKUP(D6385,'Detail Balok'!$C$10:$AU$140,25,FALSE)</f>
        <v>3</v>
      </c>
      <c r="E6401" t="str">
        <v>D</v>
      </c>
      <c r="F6401">
        <f>VLOOKUP(D6385,'Detail Balok'!$C$10:$AU$140,27,FALSE)</f>
        <v>13</v>
      </c>
      <c r="I6401" t="str">
        <v>(</v>
      </c>
      <c r="J6401">
        <f>+J6393</f>
        <v>5.575</v>
      </c>
      <c r="K6401" t="str">
        <v>+</v>
      </c>
      <c r="M6401" t="str">
        <v>=</v>
      </c>
      <c r="N6401">
        <f>J6401+L6401</f>
        <v>5.575</v>
      </c>
      <c r="O6401" t="str">
        <v>+</v>
      </c>
      <c r="P6401">
        <f>MAX(D6401-D6400,D6401-D6402)</f>
        <v>0</v>
      </c>
      <c r="Q6401" t="str">
        <v>x</v>
      </c>
      <c r="R6401">
        <f>IF(P6401&gt;0,2*(1-2*$F$19-1/2)*D6388/1000,0)</f>
        <v>0</v>
      </c>
      <c r="S6401" t="str">
        <v>)</v>
      </c>
      <c r="T6401" t="str">
        <v>x</v>
      </c>
      <c r="U6401">
        <f>0.006165*F6401^2</f>
        <v>1.041885</v>
      </c>
      <c r="X6401" t="str">
        <v>x</v>
      </c>
      <c r="Y6401">
        <f>D6391</f>
        <v>1</v>
      </c>
      <c r="Z6401" t="str">
        <v>=</v>
      </c>
      <c r="AA6401">
        <f>IF(AA6403=0,(D6401*N6401+P6401*R6401)*U6401*Y6401,0)</f>
        <v>0</v>
      </c>
    </row>
    <row r="6402">
      <c r="A6402" t="str">
        <f>A6385</f>
        <v>Lantai Atap</v>
      </c>
      <c r="B6402">
        <f>B6385</f>
        <v>7</v>
      </c>
      <c r="C6402" t="str">
        <v>Tul Bawah Tumpuan</v>
      </c>
      <c r="D6402">
        <f>VLOOKUP(D6385,'Detail Balok'!$C$10:$AU$140,28,FALSE)</f>
        <v>3</v>
      </c>
      <c r="E6402" t="str">
        <v>D</v>
      </c>
      <c r="F6402">
        <f>VLOOKUP(D6385,'Detail Balok'!$C$10:$AU$140,30,FALSE)</f>
        <v>13</v>
      </c>
      <c r="I6402" t="str">
        <v>(</v>
      </c>
      <c r="J6402">
        <f>+J6394</f>
        <v>2.7875</v>
      </c>
      <c r="K6402" t="str">
        <v>+</v>
      </c>
      <c r="L6402">
        <f>MAX(VLOOKUP(F6402,N$6:P$15,3,FALSE)/1000,2/3*D6390/1000)+F$16*F6402/1000</f>
        <v>0.156</v>
      </c>
      <c r="M6402" t="str">
        <v>=</v>
      </c>
      <c r="N6402">
        <f>J6402+L6402</f>
        <v>2.9435000000000002</v>
      </c>
      <c r="O6402" t="str">
        <v>+</v>
      </c>
      <c r="P6402">
        <f>D6402-D6401</f>
        <v>0</v>
      </c>
      <c r="Q6402" t="str">
        <v>x</v>
      </c>
      <c r="R6402">
        <f>IF(P6402&gt;0,$F$18*F6402/1000,0)</f>
        <v>0</v>
      </c>
      <c r="S6402" t="str">
        <v>)</v>
      </c>
      <c r="T6402" t="str">
        <v>x</v>
      </c>
      <c r="U6402">
        <f>0.006165*F6402^2</f>
        <v>1.041885</v>
      </c>
      <c r="X6402" t="str">
        <v>x</v>
      </c>
      <c r="Y6402">
        <f>D6391</f>
        <v>1</v>
      </c>
      <c r="Z6402" t="str">
        <v>=</v>
      </c>
      <c r="AA6402">
        <f>IF(AA6403=0,(D6402*N6402+P6402*R6402)*U6402*Y6402,0)</f>
        <v>0</v>
      </c>
    </row>
    <row r="6403">
      <c r="A6403" t="str">
        <f>A6385</f>
        <v>Lantai Atap</v>
      </c>
      <c r="B6403">
        <f>B6385</f>
        <v>7</v>
      </c>
      <c r="D6403">
        <f>IF(AND(D6400=D6401,D6401=D6402,D6400=D6402),D6400,0)</f>
        <v>3</v>
      </c>
      <c r="E6403" t="str">
        <v>D</v>
      </c>
      <c r="F6403">
        <f>IF(AND(F6400=F6401,F6400=F6402,F6401=F6402),F6400,0)</f>
        <v>13</v>
      </c>
      <c r="L6403" t="str">
        <v>Total panjang per balok</v>
      </c>
      <c r="M6403" t="str">
        <v>=</v>
      </c>
      <c r="N6403">
        <f>IF(AND(D6400=D6401,D6400=D6402,D6401=D6402,F6400=F6401,F6400=F6402,F6401=F6402),SUM(N6400:N6402),0)</f>
        <v>11.462</v>
      </c>
      <c r="O6403" t="str">
        <v>+</v>
      </c>
      <c r="P6403">
        <f>IF(N6403&gt;12,ROUNDDOWN(N6403/12,0),0)</f>
        <v>0</v>
      </c>
      <c r="Q6403" t="str">
        <v>x</v>
      </c>
      <c r="R6403">
        <f>IF(P6403&gt;0,MAX(VLOOKUP(F6403,$D$6:$G$15,3,FALSE),600),0)/1000</f>
        <v>0</v>
      </c>
      <c r="T6403" t="str">
        <v>x</v>
      </c>
      <c r="U6403">
        <f>U6402</f>
        <v>1.041885</v>
      </c>
      <c r="V6403" t="str">
        <v>x</v>
      </c>
      <c r="W6403">
        <f>D6403</f>
        <v>3</v>
      </c>
      <c r="X6403" t="str">
        <v>x</v>
      </c>
      <c r="Y6403">
        <f>Y6402</f>
        <v>1</v>
      </c>
      <c r="Z6403" t="str">
        <v>=</v>
      </c>
      <c r="AA6403">
        <f>(N6403+P6403*R6403/1000)*U6403*W6403*Y6403</f>
        <v>35.82625761</v>
      </c>
    </row>
    <row r="6405">
      <c r="A6405" t="str">
        <f>A6385</f>
        <v>Lantai Atap</v>
      </c>
      <c r="B6405">
        <f>B6385</f>
        <v>7</v>
      </c>
      <c r="C6405" t="str">
        <v>Sengkang Tumpuan</v>
      </c>
      <c r="D6405">
        <f>VLOOKUP(D6385,'Detail Balok'!$C$10:$AU$140,31,FALSE)</f>
        <v>0</v>
      </c>
      <c r="E6405" t="str">
        <v>D</v>
      </c>
      <c r="F6405">
        <f>VLOOKUP(D6385,'Detail Balok'!$C$10:$AU$140,33,FALSE)</f>
        <v>10</v>
      </c>
      <c r="G6405" t="str">
        <v>-</v>
      </c>
      <c r="H6405">
        <f>VLOOKUP(D6385,'Detail Balok'!$C$10:$AU$140,35,FALSE)</f>
        <v>100</v>
      </c>
      <c r="J6405">
        <f>(IF(D6405=0,(2*(D6386+G6386))-(F$5*8),IF(D6405=3,(2*(D6386+G6386))-(F$5*8)+(G6386-2*F$5),IF(D6405=4,(2*(D6386+G6386))-(F$5*8)+2*(G6386-2*F$5)))))/1000</f>
        <v>1.08</v>
      </c>
      <c r="K6405" t="str">
        <v>+</v>
      </c>
      <c r="L6405">
        <f>IF(D6405=0,2*MAX(6*F6405,75),(D6405-1)*2*MAX(6*F6405,75))/1000</f>
        <v>0.15</v>
      </c>
      <c r="M6405" t="str">
        <v>=</v>
      </c>
      <c r="N6405">
        <f>J6405+L6405</f>
        <v>1.23</v>
      </c>
      <c r="T6405" t="str">
        <v>x</v>
      </c>
      <c r="U6405">
        <f>0.006165*F6405^2</f>
        <v>0.6165</v>
      </c>
      <c r="V6405" t="str">
        <v>x</v>
      </c>
      <c r="W6405">
        <f>IF(D6388&gt;4*G6386,ROUND(MAX(D6388/4,2*G6386)/H6405,0)+1,ROUND(D6388/H6405,0)+1)</f>
        <v>29</v>
      </c>
      <c r="X6405" t="str">
        <v>x</v>
      </c>
      <c r="Y6405">
        <f>D6391</f>
        <v>1</v>
      </c>
      <c r="Z6405" t="str">
        <v>=</v>
      </c>
      <c r="AA6405">
        <f>N6405*U6405*W6405*Y6405</f>
        <v>21.990555</v>
      </c>
    </row>
    <row r="6406">
      <c r="A6406" t="str">
        <f>A6385</f>
        <v>Lantai Atap</v>
      </c>
      <c r="B6406">
        <f>B6385</f>
        <v>7</v>
      </c>
      <c r="C6406" t="str">
        <v>Sengkang Lapangan</v>
      </c>
      <c r="D6406">
        <f>VLOOKUP(D6385,'Detail Balok'!$C$10:$AU$140,36,FALSE)</f>
        <v>0</v>
      </c>
      <c r="E6406" t="str">
        <v>D</v>
      </c>
      <c r="F6406">
        <f>VLOOKUP(D6385,'Detail Balok'!$C$10:$AU$140,38,FALSE)</f>
        <v>10</v>
      </c>
      <c r="G6406" t="str">
        <v>-</v>
      </c>
      <c r="H6406">
        <f>VLOOKUP(D6385,'Detail Balok'!$C$10:$AU$140,40,FALSE)</f>
        <v>200</v>
      </c>
      <c r="J6406">
        <f>(IF(D6406=0,(2*(D6386+G6386))-(F$5*8),IF(D6406=3,(2*(D6386+G6386))-(F$5*8)+(G6386-2*F$5),IF(D6406=4,(2*(D6386+G6386))-(F$5*8)+2*(G6386-2*F$5)))))/1000</f>
        <v>1.08</v>
      </c>
      <c r="K6406" t="str">
        <v>+</v>
      </c>
      <c r="L6406">
        <f>IF(D6406=0,2*MAX(6*F6406,75),(D6406-1)*2*MAX(6*F6406,75))/1000</f>
        <v>0.15</v>
      </c>
      <c r="M6406" t="str">
        <v>=</v>
      </c>
      <c r="N6406">
        <f>J6406+L6406</f>
        <v>1.23</v>
      </c>
      <c r="T6406" t="str">
        <v>x</v>
      </c>
      <c r="U6406">
        <f>0.006165*F6406^2</f>
        <v>0.6165</v>
      </c>
      <c r="V6406" t="str">
        <v>x</v>
      </c>
      <c r="W6406">
        <f>IF(D6388-MAX(D6388/4,2*G6386)*2&gt;0,ROUND((D6388-MAX(D6388/4,2*G6386)*2)/H6406,0),0)</f>
        <v>28</v>
      </c>
      <c r="X6406" t="str">
        <v>x</v>
      </c>
      <c r="Y6406">
        <f>D6391</f>
        <v>1</v>
      </c>
      <c r="Z6406" t="str">
        <v>=</v>
      </c>
      <c r="AA6406">
        <f>N6406*U6406*W6406*Y6406</f>
        <v>21.23226</v>
      </c>
    </row>
    <row r="6407">
      <c r="A6407" t="str">
        <f>A6385</f>
        <v>Lantai Atap</v>
      </c>
      <c r="B6407">
        <f>B6385</f>
        <v>7</v>
      </c>
      <c r="C6407" t="str">
        <v>Sengkang Tumpuan</v>
      </c>
      <c r="D6407">
        <f>VLOOKUP(D6385,'Detail Balok'!$C$10:$AU$140,41,FALSE)</f>
        <v>0</v>
      </c>
      <c r="E6407" t="str">
        <v>D</v>
      </c>
      <c r="F6407">
        <f>VLOOKUP(D6385,'Detail Balok'!$C$10:$AU$140,43,FALSE)</f>
        <v>10</v>
      </c>
      <c r="G6407" t="str">
        <v>-</v>
      </c>
      <c r="H6407">
        <f>VLOOKUP(D6385,'Detail Balok'!$C$10:$AU$140,45,FALSE)</f>
        <v>100</v>
      </c>
      <c r="J6407">
        <f>(IF(D6407=0,(2*(D6386+G6386))-(F$5*8),IF(D6407=3,(2*(D6386+G6386))-(F$5*8)+(G6386-2*F$5),IF(D6407=4,(2*(D6386+G6386))-(F$5*8)+2*(G6386-2*F$5)))))/1000</f>
        <v>1.08</v>
      </c>
      <c r="K6407" t="str">
        <v>+</v>
      </c>
      <c r="L6407">
        <f>IF(D6407=0,2*MAX(6*F6407,75),(D6407-1)*2*MAX(6*F6407,75))/1000</f>
        <v>0.15</v>
      </c>
      <c r="M6407" t="str">
        <v>=</v>
      </c>
      <c r="N6407">
        <f>J6407+L6407</f>
        <v>1.23</v>
      </c>
      <c r="T6407" t="str">
        <v>x</v>
      </c>
      <c r="U6407">
        <f>0.006165*F6407^2</f>
        <v>0.6165</v>
      </c>
      <c r="V6407" t="str">
        <v>x</v>
      </c>
      <c r="W6407">
        <f>IF(D6388&gt;4*G6386,ROUND(MAX(D6388/4,2*G6386)/H6407,0)+1,0)</f>
        <v>29</v>
      </c>
      <c r="X6407" t="str">
        <v>x</v>
      </c>
      <c r="Y6407">
        <f>D6391</f>
        <v>1</v>
      </c>
      <c r="Z6407" t="str">
        <v>=</v>
      </c>
      <c r="AA6407">
        <f>N6407*U6407*W6407*Y6407</f>
        <v>21.990555</v>
      </c>
    </row>
    <row r="6409">
      <c r="A6409" t="str">
        <f>A6385</f>
        <v>Lantai Atap</v>
      </c>
      <c r="B6409">
        <f>B6385</f>
        <v>7</v>
      </c>
      <c r="C6409" t="str">
        <v>Kait Horizontal Tump.</v>
      </c>
      <c r="D6409">
        <f>VLOOKUP(D6385,'Detail Balok'!$C$10:$BJ$140,46,FALSE)</f>
        <v>0</v>
      </c>
      <c r="E6409" t="str">
        <v>D</v>
      </c>
      <c r="F6409">
        <f>VLOOKUP(D6385,'Detail Balok'!$C$10:$BJ$140,48,FALSE)</f>
        <v>0</v>
      </c>
      <c r="G6409" t="str">
        <v>-</v>
      </c>
      <c r="H6409">
        <f>VLOOKUP(D6385,'Detail Balok'!$C$10:$BJ$140,50,FALSE)</f>
        <v>100</v>
      </c>
      <c r="J6409">
        <f>(D6386-2*F$5)/1000</f>
        <v>0.17</v>
      </c>
      <c r="K6409" t="str">
        <v>+</v>
      </c>
      <c r="L6409">
        <f>IF(D6409=0,2*MAX(6*F6409,75),(D6409-1)*2*MAX(6*F6409,75))/1000</f>
        <v>0.15</v>
      </c>
      <c r="M6409" t="str">
        <v>=</v>
      </c>
      <c r="N6409">
        <f>J6409+L6409</f>
        <v>0.32</v>
      </c>
      <c r="T6409" t="str">
        <v>x</v>
      </c>
      <c r="U6409">
        <f>0.006165*F6409^2</f>
        <v>0</v>
      </c>
      <c r="V6409" t="str">
        <v>x</v>
      </c>
      <c r="W6409">
        <f>W6405</f>
        <v>29</v>
      </c>
      <c r="X6409" t="str">
        <v>x</v>
      </c>
      <c r="Y6409">
        <f>D6395</f>
        <v>3</v>
      </c>
      <c r="Z6409" t="str">
        <v>=</v>
      </c>
      <c r="AA6409">
        <f>N6409*U6409*W6409*Y6409</f>
        <v>0</v>
      </c>
    </row>
    <row r="6410">
      <c r="A6410" t="str">
        <f>A6385</f>
        <v>Lantai Atap</v>
      </c>
      <c r="B6410">
        <f>B6385</f>
        <v>7</v>
      </c>
      <c r="C6410" t="str">
        <v>Kait Horizontal Lap.</v>
      </c>
      <c r="D6410">
        <f>VLOOKUP(D6385,'Detail Balok'!$C$10:$BJ$140,51,FALSE)</f>
        <v>0</v>
      </c>
      <c r="E6410" t="str">
        <v>D</v>
      </c>
      <c r="F6410">
        <f>VLOOKUP(D6385,'Detail Balok'!$C$10:$BJ$140,53,FALSE)</f>
        <v>0</v>
      </c>
      <c r="G6410" t="str">
        <v>-</v>
      </c>
      <c r="H6410">
        <f>VLOOKUP(D6385,'Detail Balok'!$C$10:$BJ$140,55,FALSE)</f>
        <v>100</v>
      </c>
      <c r="J6410">
        <f>(D6386-2*F$5)/1000</f>
        <v>0.17</v>
      </c>
      <c r="K6410" t="str">
        <v>+</v>
      </c>
      <c r="L6410">
        <f>IF(D6410=0,2*MAX(6*F6410,75),(D6410-1)*2*MAX(6*F6410,75))/1000</f>
        <v>0.15</v>
      </c>
      <c r="M6410" t="str">
        <v>=</v>
      </c>
      <c r="N6410">
        <f>J6410+L6410</f>
        <v>0.32</v>
      </c>
      <c r="T6410" t="str">
        <v>x</v>
      </c>
      <c r="U6410">
        <f>0.006165*F6410^2</f>
        <v>0</v>
      </c>
      <c r="V6410" t="str">
        <v>x</v>
      </c>
      <c r="W6410">
        <f>W6406</f>
        <v>28</v>
      </c>
      <c r="X6410" t="str">
        <v>x</v>
      </c>
      <c r="Y6410">
        <f>D6395</f>
        <v>3</v>
      </c>
      <c r="Z6410" t="str">
        <v>=</v>
      </c>
      <c r="AA6410">
        <f>N6410*U6410*W6410*Y6410</f>
        <v>0</v>
      </c>
    </row>
    <row r="6411">
      <c r="A6411" t="str">
        <f>A6385</f>
        <v>Lantai Atap</v>
      </c>
      <c r="B6411">
        <f>B6385</f>
        <v>7</v>
      </c>
      <c r="C6411" t="str">
        <v>Kait Horizontal Tump.</v>
      </c>
      <c r="D6411">
        <f>VLOOKUP(D6385,'Detail Balok'!$C$10:$BJ$140,56,FALSE)</f>
        <v>0</v>
      </c>
      <c r="E6411" t="str">
        <v>D</v>
      </c>
      <c r="F6411">
        <f>VLOOKUP(D6385,'Detail Balok'!$C$10:$BJ$140,58,FALSE)</f>
        <v>0</v>
      </c>
      <c r="G6411" t="str">
        <v>-</v>
      </c>
      <c r="H6411">
        <f>VLOOKUP(D6385,'Detail Balok'!$C$10:$BJ$140,60,FALSE)</f>
        <v>100</v>
      </c>
      <c r="J6411">
        <f>(D6386-2*F$5)/1000</f>
        <v>0.17</v>
      </c>
      <c r="K6411" t="str">
        <v>+</v>
      </c>
      <c r="L6411">
        <f>IF(D6411=0,2*MAX(6*F6411,75),(D6411-1)*2*MAX(6*F6411,75))/1000</f>
        <v>0.15</v>
      </c>
      <c r="M6411" t="str">
        <v>=</v>
      </c>
      <c r="N6411">
        <f>J6411+L6411</f>
        <v>0.32</v>
      </c>
      <c r="T6411" t="str">
        <v>x</v>
      </c>
      <c r="U6411">
        <f>0.006165*F6411^2</f>
        <v>0</v>
      </c>
      <c r="V6411" t="str">
        <v>x</v>
      </c>
      <c r="W6411">
        <f>W6407</f>
        <v>29</v>
      </c>
      <c r="X6411" t="str">
        <v>x</v>
      </c>
      <c r="Y6411">
        <f>D6395</f>
        <v>3</v>
      </c>
      <c r="Z6411" t="str">
        <v>=</v>
      </c>
      <c r="AA6411">
        <f>N6411*U6411*W6411*Y6411</f>
        <v>0</v>
      </c>
    </row>
    <row r="6415">
      <c r="A6415" t="str">
        <f>A6385</f>
        <v>Lantai Atap</v>
      </c>
      <c r="B6415">
        <f>B6385+1</f>
        <v>8</v>
      </c>
      <c r="C6415" t="str">
        <f>CONCATENATE(A6415," no. ",B6415)</f>
        <v>Lantai Atap no. 8</v>
      </c>
      <c r="D6415" t="str">
        <f>VLOOKUP(C6415,'Data Panjang Balok'!$C$9:$N$254,2,FALSE)</f>
        <v>B24-1</v>
      </c>
    </row>
    <row r="6416">
      <c r="C6416" t="str">
        <v>Dimensi</v>
      </c>
      <c r="D6416">
        <f>VLOOKUP(D6415,'Detail Balok'!$C$10:$AU$140,2,FALSE)</f>
        <v>200</v>
      </c>
      <c r="F6416" t="str">
        <v>x</v>
      </c>
      <c r="G6416">
        <f>VLOOKUP(D6415,'Detail Balok'!$C$10:$AU$140,3,FALSE)</f>
        <v>400</v>
      </c>
    </row>
    <row r="6417">
      <c r="C6417" t="str">
        <v>Panjang as ke as</v>
      </c>
      <c r="D6417">
        <f>VLOOKUP(C6415,'Data Panjang Balok'!$C$9:$N$254,4,FALSE)</f>
        <v>3925</v>
      </c>
    </row>
    <row r="6418">
      <c r="C6418" t="str">
        <v>Panjang netto</v>
      </c>
      <c r="D6418">
        <f>VLOOKUP(C6415,'Data Panjang Balok'!$C$9:$N$254,7,FALSE)</f>
        <v>3925</v>
      </c>
    </row>
    <row r="6419">
      <c r="C6419" t="str">
        <v>Kolom / balok kiri</v>
      </c>
      <c r="D6419">
        <f>VLOOKUP(C6415,'Data Panjang Balok'!$C$9:$N$254,9,FALSE)</f>
        <v>0</v>
      </c>
    </row>
    <row r="6420">
      <c r="C6420" t="str">
        <v>Kolom / balok kanan</v>
      </c>
      <c r="D6420">
        <f>VLOOKUP(C6415,'Data Panjang Balok'!$C$9:$N$254,10,FALSE)</f>
        <v>0</v>
      </c>
    </row>
    <row r="6421">
      <c r="C6421" t="str">
        <v>Jumlah</v>
      </c>
      <c r="D6421">
        <f>VLOOKUP(C6415,'Data Panjang Balok'!$C$9:$N$254,3,FALSE)</f>
        <v>1</v>
      </c>
    </row>
    <row r="6422">
      <c r="A6422" t="str">
        <f>A6415</f>
        <v>Lantai Atap</v>
      </c>
      <c r="B6422">
        <f>B6415</f>
        <v>8</v>
      </c>
      <c r="C6422" t="str">
        <v>Tul Atas Tumpuan</v>
      </c>
      <c r="D6422">
        <f>VLOOKUP(D6415,'Detail Balok'!$C$10:$AU$140,4,FALSE)</f>
        <v>3</v>
      </c>
      <c r="E6422" t="str">
        <v>D</v>
      </c>
      <c r="F6422">
        <f>VLOOKUP(D6415,'Detail Balok'!$C$10:$AU$140,6,FALSE)</f>
        <v>13</v>
      </c>
      <c r="I6422" t="str">
        <v>(</v>
      </c>
      <c r="J6422">
        <f>+D6417/4/1000</f>
        <v>0.98125</v>
      </c>
      <c r="K6422" t="str">
        <v>+</v>
      </c>
      <c r="L6422">
        <f>MAX(VLOOKUP(F6422,N$6:P$15,3,FALSE)/1000,2/3*D6419/1000)+F$16*F6422/1000</f>
        <v>0.156</v>
      </c>
      <c r="M6422" t="str">
        <v>=</v>
      </c>
      <c r="N6422">
        <f>J6422+L6422</f>
        <v>1.1372499999999999</v>
      </c>
      <c r="O6422" t="str">
        <v>+</v>
      </c>
      <c r="P6422">
        <f>D6422-D6423</f>
        <v>0</v>
      </c>
      <c r="Q6422" t="str">
        <v>x</v>
      </c>
      <c r="R6422">
        <f>IF(P6422&gt;0,$F$18*F6422/1000,0)</f>
        <v>0</v>
      </c>
      <c r="S6422" t="str">
        <v>)</v>
      </c>
      <c r="T6422" t="str">
        <v>x</v>
      </c>
      <c r="U6422">
        <f>0.006165*F6422^2</f>
        <v>1.041885</v>
      </c>
      <c r="X6422" t="str">
        <v>x</v>
      </c>
      <c r="Y6422">
        <f>D6421</f>
        <v>1</v>
      </c>
      <c r="Z6422" t="str">
        <v>=</v>
      </c>
      <c r="AA6422">
        <f>IF(AA6425=0,(D6422*N6422+P6422*R6422)*U6422*Y6422,0)</f>
        <v>0</v>
      </c>
    </row>
    <row r="6423">
      <c r="A6423" t="str">
        <f>A6415</f>
        <v>Lantai Atap</v>
      </c>
      <c r="B6423">
        <f>B6415</f>
        <v>8</v>
      </c>
      <c r="C6423" t="str">
        <v>Tul Atas Lapangan</v>
      </c>
      <c r="D6423">
        <f>VLOOKUP(D6415,'Detail Balok'!$C$10:$AU$140,7,FALSE)</f>
        <v>3</v>
      </c>
      <c r="E6423" t="str">
        <v>D</v>
      </c>
      <c r="F6423">
        <f>VLOOKUP(D6415,'Detail Balok'!$C$10:$AU$140,9,FALSE)</f>
        <v>13</v>
      </c>
      <c r="I6423" t="str">
        <v>(</v>
      </c>
      <c r="J6423">
        <f>+D6417/2/1000</f>
        <v>1.9625</v>
      </c>
      <c r="K6423" t="str">
        <v>+</v>
      </c>
      <c r="M6423" t="str">
        <v>=</v>
      </c>
      <c r="N6423">
        <f>J6423+L6423</f>
        <v>1.9625</v>
      </c>
      <c r="O6423" t="str">
        <v>+</v>
      </c>
      <c r="P6423">
        <f>MAX(D6423-D6422,D6423-D6424)</f>
        <v>0</v>
      </c>
      <c r="Q6423" t="str">
        <v>x</v>
      </c>
      <c r="R6423">
        <f>IF(P6423&gt;0,2*(1-2*$F$19-1/2)*D6418/1000,0)</f>
        <v>0</v>
      </c>
      <c r="S6423" t="str">
        <v>)</v>
      </c>
      <c r="T6423" t="str">
        <v>x</v>
      </c>
      <c r="U6423">
        <f>0.006165*F6423^2</f>
        <v>1.041885</v>
      </c>
      <c r="X6423" t="str">
        <v>x</v>
      </c>
      <c r="Y6423">
        <f>D6421</f>
        <v>1</v>
      </c>
      <c r="Z6423" t="str">
        <v>=</v>
      </c>
      <c r="AA6423">
        <f>IF(AA6425=0,(D6423*N6423+P6423*R6423)*U6423*Y6423,0)</f>
        <v>0</v>
      </c>
    </row>
    <row r="6424">
      <c r="A6424" t="str">
        <f>A6415</f>
        <v>Lantai Atap</v>
      </c>
      <c r="B6424">
        <f>B6415</f>
        <v>8</v>
      </c>
      <c r="C6424" t="str">
        <v>Tul Atas Tumpuan</v>
      </c>
      <c r="D6424">
        <f>VLOOKUP(D6415,'Detail Balok'!$C$10:$AU$140,10,FALSE)</f>
        <v>3</v>
      </c>
      <c r="E6424" t="str">
        <v>D</v>
      </c>
      <c r="F6424">
        <f>VLOOKUP(D6415,'Detail Balok'!$C$10:$AU$140,12,FALSE)</f>
        <v>13</v>
      </c>
      <c r="I6424" t="str">
        <v>(</v>
      </c>
      <c r="J6424">
        <f>+D6417/4/1000</f>
        <v>0.98125</v>
      </c>
      <c r="K6424" t="str">
        <v>+</v>
      </c>
      <c r="L6424">
        <f>MAX(VLOOKUP(F6424,N$6:P$15,3,FALSE)/1000,2/3*D6419/1000)+F$16*F6424/1000</f>
        <v>0.156</v>
      </c>
      <c r="M6424" t="str">
        <v>=</v>
      </c>
      <c r="N6424">
        <f>J6424+L6424</f>
        <v>1.1372499999999999</v>
      </c>
      <c r="O6424" t="str">
        <v>+</v>
      </c>
      <c r="P6424">
        <f>D6424-D6423</f>
        <v>0</v>
      </c>
      <c r="Q6424" t="str">
        <v>x</v>
      </c>
      <c r="R6424">
        <f>IF(P6424&gt;0,$F$18*F6424/1000,0)</f>
        <v>0</v>
      </c>
      <c r="S6424" t="str">
        <v>)</v>
      </c>
      <c r="T6424" t="str">
        <v>x</v>
      </c>
      <c r="U6424">
        <f>0.006165*F6424^2</f>
        <v>1.041885</v>
      </c>
      <c r="X6424" t="str">
        <v>x</v>
      </c>
      <c r="Y6424">
        <f>D6421</f>
        <v>1</v>
      </c>
      <c r="Z6424" t="str">
        <v>=</v>
      </c>
      <c r="AA6424">
        <f>IF(AA6425=0,(D6424*N6424+P6424*R6424)*U6424*Y6424,0)</f>
        <v>0</v>
      </c>
    </row>
    <row r="6425">
      <c r="A6425" t="str">
        <f>A6415</f>
        <v>Lantai Atap</v>
      </c>
      <c r="B6425">
        <f>B6415</f>
        <v>8</v>
      </c>
      <c r="D6425">
        <f>IF(AND(D6422=D6423,D6423=D6424,D6422=D6424),D6422,0)</f>
        <v>3</v>
      </c>
      <c r="E6425" t="str">
        <v>D</v>
      </c>
      <c r="F6425">
        <f>IF(AND(F6422=F6423,F6422=F6424,F6423=F6424),F6422,0)</f>
        <v>13</v>
      </c>
      <c r="L6425" t="str">
        <v>Total panjang per balok</v>
      </c>
      <c r="M6425" t="str">
        <v>=</v>
      </c>
      <c r="N6425">
        <f>IF(AND(D6422=D6423,D6422=D6424,D6423=D6424,F6422=F6423,F6422=F6424,F6423=F6424),SUM(N6422:N6424),0)</f>
        <v>4.237</v>
      </c>
      <c r="O6425" t="str">
        <v>+</v>
      </c>
      <c r="P6425">
        <f>IF(N6425&gt;12,ROUNDDOWN(N6425/12,0),0)</f>
        <v>0</v>
      </c>
      <c r="Q6425" t="str">
        <v>x</v>
      </c>
      <c r="R6425">
        <f>IF(P6425&gt;0,MAX(VLOOKUP(F6425,$D$6:$G$15,3,FALSE),600),0)/1000</f>
        <v>0</v>
      </c>
      <c r="T6425" t="str">
        <v>x</v>
      </c>
      <c r="U6425">
        <f>U6424</f>
        <v>1.041885</v>
      </c>
      <c r="V6425" t="str">
        <v>x</v>
      </c>
      <c r="W6425">
        <f>D6425</f>
        <v>3</v>
      </c>
      <c r="X6425" t="str">
        <v>x</v>
      </c>
      <c r="Y6425">
        <f>Y6424</f>
        <v>1</v>
      </c>
      <c r="Z6425" t="str">
        <v>=</v>
      </c>
      <c r="AA6425">
        <f>(N6425+P6425*R6425/1000)*U6425*W6425*Y6425</f>
        <v>13.243400235</v>
      </c>
    </row>
    <row r="6427">
      <c r="A6427" t="str">
        <f>A6415</f>
        <v>Lantai Atap</v>
      </c>
      <c r="B6427">
        <f>B6415</f>
        <v>8</v>
      </c>
      <c r="C6427" t="str">
        <v>Tul Peminggang</v>
      </c>
      <c r="D6427">
        <f>VLOOKUP(D6415,'Detail Balok'!$C$10:$AU$140,13,FALSE)</f>
        <v>0</v>
      </c>
      <c r="E6427" t="str">
        <v>D</v>
      </c>
      <c r="F6427">
        <f>VLOOKUP(D6415,'Detail Balok'!$C$10:$AU$140,15,FALSE)</f>
        <v>8</v>
      </c>
      <c r="J6427">
        <f>+D6417/1000</f>
        <v>3.925</v>
      </c>
      <c r="K6427" t="str">
        <v>+</v>
      </c>
      <c r="L6427">
        <f>2*$F$16*F6427/1000</f>
        <v>0.192</v>
      </c>
      <c r="M6427" t="str">
        <v>=</v>
      </c>
      <c r="N6427">
        <f>J6427+L6427</f>
        <v>4.117</v>
      </c>
      <c r="O6427" t="str">
        <v>+</v>
      </c>
      <c r="P6427">
        <f>IF(N6427&gt;12,ROUNDDOWN(N6427/12,0),0)</f>
        <v>0</v>
      </c>
      <c r="Q6427" t="str">
        <v>x</v>
      </c>
      <c r="R6427">
        <f>IF(P6427&gt;0,MAX(VLOOKUP(F6427,$D$6:$G$15,3,FALSE),600),0)/1000</f>
        <v>0</v>
      </c>
      <c r="T6427" t="str">
        <v>x</v>
      </c>
      <c r="U6427">
        <f>0.006165*F6427^2</f>
        <v>0.39456</v>
      </c>
      <c r="V6427" t="str">
        <v>x</v>
      </c>
      <c r="W6427">
        <f>+D6427</f>
        <v>0</v>
      </c>
      <c r="X6427" t="str">
        <v>x</v>
      </c>
      <c r="Y6427">
        <f>D6421</f>
        <v>1</v>
      </c>
      <c r="Z6427" t="str">
        <v>=</v>
      </c>
      <c r="AA6427">
        <f>(N6427+P6427*R6427/1000)*U6427*W6427*Y6427</f>
        <v>0</v>
      </c>
    </row>
    <row r="6430">
      <c r="A6430" t="str">
        <f>A6415</f>
        <v>Lantai Atap</v>
      </c>
      <c r="B6430">
        <f>B6415</f>
        <v>8</v>
      </c>
      <c r="C6430" t="str">
        <v>Tul Bawah Tumpuan</v>
      </c>
      <c r="D6430">
        <f>VLOOKUP(D6415,'Detail Balok'!$C$10:$AU$140,22,FALSE)</f>
        <v>3</v>
      </c>
      <c r="E6430" t="str">
        <v>D</v>
      </c>
      <c r="F6430">
        <f>VLOOKUP(D6415,'Detail Balok'!$C$10:$AU$140,24,FALSE)</f>
        <v>13</v>
      </c>
      <c r="I6430" t="str">
        <v>(</v>
      </c>
      <c r="J6430">
        <f>+J6422</f>
        <v>0.98125</v>
      </c>
      <c r="K6430" t="str">
        <v>+</v>
      </c>
      <c r="L6430">
        <f>MAX(VLOOKUP(F6430,N$6:P$15,3,FALSE)/1000,2/3*D6420/1000)+F$16*F6430/1000</f>
        <v>0.156</v>
      </c>
      <c r="M6430" t="str">
        <v>=</v>
      </c>
      <c r="N6430">
        <f>J6430+L6430</f>
        <v>1.1372499999999999</v>
      </c>
      <c r="O6430" t="str">
        <v>+</v>
      </c>
      <c r="P6430">
        <f>D6430-D6431</f>
        <v>0</v>
      </c>
      <c r="Q6430" t="str">
        <v>x</v>
      </c>
      <c r="R6430">
        <f>IF(P6430&gt;0,$F$18*F6430/1000,0)</f>
        <v>0</v>
      </c>
      <c r="S6430" t="str">
        <v>)</v>
      </c>
      <c r="T6430" t="str">
        <v>x</v>
      </c>
      <c r="U6430">
        <f>0.006165*F6430^2</f>
        <v>1.041885</v>
      </c>
      <c r="X6430" t="str">
        <v>x</v>
      </c>
      <c r="Y6430">
        <f>D6421</f>
        <v>1</v>
      </c>
      <c r="Z6430" t="str">
        <v>=</v>
      </c>
      <c r="AA6430">
        <f>IF(AA6433=0,(D6430*N6430+P6430*R6430)*U6430*Y6430,0)</f>
        <v>0</v>
      </c>
    </row>
    <row r="6431">
      <c r="A6431" t="str">
        <f>A6415</f>
        <v>Lantai Atap</v>
      </c>
      <c r="B6431">
        <f>B6415</f>
        <v>8</v>
      </c>
      <c r="C6431" t="str">
        <v>Tul Bawah Lapangan</v>
      </c>
      <c r="D6431">
        <f>VLOOKUP(D6415,'Detail Balok'!$C$10:$AU$140,25,FALSE)</f>
        <v>3</v>
      </c>
      <c r="E6431" t="str">
        <v>D</v>
      </c>
      <c r="F6431">
        <f>VLOOKUP(D6415,'Detail Balok'!$C$10:$AU$140,27,FALSE)</f>
        <v>13</v>
      </c>
      <c r="I6431" t="str">
        <v>(</v>
      </c>
      <c r="J6431">
        <f>+J6423</f>
        <v>1.9625</v>
      </c>
      <c r="K6431" t="str">
        <v>+</v>
      </c>
      <c r="M6431" t="str">
        <v>=</v>
      </c>
      <c r="N6431">
        <f>J6431+L6431</f>
        <v>1.9625</v>
      </c>
      <c r="O6431" t="str">
        <v>+</v>
      </c>
      <c r="P6431">
        <f>MAX(D6431-D6430,D6431-D6432)</f>
        <v>0</v>
      </c>
      <c r="Q6431" t="str">
        <v>x</v>
      </c>
      <c r="R6431">
        <f>IF(P6431&gt;0,2*(1-2*$F$19-1/2)*D6418/1000,0)</f>
        <v>0</v>
      </c>
      <c r="S6431" t="str">
        <v>)</v>
      </c>
      <c r="T6431" t="str">
        <v>x</v>
      </c>
      <c r="U6431">
        <f>0.006165*F6431^2</f>
        <v>1.041885</v>
      </c>
      <c r="X6431" t="str">
        <v>x</v>
      </c>
      <c r="Y6431">
        <f>D6421</f>
        <v>1</v>
      </c>
      <c r="Z6431" t="str">
        <v>=</v>
      </c>
      <c r="AA6431">
        <f>IF(AA6433=0,(D6431*N6431+P6431*R6431)*U6431*Y6431,0)</f>
        <v>0</v>
      </c>
    </row>
    <row r="6432">
      <c r="A6432" t="str">
        <f>A6415</f>
        <v>Lantai Atap</v>
      </c>
      <c r="B6432">
        <f>B6415</f>
        <v>8</v>
      </c>
      <c r="C6432" t="str">
        <v>Tul Bawah Tumpuan</v>
      </c>
      <c r="D6432">
        <f>VLOOKUP(D6415,'Detail Balok'!$C$10:$AU$140,28,FALSE)</f>
        <v>3</v>
      </c>
      <c r="E6432" t="str">
        <v>D</v>
      </c>
      <c r="F6432">
        <f>VLOOKUP(D6415,'Detail Balok'!$C$10:$AU$140,30,FALSE)</f>
        <v>13</v>
      </c>
      <c r="I6432" t="str">
        <v>(</v>
      </c>
      <c r="J6432">
        <f>+J6424</f>
        <v>0.98125</v>
      </c>
      <c r="K6432" t="str">
        <v>+</v>
      </c>
      <c r="L6432">
        <f>MAX(VLOOKUP(F6432,N$6:P$15,3,FALSE)/1000,2/3*D6420/1000)+F$16*F6432/1000</f>
        <v>0.156</v>
      </c>
      <c r="M6432" t="str">
        <v>=</v>
      </c>
      <c r="N6432">
        <f>J6432+L6432</f>
        <v>1.1372499999999999</v>
      </c>
      <c r="O6432" t="str">
        <v>+</v>
      </c>
      <c r="P6432">
        <f>D6432-D6431</f>
        <v>0</v>
      </c>
      <c r="Q6432" t="str">
        <v>x</v>
      </c>
      <c r="R6432">
        <f>IF(P6432&gt;0,$F$18*F6432/1000,0)</f>
        <v>0</v>
      </c>
      <c r="S6432" t="str">
        <v>)</v>
      </c>
      <c r="T6432" t="str">
        <v>x</v>
      </c>
      <c r="U6432">
        <f>0.006165*F6432^2</f>
        <v>1.041885</v>
      </c>
      <c r="X6432" t="str">
        <v>x</v>
      </c>
      <c r="Y6432">
        <f>D6421</f>
        <v>1</v>
      </c>
      <c r="Z6432" t="str">
        <v>=</v>
      </c>
      <c r="AA6432">
        <f>IF(AA6433=0,(D6432*N6432+P6432*R6432)*U6432*Y6432,0)</f>
        <v>0</v>
      </c>
    </row>
    <row r="6433">
      <c r="A6433" t="str">
        <f>A6415</f>
        <v>Lantai Atap</v>
      </c>
      <c r="B6433">
        <f>B6415</f>
        <v>8</v>
      </c>
      <c r="D6433">
        <f>IF(AND(D6430=D6431,D6431=D6432,D6430=D6432),D6430,0)</f>
        <v>3</v>
      </c>
      <c r="E6433" t="str">
        <v>D</v>
      </c>
      <c r="F6433">
        <f>IF(AND(F6430=F6431,F6430=F6432,F6431=F6432),F6430,0)</f>
        <v>13</v>
      </c>
      <c r="L6433" t="str">
        <v>Total panjang per balok</v>
      </c>
      <c r="M6433" t="str">
        <v>=</v>
      </c>
      <c r="N6433">
        <f>IF(AND(D6430=D6431,D6430=D6432,D6431=D6432,F6430=F6431,F6430=F6432,F6431=F6432),SUM(N6430:N6432),0)</f>
        <v>4.237</v>
      </c>
      <c r="O6433" t="str">
        <v>+</v>
      </c>
      <c r="P6433">
        <f>IF(N6433&gt;12,ROUNDDOWN(N6433/12,0),0)</f>
        <v>0</v>
      </c>
      <c r="Q6433" t="str">
        <v>x</v>
      </c>
      <c r="R6433">
        <f>IF(P6433&gt;0,MAX(VLOOKUP(F6433,$D$6:$G$15,3,FALSE),600),0)/1000</f>
        <v>0</v>
      </c>
      <c r="T6433" t="str">
        <v>x</v>
      </c>
      <c r="U6433">
        <f>U6432</f>
        <v>1.041885</v>
      </c>
      <c r="V6433" t="str">
        <v>x</v>
      </c>
      <c r="W6433">
        <f>D6433</f>
        <v>3</v>
      </c>
      <c r="X6433" t="str">
        <v>x</v>
      </c>
      <c r="Y6433">
        <f>Y6432</f>
        <v>1</v>
      </c>
      <c r="Z6433" t="str">
        <v>=</v>
      </c>
      <c r="AA6433">
        <f>(N6433+P6433*R6433/1000)*U6433*W6433*Y6433</f>
        <v>13.243400235</v>
      </c>
    </row>
    <row r="6435">
      <c r="A6435" t="str">
        <f>A6415</f>
        <v>Lantai Atap</v>
      </c>
      <c r="B6435">
        <f>B6415</f>
        <v>8</v>
      </c>
      <c r="C6435" t="str">
        <v>Sengkang Tumpuan</v>
      </c>
      <c r="D6435">
        <f>VLOOKUP(D6415,'Detail Balok'!$C$10:$AU$140,31,FALSE)</f>
        <v>0</v>
      </c>
      <c r="E6435" t="str">
        <v>D</v>
      </c>
      <c r="F6435">
        <f>VLOOKUP(D6415,'Detail Balok'!$C$10:$AU$140,33,FALSE)</f>
        <v>10</v>
      </c>
      <c r="G6435" t="str">
        <v>-</v>
      </c>
      <c r="H6435">
        <f>VLOOKUP(D6415,'Detail Balok'!$C$10:$AU$140,35,FALSE)</f>
        <v>100</v>
      </c>
      <c r="J6435">
        <f>(IF(D6435=0,(2*(D6416+G6416))-(F$5*8),IF(D6435=3,(2*(D6416+G6416))-(F$5*8)+(G6416-2*F$5),IF(D6435=4,(2*(D6416+G6416))-(F$5*8)+2*(G6416-2*F$5)))))/1000</f>
        <v>0.88</v>
      </c>
      <c r="K6435" t="str">
        <v>+</v>
      </c>
      <c r="L6435">
        <f>IF(D6435=0,2*MAX(6*F6435,75),(D6435-1)*2*MAX(6*F6435,75))/1000</f>
        <v>0.15</v>
      </c>
      <c r="M6435" t="str">
        <v>=</v>
      </c>
      <c r="N6435">
        <f>J6435+L6435</f>
        <v>1.03</v>
      </c>
      <c r="T6435" t="str">
        <v>x</v>
      </c>
      <c r="U6435">
        <f>0.006165*F6435^2</f>
        <v>0.6165</v>
      </c>
      <c r="V6435" t="str">
        <v>x</v>
      </c>
      <c r="W6435">
        <f>IF(D6418&gt;4*G6416,ROUND(MAX(D6418/4,2*G6416)/H6435,0)+1,ROUND(D6418/H6435,0)+1)</f>
        <v>11</v>
      </c>
      <c r="X6435" t="str">
        <v>x</v>
      </c>
      <c r="Y6435">
        <f>D6421</f>
        <v>1</v>
      </c>
      <c r="Z6435" t="str">
        <v>=</v>
      </c>
      <c r="AA6435">
        <f>N6435*U6435*W6435*Y6435</f>
        <v>6.984945000000001</v>
      </c>
    </row>
    <row r="6436">
      <c r="A6436" t="str">
        <f>A6415</f>
        <v>Lantai Atap</v>
      </c>
      <c r="B6436">
        <f>B6415</f>
        <v>8</v>
      </c>
      <c r="C6436" t="str">
        <v>Sengkang Lapangan</v>
      </c>
      <c r="D6436">
        <f>VLOOKUP(D6415,'Detail Balok'!$C$10:$AU$140,36,FALSE)</f>
        <v>0</v>
      </c>
      <c r="E6436" t="str">
        <v>D</v>
      </c>
      <c r="F6436">
        <f>VLOOKUP(D6415,'Detail Balok'!$C$10:$AU$140,38,FALSE)</f>
        <v>10</v>
      </c>
      <c r="G6436" t="str">
        <v>-</v>
      </c>
      <c r="H6436">
        <f>VLOOKUP(D6415,'Detail Balok'!$C$10:$AU$140,40,FALSE)</f>
        <v>200</v>
      </c>
      <c r="J6436">
        <f>(IF(D6436=0,(2*(D6416+G6416))-(F$5*8),IF(D6436=3,(2*(D6416+G6416))-(F$5*8)+(G6416-2*F$5),IF(D6436=4,(2*(D6416+G6416))-(F$5*8)+2*(G6416-2*F$5)))))/1000</f>
        <v>0.88</v>
      </c>
      <c r="K6436" t="str">
        <v>+</v>
      </c>
      <c r="L6436">
        <f>IF(D6436=0,2*MAX(6*F6436,75),(D6436-1)*2*MAX(6*F6436,75))/1000</f>
        <v>0.15</v>
      </c>
      <c r="M6436" t="str">
        <v>=</v>
      </c>
      <c r="N6436">
        <f>J6436+L6436</f>
        <v>1.03</v>
      </c>
      <c r="T6436" t="str">
        <v>x</v>
      </c>
      <c r="U6436">
        <f>0.006165*F6436^2</f>
        <v>0.6165</v>
      </c>
      <c r="V6436" t="str">
        <v>x</v>
      </c>
      <c r="W6436">
        <f>IF(D6418-MAX(D6418/4,2*G6416)*2&gt;0,ROUND((D6418-MAX(D6418/4,2*G6416)*2)/H6436,0),0)</f>
        <v>10</v>
      </c>
      <c r="X6436" t="str">
        <v>x</v>
      </c>
      <c r="Y6436">
        <f>D6421</f>
        <v>1</v>
      </c>
      <c r="Z6436" t="str">
        <v>=</v>
      </c>
      <c r="AA6436">
        <f>N6436*U6436*W6436*Y6436</f>
        <v>6.349950000000001</v>
      </c>
    </row>
    <row r="6437">
      <c r="A6437" t="str">
        <f>A6415</f>
        <v>Lantai Atap</v>
      </c>
      <c r="B6437">
        <f>B6415</f>
        <v>8</v>
      </c>
      <c r="C6437" t="str">
        <v>Sengkang Tumpuan</v>
      </c>
      <c r="D6437">
        <f>VLOOKUP(D6415,'Detail Balok'!$C$10:$AU$140,41,FALSE)</f>
        <v>0</v>
      </c>
      <c r="E6437" t="str">
        <v>D</v>
      </c>
      <c r="F6437">
        <f>VLOOKUP(D6415,'Detail Balok'!$C$10:$AU$140,43,FALSE)</f>
        <v>10</v>
      </c>
      <c r="G6437" t="str">
        <v>-</v>
      </c>
      <c r="H6437">
        <f>VLOOKUP(D6415,'Detail Balok'!$C$10:$AU$140,45,FALSE)</f>
        <v>100</v>
      </c>
      <c r="J6437">
        <f>(IF(D6437=0,(2*(D6416+G6416))-(F$5*8),IF(D6437=3,(2*(D6416+G6416))-(F$5*8)+(G6416-2*F$5),IF(D6437=4,(2*(D6416+G6416))-(F$5*8)+2*(G6416-2*F$5)))))/1000</f>
        <v>0.88</v>
      </c>
      <c r="K6437" t="str">
        <v>+</v>
      </c>
      <c r="L6437">
        <f>IF(D6437=0,2*MAX(6*F6437,75),(D6437-1)*2*MAX(6*F6437,75))/1000</f>
        <v>0.15</v>
      </c>
      <c r="M6437" t="str">
        <v>=</v>
      </c>
      <c r="N6437">
        <f>J6437+L6437</f>
        <v>1.03</v>
      </c>
      <c r="T6437" t="str">
        <v>x</v>
      </c>
      <c r="U6437">
        <f>0.006165*F6437^2</f>
        <v>0.6165</v>
      </c>
      <c r="V6437" t="str">
        <v>x</v>
      </c>
      <c r="W6437">
        <f>IF(D6418&gt;4*G6416,ROUND(MAX(D6418/4,2*G6416)/H6437,0)+1,0)</f>
        <v>11</v>
      </c>
      <c r="X6437" t="str">
        <v>x</v>
      </c>
      <c r="Y6437">
        <f>D6421</f>
        <v>1</v>
      </c>
      <c r="Z6437" t="str">
        <v>=</v>
      </c>
      <c r="AA6437">
        <f>N6437*U6437*W6437*Y6437</f>
        <v>6.984945000000001</v>
      </c>
    </row>
    <row r="6439">
      <c r="A6439" t="str">
        <f>A6415</f>
        <v>Lantai Atap</v>
      </c>
      <c r="B6439">
        <f>B6415</f>
        <v>8</v>
      </c>
      <c r="C6439" t="str">
        <v>Kait Horizontal Tump.</v>
      </c>
      <c r="D6439">
        <f>VLOOKUP(D6415,'Detail Balok'!$C$10:$BJ$140,46,FALSE)</f>
        <v>0</v>
      </c>
      <c r="E6439" t="str">
        <v>D</v>
      </c>
      <c r="F6439">
        <f>VLOOKUP(D6415,'Detail Balok'!$C$10:$BJ$140,48,FALSE)</f>
        <v>0</v>
      </c>
      <c r="G6439" t="str">
        <v>-</v>
      </c>
      <c r="H6439">
        <f>VLOOKUP(D6415,'Detail Balok'!$C$10:$BJ$140,50,FALSE)</f>
        <v>100</v>
      </c>
      <c r="J6439">
        <f>(D6416-2*F$5)/1000</f>
        <v>0.12</v>
      </c>
      <c r="K6439" t="str">
        <v>+</v>
      </c>
      <c r="L6439">
        <f>IF(D6439=0,2*MAX(6*F6439,75),(D6439-1)*2*MAX(6*F6439,75))/1000</f>
        <v>0.15</v>
      </c>
      <c r="M6439" t="str">
        <v>=</v>
      </c>
      <c r="N6439">
        <f>J6439+L6439</f>
        <v>0.27</v>
      </c>
      <c r="T6439" t="str">
        <v>x</v>
      </c>
      <c r="U6439">
        <f>0.006165*F6439^2</f>
        <v>0</v>
      </c>
      <c r="V6439" t="str">
        <v>x</v>
      </c>
      <c r="W6439">
        <f>W6435</f>
        <v>11</v>
      </c>
      <c r="X6439" t="str">
        <v>x</v>
      </c>
      <c r="Y6439">
        <f>D6425</f>
        <v>3</v>
      </c>
      <c r="Z6439" t="str">
        <v>=</v>
      </c>
      <c r="AA6439">
        <f>N6439*U6439*W6439*Y6439</f>
        <v>0</v>
      </c>
    </row>
    <row r="6440">
      <c r="A6440" t="str">
        <f>A6415</f>
        <v>Lantai Atap</v>
      </c>
      <c r="B6440">
        <f>B6415</f>
        <v>8</v>
      </c>
      <c r="C6440" t="str">
        <v>Kait Horizontal Lap.</v>
      </c>
      <c r="D6440">
        <f>VLOOKUP(D6415,'Detail Balok'!$C$10:$BJ$140,51,FALSE)</f>
        <v>0</v>
      </c>
      <c r="E6440" t="str">
        <v>D</v>
      </c>
      <c r="F6440">
        <f>VLOOKUP(D6415,'Detail Balok'!$C$10:$BJ$140,53,FALSE)</f>
        <v>0</v>
      </c>
      <c r="G6440" t="str">
        <v>-</v>
      </c>
      <c r="H6440">
        <f>VLOOKUP(D6415,'Detail Balok'!$C$10:$BJ$140,55,FALSE)</f>
        <v>100</v>
      </c>
      <c r="J6440">
        <f>(D6416-2*F$5)/1000</f>
        <v>0.12</v>
      </c>
      <c r="K6440" t="str">
        <v>+</v>
      </c>
      <c r="L6440">
        <f>IF(D6440=0,2*MAX(6*F6440,75),(D6440-1)*2*MAX(6*F6440,75))/1000</f>
        <v>0.15</v>
      </c>
      <c r="M6440" t="str">
        <v>=</v>
      </c>
      <c r="N6440">
        <f>J6440+L6440</f>
        <v>0.27</v>
      </c>
      <c r="T6440" t="str">
        <v>x</v>
      </c>
      <c r="U6440">
        <f>0.006165*F6440^2</f>
        <v>0</v>
      </c>
      <c r="V6440" t="str">
        <v>x</v>
      </c>
      <c r="W6440">
        <f>W6436</f>
        <v>10</v>
      </c>
      <c r="X6440" t="str">
        <v>x</v>
      </c>
      <c r="Y6440">
        <f>D6425</f>
        <v>3</v>
      </c>
      <c r="Z6440" t="str">
        <v>=</v>
      </c>
      <c r="AA6440">
        <f>N6440*U6440*W6440*Y6440</f>
        <v>0</v>
      </c>
    </row>
    <row r="6441">
      <c r="A6441" t="str">
        <f>A6415</f>
        <v>Lantai Atap</v>
      </c>
      <c r="B6441">
        <f>B6415</f>
        <v>8</v>
      </c>
      <c r="C6441" t="str">
        <v>Kait Horizontal Tump.</v>
      </c>
      <c r="D6441">
        <f>VLOOKUP(D6415,'Detail Balok'!$C$10:$BJ$140,56,FALSE)</f>
        <v>0</v>
      </c>
      <c r="E6441" t="str">
        <v>D</v>
      </c>
      <c r="F6441">
        <f>VLOOKUP(D6415,'Detail Balok'!$C$10:$BJ$140,58,FALSE)</f>
        <v>0</v>
      </c>
      <c r="G6441" t="str">
        <v>-</v>
      </c>
      <c r="H6441">
        <f>VLOOKUP(D6415,'Detail Balok'!$C$10:$BJ$140,60,FALSE)</f>
        <v>100</v>
      </c>
      <c r="J6441">
        <f>(D6416-2*F$5)/1000</f>
        <v>0.12</v>
      </c>
      <c r="K6441" t="str">
        <v>+</v>
      </c>
      <c r="L6441">
        <f>IF(D6441=0,2*MAX(6*F6441,75),(D6441-1)*2*MAX(6*F6441,75))/1000</f>
        <v>0.15</v>
      </c>
      <c r="M6441" t="str">
        <v>=</v>
      </c>
      <c r="N6441">
        <f>J6441+L6441</f>
        <v>0.27</v>
      </c>
      <c r="T6441" t="str">
        <v>x</v>
      </c>
      <c r="U6441">
        <f>0.006165*F6441^2</f>
        <v>0</v>
      </c>
      <c r="V6441" t="str">
        <v>x</v>
      </c>
      <c r="W6441">
        <f>W6437</f>
        <v>11</v>
      </c>
      <c r="X6441" t="str">
        <v>x</v>
      </c>
      <c r="Y6441">
        <f>D6425</f>
        <v>3</v>
      </c>
      <c r="Z6441" t="str">
        <v>=</v>
      </c>
      <c r="AA6441">
        <f>N6441*U6441*W6441*Y6441</f>
        <v>0</v>
      </c>
    </row>
    <row r="6445">
      <c r="A6445" t="str">
        <f>A6415</f>
        <v>Lantai Atap</v>
      </c>
      <c r="B6445">
        <f>B6415+1</f>
        <v>9</v>
      </c>
      <c r="C6445" t="str">
        <f>CONCATENATE(A6445," no. ",B6445)</f>
        <v>Lantai Atap no. 9</v>
      </c>
      <c r="D6445" t="str">
        <f>VLOOKUP(C6445,'Data Panjang Balok'!$C$9:$N$254,2,FALSE)</f>
        <v>B2A4A-1</v>
      </c>
    </row>
    <row r="6446">
      <c r="C6446" t="str">
        <v>Dimensi</v>
      </c>
      <c r="D6446">
        <f>VLOOKUP(D6445,'Detail Balok'!$C$10:$AU$140,2,FALSE)</f>
        <v>250</v>
      </c>
      <c r="F6446" t="str">
        <v>x</v>
      </c>
      <c r="G6446">
        <f>VLOOKUP(D6445,'Detail Balok'!$C$10:$AU$140,3,FALSE)</f>
        <v>450</v>
      </c>
    </row>
    <row r="6447">
      <c r="C6447" t="str">
        <v>Panjang as ke as</v>
      </c>
      <c r="D6447">
        <f>VLOOKUP(C6445,'Data Panjang Balok'!$C$9:$N$254,4,FALSE)</f>
        <v>6000</v>
      </c>
    </row>
    <row r="6448">
      <c r="C6448" t="str">
        <v>Panjang netto</v>
      </c>
      <c r="D6448">
        <f>VLOOKUP(C6445,'Data Panjang Balok'!$C$9:$N$254,7,FALSE)</f>
        <v>6000</v>
      </c>
    </row>
    <row r="6449">
      <c r="C6449" t="str">
        <v>Kolom / balok kiri</v>
      </c>
      <c r="D6449">
        <f>VLOOKUP(C6445,'Data Panjang Balok'!$C$9:$N$254,9,FALSE)</f>
        <v>0</v>
      </c>
    </row>
    <row r="6450">
      <c r="C6450" t="str">
        <v>Kolom / balok kanan</v>
      </c>
      <c r="D6450">
        <f>VLOOKUP(C6445,'Data Panjang Balok'!$C$9:$N$254,10,FALSE)</f>
        <v>0</v>
      </c>
    </row>
    <row r="6451">
      <c r="C6451" t="str">
        <v>Jumlah</v>
      </c>
      <c r="D6451">
        <f>VLOOKUP(C6445,'Data Panjang Balok'!$C$9:$N$254,3,FALSE)</f>
        <v>1</v>
      </c>
    </row>
    <row r="6452">
      <c r="A6452" t="str">
        <f>A6445</f>
        <v>Lantai Atap</v>
      </c>
      <c r="B6452">
        <f>B6445</f>
        <v>9</v>
      </c>
      <c r="C6452" t="str">
        <v>Tul Atas Tumpuan</v>
      </c>
      <c r="D6452">
        <f>VLOOKUP(D6445,'Detail Balok'!$C$10:$AU$140,4,FALSE)</f>
        <v>3</v>
      </c>
      <c r="E6452" t="str">
        <v>D</v>
      </c>
      <c r="F6452">
        <f>VLOOKUP(D6445,'Detail Balok'!$C$10:$AU$140,6,FALSE)</f>
        <v>13</v>
      </c>
      <c r="I6452" t="str">
        <v>(</v>
      </c>
      <c r="J6452">
        <f>+D6447/4/1000</f>
        <v>1.5</v>
      </c>
      <c r="K6452" t="str">
        <v>+</v>
      </c>
      <c r="L6452">
        <f>MAX(VLOOKUP(F6452,N$6:P$15,3,FALSE)/1000,2/3*D6449/1000)+F$16*F6452/1000</f>
        <v>0.156</v>
      </c>
      <c r="M6452" t="str">
        <v>=</v>
      </c>
      <c r="N6452">
        <f>J6452+L6452</f>
        <v>1.656</v>
      </c>
      <c r="O6452" t="str">
        <v>+</v>
      </c>
      <c r="P6452">
        <f>D6452-D6453</f>
        <v>0</v>
      </c>
      <c r="Q6452" t="str">
        <v>x</v>
      </c>
      <c r="R6452">
        <f>IF(P6452&gt;0,$F$18*F6452/1000,0)</f>
        <v>0</v>
      </c>
      <c r="S6452" t="str">
        <v>)</v>
      </c>
      <c r="T6452" t="str">
        <v>x</v>
      </c>
      <c r="U6452">
        <f>0.006165*F6452^2</f>
        <v>1.041885</v>
      </c>
      <c r="X6452" t="str">
        <v>x</v>
      </c>
      <c r="Y6452">
        <f>D6451</f>
        <v>1</v>
      </c>
      <c r="Z6452" t="str">
        <v>=</v>
      </c>
      <c r="AA6452">
        <f>IF(AA6455=0,(D6452*N6452+P6452*R6452)*U6452*Y6452,0)</f>
        <v>0</v>
      </c>
    </row>
    <row r="6453">
      <c r="A6453" t="str">
        <f>A6445</f>
        <v>Lantai Atap</v>
      </c>
      <c r="B6453">
        <f>B6445</f>
        <v>9</v>
      </c>
      <c r="C6453" t="str">
        <v>Tul Atas Lapangan</v>
      </c>
      <c r="D6453">
        <f>VLOOKUP(D6445,'Detail Balok'!$C$10:$AU$140,7,FALSE)</f>
        <v>3</v>
      </c>
      <c r="E6453" t="str">
        <v>D</v>
      </c>
      <c r="F6453">
        <f>VLOOKUP(D6445,'Detail Balok'!$C$10:$AU$140,9,FALSE)</f>
        <v>13</v>
      </c>
      <c r="I6453" t="str">
        <v>(</v>
      </c>
      <c r="J6453">
        <f>+D6447/2/1000</f>
        <v>3</v>
      </c>
      <c r="K6453" t="str">
        <v>+</v>
      </c>
      <c r="M6453" t="str">
        <v>=</v>
      </c>
      <c r="N6453">
        <f>J6453+L6453</f>
        <v>3</v>
      </c>
      <c r="O6453" t="str">
        <v>+</v>
      </c>
      <c r="P6453">
        <f>MAX(D6453-D6452,D6453-D6454)</f>
        <v>0</v>
      </c>
      <c r="Q6453" t="str">
        <v>x</v>
      </c>
      <c r="R6453">
        <f>IF(P6453&gt;0,2*(1-2*$F$19-1/2)*D6448/1000,0)</f>
        <v>0</v>
      </c>
      <c r="S6453" t="str">
        <v>)</v>
      </c>
      <c r="T6453" t="str">
        <v>x</v>
      </c>
      <c r="U6453">
        <f>0.006165*F6453^2</f>
        <v>1.041885</v>
      </c>
      <c r="X6453" t="str">
        <v>x</v>
      </c>
      <c r="Y6453">
        <f>D6451</f>
        <v>1</v>
      </c>
      <c r="Z6453" t="str">
        <v>=</v>
      </c>
      <c r="AA6453">
        <f>IF(AA6455=0,(D6453*N6453+P6453*R6453)*U6453*Y6453,0)</f>
        <v>0</v>
      </c>
    </row>
    <row r="6454">
      <c r="A6454" t="str">
        <f>A6445</f>
        <v>Lantai Atap</v>
      </c>
      <c r="B6454">
        <f>B6445</f>
        <v>9</v>
      </c>
      <c r="C6454" t="str">
        <v>Tul Atas Tumpuan</v>
      </c>
      <c r="D6454">
        <f>VLOOKUP(D6445,'Detail Balok'!$C$10:$AU$140,10,FALSE)</f>
        <v>3</v>
      </c>
      <c r="E6454" t="str">
        <v>D</v>
      </c>
      <c r="F6454">
        <f>VLOOKUP(D6445,'Detail Balok'!$C$10:$AU$140,12,FALSE)</f>
        <v>13</v>
      </c>
      <c r="I6454" t="str">
        <v>(</v>
      </c>
      <c r="J6454">
        <f>+D6447/4/1000</f>
        <v>1.5</v>
      </c>
      <c r="K6454" t="str">
        <v>+</v>
      </c>
      <c r="L6454">
        <f>MAX(VLOOKUP(F6454,N$6:P$15,3,FALSE)/1000,2/3*D6449/1000)+F$16*F6454/1000</f>
        <v>0.156</v>
      </c>
      <c r="M6454" t="str">
        <v>=</v>
      </c>
      <c r="N6454">
        <f>J6454+L6454</f>
        <v>1.656</v>
      </c>
      <c r="O6454" t="str">
        <v>+</v>
      </c>
      <c r="P6454">
        <f>D6454-D6453</f>
        <v>0</v>
      </c>
      <c r="Q6454" t="str">
        <v>x</v>
      </c>
      <c r="R6454">
        <f>IF(P6454&gt;0,$F$18*F6454/1000,0)</f>
        <v>0</v>
      </c>
      <c r="S6454" t="str">
        <v>)</v>
      </c>
      <c r="T6454" t="str">
        <v>x</v>
      </c>
      <c r="U6454">
        <f>0.006165*F6454^2</f>
        <v>1.041885</v>
      </c>
      <c r="X6454" t="str">
        <v>x</v>
      </c>
      <c r="Y6454">
        <f>D6451</f>
        <v>1</v>
      </c>
      <c r="Z6454" t="str">
        <v>=</v>
      </c>
      <c r="AA6454">
        <f>IF(AA6455=0,(D6454*N6454+P6454*R6454)*U6454*Y6454,0)</f>
        <v>0</v>
      </c>
    </row>
    <row r="6455">
      <c r="A6455" t="str">
        <f>A6445</f>
        <v>Lantai Atap</v>
      </c>
      <c r="B6455">
        <f>B6445</f>
        <v>9</v>
      </c>
      <c r="D6455">
        <f>IF(AND(D6452=D6453,D6453=D6454,D6452=D6454),D6452,0)</f>
        <v>3</v>
      </c>
      <c r="E6455" t="str">
        <v>D</v>
      </c>
      <c r="F6455">
        <f>IF(AND(F6452=F6453,F6452=F6454,F6453=F6454),F6452,0)</f>
        <v>13</v>
      </c>
      <c r="L6455" t="str">
        <v>Total panjang per balok</v>
      </c>
      <c r="M6455" t="str">
        <v>=</v>
      </c>
      <c r="N6455">
        <f>IF(AND(D6452=D6453,D6452=D6454,D6453=D6454,F6452=F6453,F6452=F6454,F6453=F6454),SUM(N6452:N6454),0)</f>
        <v>6.311999999999999</v>
      </c>
      <c r="O6455" t="str">
        <v>+</v>
      </c>
      <c r="P6455">
        <f>IF(N6455&gt;12,ROUNDDOWN(N6455/12,0),0)</f>
        <v>0</v>
      </c>
      <c r="Q6455" t="str">
        <v>x</v>
      </c>
      <c r="R6455">
        <f>IF(P6455&gt;0,MAX(VLOOKUP(F6455,$D$6:$G$15,3,FALSE),600),0)/1000</f>
        <v>0</v>
      </c>
      <c r="T6455" t="str">
        <v>x</v>
      </c>
      <c r="U6455">
        <f>U6454</f>
        <v>1.041885</v>
      </c>
      <c r="V6455" t="str">
        <v>x</v>
      </c>
      <c r="W6455">
        <f>D6455</f>
        <v>3</v>
      </c>
      <c r="X6455" t="str">
        <v>x</v>
      </c>
      <c r="Y6455">
        <f>Y6454</f>
        <v>1</v>
      </c>
      <c r="Z6455" t="str">
        <v>=</v>
      </c>
      <c r="AA6455">
        <f>(N6455+P6455*R6455/1000)*U6455*W6455*Y6455</f>
        <v>19.729134359999996</v>
      </c>
    </row>
    <row r="6457">
      <c r="A6457" t="str">
        <f>A6445</f>
        <v>Lantai Atap</v>
      </c>
      <c r="B6457">
        <f>B6445</f>
        <v>9</v>
      </c>
      <c r="C6457" t="str">
        <v>Tul Peminggang</v>
      </c>
      <c r="D6457">
        <f>VLOOKUP(D6445,'Detail Balok'!$C$10:$AU$140,13,FALSE)</f>
        <v>0</v>
      </c>
      <c r="E6457" t="str">
        <v>D</v>
      </c>
      <c r="F6457">
        <f>VLOOKUP(D6445,'Detail Balok'!$C$10:$AU$140,15,FALSE)</f>
        <v>8</v>
      </c>
      <c r="J6457">
        <f>+D6447/1000</f>
        <v>6</v>
      </c>
      <c r="K6457" t="str">
        <v>+</v>
      </c>
      <c r="L6457">
        <f>2*$F$16*F6457/1000</f>
        <v>0.192</v>
      </c>
      <c r="M6457" t="str">
        <v>=</v>
      </c>
      <c r="N6457">
        <f>J6457+L6457</f>
        <v>6.192</v>
      </c>
      <c r="O6457" t="str">
        <v>+</v>
      </c>
      <c r="P6457">
        <f>IF(N6457&gt;12,ROUNDDOWN(N6457/12,0),0)</f>
        <v>0</v>
      </c>
      <c r="Q6457" t="str">
        <v>x</v>
      </c>
      <c r="R6457">
        <f>IF(P6457&gt;0,MAX(VLOOKUP(F6457,$D$6:$G$15,3,FALSE),600),0)/1000</f>
        <v>0</v>
      </c>
      <c r="T6457" t="str">
        <v>x</v>
      </c>
      <c r="U6457">
        <f>0.006165*F6457^2</f>
        <v>0.39456</v>
      </c>
      <c r="V6457" t="str">
        <v>x</v>
      </c>
      <c r="W6457">
        <f>+D6457</f>
        <v>0</v>
      </c>
      <c r="X6457" t="str">
        <v>x</v>
      </c>
      <c r="Y6457">
        <f>D6451</f>
        <v>1</v>
      </c>
      <c r="Z6457" t="str">
        <v>=</v>
      </c>
      <c r="AA6457">
        <f>(N6457+P6457*R6457/1000)*U6457*W6457*Y6457</f>
        <v>0</v>
      </c>
    </row>
    <row r="6460">
      <c r="A6460" t="str">
        <f>A6445</f>
        <v>Lantai Atap</v>
      </c>
      <c r="B6460">
        <f>B6445</f>
        <v>9</v>
      </c>
      <c r="C6460" t="str">
        <v>Tul Bawah Tumpuan</v>
      </c>
      <c r="D6460">
        <f>VLOOKUP(D6445,'Detail Balok'!$C$10:$AU$140,22,FALSE)</f>
        <v>3</v>
      </c>
      <c r="E6460" t="str">
        <v>D</v>
      </c>
      <c r="F6460">
        <f>VLOOKUP(D6445,'Detail Balok'!$C$10:$AU$140,24,FALSE)</f>
        <v>13</v>
      </c>
      <c r="I6460" t="str">
        <v>(</v>
      </c>
      <c r="J6460">
        <f>+J6452</f>
        <v>1.5</v>
      </c>
      <c r="K6460" t="str">
        <v>+</v>
      </c>
      <c r="L6460">
        <f>MAX(VLOOKUP(F6460,N$6:P$15,3,FALSE)/1000,2/3*D6450/1000)+F$16*F6460/1000</f>
        <v>0.156</v>
      </c>
      <c r="M6460" t="str">
        <v>=</v>
      </c>
      <c r="N6460">
        <f>J6460+L6460</f>
        <v>1.656</v>
      </c>
      <c r="O6460" t="str">
        <v>+</v>
      </c>
      <c r="P6460">
        <f>D6460-D6461</f>
        <v>0</v>
      </c>
      <c r="Q6460" t="str">
        <v>x</v>
      </c>
      <c r="R6460">
        <f>IF(P6460&gt;0,$F$18*F6460/1000,0)</f>
        <v>0</v>
      </c>
      <c r="S6460" t="str">
        <v>)</v>
      </c>
      <c r="T6460" t="str">
        <v>x</v>
      </c>
      <c r="U6460">
        <f>0.006165*F6460^2</f>
        <v>1.041885</v>
      </c>
      <c r="X6460" t="str">
        <v>x</v>
      </c>
      <c r="Y6460">
        <f>D6451</f>
        <v>1</v>
      </c>
      <c r="Z6460" t="str">
        <v>=</v>
      </c>
      <c r="AA6460">
        <f>IF(AA6463=0,(D6460*N6460+P6460*R6460)*U6460*Y6460,0)</f>
        <v>0</v>
      </c>
    </row>
    <row r="6461">
      <c r="A6461" t="str">
        <f>A6445</f>
        <v>Lantai Atap</v>
      </c>
      <c r="B6461">
        <f>B6445</f>
        <v>9</v>
      </c>
      <c r="C6461" t="str">
        <v>Tul Bawah Lapangan</v>
      </c>
      <c r="D6461">
        <f>VLOOKUP(D6445,'Detail Balok'!$C$10:$AU$140,25,FALSE)</f>
        <v>3</v>
      </c>
      <c r="E6461" t="str">
        <v>D</v>
      </c>
      <c r="F6461">
        <f>VLOOKUP(D6445,'Detail Balok'!$C$10:$AU$140,27,FALSE)</f>
        <v>13</v>
      </c>
      <c r="I6461" t="str">
        <v>(</v>
      </c>
      <c r="J6461">
        <f>+J6453</f>
        <v>3</v>
      </c>
      <c r="K6461" t="str">
        <v>+</v>
      </c>
      <c r="M6461" t="str">
        <v>=</v>
      </c>
      <c r="N6461">
        <f>J6461+L6461</f>
        <v>3</v>
      </c>
      <c r="O6461" t="str">
        <v>+</v>
      </c>
      <c r="P6461">
        <f>MAX(D6461-D6460,D6461-D6462)</f>
        <v>0</v>
      </c>
      <c r="Q6461" t="str">
        <v>x</v>
      </c>
      <c r="R6461">
        <f>IF(P6461&gt;0,2*(1-2*$F$19-1/2)*D6448/1000,0)</f>
        <v>0</v>
      </c>
      <c r="S6461" t="str">
        <v>)</v>
      </c>
      <c r="T6461" t="str">
        <v>x</v>
      </c>
      <c r="U6461">
        <f>0.006165*F6461^2</f>
        <v>1.041885</v>
      </c>
      <c r="X6461" t="str">
        <v>x</v>
      </c>
      <c r="Y6461">
        <f>D6451</f>
        <v>1</v>
      </c>
      <c r="Z6461" t="str">
        <v>=</v>
      </c>
      <c r="AA6461">
        <f>IF(AA6463=0,(D6461*N6461+P6461*R6461)*U6461*Y6461,0)</f>
        <v>0</v>
      </c>
    </row>
    <row r="6462">
      <c r="A6462" t="str">
        <f>A6445</f>
        <v>Lantai Atap</v>
      </c>
      <c r="B6462">
        <f>B6445</f>
        <v>9</v>
      </c>
      <c r="C6462" t="str">
        <v>Tul Bawah Tumpuan</v>
      </c>
      <c r="D6462">
        <f>VLOOKUP(D6445,'Detail Balok'!$C$10:$AU$140,28,FALSE)</f>
        <v>3</v>
      </c>
      <c r="E6462" t="str">
        <v>D</v>
      </c>
      <c r="F6462">
        <f>VLOOKUP(D6445,'Detail Balok'!$C$10:$AU$140,30,FALSE)</f>
        <v>13</v>
      </c>
      <c r="I6462" t="str">
        <v>(</v>
      </c>
      <c r="J6462">
        <f>+J6454</f>
        <v>1.5</v>
      </c>
      <c r="K6462" t="str">
        <v>+</v>
      </c>
      <c r="L6462">
        <f>MAX(VLOOKUP(F6462,N$6:P$15,3,FALSE)/1000,2/3*D6450/1000)+F$16*F6462/1000</f>
        <v>0.156</v>
      </c>
      <c r="M6462" t="str">
        <v>=</v>
      </c>
      <c r="N6462">
        <f>J6462+L6462</f>
        <v>1.656</v>
      </c>
      <c r="O6462" t="str">
        <v>+</v>
      </c>
      <c r="P6462">
        <f>D6462-D6461</f>
        <v>0</v>
      </c>
      <c r="Q6462" t="str">
        <v>x</v>
      </c>
      <c r="R6462">
        <f>IF(P6462&gt;0,$F$18*F6462/1000,0)</f>
        <v>0</v>
      </c>
      <c r="S6462" t="str">
        <v>)</v>
      </c>
      <c r="T6462" t="str">
        <v>x</v>
      </c>
      <c r="U6462">
        <f>0.006165*F6462^2</f>
        <v>1.041885</v>
      </c>
      <c r="X6462" t="str">
        <v>x</v>
      </c>
      <c r="Y6462">
        <f>D6451</f>
        <v>1</v>
      </c>
      <c r="Z6462" t="str">
        <v>=</v>
      </c>
      <c r="AA6462">
        <f>IF(AA6463=0,(D6462*N6462+P6462*R6462)*U6462*Y6462,0)</f>
        <v>0</v>
      </c>
    </row>
    <row r="6463">
      <c r="A6463" t="str">
        <f>A6445</f>
        <v>Lantai Atap</v>
      </c>
      <c r="B6463">
        <f>B6445</f>
        <v>9</v>
      </c>
      <c r="D6463">
        <f>IF(AND(D6460=D6461,D6461=D6462,D6460=D6462),D6460,0)</f>
        <v>3</v>
      </c>
      <c r="E6463" t="str">
        <v>D</v>
      </c>
      <c r="F6463">
        <f>IF(AND(F6460=F6461,F6460=F6462,F6461=F6462),F6460,0)</f>
        <v>13</v>
      </c>
      <c r="L6463" t="str">
        <v>Total panjang per balok</v>
      </c>
      <c r="M6463" t="str">
        <v>=</v>
      </c>
      <c r="N6463">
        <f>IF(AND(D6460=D6461,D6460=D6462,D6461=D6462,F6460=F6461,F6460=F6462,F6461=F6462),SUM(N6460:N6462),0)</f>
        <v>6.311999999999999</v>
      </c>
      <c r="O6463" t="str">
        <v>+</v>
      </c>
      <c r="P6463">
        <f>IF(N6463&gt;12,ROUNDDOWN(N6463/12,0),0)</f>
        <v>0</v>
      </c>
      <c r="Q6463" t="str">
        <v>x</v>
      </c>
      <c r="R6463">
        <f>IF(P6463&gt;0,MAX(VLOOKUP(F6463,$D$6:$G$15,3,FALSE),600),0)/1000</f>
        <v>0</v>
      </c>
      <c r="T6463" t="str">
        <v>x</v>
      </c>
      <c r="U6463">
        <f>U6462</f>
        <v>1.041885</v>
      </c>
      <c r="V6463" t="str">
        <v>x</v>
      </c>
      <c r="W6463">
        <f>D6463</f>
        <v>3</v>
      </c>
      <c r="X6463" t="str">
        <v>x</v>
      </c>
      <c r="Y6463">
        <f>Y6462</f>
        <v>1</v>
      </c>
      <c r="Z6463" t="str">
        <v>=</v>
      </c>
      <c r="AA6463">
        <f>(N6463+P6463*R6463/1000)*U6463*W6463*Y6463</f>
        <v>19.729134359999996</v>
      </c>
    </row>
    <row r="6465">
      <c r="A6465" t="str">
        <f>A6445</f>
        <v>Lantai Atap</v>
      </c>
      <c r="B6465">
        <f>B6445</f>
        <v>9</v>
      </c>
      <c r="C6465" t="str">
        <v>Sengkang Tumpuan</v>
      </c>
      <c r="D6465">
        <f>VLOOKUP(D6445,'Detail Balok'!$C$10:$AU$140,31,FALSE)</f>
        <v>0</v>
      </c>
      <c r="E6465" t="str">
        <v>D</v>
      </c>
      <c r="F6465">
        <f>VLOOKUP(D6445,'Detail Balok'!$C$10:$AU$140,33,FALSE)</f>
        <v>10</v>
      </c>
      <c r="G6465" t="str">
        <v>-</v>
      </c>
      <c r="H6465">
        <f>VLOOKUP(D6445,'Detail Balok'!$C$10:$AU$140,35,FALSE)</f>
        <v>100</v>
      </c>
      <c r="J6465">
        <f>(IF(D6465=0,(2*(D6446+G6446))-(F$5*8),IF(D6465=3,(2*(D6446+G6446))-(F$5*8)+(G6446-2*F$5),IF(D6465=4,(2*(D6446+G6446))-(F$5*8)+2*(G6446-2*F$5)))))/1000</f>
        <v>1.08</v>
      </c>
      <c r="K6465" t="str">
        <v>+</v>
      </c>
      <c r="L6465">
        <f>IF(D6465=0,2*MAX(6*F6465,75),(D6465-1)*2*MAX(6*F6465,75))/1000</f>
        <v>0.15</v>
      </c>
      <c r="M6465" t="str">
        <v>=</v>
      </c>
      <c r="N6465">
        <f>J6465+L6465</f>
        <v>1.23</v>
      </c>
      <c r="T6465" t="str">
        <v>x</v>
      </c>
      <c r="U6465">
        <f>0.006165*F6465^2</f>
        <v>0.6165</v>
      </c>
      <c r="V6465" t="str">
        <v>x</v>
      </c>
      <c r="W6465">
        <f>IF(D6448&gt;4*G6446,ROUND(MAX(D6448/4,2*G6446)/H6465,0)+1,ROUND(D6448/H6465,0)+1)</f>
        <v>16</v>
      </c>
      <c r="X6465" t="str">
        <v>x</v>
      </c>
      <c r="Y6465">
        <f>D6451</f>
        <v>1</v>
      </c>
      <c r="Z6465" t="str">
        <v>=</v>
      </c>
      <c r="AA6465">
        <f>N6465*U6465*W6465*Y6465</f>
        <v>12.13272</v>
      </c>
    </row>
    <row r="6466">
      <c r="A6466" t="str">
        <f>A6445</f>
        <v>Lantai Atap</v>
      </c>
      <c r="B6466">
        <f>B6445</f>
        <v>9</v>
      </c>
      <c r="C6466" t="str">
        <v>Sengkang Lapangan</v>
      </c>
      <c r="D6466">
        <f>VLOOKUP(D6445,'Detail Balok'!$C$10:$AU$140,36,FALSE)</f>
        <v>0</v>
      </c>
      <c r="E6466" t="str">
        <v>D</v>
      </c>
      <c r="F6466">
        <f>VLOOKUP(D6445,'Detail Balok'!$C$10:$AU$140,38,FALSE)</f>
        <v>10</v>
      </c>
      <c r="G6466" t="str">
        <v>-</v>
      </c>
      <c r="H6466">
        <f>VLOOKUP(D6445,'Detail Balok'!$C$10:$AU$140,40,FALSE)</f>
        <v>200</v>
      </c>
      <c r="J6466">
        <f>(IF(D6466=0,(2*(D6446+G6446))-(F$5*8),IF(D6466=3,(2*(D6446+G6446))-(F$5*8)+(G6446-2*F$5),IF(D6466=4,(2*(D6446+G6446))-(F$5*8)+2*(G6446-2*F$5)))))/1000</f>
        <v>1.08</v>
      </c>
      <c r="K6466" t="str">
        <v>+</v>
      </c>
      <c r="L6466">
        <f>IF(D6466=0,2*MAX(6*F6466,75),(D6466-1)*2*MAX(6*F6466,75))/1000</f>
        <v>0.15</v>
      </c>
      <c r="M6466" t="str">
        <v>=</v>
      </c>
      <c r="N6466">
        <f>J6466+L6466</f>
        <v>1.23</v>
      </c>
      <c r="T6466" t="str">
        <v>x</v>
      </c>
      <c r="U6466">
        <f>0.006165*F6466^2</f>
        <v>0.6165</v>
      </c>
      <c r="V6466" t="str">
        <v>x</v>
      </c>
      <c r="W6466">
        <f>IF(D6448-MAX(D6448/4,2*G6446)*2&gt;0,ROUND((D6448-MAX(D6448/4,2*G6446)*2)/H6466,0),0)</f>
        <v>15</v>
      </c>
      <c r="X6466" t="str">
        <v>x</v>
      </c>
      <c r="Y6466">
        <f>D6451</f>
        <v>1</v>
      </c>
      <c r="Z6466" t="str">
        <v>=</v>
      </c>
      <c r="AA6466">
        <f>N6466*U6466*W6466*Y6466</f>
        <v>11.374425</v>
      </c>
    </row>
    <row r="6467">
      <c r="A6467" t="str">
        <f>A6445</f>
        <v>Lantai Atap</v>
      </c>
      <c r="B6467">
        <f>B6445</f>
        <v>9</v>
      </c>
      <c r="C6467" t="str">
        <v>Sengkang Tumpuan</v>
      </c>
      <c r="D6467">
        <f>VLOOKUP(D6445,'Detail Balok'!$C$10:$AU$140,41,FALSE)</f>
        <v>0</v>
      </c>
      <c r="E6467" t="str">
        <v>D</v>
      </c>
      <c r="F6467">
        <f>VLOOKUP(D6445,'Detail Balok'!$C$10:$AU$140,43,FALSE)</f>
        <v>10</v>
      </c>
      <c r="G6467" t="str">
        <v>-</v>
      </c>
      <c r="H6467">
        <f>VLOOKUP(D6445,'Detail Balok'!$C$10:$AU$140,45,FALSE)</f>
        <v>100</v>
      </c>
      <c r="J6467">
        <f>(IF(D6467=0,(2*(D6446+G6446))-(F$5*8),IF(D6467=3,(2*(D6446+G6446))-(F$5*8)+(G6446-2*F$5),IF(D6467=4,(2*(D6446+G6446))-(F$5*8)+2*(G6446-2*F$5)))))/1000</f>
        <v>1.08</v>
      </c>
      <c r="K6467" t="str">
        <v>+</v>
      </c>
      <c r="L6467">
        <f>IF(D6467=0,2*MAX(6*F6467,75),(D6467-1)*2*MAX(6*F6467,75))/1000</f>
        <v>0.15</v>
      </c>
      <c r="M6467" t="str">
        <v>=</v>
      </c>
      <c r="N6467">
        <f>J6467+L6467</f>
        <v>1.23</v>
      </c>
      <c r="T6467" t="str">
        <v>x</v>
      </c>
      <c r="U6467">
        <f>0.006165*F6467^2</f>
        <v>0.6165</v>
      </c>
      <c r="V6467" t="str">
        <v>x</v>
      </c>
      <c r="W6467">
        <f>IF(D6448&gt;4*G6446,ROUND(MAX(D6448/4,2*G6446)/H6467,0)+1,0)</f>
        <v>16</v>
      </c>
      <c r="X6467" t="str">
        <v>x</v>
      </c>
      <c r="Y6467">
        <f>D6451</f>
        <v>1</v>
      </c>
      <c r="Z6467" t="str">
        <v>=</v>
      </c>
      <c r="AA6467">
        <f>N6467*U6467*W6467*Y6467</f>
        <v>12.13272</v>
      </c>
    </row>
    <row r="6469">
      <c r="A6469" t="str">
        <f>A6445</f>
        <v>Lantai Atap</v>
      </c>
      <c r="B6469">
        <f>B6445</f>
        <v>9</v>
      </c>
      <c r="C6469" t="str">
        <v>Kait Horizontal Tump.</v>
      </c>
      <c r="D6469">
        <f>VLOOKUP(D6445,'Detail Balok'!$C$10:$BJ$140,46,FALSE)</f>
        <v>0</v>
      </c>
      <c r="E6469" t="str">
        <v>D</v>
      </c>
      <c r="F6469">
        <f>VLOOKUP(D6445,'Detail Balok'!$C$10:$BJ$140,48,FALSE)</f>
        <v>0</v>
      </c>
      <c r="G6469" t="str">
        <v>-</v>
      </c>
      <c r="H6469">
        <f>VLOOKUP(D6445,'Detail Balok'!$C$10:$BJ$140,50,FALSE)</f>
        <v>100</v>
      </c>
      <c r="J6469">
        <f>(D6446-2*F$5)/1000</f>
        <v>0.17</v>
      </c>
      <c r="K6469" t="str">
        <v>+</v>
      </c>
      <c r="L6469">
        <f>IF(D6469=0,2*MAX(6*F6469,75),(D6469-1)*2*MAX(6*F6469,75))/1000</f>
        <v>0.15</v>
      </c>
      <c r="M6469" t="str">
        <v>=</v>
      </c>
      <c r="N6469">
        <f>J6469+L6469</f>
        <v>0.32</v>
      </c>
      <c r="T6469" t="str">
        <v>x</v>
      </c>
      <c r="U6469">
        <f>0.006165*F6469^2</f>
        <v>0</v>
      </c>
      <c r="V6469" t="str">
        <v>x</v>
      </c>
      <c r="W6469">
        <f>W6465</f>
        <v>16</v>
      </c>
      <c r="X6469" t="str">
        <v>x</v>
      </c>
      <c r="Y6469">
        <f>D6455</f>
        <v>3</v>
      </c>
      <c r="Z6469" t="str">
        <v>=</v>
      </c>
      <c r="AA6469">
        <f>N6469*U6469*W6469*Y6469</f>
        <v>0</v>
      </c>
    </row>
    <row r="6470">
      <c r="A6470" t="str">
        <f>A6445</f>
        <v>Lantai Atap</v>
      </c>
      <c r="B6470">
        <f>B6445</f>
        <v>9</v>
      </c>
      <c r="C6470" t="str">
        <v>Kait Horizontal Lap.</v>
      </c>
      <c r="D6470">
        <f>VLOOKUP(D6445,'Detail Balok'!$C$10:$BJ$140,51,FALSE)</f>
        <v>0</v>
      </c>
      <c r="E6470" t="str">
        <v>D</v>
      </c>
      <c r="F6470">
        <f>VLOOKUP(D6445,'Detail Balok'!$C$10:$BJ$140,53,FALSE)</f>
        <v>0</v>
      </c>
      <c r="G6470" t="str">
        <v>-</v>
      </c>
      <c r="H6470">
        <f>VLOOKUP(D6445,'Detail Balok'!$C$10:$BJ$140,55,FALSE)</f>
        <v>100</v>
      </c>
      <c r="J6470">
        <f>(D6446-2*F$5)/1000</f>
        <v>0.17</v>
      </c>
      <c r="K6470" t="str">
        <v>+</v>
      </c>
      <c r="L6470">
        <f>IF(D6470=0,2*MAX(6*F6470,75),(D6470-1)*2*MAX(6*F6470,75))/1000</f>
        <v>0.15</v>
      </c>
      <c r="M6470" t="str">
        <v>=</v>
      </c>
      <c r="N6470">
        <f>J6470+L6470</f>
        <v>0.32</v>
      </c>
      <c r="T6470" t="str">
        <v>x</v>
      </c>
      <c r="U6470">
        <f>0.006165*F6470^2</f>
        <v>0</v>
      </c>
      <c r="V6470" t="str">
        <v>x</v>
      </c>
      <c r="W6470">
        <f>W6466</f>
        <v>15</v>
      </c>
      <c r="X6470" t="str">
        <v>x</v>
      </c>
      <c r="Y6470">
        <f>D6455</f>
        <v>3</v>
      </c>
      <c r="Z6470" t="str">
        <v>=</v>
      </c>
      <c r="AA6470">
        <f>N6470*U6470*W6470*Y6470</f>
        <v>0</v>
      </c>
    </row>
    <row r="6471">
      <c r="A6471" t="str">
        <f>A6445</f>
        <v>Lantai Atap</v>
      </c>
      <c r="B6471">
        <f>B6445</f>
        <v>9</v>
      </c>
      <c r="C6471" t="str">
        <v>Kait Horizontal Tump.</v>
      </c>
      <c r="D6471">
        <f>VLOOKUP(D6445,'Detail Balok'!$C$10:$BJ$140,56,FALSE)</f>
        <v>0</v>
      </c>
      <c r="E6471" t="str">
        <v>D</v>
      </c>
      <c r="F6471">
        <f>VLOOKUP(D6445,'Detail Balok'!$C$10:$BJ$140,58,FALSE)</f>
        <v>0</v>
      </c>
      <c r="G6471" t="str">
        <v>-</v>
      </c>
      <c r="H6471">
        <f>VLOOKUP(D6445,'Detail Balok'!$C$10:$BJ$140,60,FALSE)</f>
        <v>100</v>
      </c>
      <c r="J6471">
        <f>(D6446-2*F$5)/1000</f>
        <v>0.17</v>
      </c>
      <c r="K6471" t="str">
        <v>+</v>
      </c>
      <c r="L6471">
        <f>IF(D6471=0,2*MAX(6*F6471,75),(D6471-1)*2*MAX(6*F6471,75))/1000</f>
        <v>0.15</v>
      </c>
      <c r="M6471" t="str">
        <v>=</v>
      </c>
      <c r="N6471">
        <f>J6471+L6471</f>
        <v>0.32</v>
      </c>
      <c r="T6471" t="str">
        <v>x</v>
      </c>
      <c r="U6471">
        <f>0.006165*F6471^2</f>
        <v>0</v>
      </c>
      <c r="V6471" t="str">
        <v>x</v>
      </c>
      <c r="W6471">
        <f>W6467</f>
        <v>16</v>
      </c>
      <c r="X6471" t="str">
        <v>x</v>
      </c>
      <c r="Y6471">
        <f>D6455</f>
        <v>3</v>
      </c>
      <c r="Z6471" t="str">
        <v>=</v>
      </c>
      <c r="AA6471">
        <f>N6471*U6471*W6471*Y6471</f>
        <v>0</v>
      </c>
    </row>
    <row r="6475">
      <c r="A6475" t="str">
        <f>A6445</f>
        <v>Lantai Atap</v>
      </c>
      <c r="B6475">
        <f>B6445+1</f>
        <v>10</v>
      </c>
      <c r="C6475" t="str">
        <f>CONCATENATE(A6475," no. ",B6475)</f>
        <v>Lantai Atap no. 10</v>
      </c>
      <c r="D6475" t="str">
        <f>VLOOKUP(C6475,'Data Panjang Balok'!$C$9:$N$254,2,FALSE)</f>
        <v>B24-1</v>
      </c>
    </row>
    <row r="6476">
      <c r="C6476" t="str">
        <v>Dimensi</v>
      </c>
      <c r="D6476">
        <f>VLOOKUP(D6475,'Detail Balok'!$C$10:$AU$140,2,FALSE)</f>
        <v>200</v>
      </c>
      <c r="F6476" t="str">
        <v>x</v>
      </c>
      <c r="G6476">
        <f>VLOOKUP(D6475,'Detail Balok'!$C$10:$AU$140,3,FALSE)</f>
        <v>400</v>
      </c>
    </row>
    <row r="6477">
      <c r="C6477" t="str">
        <v>Panjang as ke as</v>
      </c>
      <c r="D6477">
        <f>VLOOKUP(C6475,'Data Panjang Balok'!$C$9:$N$254,4,FALSE)</f>
        <v>4075</v>
      </c>
    </row>
    <row r="6478">
      <c r="C6478" t="str">
        <v>Panjang netto</v>
      </c>
      <c r="D6478">
        <f>VLOOKUP(C6475,'Data Panjang Balok'!$C$9:$N$254,7,FALSE)</f>
        <v>4075</v>
      </c>
    </row>
    <row r="6479">
      <c r="C6479" t="str">
        <v>Kolom / balok kiri</v>
      </c>
      <c r="D6479">
        <f>VLOOKUP(C6475,'Data Panjang Balok'!$C$9:$N$254,9,FALSE)</f>
        <v>0</v>
      </c>
    </row>
    <row r="6480">
      <c r="C6480" t="str">
        <v>Kolom / balok kanan</v>
      </c>
      <c r="D6480">
        <f>VLOOKUP(C6475,'Data Panjang Balok'!$C$9:$N$254,10,FALSE)</f>
        <v>0</v>
      </c>
    </row>
    <row r="6481">
      <c r="C6481" t="str">
        <v>Jumlah</v>
      </c>
      <c r="D6481">
        <f>VLOOKUP(C6475,'Data Panjang Balok'!$C$9:$N$254,3,FALSE)</f>
        <v>1</v>
      </c>
    </row>
    <row r="6482">
      <c r="A6482" t="str">
        <f>A6475</f>
        <v>Lantai Atap</v>
      </c>
      <c r="B6482">
        <f>B6475</f>
        <v>10</v>
      </c>
      <c r="C6482" t="str">
        <v>Tul Atas Tumpuan</v>
      </c>
      <c r="D6482">
        <f>VLOOKUP(D6475,'Detail Balok'!$C$10:$AU$140,4,FALSE)</f>
        <v>3</v>
      </c>
      <c r="E6482" t="str">
        <v>D</v>
      </c>
      <c r="F6482">
        <f>VLOOKUP(D6475,'Detail Balok'!$C$10:$AU$140,6,FALSE)</f>
        <v>13</v>
      </c>
      <c r="I6482" t="str">
        <v>(</v>
      </c>
      <c r="J6482">
        <f>+D6477/4/1000</f>
        <v>1.01875</v>
      </c>
      <c r="K6482" t="str">
        <v>+</v>
      </c>
      <c r="L6482">
        <f>MAX(VLOOKUP(F6482,N$6:P$15,3,FALSE)/1000,2/3*D6479/1000)+F$16*F6482/1000</f>
        <v>0.156</v>
      </c>
      <c r="M6482" t="str">
        <v>=</v>
      </c>
      <c r="N6482">
        <f>J6482+L6482</f>
        <v>1.17475</v>
      </c>
      <c r="O6482" t="str">
        <v>+</v>
      </c>
      <c r="P6482">
        <f>D6482-D6483</f>
        <v>0</v>
      </c>
      <c r="Q6482" t="str">
        <v>x</v>
      </c>
      <c r="R6482">
        <f>IF(P6482&gt;0,$F$18*F6482/1000,0)</f>
        <v>0</v>
      </c>
      <c r="S6482" t="str">
        <v>)</v>
      </c>
      <c r="T6482" t="str">
        <v>x</v>
      </c>
      <c r="U6482">
        <f>0.006165*F6482^2</f>
        <v>1.041885</v>
      </c>
      <c r="X6482" t="str">
        <v>x</v>
      </c>
      <c r="Y6482">
        <f>D6481</f>
        <v>1</v>
      </c>
      <c r="Z6482" t="str">
        <v>=</v>
      </c>
      <c r="AA6482">
        <f>IF(AA6485=0,(D6482*N6482+P6482*R6482)*U6482*Y6482,0)</f>
        <v>0</v>
      </c>
    </row>
    <row r="6483">
      <c r="A6483" t="str">
        <f>A6475</f>
        <v>Lantai Atap</v>
      </c>
      <c r="B6483">
        <f>B6475</f>
        <v>10</v>
      </c>
      <c r="C6483" t="str">
        <v>Tul Atas Lapangan</v>
      </c>
      <c r="D6483">
        <f>VLOOKUP(D6475,'Detail Balok'!$C$10:$AU$140,7,FALSE)</f>
        <v>3</v>
      </c>
      <c r="E6483" t="str">
        <v>D</v>
      </c>
      <c r="F6483">
        <f>VLOOKUP(D6475,'Detail Balok'!$C$10:$AU$140,9,FALSE)</f>
        <v>13</v>
      </c>
      <c r="I6483" t="str">
        <v>(</v>
      </c>
      <c r="J6483">
        <f>+D6477/2/1000</f>
        <v>2.0375</v>
      </c>
      <c r="K6483" t="str">
        <v>+</v>
      </c>
      <c r="M6483" t="str">
        <v>=</v>
      </c>
      <c r="N6483">
        <f>J6483+L6483</f>
        <v>2.0375</v>
      </c>
      <c r="O6483" t="str">
        <v>+</v>
      </c>
      <c r="P6483">
        <f>MAX(D6483-D6482,D6483-D6484)</f>
        <v>0</v>
      </c>
      <c r="Q6483" t="str">
        <v>x</v>
      </c>
      <c r="R6483">
        <f>IF(P6483&gt;0,2*(1-2*$F$19-1/2)*D6478/1000,0)</f>
        <v>0</v>
      </c>
      <c r="S6483" t="str">
        <v>)</v>
      </c>
      <c r="T6483" t="str">
        <v>x</v>
      </c>
      <c r="U6483">
        <f>0.006165*F6483^2</f>
        <v>1.041885</v>
      </c>
      <c r="X6483" t="str">
        <v>x</v>
      </c>
      <c r="Y6483">
        <f>D6481</f>
        <v>1</v>
      </c>
      <c r="Z6483" t="str">
        <v>=</v>
      </c>
      <c r="AA6483">
        <f>IF(AA6485=0,(D6483*N6483+P6483*R6483)*U6483*Y6483,0)</f>
        <v>0</v>
      </c>
    </row>
    <row r="6484">
      <c r="A6484" t="str">
        <f>A6475</f>
        <v>Lantai Atap</v>
      </c>
      <c r="B6484">
        <f>B6475</f>
        <v>10</v>
      </c>
      <c r="C6484" t="str">
        <v>Tul Atas Tumpuan</v>
      </c>
      <c r="D6484">
        <f>VLOOKUP(D6475,'Detail Balok'!$C$10:$AU$140,10,FALSE)</f>
        <v>3</v>
      </c>
      <c r="E6484" t="str">
        <v>D</v>
      </c>
      <c r="F6484">
        <f>VLOOKUP(D6475,'Detail Balok'!$C$10:$AU$140,12,FALSE)</f>
        <v>13</v>
      </c>
      <c r="I6484" t="str">
        <v>(</v>
      </c>
      <c r="J6484">
        <f>+D6477/4/1000</f>
        <v>1.01875</v>
      </c>
      <c r="K6484" t="str">
        <v>+</v>
      </c>
      <c r="L6484">
        <f>MAX(VLOOKUP(F6484,N$6:P$15,3,FALSE)/1000,2/3*D6479/1000)+F$16*F6484/1000</f>
        <v>0.156</v>
      </c>
      <c r="M6484" t="str">
        <v>=</v>
      </c>
      <c r="N6484">
        <f>J6484+L6484</f>
        <v>1.17475</v>
      </c>
      <c r="O6484" t="str">
        <v>+</v>
      </c>
      <c r="P6484">
        <f>D6484-D6483</f>
        <v>0</v>
      </c>
      <c r="Q6484" t="str">
        <v>x</v>
      </c>
      <c r="R6484">
        <f>IF(P6484&gt;0,$F$18*F6484/1000,0)</f>
        <v>0</v>
      </c>
      <c r="S6484" t="str">
        <v>)</v>
      </c>
      <c r="T6484" t="str">
        <v>x</v>
      </c>
      <c r="U6484">
        <f>0.006165*F6484^2</f>
        <v>1.041885</v>
      </c>
      <c r="X6484" t="str">
        <v>x</v>
      </c>
      <c r="Y6484">
        <f>D6481</f>
        <v>1</v>
      </c>
      <c r="Z6484" t="str">
        <v>=</v>
      </c>
      <c r="AA6484">
        <f>IF(AA6485=0,(D6484*N6484+P6484*R6484)*U6484*Y6484,0)</f>
        <v>0</v>
      </c>
    </row>
    <row r="6485">
      <c r="A6485" t="str">
        <f>A6475</f>
        <v>Lantai Atap</v>
      </c>
      <c r="B6485">
        <f>B6475</f>
        <v>10</v>
      </c>
      <c r="D6485">
        <f>IF(AND(D6482=D6483,D6483=D6484,D6482=D6484),D6482,0)</f>
        <v>3</v>
      </c>
      <c r="E6485" t="str">
        <v>D</v>
      </c>
      <c r="F6485">
        <f>IF(AND(F6482=F6483,F6482=F6484,F6483=F6484),F6482,0)</f>
        <v>13</v>
      </c>
      <c r="L6485" t="str">
        <v>Total panjang per balok</v>
      </c>
      <c r="M6485" t="str">
        <v>=</v>
      </c>
      <c r="N6485">
        <f>IF(AND(D6482=D6483,D6482=D6484,D6483=D6484,F6482=F6483,F6482=F6484,F6483=F6484),SUM(N6482:N6484),0)</f>
        <v>4.3870000000000005</v>
      </c>
      <c r="O6485" t="str">
        <v>+</v>
      </c>
      <c r="P6485">
        <f>IF(N6485&gt;12,ROUNDDOWN(N6485/12,0),0)</f>
        <v>0</v>
      </c>
      <c r="Q6485" t="str">
        <v>x</v>
      </c>
      <c r="R6485">
        <f>IF(P6485&gt;0,MAX(VLOOKUP(F6485,$D$6:$G$15,3,FALSE),600),0)/1000</f>
        <v>0</v>
      </c>
      <c r="T6485" t="str">
        <v>x</v>
      </c>
      <c r="U6485">
        <f>U6484</f>
        <v>1.041885</v>
      </c>
      <c r="V6485" t="str">
        <v>x</v>
      </c>
      <c r="W6485">
        <f>D6485</f>
        <v>3</v>
      </c>
      <c r="X6485" t="str">
        <v>x</v>
      </c>
      <c r="Y6485">
        <f>Y6484</f>
        <v>1</v>
      </c>
      <c r="Z6485" t="str">
        <v>=</v>
      </c>
      <c r="AA6485">
        <f>(N6485+P6485*R6485/1000)*U6485*W6485*Y6485</f>
        <v>13.712248485</v>
      </c>
    </row>
    <row r="6487">
      <c r="A6487" t="str">
        <f>A6475</f>
        <v>Lantai Atap</v>
      </c>
      <c r="B6487">
        <f>B6475</f>
        <v>10</v>
      </c>
      <c r="C6487" t="str">
        <v>Tul Peminggang</v>
      </c>
      <c r="D6487">
        <f>VLOOKUP(D6475,'Detail Balok'!$C$10:$AU$140,13,FALSE)</f>
        <v>0</v>
      </c>
      <c r="E6487" t="str">
        <v>D</v>
      </c>
      <c r="F6487">
        <f>VLOOKUP(D6475,'Detail Balok'!$C$10:$AU$140,15,FALSE)</f>
        <v>8</v>
      </c>
      <c r="J6487">
        <f>+D6477/1000</f>
        <v>4.075</v>
      </c>
      <c r="K6487" t="str">
        <v>+</v>
      </c>
      <c r="L6487">
        <f>2*$F$16*F6487/1000</f>
        <v>0.192</v>
      </c>
      <c r="M6487" t="str">
        <v>=</v>
      </c>
      <c r="N6487">
        <f>J6487+L6487</f>
        <v>4.267</v>
      </c>
      <c r="O6487" t="str">
        <v>+</v>
      </c>
      <c r="P6487">
        <f>IF(N6487&gt;12,ROUNDDOWN(N6487/12,0),0)</f>
        <v>0</v>
      </c>
      <c r="Q6487" t="str">
        <v>x</v>
      </c>
      <c r="R6487">
        <f>IF(P6487&gt;0,MAX(VLOOKUP(F6487,$D$6:$G$15,3,FALSE),600),0)/1000</f>
        <v>0</v>
      </c>
      <c r="T6487" t="str">
        <v>x</v>
      </c>
      <c r="U6487">
        <f>0.006165*F6487^2</f>
        <v>0.39456</v>
      </c>
      <c r="V6487" t="str">
        <v>x</v>
      </c>
      <c r="W6487">
        <f>+D6487</f>
        <v>0</v>
      </c>
      <c r="X6487" t="str">
        <v>x</v>
      </c>
      <c r="Y6487">
        <f>D6481</f>
        <v>1</v>
      </c>
      <c r="Z6487" t="str">
        <v>=</v>
      </c>
      <c r="AA6487">
        <f>(N6487+P6487*R6487/1000)*U6487*W6487*Y6487</f>
        <v>0</v>
      </c>
    </row>
    <row r="6490">
      <c r="A6490" t="str">
        <f>A6475</f>
        <v>Lantai Atap</v>
      </c>
      <c r="B6490">
        <f>B6475</f>
        <v>10</v>
      </c>
      <c r="C6490" t="str">
        <v>Tul Bawah Tumpuan</v>
      </c>
      <c r="D6490">
        <f>VLOOKUP(D6475,'Detail Balok'!$C$10:$AU$140,22,FALSE)</f>
        <v>3</v>
      </c>
      <c r="E6490" t="str">
        <v>D</v>
      </c>
      <c r="F6490">
        <f>VLOOKUP(D6475,'Detail Balok'!$C$10:$AU$140,24,FALSE)</f>
        <v>13</v>
      </c>
      <c r="I6490" t="str">
        <v>(</v>
      </c>
      <c r="J6490">
        <f>+J6482</f>
        <v>1.01875</v>
      </c>
      <c r="K6490" t="str">
        <v>+</v>
      </c>
      <c r="L6490">
        <f>MAX(VLOOKUP(F6490,N$6:P$15,3,FALSE)/1000,2/3*D6480/1000)+F$16*F6490/1000</f>
        <v>0.156</v>
      </c>
      <c r="M6490" t="str">
        <v>=</v>
      </c>
      <c r="N6490">
        <f>J6490+L6490</f>
        <v>1.17475</v>
      </c>
      <c r="O6490" t="str">
        <v>+</v>
      </c>
      <c r="P6490">
        <f>D6490-D6491</f>
        <v>0</v>
      </c>
      <c r="Q6490" t="str">
        <v>x</v>
      </c>
      <c r="R6490">
        <f>IF(P6490&gt;0,$F$18*F6490/1000,0)</f>
        <v>0</v>
      </c>
      <c r="S6490" t="str">
        <v>)</v>
      </c>
      <c r="T6490" t="str">
        <v>x</v>
      </c>
      <c r="U6490">
        <f>0.006165*F6490^2</f>
        <v>1.041885</v>
      </c>
      <c r="X6490" t="str">
        <v>x</v>
      </c>
      <c r="Y6490">
        <f>D6481</f>
        <v>1</v>
      </c>
      <c r="Z6490" t="str">
        <v>=</v>
      </c>
      <c r="AA6490">
        <f>IF(AA6493=0,(D6490*N6490+P6490*R6490)*U6490*Y6490,0)</f>
        <v>0</v>
      </c>
    </row>
    <row r="6491">
      <c r="A6491" t="str">
        <f>A6475</f>
        <v>Lantai Atap</v>
      </c>
      <c r="B6491">
        <f>B6475</f>
        <v>10</v>
      </c>
      <c r="C6491" t="str">
        <v>Tul Bawah Lapangan</v>
      </c>
      <c r="D6491">
        <f>VLOOKUP(D6475,'Detail Balok'!$C$10:$AU$140,25,FALSE)</f>
        <v>3</v>
      </c>
      <c r="E6491" t="str">
        <v>D</v>
      </c>
      <c r="F6491">
        <f>VLOOKUP(D6475,'Detail Balok'!$C$10:$AU$140,27,FALSE)</f>
        <v>13</v>
      </c>
      <c r="I6491" t="str">
        <v>(</v>
      </c>
      <c r="J6491">
        <f>+J6483</f>
        <v>2.0375</v>
      </c>
      <c r="K6491" t="str">
        <v>+</v>
      </c>
      <c r="M6491" t="str">
        <v>=</v>
      </c>
      <c r="N6491">
        <f>J6491+L6491</f>
        <v>2.0375</v>
      </c>
      <c r="O6491" t="str">
        <v>+</v>
      </c>
      <c r="P6491">
        <f>MAX(D6491-D6490,D6491-D6492)</f>
        <v>0</v>
      </c>
      <c r="Q6491" t="str">
        <v>x</v>
      </c>
      <c r="R6491">
        <f>IF(P6491&gt;0,2*(1-2*$F$19-1/2)*D6478/1000,0)</f>
        <v>0</v>
      </c>
      <c r="S6491" t="str">
        <v>)</v>
      </c>
      <c r="T6491" t="str">
        <v>x</v>
      </c>
      <c r="U6491">
        <f>0.006165*F6491^2</f>
        <v>1.041885</v>
      </c>
      <c r="X6491" t="str">
        <v>x</v>
      </c>
      <c r="Y6491">
        <f>D6481</f>
        <v>1</v>
      </c>
      <c r="Z6491" t="str">
        <v>=</v>
      </c>
      <c r="AA6491">
        <f>IF(AA6493=0,(D6491*N6491+P6491*R6491)*U6491*Y6491,0)</f>
        <v>0</v>
      </c>
    </row>
    <row r="6492">
      <c r="A6492" t="str">
        <f>A6475</f>
        <v>Lantai Atap</v>
      </c>
      <c r="B6492">
        <f>B6475</f>
        <v>10</v>
      </c>
      <c r="C6492" t="str">
        <v>Tul Bawah Tumpuan</v>
      </c>
      <c r="D6492">
        <f>VLOOKUP(D6475,'Detail Balok'!$C$10:$AU$140,28,FALSE)</f>
        <v>3</v>
      </c>
      <c r="E6492" t="str">
        <v>D</v>
      </c>
      <c r="F6492">
        <f>VLOOKUP(D6475,'Detail Balok'!$C$10:$AU$140,30,FALSE)</f>
        <v>13</v>
      </c>
      <c r="I6492" t="str">
        <v>(</v>
      </c>
      <c r="J6492">
        <f>+J6484</f>
        <v>1.01875</v>
      </c>
      <c r="K6492" t="str">
        <v>+</v>
      </c>
      <c r="L6492">
        <f>MAX(VLOOKUP(F6492,N$6:P$15,3,FALSE)/1000,2/3*D6480/1000)+F$16*F6492/1000</f>
        <v>0.156</v>
      </c>
      <c r="M6492" t="str">
        <v>=</v>
      </c>
      <c r="N6492">
        <f>J6492+L6492</f>
        <v>1.17475</v>
      </c>
      <c r="O6492" t="str">
        <v>+</v>
      </c>
      <c r="P6492">
        <f>D6492-D6491</f>
        <v>0</v>
      </c>
      <c r="Q6492" t="str">
        <v>x</v>
      </c>
      <c r="R6492">
        <f>IF(P6492&gt;0,$F$18*F6492/1000,0)</f>
        <v>0</v>
      </c>
      <c r="S6492" t="str">
        <v>)</v>
      </c>
      <c r="T6492" t="str">
        <v>x</v>
      </c>
      <c r="U6492">
        <f>0.006165*F6492^2</f>
        <v>1.041885</v>
      </c>
      <c r="X6492" t="str">
        <v>x</v>
      </c>
      <c r="Y6492">
        <f>D6481</f>
        <v>1</v>
      </c>
      <c r="Z6492" t="str">
        <v>=</v>
      </c>
      <c r="AA6492">
        <f>IF(AA6493=0,(D6492*N6492+P6492*R6492)*U6492*Y6492,0)</f>
        <v>0</v>
      </c>
    </row>
    <row r="6493">
      <c r="A6493" t="str">
        <f>A6475</f>
        <v>Lantai Atap</v>
      </c>
      <c r="B6493">
        <f>B6475</f>
        <v>10</v>
      </c>
      <c r="D6493">
        <f>IF(AND(D6490=D6491,D6491=D6492,D6490=D6492),D6490,0)</f>
        <v>3</v>
      </c>
      <c r="E6493" t="str">
        <v>D</v>
      </c>
      <c r="F6493">
        <f>IF(AND(F6490=F6491,F6490=F6492,F6491=F6492),F6490,0)</f>
        <v>13</v>
      </c>
      <c r="L6493" t="str">
        <v>Total panjang per balok</v>
      </c>
      <c r="M6493" t="str">
        <v>=</v>
      </c>
      <c r="N6493">
        <f>IF(AND(D6490=D6491,D6490=D6492,D6491=D6492,F6490=F6491,F6490=F6492,F6491=F6492),SUM(N6490:N6492),0)</f>
        <v>4.3870000000000005</v>
      </c>
      <c r="O6493" t="str">
        <v>+</v>
      </c>
      <c r="P6493">
        <f>IF(N6493&gt;12,ROUNDDOWN(N6493/12,0),0)</f>
        <v>0</v>
      </c>
      <c r="Q6493" t="str">
        <v>x</v>
      </c>
      <c r="R6493">
        <f>IF(P6493&gt;0,MAX(VLOOKUP(F6493,$D$6:$G$15,3,FALSE),600),0)/1000</f>
        <v>0</v>
      </c>
      <c r="T6493" t="str">
        <v>x</v>
      </c>
      <c r="U6493">
        <f>U6492</f>
        <v>1.041885</v>
      </c>
      <c r="V6493" t="str">
        <v>x</v>
      </c>
      <c r="W6493">
        <f>D6493</f>
        <v>3</v>
      </c>
      <c r="X6493" t="str">
        <v>x</v>
      </c>
      <c r="Y6493">
        <f>Y6492</f>
        <v>1</v>
      </c>
      <c r="Z6493" t="str">
        <v>=</v>
      </c>
      <c r="AA6493">
        <f>(N6493+P6493*R6493/1000)*U6493*W6493*Y6493</f>
        <v>13.712248485</v>
      </c>
    </row>
    <row r="6495">
      <c r="A6495" t="str">
        <f>A6475</f>
        <v>Lantai Atap</v>
      </c>
      <c r="B6495">
        <f>B6475</f>
        <v>10</v>
      </c>
      <c r="C6495" t="str">
        <v>Sengkang Tumpuan</v>
      </c>
      <c r="D6495">
        <f>VLOOKUP(D6475,'Detail Balok'!$C$10:$AU$140,31,FALSE)</f>
        <v>0</v>
      </c>
      <c r="E6495" t="str">
        <v>D</v>
      </c>
      <c r="F6495">
        <f>VLOOKUP(D6475,'Detail Balok'!$C$10:$AU$140,33,FALSE)</f>
        <v>10</v>
      </c>
      <c r="G6495" t="str">
        <v>-</v>
      </c>
      <c r="H6495">
        <f>VLOOKUP(D6475,'Detail Balok'!$C$10:$AU$140,35,FALSE)</f>
        <v>100</v>
      </c>
      <c r="J6495">
        <f>(IF(D6495=0,(2*(D6476+G6476))-(F$5*8),IF(D6495=3,(2*(D6476+G6476))-(F$5*8)+(G6476-2*F$5),IF(D6495=4,(2*(D6476+G6476))-(F$5*8)+2*(G6476-2*F$5)))))/1000</f>
        <v>0.88</v>
      </c>
      <c r="K6495" t="str">
        <v>+</v>
      </c>
      <c r="L6495">
        <f>IF(D6495=0,2*MAX(6*F6495,75),(D6495-1)*2*MAX(6*F6495,75))/1000</f>
        <v>0.15</v>
      </c>
      <c r="M6495" t="str">
        <v>=</v>
      </c>
      <c r="N6495">
        <f>J6495+L6495</f>
        <v>1.03</v>
      </c>
      <c r="T6495" t="str">
        <v>x</v>
      </c>
      <c r="U6495">
        <f>0.006165*F6495^2</f>
        <v>0.6165</v>
      </c>
      <c r="V6495" t="str">
        <v>x</v>
      </c>
      <c r="W6495">
        <f>IF(D6478&gt;4*G6476,ROUND(MAX(D6478/4,2*G6476)/H6495,0)+1,ROUND(D6478/H6495,0)+1)</f>
        <v>11</v>
      </c>
      <c r="X6495" t="str">
        <v>x</v>
      </c>
      <c r="Y6495">
        <f>D6481</f>
        <v>1</v>
      </c>
      <c r="Z6495" t="str">
        <v>=</v>
      </c>
      <c r="AA6495">
        <f>N6495*U6495*W6495*Y6495</f>
        <v>6.984945000000001</v>
      </c>
    </row>
    <row r="6496">
      <c r="A6496" t="str">
        <f>A6475</f>
        <v>Lantai Atap</v>
      </c>
      <c r="B6496">
        <f>B6475</f>
        <v>10</v>
      </c>
      <c r="C6496" t="str">
        <v>Sengkang Lapangan</v>
      </c>
      <c r="D6496">
        <f>VLOOKUP(D6475,'Detail Balok'!$C$10:$AU$140,36,FALSE)</f>
        <v>0</v>
      </c>
      <c r="E6496" t="str">
        <v>D</v>
      </c>
      <c r="F6496">
        <f>VLOOKUP(D6475,'Detail Balok'!$C$10:$AU$140,38,FALSE)</f>
        <v>10</v>
      </c>
      <c r="G6496" t="str">
        <v>-</v>
      </c>
      <c r="H6496">
        <f>VLOOKUP(D6475,'Detail Balok'!$C$10:$AU$140,40,FALSE)</f>
        <v>200</v>
      </c>
      <c r="J6496">
        <f>(IF(D6496=0,(2*(D6476+G6476))-(F$5*8),IF(D6496=3,(2*(D6476+G6476))-(F$5*8)+(G6476-2*F$5),IF(D6496=4,(2*(D6476+G6476))-(F$5*8)+2*(G6476-2*F$5)))))/1000</f>
        <v>0.88</v>
      </c>
      <c r="K6496" t="str">
        <v>+</v>
      </c>
      <c r="L6496">
        <f>IF(D6496=0,2*MAX(6*F6496,75),(D6496-1)*2*MAX(6*F6496,75))/1000</f>
        <v>0.15</v>
      </c>
      <c r="M6496" t="str">
        <v>=</v>
      </c>
      <c r="N6496">
        <f>J6496+L6496</f>
        <v>1.03</v>
      </c>
      <c r="T6496" t="str">
        <v>x</v>
      </c>
      <c r="U6496">
        <f>0.006165*F6496^2</f>
        <v>0.6165</v>
      </c>
      <c r="V6496" t="str">
        <v>x</v>
      </c>
      <c r="W6496">
        <f>IF(D6478-MAX(D6478/4,2*G6476)*2&gt;0,ROUND((D6478-MAX(D6478/4,2*G6476)*2)/H6496,0),0)</f>
        <v>10</v>
      </c>
      <c r="X6496" t="str">
        <v>x</v>
      </c>
      <c r="Y6496">
        <f>D6481</f>
        <v>1</v>
      </c>
      <c r="Z6496" t="str">
        <v>=</v>
      </c>
      <c r="AA6496">
        <f>N6496*U6496*W6496*Y6496</f>
        <v>6.349950000000001</v>
      </c>
    </row>
    <row r="6497">
      <c r="A6497" t="str">
        <f>A6475</f>
        <v>Lantai Atap</v>
      </c>
      <c r="B6497">
        <f>B6475</f>
        <v>10</v>
      </c>
      <c r="C6497" t="str">
        <v>Sengkang Tumpuan</v>
      </c>
      <c r="D6497">
        <f>VLOOKUP(D6475,'Detail Balok'!$C$10:$AU$140,41,FALSE)</f>
        <v>0</v>
      </c>
      <c r="E6497" t="str">
        <v>D</v>
      </c>
      <c r="F6497">
        <f>VLOOKUP(D6475,'Detail Balok'!$C$10:$AU$140,43,FALSE)</f>
        <v>10</v>
      </c>
      <c r="G6497" t="str">
        <v>-</v>
      </c>
      <c r="H6497">
        <f>VLOOKUP(D6475,'Detail Balok'!$C$10:$AU$140,45,FALSE)</f>
        <v>100</v>
      </c>
      <c r="J6497">
        <f>(IF(D6497=0,(2*(D6476+G6476))-(F$5*8),IF(D6497=3,(2*(D6476+G6476))-(F$5*8)+(G6476-2*F$5),IF(D6497=4,(2*(D6476+G6476))-(F$5*8)+2*(G6476-2*F$5)))))/1000</f>
        <v>0.88</v>
      </c>
      <c r="K6497" t="str">
        <v>+</v>
      </c>
      <c r="L6497">
        <f>IF(D6497=0,2*MAX(6*F6497,75),(D6497-1)*2*MAX(6*F6497,75))/1000</f>
        <v>0.15</v>
      </c>
      <c r="M6497" t="str">
        <v>=</v>
      </c>
      <c r="N6497">
        <f>J6497+L6497</f>
        <v>1.03</v>
      </c>
      <c r="T6497" t="str">
        <v>x</v>
      </c>
      <c r="U6497">
        <f>0.006165*F6497^2</f>
        <v>0.6165</v>
      </c>
      <c r="V6497" t="str">
        <v>x</v>
      </c>
      <c r="W6497">
        <f>IF(D6478&gt;4*G6476,ROUND(MAX(D6478/4,2*G6476)/H6497,0)+1,0)</f>
        <v>11</v>
      </c>
      <c r="X6497" t="str">
        <v>x</v>
      </c>
      <c r="Y6497">
        <f>D6481</f>
        <v>1</v>
      </c>
      <c r="Z6497" t="str">
        <v>=</v>
      </c>
      <c r="AA6497">
        <f>N6497*U6497*W6497*Y6497</f>
        <v>6.984945000000001</v>
      </c>
    </row>
    <row r="6499">
      <c r="A6499" t="str">
        <f>A6475</f>
        <v>Lantai Atap</v>
      </c>
      <c r="B6499">
        <f>B6475</f>
        <v>10</v>
      </c>
      <c r="C6499" t="str">
        <v>Kait Horizontal Tump.</v>
      </c>
      <c r="D6499">
        <f>VLOOKUP(D6475,'Detail Balok'!$C$10:$BJ$140,46,FALSE)</f>
        <v>0</v>
      </c>
      <c r="E6499" t="str">
        <v>D</v>
      </c>
      <c r="F6499">
        <f>VLOOKUP(D6475,'Detail Balok'!$C$10:$BJ$140,48,FALSE)</f>
        <v>0</v>
      </c>
      <c r="G6499" t="str">
        <v>-</v>
      </c>
      <c r="H6499">
        <f>VLOOKUP(D6475,'Detail Balok'!$C$10:$BJ$140,50,FALSE)</f>
        <v>100</v>
      </c>
      <c r="J6499">
        <f>(D6476-2*F$5)/1000</f>
        <v>0.12</v>
      </c>
      <c r="K6499" t="str">
        <v>+</v>
      </c>
      <c r="L6499">
        <f>IF(D6499=0,2*MAX(6*F6499,75),(D6499-1)*2*MAX(6*F6499,75))/1000</f>
        <v>0.15</v>
      </c>
      <c r="M6499" t="str">
        <v>=</v>
      </c>
      <c r="N6499">
        <f>J6499+L6499</f>
        <v>0.27</v>
      </c>
      <c r="T6499" t="str">
        <v>x</v>
      </c>
      <c r="U6499">
        <f>0.006165*F6499^2</f>
        <v>0</v>
      </c>
      <c r="V6499" t="str">
        <v>x</v>
      </c>
      <c r="W6499">
        <f>W6495</f>
        <v>11</v>
      </c>
      <c r="X6499" t="str">
        <v>x</v>
      </c>
      <c r="Y6499">
        <f>D6485</f>
        <v>3</v>
      </c>
      <c r="Z6499" t="str">
        <v>=</v>
      </c>
      <c r="AA6499">
        <f>N6499*U6499*W6499*Y6499</f>
        <v>0</v>
      </c>
    </row>
    <row r="6500">
      <c r="A6500" t="str">
        <f>A6475</f>
        <v>Lantai Atap</v>
      </c>
      <c r="B6500">
        <f>B6475</f>
        <v>10</v>
      </c>
      <c r="C6500" t="str">
        <v>Kait Horizontal Lap.</v>
      </c>
      <c r="D6500">
        <f>VLOOKUP(D6475,'Detail Balok'!$C$10:$BJ$140,51,FALSE)</f>
        <v>0</v>
      </c>
      <c r="E6500" t="str">
        <v>D</v>
      </c>
      <c r="F6500">
        <f>VLOOKUP(D6475,'Detail Balok'!$C$10:$BJ$140,53,FALSE)</f>
        <v>0</v>
      </c>
      <c r="G6500" t="str">
        <v>-</v>
      </c>
      <c r="H6500">
        <f>VLOOKUP(D6475,'Detail Balok'!$C$10:$BJ$140,55,FALSE)</f>
        <v>100</v>
      </c>
      <c r="J6500">
        <f>(D6476-2*F$5)/1000</f>
        <v>0.12</v>
      </c>
      <c r="K6500" t="str">
        <v>+</v>
      </c>
      <c r="L6500">
        <f>IF(D6500=0,2*MAX(6*F6500,75),(D6500-1)*2*MAX(6*F6500,75))/1000</f>
        <v>0.15</v>
      </c>
      <c r="M6500" t="str">
        <v>=</v>
      </c>
      <c r="N6500">
        <f>J6500+L6500</f>
        <v>0.27</v>
      </c>
      <c r="T6500" t="str">
        <v>x</v>
      </c>
      <c r="U6500">
        <f>0.006165*F6500^2</f>
        <v>0</v>
      </c>
      <c r="V6500" t="str">
        <v>x</v>
      </c>
      <c r="W6500">
        <f>W6496</f>
        <v>10</v>
      </c>
      <c r="X6500" t="str">
        <v>x</v>
      </c>
      <c r="Y6500">
        <f>D6485</f>
        <v>3</v>
      </c>
      <c r="Z6500" t="str">
        <v>=</v>
      </c>
      <c r="AA6500">
        <f>N6500*U6500*W6500*Y6500</f>
        <v>0</v>
      </c>
    </row>
    <row r="6501">
      <c r="A6501" t="str">
        <f>A6475</f>
        <v>Lantai Atap</v>
      </c>
      <c r="B6501">
        <f>B6475</f>
        <v>10</v>
      </c>
      <c r="C6501" t="str">
        <v>Kait Horizontal Tump.</v>
      </c>
      <c r="D6501">
        <f>VLOOKUP(D6475,'Detail Balok'!$C$10:$BJ$140,56,FALSE)</f>
        <v>0</v>
      </c>
      <c r="E6501" t="str">
        <v>D</v>
      </c>
      <c r="F6501">
        <f>VLOOKUP(D6475,'Detail Balok'!$C$10:$BJ$140,58,FALSE)</f>
        <v>0</v>
      </c>
      <c r="G6501" t="str">
        <v>-</v>
      </c>
      <c r="H6501">
        <f>VLOOKUP(D6475,'Detail Balok'!$C$10:$BJ$140,60,FALSE)</f>
        <v>100</v>
      </c>
      <c r="J6501">
        <f>(D6476-2*F$5)/1000</f>
        <v>0.12</v>
      </c>
      <c r="K6501" t="str">
        <v>+</v>
      </c>
      <c r="L6501">
        <f>IF(D6501=0,2*MAX(6*F6501,75),(D6501-1)*2*MAX(6*F6501,75))/1000</f>
        <v>0.15</v>
      </c>
      <c r="M6501" t="str">
        <v>=</v>
      </c>
      <c r="N6501">
        <f>J6501+L6501</f>
        <v>0.27</v>
      </c>
      <c r="T6501" t="str">
        <v>x</v>
      </c>
      <c r="U6501">
        <f>0.006165*F6501^2</f>
        <v>0</v>
      </c>
      <c r="V6501" t="str">
        <v>x</v>
      </c>
      <c r="W6501">
        <f>W6497</f>
        <v>11</v>
      </c>
      <c r="X6501" t="str">
        <v>x</v>
      </c>
      <c r="Y6501">
        <f>D6485</f>
        <v>3</v>
      </c>
      <c r="Z6501" t="str">
        <v>=</v>
      </c>
      <c r="AA6501">
        <f>N6501*U6501*W6501*Y6501</f>
        <v>0</v>
      </c>
    </row>
    <row r="6505">
      <c r="A6505" t="str">
        <f>A6475</f>
        <v>Lantai Atap</v>
      </c>
      <c r="B6505">
        <f>B6475+1</f>
        <v>11</v>
      </c>
      <c r="C6505" t="str">
        <f>CONCATENATE(A6505," no. ",B6505)</f>
        <v>Lantai Atap no. 11</v>
      </c>
      <c r="D6505" t="str">
        <f>VLOOKUP(C6505,'Data Panjang Balok'!$C$9:$N$254,2,FALSE)</f>
        <v>B24-1</v>
      </c>
    </row>
    <row r="6506">
      <c r="C6506" t="str">
        <v>Dimensi</v>
      </c>
      <c r="D6506">
        <f>VLOOKUP(D6505,'Detail Balok'!$C$10:$AU$140,2,FALSE)</f>
        <v>200</v>
      </c>
      <c r="F6506" t="str">
        <v>x</v>
      </c>
      <c r="G6506">
        <f>VLOOKUP(D6505,'Detail Balok'!$C$10:$AU$140,3,FALSE)</f>
        <v>400</v>
      </c>
    </row>
    <row r="6507">
      <c r="C6507" t="str">
        <v>Panjang as ke as</v>
      </c>
      <c r="D6507">
        <f>VLOOKUP(C6505,'Data Panjang Balok'!$C$9:$N$254,4,FALSE)</f>
        <v>5150</v>
      </c>
    </row>
    <row r="6508">
      <c r="C6508" t="str">
        <v>Panjang netto</v>
      </c>
      <c r="D6508">
        <f>VLOOKUP(C6505,'Data Panjang Balok'!$C$9:$N$254,7,FALSE)</f>
        <v>5150</v>
      </c>
    </row>
    <row r="6509">
      <c r="C6509" t="str">
        <v>Kolom / balok kiri</v>
      </c>
      <c r="D6509">
        <f>VLOOKUP(C6505,'Data Panjang Balok'!$C$9:$N$254,9,FALSE)</f>
        <v>0</v>
      </c>
    </row>
    <row r="6510">
      <c r="C6510" t="str">
        <v>Kolom / balok kanan</v>
      </c>
      <c r="D6510">
        <f>VLOOKUP(C6505,'Data Panjang Balok'!$C$9:$N$254,10,FALSE)</f>
        <v>0</v>
      </c>
    </row>
    <row r="6511">
      <c r="C6511" t="str">
        <v>Jumlah</v>
      </c>
      <c r="D6511">
        <f>VLOOKUP(C6505,'Data Panjang Balok'!$C$9:$N$254,3,FALSE)</f>
        <v>1</v>
      </c>
    </row>
    <row r="6512">
      <c r="A6512" t="str">
        <f>A6505</f>
        <v>Lantai Atap</v>
      </c>
      <c r="B6512">
        <f>B6505</f>
        <v>11</v>
      </c>
      <c r="C6512" t="str">
        <v>Tul Atas Tumpuan</v>
      </c>
      <c r="D6512">
        <f>VLOOKUP(D6505,'Detail Balok'!$C$10:$AU$140,4,FALSE)</f>
        <v>3</v>
      </c>
      <c r="E6512" t="str">
        <v>D</v>
      </c>
      <c r="F6512">
        <f>VLOOKUP(D6505,'Detail Balok'!$C$10:$AU$140,6,FALSE)</f>
        <v>13</v>
      </c>
      <c r="I6512" t="str">
        <v>(</v>
      </c>
      <c r="J6512">
        <f>+D6507/4/1000</f>
        <v>1.2875</v>
      </c>
      <c r="K6512" t="str">
        <v>+</v>
      </c>
      <c r="L6512">
        <f>MAX(VLOOKUP(F6512,N$6:P$15,3,FALSE)/1000,2/3*D6509/1000)+F$16*F6512/1000</f>
        <v>0.156</v>
      </c>
      <c r="M6512" t="str">
        <v>=</v>
      </c>
      <c r="N6512">
        <f>J6512+L6512</f>
        <v>1.4435</v>
      </c>
      <c r="O6512" t="str">
        <v>+</v>
      </c>
      <c r="P6512">
        <f>D6512-D6513</f>
        <v>0</v>
      </c>
      <c r="Q6512" t="str">
        <v>x</v>
      </c>
      <c r="R6512">
        <f>IF(P6512&gt;0,$F$18*F6512/1000,0)</f>
        <v>0</v>
      </c>
      <c r="S6512" t="str">
        <v>)</v>
      </c>
      <c r="T6512" t="str">
        <v>x</v>
      </c>
      <c r="U6512">
        <f>0.006165*F6512^2</f>
        <v>1.041885</v>
      </c>
      <c r="X6512" t="str">
        <v>x</v>
      </c>
      <c r="Y6512">
        <f>D6511</f>
        <v>1</v>
      </c>
      <c r="Z6512" t="str">
        <v>=</v>
      </c>
      <c r="AA6512">
        <f>IF(AA6515=0,(D6512*N6512+P6512*R6512)*U6512*Y6512,0)</f>
        <v>0</v>
      </c>
    </row>
    <row r="6513">
      <c r="A6513" t="str">
        <f>A6505</f>
        <v>Lantai Atap</v>
      </c>
      <c r="B6513">
        <f>B6505</f>
        <v>11</v>
      </c>
      <c r="C6513" t="str">
        <v>Tul Atas Lapangan</v>
      </c>
      <c r="D6513">
        <f>VLOOKUP(D6505,'Detail Balok'!$C$10:$AU$140,7,FALSE)</f>
        <v>3</v>
      </c>
      <c r="E6513" t="str">
        <v>D</v>
      </c>
      <c r="F6513">
        <f>VLOOKUP(D6505,'Detail Balok'!$C$10:$AU$140,9,FALSE)</f>
        <v>13</v>
      </c>
      <c r="I6513" t="str">
        <v>(</v>
      </c>
      <c r="J6513">
        <f>+D6507/2/1000</f>
        <v>2.575</v>
      </c>
      <c r="K6513" t="str">
        <v>+</v>
      </c>
      <c r="M6513" t="str">
        <v>=</v>
      </c>
      <c r="N6513">
        <f>J6513+L6513</f>
        <v>2.575</v>
      </c>
      <c r="O6513" t="str">
        <v>+</v>
      </c>
      <c r="P6513">
        <f>MAX(D6513-D6512,D6513-D6514)</f>
        <v>0</v>
      </c>
      <c r="Q6513" t="str">
        <v>x</v>
      </c>
      <c r="R6513">
        <f>IF(P6513&gt;0,2*(1-2*$F$19-1/2)*D6508/1000,0)</f>
        <v>0</v>
      </c>
      <c r="S6513" t="str">
        <v>)</v>
      </c>
      <c r="T6513" t="str">
        <v>x</v>
      </c>
      <c r="U6513">
        <f>0.006165*F6513^2</f>
        <v>1.041885</v>
      </c>
      <c r="X6513" t="str">
        <v>x</v>
      </c>
      <c r="Y6513">
        <f>D6511</f>
        <v>1</v>
      </c>
      <c r="Z6513" t="str">
        <v>=</v>
      </c>
      <c r="AA6513">
        <f>IF(AA6515=0,(D6513*N6513+P6513*R6513)*U6513*Y6513,0)</f>
        <v>0</v>
      </c>
    </row>
    <row r="6514">
      <c r="A6514" t="str">
        <f>A6505</f>
        <v>Lantai Atap</v>
      </c>
      <c r="B6514">
        <f>B6505</f>
        <v>11</v>
      </c>
      <c r="C6514" t="str">
        <v>Tul Atas Tumpuan</v>
      </c>
      <c r="D6514">
        <f>VLOOKUP(D6505,'Detail Balok'!$C$10:$AU$140,10,FALSE)</f>
        <v>3</v>
      </c>
      <c r="E6514" t="str">
        <v>D</v>
      </c>
      <c r="F6514">
        <f>VLOOKUP(D6505,'Detail Balok'!$C$10:$AU$140,12,FALSE)</f>
        <v>13</v>
      </c>
      <c r="I6514" t="str">
        <v>(</v>
      </c>
      <c r="J6514">
        <f>+D6507/4/1000</f>
        <v>1.2875</v>
      </c>
      <c r="K6514" t="str">
        <v>+</v>
      </c>
      <c r="L6514">
        <f>MAX(VLOOKUP(F6514,N$6:P$15,3,FALSE)/1000,2/3*D6509/1000)+F$16*F6514/1000</f>
        <v>0.156</v>
      </c>
      <c r="M6514" t="str">
        <v>=</v>
      </c>
      <c r="N6514">
        <f>J6514+L6514</f>
        <v>1.4435</v>
      </c>
      <c r="O6514" t="str">
        <v>+</v>
      </c>
      <c r="P6514">
        <f>D6514-D6513</f>
        <v>0</v>
      </c>
      <c r="Q6514" t="str">
        <v>x</v>
      </c>
      <c r="R6514">
        <f>IF(P6514&gt;0,$F$18*F6514/1000,0)</f>
        <v>0</v>
      </c>
      <c r="S6514" t="str">
        <v>)</v>
      </c>
      <c r="T6514" t="str">
        <v>x</v>
      </c>
      <c r="U6514">
        <f>0.006165*F6514^2</f>
        <v>1.041885</v>
      </c>
      <c r="X6514" t="str">
        <v>x</v>
      </c>
      <c r="Y6514">
        <f>D6511</f>
        <v>1</v>
      </c>
      <c r="Z6514" t="str">
        <v>=</v>
      </c>
      <c r="AA6514">
        <f>IF(AA6515=0,(D6514*N6514+P6514*R6514)*U6514*Y6514,0)</f>
        <v>0</v>
      </c>
    </row>
    <row r="6515">
      <c r="A6515" t="str">
        <f>A6505</f>
        <v>Lantai Atap</v>
      </c>
      <c r="B6515">
        <f>B6505</f>
        <v>11</v>
      </c>
      <c r="D6515">
        <f>IF(AND(D6512=D6513,D6513=D6514,D6512=D6514),D6512,0)</f>
        <v>3</v>
      </c>
      <c r="E6515" t="str">
        <v>D</v>
      </c>
      <c r="F6515">
        <f>IF(AND(F6512=F6513,F6512=F6514,F6513=F6514),F6512,0)</f>
        <v>13</v>
      </c>
      <c r="L6515" t="str">
        <v>Total panjang per balok</v>
      </c>
      <c r="M6515" t="str">
        <v>=</v>
      </c>
      <c r="N6515">
        <f>IF(AND(D6512=D6513,D6512=D6514,D6513=D6514,F6512=F6513,F6512=F6514,F6513=F6514),SUM(N6512:N6514),0)</f>
        <v>5.462000000000001</v>
      </c>
      <c r="O6515" t="str">
        <v>+</v>
      </c>
      <c r="P6515">
        <f>IF(N6515&gt;12,ROUNDDOWN(N6515/12,0),0)</f>
        <v>0</v>
      </c>
      <c r="Q6515" t="str">
        <v>x</v>
      </c>
      <c r="R6515">
        <f>IF(P6515&gt;0,MAX(VLOOKUP(F6515,$D$6:$G$15,3,FALSE),600),0)/1000</f>
        <v>0</v>
      </c>
      <c r="T6515" t="str">
        <v>x</v>
      </c>
      <c r="U6515">
        <f>U6514</f>
        <v>1.041885</v>
      </c>
      <c r="V6515" t="str">
        <v>x</v>
      </c>
      <c r="W6515">
        <f>D6515</f>
        <v>3</v>
      </c>
      <c r="X6515" t="str">
        <v>x</v>
      </c>
      <c r="Y6515">
        <f>Y6514</f>
        <v>1</v>
      </c>
      <c r="Z6515" t="str">
        <v>=</v>
      </c>
      <c r="AA6515">
        <f>(N6515+P6515*R6515/1000)*U6515*W6515*Y6515</f>
        <v>17.072327610000002</v>
      </c>
    </row>
    <row r="6517">
      <c r="A6517" t="str">
        <f>A6505</f>
        <v>Lantai Atap</v>
      </c>
      <c r="B6517">
        <f>B6505</f>
        <v>11</v>
      </c>
      <c r="C6517" t="str">
        <v>Tul Peminggang</v>
      </c>
      <c r="D6517">
        <f>VLOOKUP(D6505,'Detail Balok'!$C$10:$AU$140,13,FALSE)</f>
        <v>0</v>
      </c>
      <c r="E6517" t="str">
        <v>D</v>
      </c>
      <c r="F6517">
        <f>VLOOKUP(D6505,'Detail Balok'!$C$10:$AU$140,15,FALSE)</f>
        <v>8</v>
      </c>
      <c r="J6517">
        <f>+D6507/1000</f>
        <v>5.15</v>
      </c>
      <c r="K6517" t="str">
        <v>+</v>
      </c>
      <c r="L6517">
        <f>2*$F$16*F6517/1000</f>
        <v>0.192</v>
      </c>
      <c r="M6517" t="str">
        <v>=</v>
      </c>
      <c r="N6517">
        <f>J6517+L6517</f>
        <v>5.3420000000000005</v>
      </c>
      <c r="O6517" t="str">
        <v>+</v>
      </c>
      <c r="P6517">
        <f>IF(N6517&gt;12,ROUNDDOWN(N6517/12,0),0)</f>
        <v>0</v>
      </c>
      <c r="Q6517" t="str">
        <v>x</v>
      </c>
      <c r="R6517">
        <f>IF(P6517&gt;0,MAX(VLOOKUP(F6517,$D$6:$G$15,3,FALSE),600),0)/1000</f>
        <v>0</v>
      </c>
      <c r="T6517" t="str">
        <v>x</v>
      </c>
      <c r="U6517">
        <f>0.006165*F6517^2</f>
        <v>0.39456</v>
      </c>
      <c r="V6517" t="str">
        <v>x</v>
      </c>
      <c r="W6517">
        <f>+D6517</f>
        <v>0</v>
      </c>
      <c r="X6517" t="str">
        <v>x</v>
      </c>
      <c r="Y6517">
        <f>D6511</f>
        <v>1</v>
      </c>
      <c r="Z6517" t="str">
        <v>=</v>
      </c>
      <c r="AA6517">
        <f>(N6517+P6517*R6517/1000)*U6517*W6517*Y6517</f>
        <v>0</v>
      </c>
    </row>
    <row r="6520">
      <c r="A6520" t="str">
        <f>A6505</f>
        <v>Lantai Atap</v>
      </c>
      <c r="B6520">
        <f>B6505</f>
        <v>11</v>
      </c>
      <c r="C6520" t="str">
        <v>Tul Bawah Tumpuan</v>
      </c>
      <c r="D6520">
        <f>VLOOKUP(D6505,'Detail Balok'!$C$10:$AU$140,22,FALSE)</f>
        <v>3</v>
      </c>
      <c r="E6520" t="str">
        <v>D</v>
      </c>
      <c r="F6520">
        <f>VLOOKUP(D6505,'Detail Balok'!$C$10:$AU$140,24,FALSE)</f>
        <v>13</v>
      </c>
      <c r="I6520" t="str">
        <v>(</v>
      </c>
      <c r="J6520">
        <f>+J6512</f>
        <v>1.2875</v>
      </c>
      <c r="K6520" t="str">
        <v>+</v>
      </c>
      <c r="L6520">
        <f>MAX(VLOOKUP(F6520,N$6:P$15,3,FALSE)/1000,2/3*D6510/1000)+F$16*F6520/1000</f>
        <v>0.156</v>
      </c>
      <c r="M6520" t="str">
        <v>=</v>
      </c>
      <c r="N6520">
        <f>J6520+L6520</f>
        <v>1.4435</v>
      </c>
      <c r="O6520" t="str">
        <v>+</v>
      </c>
      <c r="P6520">
        <f>D6520-D6521</f>
        <v>0</v>
      </c>
      <c r="Q6520" t="str">
        <v>x</v>
      </c>
      <c r="R6520">
        <f>IF(P6520&gt;0,$F$18*F6520/1000,0)</f>
        <v>0</v>
      </c>
      <c r="S6520" t="str">
        <v>)</v>
      </c>
      <c r="T6520" t="str">
        <v>x</v>
      </c>
      <c r="U6520">
        <f>0.006165*F6520^2</f>
        <v>1.041885</v>
      </c>
      <c r="X6520" t="str">
        <v>x</v>
      </c>
      <c r="Y6520">
        <f>D6511</f>
        <v>1</v>
      </c>
      <c r="Z6520" t="str">
        <v>=</v>
      </c>
      <c r="AA6520">
        <f>IF(AA6523=0,(D6520*N6520+P6520*R6520)*U6520*Y6520,0)</f>
        <v>0</v>
      </c>
    </row>
    <row r="6521">
      <c r="A6521" t="str">
        <f>A6505</f>
        <v>Lantai Atap</v>
      </c>
      <c r="B6521">
        <f>B6505</f>
        <v>11</v>
      </c>
      <c r="C6521" t="str">
        <v>Tul Bawah Lapangan</v>
      </c>
      <c r="D6521">
        <f>VLOOKUP(D6505,'Detail Balok'!$C$10:$AU$140,25,FALSE)</f>
        <v>3</v>
      </c>
      <c r="E6521" t="str">
        <v>D</v>
      </c>
      <c r="F6521">
        <f>VLOOKUP(D6505,'Detail Balok'!$C$10:$AU$140,27,FALSE)</f>
        <v>13</v>
      </c>
      <c r="I6521" t="str">
        <v>(</v>
      </c>
      <c r="J6521">
        <f>+J6513</f>
        <v>2.575</v>
      </c>
      <c r="K6521" t="str">
        <v>+</v>
      </c>
      <c r="M6521" t="str">
        <v>=</v>
      </c>
      <c r="N6521">
        <f>J6521+L6521</f>
        <v>2.575</v>
      </c>
      <c r="O6521" t="str">
        <v>+</v>
      </c>
      <c r="P6521">
        <f>MAX(D6521-D6520,D6521-D6522)</f>
        <v>0</v>
      </c>
      <c r="Q6521" t="str">
        <v>x</v>
      </c>
      <c r="R6521">
        <f>IF(P6521&gt;0,2*(1-2*$F$19-1/2)*D6508/1000,0)</f>
        <v>0</v>
      </c>
      <c r="S6521" t="str">
        <v>)</v>
      </c>
      <c r="T6521" t="str">
        <v>x</v>
      </c>
      <c r="U6521">
        <f>0.006165*F6521^2</f>
        <v>1.041885</v>
      </c>
      <c r="X6521" t="str">
        <v>x</v>
      </c>
      <c r="Y6521">
        <f>D6511</f>
        <v>1</v>
      </c>
      <c r="Z6521" t="str">
        <v>=</v>
      </c>
      <c r="AA6521">
        <f>IF(AA6523=0,(D6521*N6521+P6521*R6521)*U6521*Y6521,0)</f>
        <v>0</v>
      </c>
    </row>
    <row r="6522">
      <c r="A6522" t="str">
        <f>A6505</f>
        <v>Lantai Atap</v>
      </c>
      <c r="B6522">
        <f>B6505</f>
        <v>11</v>
      </c>
      <c r="C6522" t="str">
        <v>Tul Bawah Tumpuan</v>
      </c>
      <c r="D6522">
        <f>VLOOKUP(D6505,'Detail Balok'!$C$10:$AU$140,28,FALSE)</f>
        <v>3</v>
      </c>
      <c r="E6522" t="str">
        <v>D</v>
      </c>
      <c r="F6522">
        <f>VLOOKUP(D6505,'Detail Balok'!$C$10:$AU$140,30,FALSE)</f>
        <v>13</v>
      </c>
      <c r="I6522" t="str">
        <v>(</v>
      </c>
      <c r="J6522">
        <f>+J6514</f>
        <v>1.2875</v>
      </c>
      <c r="K6522" t="str">
        <v>+</v>
      </c>
      <c r="L6522">
        <f>MAX(VLOOKUP(F6522,N$6:P$15,3,FALSE)/1000,2/3*D6510/1000)+F$16*F6522/1000</f>
        <v>0.156</v>
      </c>
      <c r="M6522" t="str">
        <v>=</v>
      </c>
      <c r="N6522">
        <f>J6522+L6522</f>
        <v>1.4435</v>
      </c>
      <c r="O6522" t="str">
        <v>+</v>
      </c>
      <c r="P6522">
        <f>D6522-D6521</f>
        <v>0</v>
      </c>
      <c r="Q6522" t="str">
        <v>x</v>
      </c>
      <c r="R6522">
        <f>IF(P6522&gt;0,$F$18*F6522/1000,0)</f>
        <v>0</v>
      </c>
      <c r="S6522" t="str">
        <v>)</v>
      </c>
      <c r="T6522" t="str">
        <v>x</v>
      </c>
      <c r="U6522">
        <f>0.006165*F6522^2</f>
        <v>1.041885</v>
      </c>
      <c r="X6522" t="str">
        <v>x</v>
      </c>
      <c r="Y6522">
        <f>D6511</f>
        <v>1</v>
      </c>
      <c r="Z6522" t="str">
        <v>=</v>
      </c>
      <c r="AA6522">
        <f>IF(AA6523=0,(D6522*N6522+P6522*R6522)*U6522*Y6522,0)</f>
        <v>0</v>
      </c>
    </row>
    <row r="6523">
      <c r="A6523" t="str">
        <f>A6505</f>
        <v>Lantai Atap</v>
      </c>
      <c r="B6523">
        <f>B6505</f>
        <v>11</v>
      </c>
      <c r="D6523">
        <f>IF(AND(D6520=D6521,D6521=D6522,D6520=D6522),D6520,0)</f>
        <v>3</v>
      </c>
      <c r="E6523" t="str">
        <v>D</v>
      </c>
      <c r="F6523">
        <f>IF(AND(F6520=F6521,F6520=F6522,F6521=F6522),F6520,0)</f>
        <v>13</v>
      </c>
      <c r="L6523" t="str">
        <v>Total panjang per balok</v>
      </c>
      <c r="M6523" t="str">
        <v>=</v>
      </c>
      <c r="N6523">
        <f>IF(AND(D6520=D6521,D6520=D6522,D6521=D6522,F6520=F6521,F6520=F6522,F6521=F6522),SUM(N6520:N6522),0)</f>
        <v>5.462000000000001</v>
      </c>
      <c r="O6523" t="str">
        <v>+</v>
      </c>
      <c r="P6523">
        <f>IF(N6523&gt;12,ROUNDDOWN(N6523/12,0),0)</f>
        <v>0</v>
      </c>
      <c r="Q6523" t="str">
        <v>x</v>
      </c>
      <c r="R6523">
        <f>IF(P6523&gt;0,MAX(VLOOKUP(F6523,$D$6:$G$15,3,FALSE),600),0)/1000</f>
        <v>0</v>
      </c>
      <c r="T6523" t="str">
        <v>x</v>
      </c>
      <c r="U6523">
        <f>U6522</f>
        <v>1.041885</v>
      </c>
      <c r="V6523" t="str">
        <v>x</v>
      </c>
      <c r="W6523">
        <f>D6523</f>
        <v>3</v>
      </c>
      <c r="X6523" t="str">
        <v>x</v>
      </c>
      <c r="Y6523">
        <f>Y6522</f>
        <v>1</v>
      </c>
      <c r="Z6523" t="str">
        <v>=</v>
      </c>
      <c r="AA6523">
        <f>(N6523+P6523*R6523/1000)*U6523*W6523*Y6523</f>
        <v>17.072327610000002</v>
      </c>
    </row>
    <row r="6525">
      <c r="A6525" t="str">
        <f>A6505</f>
        <v>Lantai Atap</v>
      </c>
      <c r="B6525">
        <f>B6505</f>
        <v>11</v>
      </c>
      <c r="C6525" t="str">
        <v>Sengkang Tumpuan</v>
      </c>
      <c r="D6525">
        <f>VLOOKUP(D6505,'Detail Balok'!$C$10:$AU$140,31,FALSE)</f>
        <v>0</v>
      </c>
      <c r="E6525" t="str">
        <v>D</v>
      </c>
      <c r="F6525">
        <f>VLOOKUP(D6505,'Detail Balok'!$C$10:$AU$140,33,FALSE)</f>
        <v>10</v>
      </c>
      <c r="G6525" t="str">
        <v>-</v>
      </c>
      <c r="H6525">
        <f>VLOOKUP(D6505,'Detail Balok'!$C$10:$AU$140,35,FALSE)</f>
        <v>100</v>
      </c>
      <c r="J6525">
        <f>(IF(D6525=0,(2*(D6506+G6506))-(F$5*8),IF(D6525=3,(2*(D6506+G6506))-(F$5*8)+(G6506-2*F$5),IF(D6525=4,(2*(D6506+G6506))-(F$5*8)+2*(G6506-2*F$5)))))/1000</f>
        <v>0.88</v>
      </c>
      <c r="K6525" t="str">
        <v>+</v>
      </c>
      <c r="L6525">
        <f>IF(D6525=0,2*MAX(6*F6525,75),(D6525-1)*2*MAX(6*F6525,75))/1000</f>
        <v>0.15</v>
      </c>
      <c r="M6525" t="str">
        <v>=</v>
      </c>
      <c r="N6525">
        <f>J6525+L6525</f>
        <v>1.03</v>
      </c>
      <c r="T6525" t="str">
        <v>x</v>
      </c>
      <c r="U6525">
        <f>0.006165*F6525^2</f>
        <v>0.6165</v>
      </c>
      <c r="V6525" t="str">
        <v>x</v>
      </c>
      <c r="W6525">
        <f>IF(D6508&gt;4*G6506,ROUND(MAX(D6508/4,2*G6506)/H6525,0)+1,ROUND(D6508/H6525,0)+1)</f>
        <v>14</v>
      </c>
      <c r="X6525" t="str">
        <v>x</v>
      </c>
      <c r="Y6525">
        <f>D6511</f>
        <v>1</v>
      </c>
      <c r="Z6525" t="str">
        <v>=</v>
      </c>
      <c r="AA6525">
        <f>N6525*U6525*W6525*Y6525</f>
        <v>8.889930000000001</v>
      </c>
    </row>
    <row r="6526">
      <c r="A6526" t="str">
        <f>A6505</f>
        <v>Lantai Atap</v>
      </c>
      <c r="B6526">
        <f>B6505</f>
        <v>11</v>
      </c>
      <c r="C6526" t="str">
        <v>Sengkang Lapangan</v>
      </c>
      <c r="D6526">
        <f>VLOOKUP(D6505,'Detail Balok'!$C$10:$AU$140,36,FALSE)</f>
        <v>0</v>
      </c>
      <c r="E6526" t="str">
        <v>D</v>
      </c>
      <c r="F6526">
        <f>VLOOKUP(D6505,'Detail Balok'!$C$10:$AU$140,38,FALSE)</f>
        <v>10</v>
      </c>
      <c r="G6526" t="str">
        <v>-</v>
      </c>
      <c r="H6526">
        <f>VLOOKUP(D6505,'Detail Balok'!$C$10:$AU$140,40,FALSE)</f>
        <v>200</v>
      </c>
      <c r="J6526">
        <f>(IF(D6526=0,(2*(D6506+G6506))-(F$5*8),IF(D6526=3,(2*(D6506+G6506))-(F$5*8)+(G6506-2*F$5),IF(D6526=4,(2*(D6506+G6506))-(F$5*8)+2*(G6506-2*F$5)))))/1000</f>
        <v>0.88</v>
      </c>
      <c r="K6526" t="str">
        <v>+</v>
      </c>
      <c r="L6526">
        <f>IF(D6526=0,2*MAX(6*F6526,75),(D6526-1)*2*MAX(6*F6526,75))/1000</f>
        <v>0.15</v>
      </c>
      <c r="M6526" t="str">
        <v>=</v>
      </c>
      <c r="N6526">
        <f>J6526+L6526</f>
        <v>1.03</v>
      </c>
      <c r="T6526" t="str">
        <v>x</v>
      </c>
      <c r="U6526">
        <f>0.006165*F6526^2</f>
        <v>0.6165</v>
      </c>
      <c r="V6526" t="str">
        <v>x</v>
      </c>
      <c r="W6526">
        <f>IF(D6508-MAX(D6508/4,2*G6506)*2&gt;0,ROUND((D6508-MAX(D6508/4,2*G6506)*2)/H6526,0),0)</f>
        <v>13</v>
      </c>
      <c r="X6526" t="str">
        <v>x</v>
      </c>
      <c r="Y6526">
        <f>D6511</f>
        <v>1</v>
      </c>
      <c r="Z6526" t="str">
        <v>=</v>
      </c>
      <c r="AA6526">
        <f>N6526*U6526*W6526*Y6526</f>
        <v>8.254935000000001</v>
      </c>
    </row>
    <row r="6527">
      <c r="A6527" t="str">
        <f>A6505</f>
        <v>Lantai Atap</v>
      </c>
      <c r="B6527">
        <f>B6505</f>
        <v>11</v>
      </c>
      <c r="C6527" t="str">
        <v>Sengkang Tumpuan</v>
      </c>
      <c r="D6527">
        <f>VLOOKUP(D6505,'Detail Balok'!$C$10:$AU$140,41,FALSE)</f>
        <v>0</v>
      </c>
      <c r="E6527" t="str">
        <v>D</v>
      </c>
      <c r="F6527">
        <f>VLOOKUP(D6505,'Detail Balok'!$C$10:$AU$140,43,FALSE)</f>
        <v>10</v>
      </c>
      <c r="G6527" t="str">
        <v>-</v>
      </c>
      <c r="H6527">
        <f>VLOOKUP(D6505,'Detail Balok'!$C$10:$AU$140,45,FALSE)</f>
        <v>100</v>
      </c>
      <c r="J6527">
        <f>(IF(D6527=0,(2*(D6506+G6506))-(F$5*8),IF(D6527=3,(2*(D6506+G6506))-(F$5*8)+(G6506-2*F$5),IF(D6527=4,(2*(D6506+G6506))-(F$5*8)+2*(G6506-2*F$5)))))/1000</f>
        <v>0.88</v>
      </c>
      <c r="K6527" t="str">
        <v>+</v>
      </c>
      <c r="L6527">
        <f>IF(D6527=0,2*MAX(6*F6527,75),(D6527-1)*2*MAX(6*F6527,75))/1000</f>
        <v>0.15</v>
      </c>
      <c r="M6527" t="str">
        <v>=</v>
      </c>
      <c r="N6527">
        <f>J6527+L6527</f>
        <v>1.03</v>
      </c>
      <c r="T6527" t="str">
        <v>x</v>
      </c>
      <c r="U6527">
        <f>0.006165*F6527^2</f>
        <v>0.6165</v>
      </c>
      <c r="V6527" t="str">
        <v>x</v>
      </c>
      <c r="W6527">
        <f>IF(D6508&gt;4*G6506,ROUND(MAX(D6508/4,2*G6506)/H6527,0)+1,0)</f>
        <v>14</v>
      </c>
      <c r="X6527" t="str">
        <v>x</v>
      </c>
      <c r="Y6527">
        <f>D6511</f>
        <v>1</v>
      </c>
      <c r="Z6527" t="str">
        <v>=</v>
      </c>
      <c r="AA6527">
        <f>N6527*U6527*W6527*Y6527</f>
        <v>8.889930000000001</v>
      </c>
    </row>
    <row r="6529">
      <c r="A6529" t="str">
        <f>A6505</f>
        <v>Lantai Atap</v>
      </c>
      <c r="B6529">
        <f>B6505</f>
        <v>11</v>
      </c>
      <c r="C6529" t="str">
        <v>Kait Horizontal Tump.</v>
      </c>
      <c r="D6529">
        <f>VLOOKUP(D6505,'Detail Balok'!$C$10:$BJ$140,46,FALSE)</f>
        <v>0</v>
      </c>
      <c r="E6529" t="str">
        <v>D</v>
      </c>
      <c r="F6529">
        <f>VLOOKUP(D6505,'Detail Balok'!$C$10:$BJ$140,48,FALSE)</f>
        <v>0</v>
      </c>
      <c r="G6529" t="str">
        <v>-</v>
      </c>
      <c r="H6529">
        <f>VLOOKUP(D6505,'Detail Balok'!$C$10:$BJ$140,50,FALSE)</f>
        <v>100</v>
      </c>
      <c r="J6529">
        <f>(D6506-2*F$5)/1000</f>
        <v>0.12</v>
      </c>
      <c r="K6529" t="str">
        <v>+</v>
      </c>
      <c r="L6529">
        <f>IF(D6529=0,2*MAX(6*F6529,75),(D6529-1)*2*MAX(6*F6529,75))/1000</f>
        <v>0.15</v>
      </c>
      <c r="M6529" t="str">
        <v>=</v>
      </c>
      <c r="N6529">
        <f>J6529+L6529</f>
        <v>0.27</v>
      </c>
      <c r="T6529" t="str">
        <v>x</v>
      </c>
      <c r="U6529">
        <f>0.006165*F6529^2</f>
        <v>0</v>
      </c>
      <c r="V6529" t="str">
        <v>x</v>
      </c>
      <c r="W6529">
        <f>W6525</f>
        <v>14</v>
      </c>
      <c r="X6529" t="str">
        <v>x</v>
      </c>
      <c r="Y6529">
        <f>D6515</f>
        <v>3</v>
      </c>
      <c r="Z6529" t="str">
        <v>=</v>
      </c>
      <c r="AA6529">
        <f>N6529*U6529*W6529*Y6529</f>
        <v>0</v>
      </c>
    </row>
    <row r="6530">
      <c r="A6530" t="str">
        <f>A6505</f>
        <v>Lantai Atap</v>
      </c>
      <c r="B6530">
        <f>B6505</f>
        <v>11</v>
      </c>
      <c r="C6530" t="str">
        <v>Kait Horizontal Lap.</v>
      </c>
      <c r="D6530">
        <f>VLOOKUP(D6505,'Detail Balok'!$C$10:$BJ$140,51,FALSE)</f>
        <v>0</v>
      </c>
      <c r="E6530" t="str">
        <v>D</v>
      </c>
      <c r="F6530">
        <f>VLOOKUP(D6505,'Detail Balok'!$C$10:$BJ$140,53,FALSE)</f>
        <v>0</v>
      </c>
      <c r="G6530" t="str">
        <v>-</v>
      </c>
      <c r="H6530">
        <f>VLOOKUP(D6505,'Detail Balok'!$C$10:$BJ$140,55,FALSE)</f>
        <v>100</v>
      </c>
      <c r="J6530">
        <f>(D6506-2*F$5)/1000</f>
        <v>0.12</v>
      </c>
      <c r="K6530" t="str">
        <v>+</v>
      </c>
      <c r="L6530">
        <f>IF(D6530=0,2*MAX(6*F6530,75),(D6530-1)*2*MAX(6*F6530,75))/1000</f>
        <v>0.15</v>
      </c>
      <c r="M6530" t="str">
        <v>=</v>
      </c>
      <c r="N6530">
        <f>J6530+L6530</f>
        <v>0.27</v>
      </c>
      <c r="T6530" t="str">
        <v>x</v>
      </c>
      <c r="U6530">
        <f>0.006165*F6530^2</f>
        <v>0</v>
      </c>
      <c r="V6530" t="str">
        <v>x</v>
      </c>
      <c r="W6530">
        <f>W6526</f>
        <v>13</v>
      </c>
      <c r="X6530" t="str">
        <v>x</v>
      </c>
      <c r="Y6530">
        <f>D6515</f>
        <v>3</v>
      </c>
      <c r="Z6530" t="str">
        <v>=</v>
      </c>
      <c r="AA6530">
        <f>N6530*U6530*W6530*Y6530</f>
        <v>0</v>
      </c>
    </row>
    <row r="6531">
      <c r="A6531" t="str">
        <f>A6505</f>
        <v>Lantai Atap</v>
      </c>
      <c r="B6531">
        <f>B6505</f>
        <v>11</v>
      </c>
      <c r="C6531" t="str">
        <v>Kait Horizontal Tump.</v>
      </c>
      <c r="D6531">
        <f>VLOOKUP(D6505,'Detail Balok'!$C$10:$BJ$140,56,FALSE)</f>
        <v>0</v>
      </c>
      <c r="E6531" t="str">
        <v>D</v>
      </c>
      <c r="F6531">
        <f>VLOOKUP(D6505,'Detail Balok'!$C$10:$BJ$140,58,FALSE)</f>
        <v>0</v>
      </c>
      <c r="G6531" t="str">
        <v>-</v>
      </c>
      <c r="H6531">
        <f>VLOOKUP(D6505,'Detail Balok'!$C$10:$BJ$140,60,FALSE)</f>
        <v>100</v>
      </c>
      <c r="J6531">
        <f>(D6506-2*F$5)/1000</f>
        <v>0.12</v>
      </c>
      <c r="K6531" t="str">
        <v>+</v>
      </c>
      <c r="L6531">
        <f>IF(D6531=0,2*MAX(6*F6531,75),(D6531-1)*2*MAX(6*F6531,75))/1000</f>
        <v>0.15</v>
      </c>
      <c r="M6531" t="str">
        <v>=</v>
      </c>
      <c r="N6531">
        <f>J6531+L6531</f>
        <v>0.27</v>
      </c>
      <c r="T6531" t="str">
        <v>x</v>
      </c>
      <c r="U6531">
        <f>0.006165*F6531^2</f>
        <v>0</v>
      </c>
      <c r="V6531" t="str">
        <v>x</v>
      </c>
      <c r="W6531">
        <f>W6527</f>
        <v>14</v>
      </c>
      <c r="X6531" t="str">
        <v>x</v>
      </c>
      <c r="Y6531">
        <f>D6515</f>
        <v>3</v>
      </c>
      <c r="Z6531" t="str">
        <v>=</v>
      </c>
      <c r="AA6531">
        <f>N6531*U6531*W6531*Y6531</f>
        <v>0</v>
      </c>
    </row>
    <row r="6535">
      <c r="A6535" t="str">
        <f>A6505</f>
        <v>Lantai Atap</v>
      </c>
      <c r="B6535">
        <f>B6505+1</f>
        <v>12</v>
      </c>
      <c r="C6535" t="str">
        <f>CONCATENATE(A6535," no. ",B6535)</f>
        <v>Lantai Atap no. 12</v>
      </c>
      <c r="D6535" t="str">
        <f>VLOOKUP(C6535,'Data Panjang Balok'!$C$9:$N$254,2,FALSE)</f>
        <v>B2A4A-1</v>
      </c>
    </row>
    <row r="6536">
      <c r="C6536" t="str">
        <v>Dimensi</v>
      </c>
      <c r="D6536">
        <f>VLOOKUP(D6535,'Detail Balok'!$C$10:$AU$140,2,FALSE)</f>
        <v>250</v>
      </c>
      <c r="F6536" t="str">
        <v>x</v>
      </c>
      <c r="G6536">
        <f>VLOOKUP(D6535,'Detail Balok'!$C$10:$AU$140,3,FALSE)</f>
        <v>450</v>
      </c>
    </row>
    <row r="6537">
      <c r="C6537" t="str">
        <v>Panjang as ke as</v>
      </c>
      <c r="D6537">
        <f>VLOOKUP(C6535,'Data Panjang Balok'!$C$9:$N$254,4,FALSE)</f>
        <v>6015</v>
      </c>
    </row>
    <row r="6538">
      <c r="C6538" t="str">
        <v>Panjang netto</v>
      </c>
      <c r="D6538">
        <f>VLOOKUP(C6535,'Data Panjang Balok'!$C$9:$N$254,7,FALSE)</f>
        <v>6015</v>
      </c>
    </row>
    <row r="6539">
      <c r="C6539" t="str">
        <v>Kolom / balok kiri</v>
      </c>
      <c r="D6539">
        <f>VLOOKUP(C6535,'Data Panjang Balok'!$C$9:$N$254,9,FALSE)</f>
        <v>0</v>
      </c>
    </row>
    <row r="6540">
      <c r="C6540" t="str">
        <v>Kolom / balok kanan</v>
      </c>
      <c r="D6540">
        <f>VLOOKUP(C6535,'Data Panjang Balok'!$C$9:$N$254,10,FALSE)</f>
        <v>0</v>
      </c>
    </row>
    <row r="6541">
      <c r="C6541" t="str">
        <v>Jumlah</v>
      </c>
      <c r="D6541">
        <f>VLOOKUP(C6535,'Data Panjang Balok'!$C$9:$N$254,3,FALSE)</f>
        <v>1</v>
      </c>
    </row>
    <row r="6542">
      <c r="A6542" t="str">
        <f>A6535</f>
        <v>Lantai Atap</v>
      </c>
      <c r="B6542">
        <f>B6535</f>
        <v>12</v>
      </c>
      <c r="C6542" t="str">
        <v>Tul Atas Tumpuan</v>
      </c>
      <c r="D6542">
        <f>VLOOKUP(D6535,'Detail Balok'!$C$10:$AU$140,4,FALSE)</f>
        <v>3</v>
      </c>
      <c r="E6542" t="str">
        <v>D</v>
      </c>
      <c r="F6542">
        <f>VLOOKUP(D6535,'Detail Balok'!$C$10:$AU$140,6,FALSE)</f>
        <v>13</v>
      </c>
      <c r="I6542" t="str">
        <v>(</v>
      </c>
      <c r="J6542">
        <f>+D6537/4/1000</f>
        <v>1.50375</v>
      </c>
      <c r="K6542" t="str">
        <v>+</v>
      </c>
      <c r="L6542">
        <f>MAX(VLOOKUP(F6542,N$6:P$15,3,FALSE)/1000,2/3*D6539/1000)+F$16*F6542/1000</f>
        <v>0.156</v>
      </c>
      <c r="M6542" t="str">
        <v>=</v>
      </c>
      <c r="N6542">
        <f>J6542+L6542</f>
        <v>1.6597499999999998</v>
      </c>
      <c r="O6542" t="str">
        <v>+</v>
      </c>
      <c r="P6542">
        <f>D6542-D6543</f>
        <v>0</v>
      </c>
      <c r="Q6542" t="str">
        <v>x</v>
      </c>
      <c r="R6542">
        <f>IF(P6542&gt;0,$F$18*F6542/1000,0)</f>
        <v>0</v>
      </c>
      <c r="S6542" t="str">
        <v>)</v>
      </c>
      <c r="T6542" t="str">
        <v>x</v>
      </c>
      <c r="U6542">
        <f>0.006165*F6542^2</f>
        <v>1.041885</v>
      </c>
      <c r="X6542" t="str">
        <v>x</v>
      </c>
      <c r="Y6542">
        <f>D6541</f>
        <v>1</v>
      </c>
      <c r="Z6542" t="str">
        <v>=</v>
      </c>
      <c r="AA6542">
        <f>IF(AA6545=0,(D6542*N6542+P6542*R6542)*U6542*Y6542,0)</f>
        <v>0</v>
      </c>
    </row>
    <row r="6543">
      <c r="A6543" t="str">
        <f>A6535</f>
        <v>Lantai Atap</v>
      </c>
      <c r="B6543">
        <f>B6535</f>
        <v>12</v>
      </c>
      <c r="C6543" t="str">
        <v>Tul Atas Lapangan</v>
      </c>
      <c r="D6543">
        <f>VLOOKUP(D6535,'Detail Balok'!$C$10:$AU$140,7,FALSE)</f>
        <v>3</v>
      </c>
      <c r="E6543" t="str">
        <v>D</v>
      </c>
      <c r="F6543">
        <f>VLOOKUP(D6535,'Detail Balok'!$C$10:$AU$140,9,FALSE)</f>
        <v>13</v>
      </c>
      <c r="I6543" t="str">
        <v>(</v>
      </c>
      <c r="J6543">
        <f>+D6537/2/1000</f>
        <v>3.0075</v>
      </c>
      <c r="K6543" t="str">
        <v>+</v>
      </c>
      <c r="M6543" t="str">
        <v>=</v>
      </c>
      <c r="N6543">
        <f>J6543+L6543</f>
        <v>3.0075</v>
      </c>
      <c r="O6543" t="str">
        <v>+</v>
      </c>
      <c r="P6543">
        <f>MAX(D6543-D6542,D6543-D6544)</f>
        <v>0</v>
      </c>
      <c r="Q6543" t="str">
        <v>x</v>
      </c>
      <c r="R6543">
        <f>IF(P6543&gt;0,2*(1-2*$F$19-1/2)*D6538/1000,0)</f>
        <v>0</v>
      </c>
      <c r="S6543" t="str">
        <v>)</v>
      </c>
      <c r="T6543" t="str">
        <v>x</v>
      </c>
      <c r="U6543">
        <f>0.006165*F6543^2</f>
        <v>1.041885</v>
      </c>
      <c r="X6543" t="str">
        <v>x</v>
      </c>
      <c r="Y6543">
        <f>D6541</f>
        <v>1</v>
      </c>
      <c r="Z6543" t="str">
        <v>=</v>
      </c>
      <c r="AA6543">
        <f>IF(AA6545=0,(D6543*N6543+P6543*R6543)*U6543*Y6543,0)</f>
        <v>0</v>
      </c>
    </row>
    <row r="6544">
      <c r="A6544" t="str">
        <f>A6535</f>
        <v>Lantai Atap</v>
      </c>
      <c r="B6544">
        <f>B6535</f>
        <v>12</v>
      </c>
      <c r="C6544" t="str">
        <v>Tul Atas Tumpuan</v>
      </c>
      <c r="D6544">
        <f>VLOOKUP(D6535,'Detail Balok'!$C$10:$AU$140,10,FALSE)</f>
        <v>3</v>
      </c>
      <c r="E6544" t="str">
        <v>D</v>
      </c>
      <c r="F6544">
        <f>VLOOKUP(D6535,'Detail Balok'!$C$10:$AU$140,12,FALSE)</f>
        <v>13</v>
      </c>
      <c r="I6544" t="str">
        <v>(</v>
      </c>
      <c r="J6544">
        <f>+D6537/4/1000</f>
        <v>1.50375</v>
      </c>
      <c r="K6544" t="str">
        <v>+</v>
      </c>
      <c r="L6544">
        <f>MAX(VLOOKUP(F6544,N$6:P$15,3,FALSE)/1000,2/3*D6539/1000)+F$16*F6544/1000</f>
        <v>0.156</v>
      </c>
      <c r="M6544" t="str">
        <v>=</v>
      </c>
      <c r="N6544">
        <f>J6544+L6544</f>
        <v>1.6597499999999998</v>
      </c>
      <c r="O6544" t="str">
        <v>+</v>
      </c>
      <c r="P6544">
        <f>D6544-D6543</f>
        <v>0</v>
      </c>
      <c r="Q6544" t="str">
        <v>x</v>
      </c>
      <c r="R6544">
        <f>IF(P6544&gt;0,$F$18*F6544/1000,0)</f>
        <v>0</v>
      </c>
      <c r="S6544" t="str">
        <v>)</v>
      </c>
      <c r="T6544" t="str">
        <v>x</v>
      </c>
      <c r="U6544">
        <f>0.006165*F6544^2</f>
        <v>1.041885</v>
      </c>
      <c r="X6544" t="str">
        <v>x</v>
      </c>
      <c r="Y6544">
        <f>D6541</f>
        <v>1</v>
      </c>
      <c r="Z6544" t="str">
        <v>=</v>
      </c>
      <c r="AA6544">
        <f>IF(AA6545=0,(D6544*N6544+P6544*R6544)*U6544*Y6544,0)</f>
        <v>0</v>
      </c>
    </row>
    <row r="6545">
      <c r="A6545" t="str">
        <f>A6535</f>
        <v>Lantai Atap</v>
      </c>
      <c r="B6545">
        <f>B6535</f>
        <v>12</v>
      </c>
      <c r="D6545">
        <f>IF(AND(D6542=D6543,D6543=D6544,D6542=D6544),D6542,0)</f>
        <v>3</v>
      </c>
      <c r="E6545" t="str">
        <v>D</v>
      </c>
      <c r="F6545">
        <f>IF(AND(F6542=F6543,F6542=F6544,F6543=F6544),F6542,0)</f>
        <v>13</v>
      </c>
      <c r="L6545" t="str">
        <v>Total panjang per balok</v>
      </c>
      <c r="M6545" t="str">
        <v>=</v>
      </c>
      <c r="N6545">
        <f>IF(AND(D6542=D6543,D6542=D6544,D6543=D6544,F6542=F6543,F6542=F6544,F6543=F6544),SUM(N6542:N6544),0)</f>
        <v>6.326999999999999</v>
      </c>
      <c r="O6545" t="str">
        <v>+</v>
      </c>
      <c r="P6545">
        <f>IF(N6545&gt;12,ROUNDDOWN(N6545/12,0),0)</f>
        <v>0</v>
      </c>
      <c r="Q6545" t="str">
        <v>x</v>
      </c>
      <c r="R6545">
        <f>IF(P6545&gt;0,MAX(VLOOKUP(F6545,$D$6:$G$15,3,FALSE),600),0)/1000</f>
        <v>0</v>
      </c>
      <c r="T6545" t="str">
        <v>x</v>
      </c>
      <c r="U6545">
        <f>U6544</f>
        <v>1.041885</v>
      </c>
      <c r="V6545" t="str">
        <v>x</v>
      </c>
      <c r="W6545">
        <f>D6545</f>
        <v>3</v>
      </c>
      <c r="X6545" t="str">
        <v>x</v>
      </c>
      <c r="Y6545">
        <f>Y6544</f>
        <v>1</v>
      </c>
      <c r="Z6545" t="str">
        <v>=</v>
      </c>
      <c r="AA6545">
        <f>(N6545+P6545*R6545/1000)*U6545*W6545*Y6545</f>
        <v>19.776019184999996</v>
      </c>
    </row>
    <row r="6547">
      <c r="A6547" t="str">
        <f>A6535</f>
        <v>Lantai Atap</v>
      </c>
      <c r="B6547">
        <f>B6535</f>
        <v>12</v>
      </c>
      <c r="C6547" t="str">
        <v>Tul Peminggang</v>
      </c>
      <c r="D6547">
        <f>VLOOKUP(D6535,'Detail Balok'!$C$10:$AU$140,13,FALSE)</f>
        <v>0</v>
      </c>
      <c r="E6547" t="str">
        <v>D</v>
      </c>
      <c r="F6547">
        <f>VLOOKUP(D6535,'Detail Balok'!$C$10:$AU$140,15,FALSE)</f>
        <v>8</v>
      </c>
      <c r="J6547">
        <f>+D6537/1000</f>
        <v>6.015</v>
      </c>
      <c r="K6547" t="str">
        <v>+</v>
      </c>
      <c r="L6547">
        <f>2*$F$16*F6547/1000</f>
        <v>0.192</v>
      </c>
      <c r="M6547" t="str">
        <v>=</v>
      </c>
      <c r="N6547">
        <f>J6547+L6547</f>
        <v>6.207</v>
      </c>
      <c r="O6547" t="str">
        <v>+</v>
      </c>
      <c r="P6547">
        <f>IF(N6547&gt;12,ROUNDDOWN(N6547/12,0),0)</f>
        <v>0</v>
      </c>
      <c r="Q6547" t="str">
        <v>x</v>
      </c>
      <c r="R6547">
        <f>IF(P6547&gt;0,MAX(VLOOKUP(F6547,$D$6:$G$15,3,FALSE),600),0)/1000</f>
        <v>0</v>
      </c>
      <c r="T6547" t="str">
        <v>x</v>
      </c>
      <c r="U6547">
        <f>0.006165*F6547^2</f>
        <v>0.39456</v>
      </c>
      <c r="V6547" t="str">
        <v>x</v>
      </c>
      <c r="W6547">
        <f>+D6547</f>
        <v>0</v>
      </c>
      <c r="X6547" t="str">
        <v>x</v>
      </c>
      <c r="Y6547">
        <f>D6541</f>
        <v>1</v>
      </c>
      <c r="Z6547" t="str">
        <v>=</v>
      </c>
      <c r="AA6547">
        <f>(N6547+P6547*R6547/1000)*U6547*W6547*Y6547</f>
        <v>0</v>
      </c>
    </row>
    <row r="6550">
      <c r="A6550" t="str">
        <f>A6535</f>
        <v>Lantai Atap</v>
      </c>
      <c r="B6550">
        <f>B6535</f>
        <v>12</v>
      </c>
      <c r="C6550" t="str">
        <v>Tul Bawah Tumpuan</v>
      </c>
      <c r="D6550">
        <f>VLOOKUP(D6535,'Detail Balok'!$C$10:$AU$140,22,FALSE)</f>
        <v>3</v>
      </c>
      <c r="E6550" t="str">
        <v>D</v>
      </c>
      <c r="F6550">
        <f>VLOOKUP(D6535,'Detail Balok'!$C$10:$AU$140,24,FALSE)</f>
        <v>13</v>
      </c>
      <c r="I6550" t="str">
        <v>(</v>
      </c>
      <c r="J6550">
        <f>+J6542</f>
        <v>1.50375</v>
      </c>
      <c r="K6550" t="str">
        <v>+</v>
      </c>
      <c r="L6550">
        <f>MAX(VLOOKUP(F6550,N$6:P$15,3,FALSE)/1000,2/3*D6540/1000)+F$16*F6550/1000</f>
        <v>0.156</v>
      </c>
      <c r="M6550" t="str">
        <v>=</v>
      </c>
      <c r="N6550">
        <f>J6550+L6550</f>
        <v>1.6597499999999998</v>
      </c>
      <c r="O6550" t="str">
        <v>+</v>
      </c>
      <c r="P6550">
        <f>D6550-D6551</f>
        <v>0</v>
      </c>
      <c r="Q6550" t="str">
        <v>x</v>
      </c>
      <c r="R6550">
        <f>IF(P6550&gt;0,$F$18*F6550/1000,0)</f>
        <v>0</v>
      </c>
      <c r="S6550" t="str">
        <v>)</v>
      </c>
      <c r="T6550" t="str">
        <v>x</v>
      </c>
      <c r="U6550">
        <f>0.006165*F6550^2</f>
        <v>1.041885</v>
      </c>
      <c r="X6550" t="str">
        <v>x</v>
      </c>
      <c r="Y6550">
        <f>D6541</f>
        <v>1</v>
      </c>
      <c r="Z6550" t="str">
        <v>=</v>
      </c>
      <c r="AA6550">
        <f>IF(AA6553=0,(D6550*N6550+P6550*R6550)*U6550*Y6550,0)</f>
        <v>0</v>
      </c>
    </row>
    <row r="6551">
      <c r="A6551" t="str">
        <f>A6535</f>
        <v>Lantai Atap</v>
      </c>
      <c r="B6551">
        <f>B6535</f>
        <v>12</v>
      </c>
      <c r="C6551" t="str">
        <v>Tul Bawah Lapangan</v>
      </c>
      <c r="D6551">
        <f>VLOOKUP(D6535,'Detail Balok'!$C$10:$AU$140,25,FALSE)</f>
        <v>3</v>
      </c>
      <c r="E6551" t="str">
        <v>D</v>
      </c>
      <c r="F6551">
        <f>VLOOKUP(D6535,'Detail Balok'!$C$10:$AU$140,27,FALSE)</f>
        <v>13</v>
      </c>
      <c r="I6551" t="str">
        <v>(</v>
      </c>
      <c r="J6551">
        <f>+J6543</f>
        <v>3.0075</v>
      </c>
      <c r="K6551" t="str">
        <v>+</v>
      </c>
      <c r="M6551" t="str">
        <v>=</v>
      </c>
      <c r="N6551">
        <f>J6551+L6551</f>
        <v>3.0075</v>
      </c>
      <c r="O6551" t="str">
        <v>+</v>
      </c>
      <c r="P6551">
        <f>MAX(D6551-D6550,D6551-D6552)</f>
        <v>0</v>
      </c>
      <c r="Q6551" t="str">
        <v>x</v>
      </c>
      <c r="R6551">
        <f>IF(P6551&gt;0,2*(1-2*$F$19-1/2)*D6538/1000,0)</f>
        <v>0</v>
      </c>
      <c r="S6551" t="str">
        <v>)</v>
      </c>
      <c r="T6551" t="str">
        <v>x</v>
      </c>
      <c r="U6551">
        <f>0.006165*F6551^2</f>
        <v>1.041885</v>
      </c>
      <c r="X6551" t="str">
        <v>x</v>
      </c>
      <c r="Y6551">
        <f>D6541</f>
        <v>1</v>
      </c>
      <c r="Z6551" t="str">
        <v>=</v>
      </c>
      <c r="AA6551">
        <f>IF(AA6553=0,(D6551*N6551+P6551*R6551)*U6551*Y6551,0)</f>
        <v>0</v>
      </c>
    </row>
    <row r="6552">
      <c r="A6552" t="str">
        <f>A6535</f>
        <v>Lantai Atap</v>
      </c>
      <c r="B6552">
        <f>B6535</f>
        <v>12</v>
      </c>
      <c r="C6552" t="str">
        <v>Tul Bawah Tumpuan</v>
      </c>
      <c r="D6552">
        <f>VLOOKUP(D6535,'Detail Balok'!$C$10:$AU$140,28,FALSE)</f>
        <v>3</v>
      </c>
      <c r="E6552" t="str">
        <v>D</v>
      </c>
      <c r="F6552">
        <f>VLOOKUP(D6535,'Detail Balok'!$C$10:$AU$140,30,FALSE)</f>
        <v>13</v>
      </c>
      <c r="I6552" t="str">
        <v>(</v>
      </c>
      <c r="J6552">
        <f>+J6544</f>
        <v>1.50375</v>
      </c>
      <c r="K6552" t="str">
        <v>+</v>
      </c>
      <c r="L6552">
        <f>MAX(VLOOKUP(F6552,N$6:P$15,3,FALSE)/1000,2/3*D6540/1000)+F$16*F6552/1000</f>
        <v>0.156</v>
      </c>
      <c r="M6552" t="str">
        <v>=</v>
      </c>
      <c r="N6552">
        <f>J6552+L6552</f>
        <v>1.6597499999999998</v>
      </c>
      <c r="O6552" t="str">
        <v>+</v>
      </c>
      <c r="P6552">
        <f>D6552-D6551</f>
        <v>0</v>
      </c>
      <c r="Q6552" t="str">
        <v>x</v>
      </c>
      <c r="R6552">
        <f>IF(P6552&gt;0,$F$18*F6552/1000,0)</f>
        <v>0</v>
      </c>
      <c r="S6552" t="str">
        <v>)</v>
      </c>
      <c r="T6552" t="str">
        <v>x</v>
      </c>
      <c r="U6552">
        <f>0.006165*F6552^2</f>
        <v>1.041885</v>
      </c>
      <c r="X6552" t="str">
        <v>x</v>
      </c>
      <c r="Y6552">
        <f>D6541</f>
        <v>1</v>
      </c>
      <c r="Z6552" t="str">
        <v>=</v>
      </c>
      <c r="AA6552">
        <f>IF(AA6553=0,(D6552*N6552+P6552*R6552)*U6552*Y6552,0)</f>
        <v>0</v>
      </c>
    </row>
    <row r="6553">
      <c r="A6553" t="str">
        <f>A6535</f>
        <v>Lantai Atap</v>
      </c>
      <c r="B6553">
        <f>B6535</f>
        <v>12</v>
      </c>
      <c r="D6553">
        <f>IF(AND(D6550=D6551,D6551=D6552,D6550=D6552),D6550,0)</f>
        <v>3</v>
      </c>
      <c r="E6553" t="str">
        <v>D</v>
      </c>
      <c r="F6553">
        <f>IF(AND(F6550=F6551,F6550=F6552,F6551=F6552),F6550,0)</f>
        <v>13</v>
      </c>
      <c r="L6553" t="str">
        <v>Total panjang per balok</v>
      </c>
      <c r="M6553" t="str">
        <v>=</v>
      </c>
      <c r="N6553">
        <f>IF(AND(D6550=D6551,D6550=D6552,D6551=D6552,F6550=F6551,F6550=F6552,F6551=F6552),SUM(N6550:N6552),0)</f>
        <v>6.326999999999999</v>
      </c>
      <c r="O6553" t="str">
        <v>+</v>
      </c>
      <c r="P6553">
        <f>IF(N6553&gt;12,ROUNDDOWN(N6553/12,0),0)</f>
        <v>0</v>
      </c>
      <c r="Q6553" t="str">
        <v>x</v>
      </c>
      <c r="R6553">
        <f>IF(P6553&gt;0,MAX(VLOOKUP(F6553,$D$6:$G$15,3,FALSE),600),0)/1000</f>
        <v>0</v>
      </c>
      <c r="T6553" t="str">
        <v>x</v>
      </c>
      <c r="U6553">
        <f>U6552</f>
        <v>1.041885</v>
      </c>
      <c r="V6553" t="str">
        <v>x</v>
      </c>
      <c r="W6553">
        <f>D6553</f>
        <v>3</v>
      </c>
      <c r="X6553" t="str">
        <v>x</v>
      </c>
      <c r="Y6553">
        <f>Y6552</f>
        <v>1</v>
      </c>
      <c r="Z6553" t="str">
        <v>=</v>
      </c>
      <c r="AA6553">
        <f>(N6553+P6553*R6553/1000)*U6553*W6553*Y6553</f>
        <v>19.776019184999996</v>
      </c>
    </row>
    <row r="6555">
      <c r="A6555" t="str">
        <f>A6535</f>
        <v>Lantai Atap</v>
      </c>
      <c r="B6555">
        <f>B6535</f>
        <v>12</v>
      </c>
      <c r="C6555" t="str">
        <v>Sengkang Tumpuan</v>
      </c>
      <c r="D6555">
        <f>VLOOKUP(D6535,'Detail Balok'!$C$10:$AU$140,31,FALSE)</f>
        <v>0</v>
      </c>
      <c r="E6555" t="str">
        <v>D</v>
      </c>
      <c r="F6555">
        <f>VLOOKUP(D6535,'Detail Balok'!$C$10:$AU$140,33,FALSE)</f>
        <v>10</v>
      </c>
      <c r="G6555" t="str">
        <v>-</v>
      </c>
      <c r="H6555">
        <f>VLOOKUP(D6535,'Detail Balok'!$C$10:$AU$140,35,FALSE)</f>
        <v>100</v>
      </c>
      <c r="J6555">
        <f>(IF(D6555=0,(2*(D6536+G6536))-(F$5*8),IF(D6555=3,(2*(D6536+G6536))-(F$5*8)+(G6536-2*F$5),IF(D6555=4,(2*(D6536+G6536))-(F$5*8)+2*(G6536-2*F$5)))))/1000</f>
        <v>1.08</v>
      </c>
      <c r="K6555" t="str">
        <v>+</v>
      </c>
      <c r="L6555">
        <f>IF(D6555=0,2*MAX(6*F6555,75),(D6555-1)*2*MAX(6*F6555,75))/1000</f>
        <v>0.15</v>
      </c>
      <c r="M6555" t="str">
        <v>=</v>
      </c>
      <c r="N6555">
        <f>J6555+L6555</f>
        <v>1.23</v>
      </c>
      <c r="T6555" t="str">
        <v>x</v>
      </c>
      <c r="U6555">
        <f>0.006165*F6555^2</f>
        <v>0.6165</v>
      </c>
      <c r="V6555" t="str">
        <v>x</v>
      </c>
      <c r="W6555">
        <f>IF(D6538&gt;4*G6536,ROUND(MAX(D6538/4,2*G6536)/H6555,0)+1,ROUND(D6538/H6555,0)+1)</f>
        <v>16</v>
      </c>
      <c r="X6555" t="str">
        <v>x</v>
      </c>
      <c r="Y6555">
        <f>D6541</f>
        <v>1</v>
      </c>
      <c r="Z6555" t="str">
        <v>=</v>
      </c>
      <c r="AA6555">
        <f>N6555*U6555*W6555*Y6555</f>
        <v>12.13272</v>
      </c>
    </row>
    <row r="6556">
      <c r="A6556" t="str">
        <f>A6535</f>
        <v>Lantai Atap</v>
      </c>
      <c r="B6556">
        <f>B6535</f>
        <v>12</v>
      </c>
      <c r="C6556" t="str">
        <v>Sengkang Lapangan</v>
      </c>
      <c r="D6556">
        <f>VLOOKUP(D6535,'Detail Balok'!$C$10:$AU$140,36,FALSE)</f>
        <v>0</v>
      </c>
      <c r="E6556" t="str">
        <v>D</v>
      </c>
      <c r="F6556">
        <f>VLOOKUP(D6535,'Detail Balok'!$C$10:$AU$140,38,FALSE)</f>
        <v>10</v>
      </c>
      <c r="G6556" t="str">
        <v>-</v>
      </c>
      <c r="H6556">
        <f>VLOOKUP(D6535,'Detail Balok'!$C$10:$AU$140,40,FALSE)</f>
        <v>200</v>
      </c>
      <c r="J6556">
        <f>(IF(D6556=0,(2*(D6536+G6536))-(F$5*8),IF(D6556=3,(2*(D6536+G6536))-(F$5*8)+(G6536-2*F$5),IF(D6556=4,(2*(D6536+G6536))-(F$5*8)+2*(G6536-2*F$5)))))/1000</f>
        <v>1.08</v>
      </c>
      <c r="K6556" t="str">
        <v>+</v>
      </c>
      <c r="L6556">
        <f>IF(D6556=0,2*MAX(6*F6556,75),(D6556-1)*2*MAX(6*F6556,75))/1000</f>
        <v>0.15</v>
      </c>
      <c r="M6556" t="str">
        <v>=</v>
      </c>
      <c r="N6556">
        <f>J6556+L6556</f>
        <v>1.23</v>
      </c>
      <c r="T6556" t="str">
        <v>x</v>
      </c>
      <c r="U6556">
        <f>0.006165*F6556^2</f>
        <v>0.6165</v>
      </c>
      <c r="V6556" t="str">
        <v>x</v>
      </c>
      <c r="W6556">
        <f>IF(D6538-MAX(D6538/4,2*G6536)*2&gt;0,ROUND((D6538-MAX(D6538/4,2*G6536)*2)/H6556,0),0)</f>
        <v>15</v>
      </c>
      <c r="X6556" t="str">
        <v>x</v>
      </c>
      <c r="Y6556">
        <f>D6541</f>
        <v>1</v>
      </c>
      <c r="Z6556" t="str">
        <v>=</v>
      </c>
      <c r="AA6556">
        <f>N6556*U6556*W6556*Y6556</f>
        <v>11.374425</v>
      </c>
    </row>
    <row r="6557">
      <c r="A6557" t="str">
        <f>A6535</f>
        <v>Lantai Atap</v>
      </c>
      <c r="B6557">
        <f>B6535</f>
        <v>12</v>
      </c>
      <c r="C6557" t="str">
        <v>Sengkang Tumpuan</v>
      </c>
      <c r="D6557">
        <f>VLOOKUP(D6535,'Detail Balok'!$C$10:$AU$140,41,FALSE)</f>
        <v>0</v>
      </c>
      <c r="E6557" t="str">
        <v>D</v>
      </c>
      <c r="F6557">
        <f>VLOOKUP(D6535,'Detail Balok'!$C$10:$AU$140,43,FALSE)</f>
        <v>10</v>
      </c>
      <c r="G6557" t="str">
        <v>-</v>
      </c>
      <c r="H6557">
        <f>VLOOKUP(D6535,'Detail Balok'!$C$10:$AU$140,45,FALSE)</f>
        <v>100</v>
      </c>
      <c r="J6557">
        <f>(IF(D6557=0,(2*(D6536+G6536))-(F$5*8),IF(D6557=3,(2*(D6536+G6536))-(F$5*8)+(G6536-2*F$5),IF(D6557=4,(2*(D6536+G6536))-(F$5*8)+2*(G6536-2*F$5)))))/1000</f>
        <v>1.08</v>
      </c>
      <c r="K6557" t="str">
        <v>+</v>
      </c>
      <c r="L6557">
        <f>IF(D6557=0,2*MAX(6*F6557,75),(D6557-1)*2*MAX(6*F6557,75))/1000</f>
        <v>0.15</v>
      </c>
      <c r="M6557" t="str">
        <v>=</v>
      </c>
      <c r="N6557">
        <f>J6557+L6557</f>
        <v>1.23</v>
      </c>
      <c r="T6557" t="str">
        <v>x</v>
      </c>
      <c r="U6557">
        <f>0.006165*F6557^2</f>
        <v>0.6165</v>
      </c>
      <c r="V6557" t="str">
        <v>x</v>
      </c>
      <c r="W6557">
        <f>IF(D6538&gt;4*G6536,ROUND(MAX(D6538/4,2*G6536)/H6557,0)+1,0)</f>
        <v>16</v>
      </c>
      <c r="X6557" t="str">
        <v>x</v>
      </c>
      <c r="Y6557">
        <f>D6541</f>
        <v>1</v>
      </c>
      <c r="Z6557" t="str">
        <v>=</v>
      </c>
      <c r="AA6557">
        <f>N6557*U6557*W6557*Y6557</f>
        <v>12.13272</v>
      </c>
    </row>
    <row r="6559">
      <c r="A6559" t="str">
        <f>A6535</f>
        <v>Lantai Atap</v>
      </c>
      <c r="B6559">
        <f>B6535</f>
        <v>12</v>
      </c>
      <c r="C6559" t="str">
        <v>Kait Horizontal Tump.</v>
      </c>
      <c r="D6559">
        <f>VLOOKUP(D6535,'Detail Balok'!$C$10:$BJ$140,46,FALSE)</f>
        <v>0</v>
      </c>
      <c r="E6559" t="str">
        <v>D</v>
      </c>
      <c r="F6559">
        <f>VLOOKUP(D6535,'Detail Balok'!$C$10:$BJ$140,48,FALSE)</f>
        <v>0</v>
      </c>
      <c r="G6559" t="str">
        <v>-</v>
      </c>
      <c r="H6559">
        <f>VLOOKUP(D6535,'Detail Balok'!$C$10:$BJ$140,50,FALSE)</f>
        <v>100</v>
      </c>
      <c r="J6559">
        <f>(D6536-2*F$5)/1000</f>
        <v>0.17</v>
      </c>
      <c r="K6559" t="str">
        <v>+</v>
      </c>
      <c r="L6559">
        <f>IF(D6559=0,2*MAX(6*F6559,75),(D6559-1)*2*MAX(6*F6559,75))/1000</f>
        <v>0.15</v>
      </c>
      <c r="M6559" t="str">
        <v>=</v>
      </c>
      <c r="N6559">
        <f>J6559+L6559</f>
        <v>0.32</v>
      </c>
      <c r="T6559" t="str">
        <v>x</v>
      </c>
      <c r="U6559">
        <f>0.006165*F6559^2</f>
        <v>0</v>
      </c>
      <c r="V6559" t="str">
        <v>x</v>
      </c>
      <c r="W6559">
        <f>W6555</f>
        <v>16</v>
      </c>
      <c r="X6559" t="str">
        <v>x</v>
      </c>
      <c r="Y6559">
        <f>D6545</f>
        <v>3</v>
      </c>
      <c r="Z6559" t="str">
        <v>=</v>
      </c>
      <c r="AA6559">
        <f>N6559*U6559*W6559*Y6559</f>
        <v>0</v>
      </c>
    </row>
    <row r="6560">
      <c r="A6560" t="str">
        <f>A6535</f>
        <v>Lantai Atap</v>
      </c>
      <c r="B6560">
        <f>B6535</f>
        <v>12</v>
      </c>
      <c r="C6560" t="str">
        <v>Kait Horizontal Lap.</v>
      </c>
      <c r="D6560">
        <f>VLOOKUP(D6535,'Detail Balok'!$C$10:$BJ$140,51,FALSE)</f>
        <v>0</v>
      </c>
      <c r="E6560" t="str">
        <v>D</v>
      </c>
      <c r="F6560">
        <f>VLOOKUP(D6535,'Detail Balok'!$C$10:$BJ$140,53,FALSE)</f>
        <v>0</v>
      </c>
      <c r="G6560" t="str">
        <v>-</v>
      </c>
      <c r="H6560">
        <f>VLOOKUP(D6535,'Detail Balok'!$C$10:$BJ$140,55,FALSE)</f>
        <v>100</v>
      </c>
      <c r="J6560">
        <f>(D6536-2*F$5)/1000</f>
        <v>0.17</v>
      </c>
      <c r="K6560" t="str">
        <v>+</v>
      </c>
      <c r="L6560">
        <f>IF(D6560=0,2*MAX(6*F6560,75),(D6560-1)*2*MAX(6*F6560,75))/1000</f>
        <v>0.15</v>
      </c>
      <c r="M6560" t="str">
        <v>=</v>
      </c>
      <c r="N6560">
        <f>J6560+L6560</f>
        <v>0.32</v>
      </c>
      <c r="T6560" t="str">
        <v>x</v>
      </c>
      <c r="U6560">
        <f>0.006165*F6560^2</f>
        <v>0</v>
      </c>
      <c r="V6560" t="str">
        <v>x</v>
      </c>
      <c r="W6560">
        <f>W6556</f>
        <v>15</v>
      </c>
      <c r="X6560" t="str">
        <v>x</v>
      </c>
      <c r="Y6560">
        <f>D6545</f>
        <v>3</v>
      </c>
      <c r="Z6560" t="str">
        <v>=</v>
      </c>
      <c r="AA6560">
        <f>N6560*U6560*W6560*Y6560</f>
        <v>0</v>
      </c>
    </row>
    <row r="6561">
      <c r="A6561" t="str">
        <f>A6535</f>
        <v>Lantai Atap</v>
      </c>
      <c r="B6561">
        <f>B6535</f>
        <v>12</v>
      </c>
      <c r="C6561" t="str">
        <v>Kait Horizontal Tump.</v>
      </c>
      <c r="D6561">
        <f>VLOOKUP(D6535,'Detail Balok'!$C$10:$BJ$140,56,FALSE)</f>
        <v>0</v>
      </c>
      <c r="E6561" t="str">
        <v>D</v>
      </c>
      <c r="F6561">
        <f>VLOOKUP(D6535,'Detail Balok'!$C$10:$BJ$140,58,FALSE)</f>
        <v>0</v>
      </c>
      <c r="G6561" t="str">
        <v>-</v>
      </c>
      <c r="H6561">
        <f>VLOOKUP(D6535,'Detail Balok'!$C$10:$BJ$140,60,FALSE)</f>
        <v>100</v>
      </c>
      <c r="J6561">
        <f>(D6536-2*F$5)/1000</f>
        <v>0.17</v>
      </c>
      <c r="K6561" t="str">
        <v>+</v>
      </c>
      <c r="L6561">
        <f>IF(D6561=0,2*MAX(6*F6561,75),(D6561-1)*2*MAX(6*F6561,75))/1000</f>
        <v>0.15</v>
      </c>
      <c r="M6561" t="str">
        <v>=</v>
      </c>
      <c r="N6561">
        <f>J6561+L6561</f>
        <v>0.32</v>
      </c>
      <c r="T6561" t="str">
        <v>x</v>
      </c>
      <c r="U6561">
        <f>0.006165*F6561^2</f>
        <v>0</v>
      </c>
      <c r="V6561" t="str">
        <v>x</v>
      </c>
      <c r="W6561">
        <f>W6557</f>
        <v>16</v>
      </c>
      <c r="X6561" t="str">
        <v>x</v>
      </c>
      <c r="Y6561">
        <f>D6545</f>
        <v>3</v>
      </c>
      <c r="Z6561" t="str">
        <v>=</v>
      </c>
      <c r="AA6561">
        <f>N6561*U6561*W6561*Y6561</f>
        <v>0</v>
      </c>
    </row>
    <row r="6565">
      <c r="A6565" t="str">
        <f>A6535</f>
        <v>Lantai Atap</v>
      </c>
      <c r="B6565">
        <f>B6535+1</f>
        <v>13</v>
      </c>
      <c r="C6565" t="str">
        <f>CONCATENATE(A6565," no. ",B6565)</f>
        <v>Lantai Atap no. 13</v>
      </c>
      <c r="D6565" t="str">
        <f>VLOOKUP(C6565,'Data Panjang Balok'!$C$9:$N$254,2,FALSE)</f>
        <v>B2A4A-1</v>
      </c>
    </row>
    <row r="6566">
      <c r="C6566" t="str">
        <v>Dimensi</v>
      </c>
      <c r="D6566">
        <f>VLOOKUP(D6565,'Detail Balok'!$C$10:$AU$140,2,FALSE)</f>
        <v>250</v>
      </c>
      <c r="F6566" t="str">
        <v>x</v>
      </c>
      <c r="G6566">
        <f>VLOOKUP(D6565,'Detail Balok'!$C$10:$AU$140,3,FALSE)</f>
        <v>450</v>
      </c>
    </row>
    <row r="6567">
      <c r="C6567" t="str">
        <v>Panjang as ke as</v>
      </c>
      <c r="D6567">
        <f>VLOOKUP(C6565,'Data Panjang Balok'!$C$9:$N$254,4,FALSE)</f>
        <v>9685</v>
      </c>
    </row>
    <row r="6568">
      <c r="C6568" t="str">
        <v>Panjang netto</v>
      </c>
      <c r="D6568">
        <f>VLOOKUP(C6565,'Data Panjang Balok'!$C$9:$N$254,7,FALSE)</f>
        <v>9685</v>
      </c>
    </row>
    <row r="6569">
      <c r="C6569" t="str">
        <v>Kolom / balok kiri</v>
      </c>
      <c r="D6569">
        <f>VLOOKUP(C6565,'Data Panjang Balok'!$C$9:$N$254,9,FALSE)</f>
        <v>0</v>
      </c>
    </row>
    <row r="6570">
      <c r="C6570" t="str">
        <v>Kolom / balok kanan</v>
      </c>
      <c r="D6570">
        <f>VLOOKUP(C6565,'Data Panjang Balok'!$C$9:$N$254,10,FALSE)</f>
        <v>0</v>
      </c>
    </row>
    <row r="6571">
      <c r="C6571" t="str">
        <v>Jumlah</v>
      </c>
      <c r="D6571">
        <f>VLOOKUP(C6565,'Data Panjang Balok'!$C$9:$N$254,3,FALSE)</f>
        <v>1</v>
      </c>
    </row>
    <row r="6572">
      <c r="A6572" t="str">
        <f>A6565</f>
        <v>Lantai Atap</v>
      </c>
      <c r="B6572">
        <f>B6565</f>
        <v>13</v>
      </c>
      <c r="C6572" t="str">
        <v>Tul Atas Tumpuan</v>
      </c>
      <c r="D6572">
        <f>VLOOKUP(D6565,'Detail Balok'!$C$10:$AU$140,4,FALSE)</f>
        <v>3</v>
      </c>
      <c r="E6572" t="str">
        <v>D</v>
      </c>
      <c r="F6572">
        <f>VLOOKUP(D6565,'Detail Balok'!$C$10:$AU$140,6,FALSE)</f>
        <v>13</v>
      </c>
      <c r="I6572" t="str">
        <v>(</v>
      </c>
      <c r="J6572">
        <f>+D6567/4/1000</f>
        <v>2.42125</v>
      </c>
      <c r="K6572" t="str">
        <v>+</v>
      </c>
      <c r="L6572">
        <f>MAX(VLOOKUP(F6572,N$6:P$15,3,FALSE)/1000,2/3*D6569/1000)+F$16*F6572/1000</f>
        <v>0.156</v>
      </c>
      <c r="M6572" t="str">
        <v>=</v>
      </c>
      <c r="N6572">
        <f>J6572+L6572</f>
        <v>2.5772500000000003</v>
      </c>
      <c r="O6572" t="str">
        <v>+</v>
      </c>
      <c r="P6572">
        <f>D6572-D6573</f>
        <v>0</v>
      </c>
      <c r="Q6572" t="str">
        <v>x</v>
      </c>
      <c r="R6572">
        <f>IF(P6572&gt;0,$F$18*F6572/1000,0)</f>
        <v>0</v>
      </c>
      <c r="S6572" t="str">
        <v>)</v>
      </c>
      <c r="T6572" t="str">
        <v>x</v>
      </c>
      <c r="U6572">
        <f>0.006165*F6572^2</f>
        <v>1.041885</v>
      </c>
      <c r="X6572" t="str">
        <v>x</v>
      </c>
      <c r="Y6572">
        <f>D6571</f>
        <v>1</v>
      </c>
      <c r="Z6572" t="str">
        <v>=</v>
      </c>
      <c r="AA6572">
        <f>IF(AA6575=0,(D6572*N6572+P6572*R6572)*U6572*Y6572,0)</f>
        <v>0</v>
      </c>
    </row>
    <row r="6573">
      <c r="A6573" t="str">
        <f>A6565</f>
        <v>Lantai Atap</v>
      </c>
      <c r="B6573">
        <f>B6565</f>
        <v>13</v>
      </c>
      <c r="C6573" t="str">
        <v>Tul Atas Lapangan</v>
      </c>
      <c r="D6573">
        <f>VLOOKUP(D6565,'Detail Balok'!$C$10:$AU$140,7,FALSE)</f>
        <v>3</v>
      </c>
      <c r="E6573" t="str">
        <v>D</v>
      </c>
      <c r="F6573">
        <f>VLOOKUP(D6565,'Detail Balok'!$C$10:$AU$140,9,FALSE)</f>
        <v>13</v>
      </c>
      <c r="I6573" t="str">
        <v>(</v>
      </c>
      <c r="J6573">
        <f>+D6567/2/1000</f>
        <v>4.8425</v>
      </c>
      <c r="K6573" t="str">
        <v>+</v>
      </c>
      <c r="M6573" t="str">
        <v>=</v>
      </c>
      <c r="N6573">
        <f>J6573+L6573</f>
        <v>4.8425</v>
      </c>
      <c r="O6573" t="str">
        <v>+</v>
      </c>
      <c r="P6573">
        <f>MAX(D6573-D6572,D6573-D6574)</f>
        <v>0</v>
      </c>
      <c r="Q6573" t="str">
        <v>x</v>
      </c>
      <c r="R6573">
        <f>IF(P6573&gt;0,2*(1-2*$F$19-1/2)*D6568/1000,0)</f>
        <v>0</v>
      </c>
      <c r="S6573" t="str">
        <v>)</v>
      </c>
      <c r="T6573" t="str">
        <v>x</v>
      </c>
      <c r="U6573">
        <f>0.006165*F6573^2</f>
        <v>1.041885</v>
      </c>
      <c r="X6573" t="str">
        <v>x</v>
      </c>
      <c r="Y6573">
        <f>D6571</f>
        <v>1</v>
      </c>
      <c r="Z6573" t="str">
        <v>=</v>
      </c>
      <c r="AA6573">
        <f>IF(AA6575=0,(D6573*N6573+P6573*R6573)*U6573*Y6573,0)</f>
        <v>0</v>
      </c>
    </row>
    <row r="6574">
      <c r="A6574" t="str">
        <f>A6565</f>
        <v>Lantai Atap</v>
      </c>
      <c r="B6574">
        <f>B6565</f>
        <v>13</v>
      </c>
      <c r="C6574" t="str">
        <v>Tul Atas Tumpuan</v>
      </c>
      <c r="D6574">
        <f>VLOOKUP(D6565,'Detail Balok'!$C$10:$AU$140,10,FALSE)</f>
        <v>3</v>
      </c>
      <c r="E6574" t="str">
        <v>D</v>
      </c>
      <c r="F6574">
        <f>VLOOKUP(D6565,'Detail Balok'!$C$10:$AU$140,12,FALSE)</f>
        <v>13</v>
      </c>
      <c r="I6574" t="str">
        <v>(</v>
      </c>
      <c r="J6574">
        <f>+D6567/4/1000</f>
        <v>2.42125</v>
      </c>
      <c r="K6574" t="str">
        <v>+</v>
      </c>
      <c r="L6574">
        <f>MAX(VLOOKUP(F6574,N$6:P$15,3,FALSE)/1000,2/3*D6569/1000)+F$16*F6574/1000</f>
        <v>0.156</v>
      </c>
      <c r="M6574" t="str">
        <v>=</v>
      </c>
      <c r="N6574">
        <f>J6574+L6574</f>
        <v>2.5772500000000003</v>
      </c>
      <c r="O6574" t="str">
        <v>+</v>
      </c>
      <c r="P6574">
        <f>D6574-D6573</f>
        <v>0</v>
      </c>
      <c r="Q6574" t="str">
        <v>x</v>
      </c>
      <c r="R6574">
        <f>IF(P6574&gt;0,$F$18*F6574/1000,0)</f>
        <v>0</v>
      </c>
      <c r="S6574" t="str">
        <v>)</v>
      </c>
      <c r="T6574" t="str">
        <v>x</v>
      </c>
      <c r="U6574">
        <f>0.006165*F6574^2</f>
        <v>1.041885</v>
      </c>
      <c r="X6574" t="str">
        <v>x</v>
      </c>
      <c r="Y6574">
        <f>D6571</f>
        <v>1</v>
      </c>
      <c r="Z6574" t="str">
        <v>=</v>
      </c>
      <c r="AA6574">
        <f>IF(AA6575=0,(D6574*N6574+P6574*R6574)*U6574*Y6574,0)</f>
        <v>0</v>
      </c>
    </row>
    <row r="6575">
      <c r="A6575" t="str">
        <f>A6565</f>
        <v>Lantai Atap</v>
      </c>
      <c r="B6575">
        <f>B6565</f>
        <v>13</v>
      </c>
      <c r="D6575">
        <f>IF(AND(D6572=D6573,D6573=D6574,D6572=D6574),D6572,0)</f>
        <v>3</v>
      </c>
      <c r="E6575" t="str">
        <v>D</v>
      </c>
      <c r="F6575">
        <f>IF(AND(F6572=F6573,F6572=F6574,F6573=F6574),F6572,0)</f>
        <v>13</v>
      </c>
      <c r="L6575" t="str">
        <v>Total panjang per balok</v>
      </c>
      <c r="M6575" t="str">
        <v>=</v>
      </c>
      <c r="N6575">
        <f>IF(AND(D6572=D6573,D6572=D6574,D6573=D6574,F6572=F6573,F6572=F6574,F6573=F6574),SUM(N6572:N6574),0)</f>
        <v>9.997</v>
      </c>
      <c r="O6575" t="str">
        <v>+</v>
      </c>
      <c r="P6575">
        <f>IF(N6575&gt;12,ROUNDDOWN(N6575/12,0),0)</f>
        <v>0</v>
      </c>
      <c r="Q6575" t="str">
        <v>x</v>
      </c>
      <c r="R6575">
        <f>IF(P6575&gt;0,MAX(VLOOKUP(F6575,$D$6:$G$15,3,FALSE),600),0)/1000</f>
        <v>0</v>
      </c>
      <c r="T6575" t="str">
        <v>x</v>
      </c>
      <c r="U6575">
        <f>U6574</f>
        <v>1.041885</v>
      </c>
      <c r="V6575" t="str">
        <v>x</v>
      </c>
      <c r="W6575">
        <f>D6575</f>
        <v>3</v>
      </c>
      <c r="X6575" t="str">
        <v>x</v>
      </c>
      <c r="Y6575">
        <f>Y6574</f>
        <v>1</v>
      </c>
      <c r="Z6575" t="str">
        <v>=</v>
      </c>
      <c r="AA6575">
        <f>(N6575+P6575*R6575/1000)*U6575*W6575*Y6575</f>
        <v>31.247173034999996</v>
      </c>
    </row>
    <row r="6577">
      <c r="A6577" t="str">
        <f>A6565</f>
        <v>Lantai Atap</v>
      </c>
      <c r="B6577">
        <f>B6565</f>
        <v>13</v>
      </c>
      <c r="C6577" t="str">
        <v>Tul Peminggang</v>
      </c>
      <c r="D6577">
        <f>VLOOKUP(D6565,'Detail Balok'!$C$10:$AU$140,13,FALSE)</f>
        <v>0</v>
      </c>
      <c r="E6577" t="str">
        <v>D</v>
      </c>
      <c r="F6577">
        <f>VLOOKUP(D6565,'Detail Balok'!$C$10:$AU$140,15,FALSE)</f>
        <v>8</v>
      </c>
      <c r="J6577">
        <f>+D6567/1000</f>
        <v>9.685</v>
      </c>
      <c r="K6577" t="str">
        <v>+</v>
      </c>
      <c r="L6577">
        <f>2*$F$16*F6577/1000</f>
        <v>0.192</v>
      </c>
      <c r="M6577" t="str">
        <v>=</v>
      </c>
      <c r="N6577">
        <f>J6577+L6577</f>
        <v>9.877</v>
      </c>
      <c r="O6577" t="str">
        <v>+</v>
      </c>
      <c r="P6577">
        <f>IF(N6577&gt;12,ROUNDDOWN(N6577/12,0),0)</f>
        <v>0</v>
      </c>
      <c r="Q6577" t="str">
        <v>x</v>
      </c>
      <c r="R6577">
        <f>IF(P6577&gt;0,MAX(VLOOKUP(F6577,$D$6:$G$15,3,FALSE),600),0)/1000</f>
        <v>0</v>
      </c>
      <c r="T6577" t="str">
        <v>x</v>
      </c>
      <c r="U6577">
        <f>0.006165*F6577^2</f>
        <v>0.39456</v>
      </c>
      <c r="V6577" t="str">
        <v>x</v>
      </c>
      <c r="W6577">
        <f>+D6577</f>
        <v>0</v>
      </c>
      <c r="X6577" t="str">
        <v>x</v>
      </c>
      <c r="Y6577">
        <f>D6571</f>
        <v>1</v>
      </c>
      <c r="Z6577" t="str">
        <v>=</v>
      </c>
      <c r="AA6577">
        <f>(N6577+P6577*R6577/1000)*U6577*W6577*Y6577</f>
        <v>0</v>
      </c>
    </row>
    <row r="6580">
      <c r="A6580" t="str">
        <f>A6565</f>
        <v>Lantai Atap</v>
      </c>
      <c r="B6580">
        <f>B6565</f>
        <v>13</v>
      </c>
      <c r="C6580" t="str">
        <v>Tul Bawah Tumpuan</v>
      </c>
      <c r="D6580">
        <f>VLOOKUP(D6565,'Detail Balok'!$C$10:$AU$140,22,FALSE)</f>
        <v>3</v>
      </c>
      <c r="E6580" t="str">
        <v>D</v>
      </c>
      <c r="F6580">
        <f>VLOOKUP(D6565,'Detail Balok'!$C$10:$AU$140,24,FALSE)</f>
        <v>13</v>
      </c>
      <c r="I6580" t="str">
        <v>(</v>
      </c>
      <c r="J6580">
        <f>+J6572</f>
        <v>2.42125</v>
      </c>
      <c r="K6580" t="str">
        <v>+</v>
      </c>
      <c r="L6580">
        <f>MAX(VLOOKUP(F6580,N$6:P$15,3,FALSE)/1000,2/3*D6570/1000)+F$16*F6580/1000</f>
        <v>0.156</v>
      </c>
      <c r="M6580" t="str">
        <v>=</v>
      </c>
      <c r="N6580">
        <f>J6580+L6580</f>
        <v>2.5772500000000003</v>
      </c>
      <c r="O6580" t="str">
        <v>+</v>
      </c>
      <c r="P6580">
        <f>D6580-D6581</f>
        <v>0</v>
      </c>
      <c r="Q6580" t="str">
        <v>x</v>
      </c>
      <c r="R6580">
        <f>IF(P6580&gt;0,$F$18*F6580/1000,0)</f>
        <v>0</v>
      </c>
      <c r="S6580" t="str">
        <v>)</v>
      </c>
      <c r="T6580" t="str">
        <v>x</v>
      </c>
      <c r="U6580">
        <f>0.006165*F6580^2</f>
        <v>1.041885</v>
      </c>
      <c r="X6580" t="str">
        <v>x</v>
      </c>
      <c r="Y6580">
        <f>D6571</f>
        <v>1</v>
      </c>
      <c r="Z6580" t="str">
        <v>=</v>
      </c>
      <c r="AA6580">
        <f>IF(AA6583=0,(D6580*N6580+P6580*R6580)*U6580*Y6580,0)</f>
        <v>0</v>
      </c>
    </row>
    <row r="6581">
      <c r="A6581" t="str">
        <f>A6565</f>
        <v>Lantai Atap</v>
      </c>
      <c r="B6581">
        <f>B6565</f>
        <v>13</v>
      </c>
      <c r="C6581" t="str">
        <v>Tul Bawah Lapangan</v>
      </c>
      <c r="D6581">
        <f>VLOOKUP(D6565,'Detail Balok'!$C$10:$AU$140,25,FALSE)</f>
        <v>3</v>
      </c>
      <c r="E6581" t="str">
        <v>D</v>
      </c>
      <c r="F6581">
        <f>VLOOKUP(D6565,'Detail Balok'!$C$10:$AU$140,27,FALSE)</f>
        <v>13</v>
      </c>
      <c r="I6581" t="str">
        <v>(</v>
      </c>
      <c r="J6581">
        <f>+J6573</f>
        <v>4.8425</v>
      </c>
      <c r="K6581" t="str">
        <v>+</v>
      </c>
      <c r="M6581" t="str">
        <v>=</v>
      </c>
      <c r="N6581">
        <f>J6581+L6581</f>
        <v>4.8425</v>
      </c>
      <c r="O6581" t="str">
        <v>+</v>
      </c>
      <c r="P6581">
        <f>MAX(D6581-D6580,D6581-D6582)</f>
        <v>0</v>
      </c>
      <c r="Q6581" t="str">
        <v>x</v>
      </c>
      <c r="R6581">
        <f>IF(P6581&gt;0,2*(1-2*$F$19-1/2)*D6568/1000,0)</f>
        <v>0</v>
      </c>
      <c r="S6581" t="str">
        <v>)</v>
      </c>
      <c r="T6581" t="str">
        <v>x</v>
      </c>
      <c r="U6581">
        <f>0.006165*F6581^2</f>
        <v>1.041885</v>
      </c>
      <c r="X6581" t="str">
        <v>x</v>
      </c>
      <c r="Y6581">
        <f>D6571</f>
        <v>1</v>
      </c>
      <c r="Z6581" t="str">
        <v>=</v>
      </c>
      <c r="AA6581">
        <f>IF(AA6583=0,(D6581*N6581+P6581*R6581)*U6581*Y6581,0)</f>
        <v>0</v>
      </c>
    </row>
    <row r="6582">
      <c r="A6582" t="str">
        <f>A6565</f>
        <v>Lantai Atap</v>
      </c>
      <c r="B6582">
        <f>B6565</f>
        <v>13</v>
      </c>
      <c r="C6582" t="str">
        <v>Tul Bawah Tumpuan</v>
      </c>
      <c r="D6582">
        <f>VLOOKUP(D6565,'Detail Balok'!$C$10:$AU$140,28,FALSE)</f>
        <v>3</v>
      </c>
      <c r="E6582" t="str">
        <v>D</v>
      </c>
      <c r="F6582">
        <f>VLOOKUP(D6565,'Detail Balok'!$C$10:$AU$140,30,FALSE)</f>
        <v>13</v>
      </c>
      <c r="I6582" t="str">
        <v>(</v>
      </c>
      <c r="J6582">
        <f>+J6574</f>
        <v>2.42125</v>
      </c>
      <c r="K6582" t="str">
        <v>+</v>
      </c>
      <c r="L6582">
        <f>MAX(VLOOKUP(F6582,N$6:P$15,3,FALSE)/1000,2/3*D6570/1000)+F$16*F6582/1000</f>
        <v>0.156</v>
      </c>
      <c r="M6582" t="str">
        <v>=</v>
      </c>
      <c r="N6582">
        <f>J6582+L6582</f>
        <v>2.5772500000000003</v>
      </c>
      <c r="O6582" t="str">
        <v>+</v>
      </c>
      <c r="P6582">
        <f>D6582-D6581</f>
        <v>0</v>
      </c>
      <c r="Q6582" t="str">
        <v>x</v>
      </c>
      <c r="R6582">
        <f>IF(P6582&gt;0,$F$18*F6582/1000,0)</f>
        <v>0</v>
      </c>
      <c r="S6582" t="str">
        <v>)</v>
      </c>
      <c r="T6582" t="str">
        <v>x</v>
      </c>
      <c r="U6582">
        <f>0.006165*F6582^2</f>
        <v>1.041885</v>
      </c>
      <c r="X6582" t="str">
        <v>x</v>
      </c>
      <c r="Y6582">
        <f>D6571</f>
        <v>1</v>
      </c>
      <c r="Z6582" t="str">
        <v>=</v>
      </c>
      <c r="AA6582">
        <f>IF(AA6583=0,(D6582*N6582+P6582*R6582)*U6582*Y6582,0)</f>
        <v>0</v>
      </c>
    </row>
    <row r="6583">
      <c r="A6583" t="str">
        <f>A6565</f>
        <v>Lantai Atap</v>
      </c>
      <c r="B6583">
        <f>B6565</f>
        <v>13</v>
      </c>
      <c r="D6583">
        <f>IF(AND(D6580=D6581,D6581=D6582,D6580=D6582),D6580,0)</f>
        <v>3</v>
      </c>
      <c r="E6583" t="str">
        <v>D</v>
      </c>
      <c r="F6583">
        <f>IF(AND(F6580=F6581,F6580=F6582,F6581=F6582),F6580,0)</f>
        <v>13</v>
      </c>
      <c r="L6583" t="str">
        <v>Total panjang per balok</v>
      </c>
      <c r="M6583" t="str">
        <v>=</v>
      </c>
      <c r="N6583">
        <f>IF(AND(D6580=D6581,D6580=D6582,D6581=D6582,F6580=F6581,F6580=F6582,F6581=F6582),SUM(N6580:N6582),0)</f>
        <v>9.997</v>
      </c>
      <c r="O6583" t="str">
        <v>+</v>
      </c>
      <c r="P6583">
        <f>IF(N6583&gt;12,ROUNDDOWN(N6583/12,0),0)</f>
        <v>0</v>
      </c>
      <c r="Q6583" t="str">
        <v>x</v>
      </c>
      <c r="R6583">
        <f>IF(P6583&gt;0,MAX(VLOOKUP(F6583,$D$6:$G$15,3,FALSE),600),0)/1000</f>
        <v>0</v>
      </c>
      <c r="T6583" t="str">
        <v>x</v>
      </c>
      <c r="U6583">
        <f>U6582</f>
        <v>1.041885</v>
      </c>
      <c r="V6583" t="str">
        <v>x</v>
      </c>
      <c r="W6583">
        <f>D6583</f>
        <v>3</v>
      </c>
      <c r="X6583" t="str">
        <v>x</v>
      </c>
      <c r="Y6583">
        <f>Y6582</f>
        <v>1</v>
      </c>
      <c r="Z6583" t="str">
        <v>=</v>
      </c>
      <c r="AA6583">
        <f>(N6583+P6583*R6583/1000)*U6583*W6583*Y6583</f>
        <v>31.247173034999996</v>
      </c>
    </row>
    <row r="6585">
      <c r="A6585" t="str">
        <f>A6565</f>
        <v>Lantai Atap</v>
      </c>
      <c r="B6585">
        <f>B6565</f>
        <v>13</v>
      </c>
      <c r="C6585" t="str">
        <v>Sengkang Tumpuan</v>
      </c>
      <c r="D6585">
        <f>VLOOKUP(D6565,'Detail Balok'!$C$10:$AU$140,31,FALSE)</f>
        <v>0</v>
      </c>
      <c r="E6585" t="str">
        <v>D</v>
      </c>
      <c r="F6585">
        <f>VLOOKUP(D6565,'Detail Balok'!$C$10:$AU$140,33,FALSE)</f>
        <v>10</v>
      </c>
      <c r="G6585" t="str">
        <v>-</v>
      </c>
      <c r="H6585">
        <f>VLOOKUP(D6565,'Detail Balok'!$C$10:$AU$140,35,FALSE)</f>
        <v>100</v>
      </c>
      <c r="J6585">
        <f>(IF(D6585=0,(2*(D6566+G6566))-(F$5*8),IF(D6585=3,(2*(D6566+G6566))-(F$5*8)+(G6566-2*F$5),IF(D6585=4,(2*(D6566+G6566))-(F$5*8)+2*(G6566-2*F$5)))))/1000</f>
        <v>1.08</v>
      </c>
      <c r="K6585" t="str">
        <v>+</v>
      </c>
      <c r="L6585">
        <f>IF(D6585=0,2*MAX(6*F6585,75),(D6585-1)*2*MAX(6*F6585,75))/1000</f>
        <v>0.15</v>
      </c>
      <c r="M6585" t="str">
        <v>=</v>
      </c>
      <c r="N6585">
        <f>J6585+L6585</f>
        <v>1.23</v>
      </c>
      <c r="T6585" t="str">
        <v>x</v>
      </c>
      <c r="U6585">
        <f>0.006165*F6585^2</f>
        <v>0.6165</v>
      </c>
      <c r="V6585" t="str">
        <v>x</v>
      </c>
      <c r="W6585">
        <f>IF(D6568&gt;4*G6566,ROUND(MAX(D6568/4,2*G6566)/H6585,0)+1,ROUND(D6568/H6585,0)+1)</f>
        <v>25</v>
      </c>
      <c r="X6585" t="str">
        <v>x</v>
      </c>
      <c r="Y6585">
        <f>D6571</f>
        <v>1</v>
      </c>
      <c r="Z6585" t="str">
        <v>=</v>
      </c>
      <c r="AA6585">
        <f>N6585*U6585*W6585*Y6585</f>
        <v>18.957375000000003</v>
      </c>
    </row>
    <row r="6586">
      <c r="A6586" t="str">
        <f>A6565</f>
        <v>Lantai Atap</v>
      </c>
      <c r="B6586">
        <f>B6565</f>
        <v>13</v>
      </c>
      <c r="C6586" t="str">
        <v>Sengkang Lapangan</v>
      </c>
      <c r="D6586">
        <f>VLOOKUP(D6565,'Detail Balok'!$C$10:$AU$140,36,FALSE)</f>
        <v>0</v>
      </c>
      <c r="E6586" t="str">
        <v>D</v>
      </c>
      <c r="F6586">
        <f>VLOOKUP(D6565,'Detail Balok'!$C$10:$AU$140,38,FALSE)</f>
        <v>10</v>
      </c>
      <c r="G6586" t="str">
        <v>-</v>
      </c>
      <c r="H6586">
        <f>VLOOKUP(D6565,'Detail Balok'!$C$10:$AU$140,40,FALSE)</f>
        <v>200</v>
      </c>
      <c r="J6586">
        <f>(IF(D6586=0,(2*(D6566+G6566))-(F$5*8),IF(D6586=3,(2*(D6566+G6566))-(F$5*8)+(G6566-2*F$5),IF(D6586=4,(2*(D6566+G6566))-(F$5*8)+2*(G6566-2*F$5)))))/1000</f>
        <v>1.08</v>
      </c>
      <c r="K6586" t="str">
        <v>+</v>
      </c>
      <c r="L6586">
        <f>IF(D6586=0,2*MAX(6*F6586,75),(D6586-1)*2*MAX(6*F6586,75))/1000</f>
        <v>0.15</v>
      </c>
      <c r="M6586" t="str">
        <v>=</v>
      </c>
      <c r="N6586">
        <f>J6586+L6586</f>
        <v>1.23</v>
      </c>
      <c r="T6586" t="str">
        <v>x</v>
      </c>
      <c r="U6586">
        <f>0.006165*F6586^2</f>
        <v>0.6165</v>
      </c>
      <c r="V6586" t="str">
        <v>x</v>
      </c>
      <c r="W6586">
        <f>IF(D6568-MAX(D6568/4,2*G6566)*2&gt;0,ROUND((D6568-MAX(D6568/4,2*G6566)*2)/H6586,0),0)</f>
        <v>24</v>
      </c>
      <c r="X6586" t="str">
        <v>x</v>
      </c>
      <c r="Y6586">
        <f>D6571</f>
        <v>1</v>
      </c>
      <c r="Z6586" t="str">
        <v>=</v>
      </c>
      <c r="AA6586">
        <f>N6586*U6586*W6586*Y6586</f>
        <v>18.199080000000002</v>
      </c>
    </row>
    <row r="6587">
      <c r="A6587" t="str">
        <f>A6565</f>
        <v>Lantai Atap</v>
      </c>
      <c r="B6587">
        <f>B6565</f>
        <v>13</v>
      </c>
      <c r="C6587" t="str">
        <v>Sengkang Tumpuan</v>
      </c>
      <c r="D6587">
        <f>VLOOKUP(D6565,'Detail Balok'!$C$10:$AU$140,41,FALSE)</f>
        <v>0</v>
      </c>
      <c r="E6587" t="str">
        <v>D</v>
      </c>
      <c r="F6587">
        <f>VLOOKUP(D6565,'Detail Balok'!$C$10:$AU$140,43,FALSE)</f>
        <v>10</v>
      </c>
      <c r="G6587" t="str">
        <v>-</v>
      </c>
      <c r="H6587">
        <f>VLOOKUP(D6565,'Detail Balok'!$C$10:$AU$140,45,FALSE)</f>
        <v>100</v>
      </c>
      <c r="J6587">
        <f>(IF(D6587=0,(2*(D6566+G6566))-(F$5*8),IF(D6587=3,(2*(D6566+G6566))-(F$5*8)+(G6566-2*F$5),IF(D6587=4,(2*(D6566+G6566))-(F$5*8)+2*(G6566-2*F$5)))))/1000</f>
        <v>1.08</v>
      </c>
      <c r="K6587" t="str">
        <v>+</v>
      </c>
      <c r="L6587">
        <f>IF(D6587=0,2*MAX(6*F6587,75),(D6587-1)*2*MAX(6*F6587,75))/1000</f>
        <v>0.15</v>
      </c>
      <c r="M6587" t="str">
        <v>=</v>
      </c>
      <c r="N6587">
        <f>J6587+L6587</f>
        <v>1.23</v>
      </c>
      <c r="T6587" t="str">
        <v>x</v>
      </c>
      <c r="U6587">
        <f>0.006165*F6587^2</f>
        <v>0.6165</v>
      </c>
      <c r="V6587" t="str">
        <v>x</v>
      </c>
      <c r="W6587">
        <f>IF(D6568&gt;4*G6566,ROUND(MAX(D6568/4,2*G6566)/H6587,0)+1,0)</f>
        <v>25</v>
      </c>
      <c r="X6587" t="str">
        <v>x</v>
      </c>
      <c r="Y6587">
        <f>D6571</f>
        <v>1</v>
      </c>
      <c r="Z6587" t="str">
        <v>=</v>
      </c>
      <c r="AA6587">
        <f>N6587*U6587*W6587*Y6587</f>
        <v>18.957375000000003</v>
      </c>
    </row>
    <row r="6589">
      <c r="A6589" t="str">
        <f>A6565</f>
        <v>Lantai Atap</v>
      </c>
      <c r="B6589">
        <f>B6565</f>
        <v>13</v>
      </c>
      <c r="C6589" t="str">
        <v>Kait Horizontal Tump.</v>
      </c>
      <c r="D6589">
        <f>VLOOKUP(D6565,'Detail Balok'!$C$10:$BJ$140,46,FALSE)</f>
        <v>0</v>
      </c>
      <c r="E6589" t="str">
        <v>D</v>
      </c>
      <c r="F6589">
        <f>VLOOKUP(D6565,'Detail Balok'!$C$10:$BJ$140,48,FALSE)</f>
        <v>0</v>
      </c>
      <c r="G6589" t="str">
        <v>-</v>
      </c>
      <c r="H6589">
        <f>VLOOKUP(D6565,'Detail Balok'!$C$10:$BJ$140,50,FALSE)</f>
        <v>100</v>
      </c>
      <c r="J6589">
        <f>(D6566-2*F$5)/1000</f>
        <v>0.17</v>
      </c>
      <c r="K6589" t="str">
        <v>+</v>
      </c>
      <c r="L6589">
        <f>IF(D6589=0,2*MAX(6*F6589,75),(D6589-1)*2*MAX(6*F6589,75))/1000</f>
        <v>0.15</v>
      </c>
      <c r="M6589" t="str">
        <v>=</v>
      </c>
      <c r="N6589">
        <f>J6589+L6589</f>
        <v>0.32</v>
      </c>
      <c r="T6589" t="str">
        <v>x</v>
      </c>
      <c r="U6589">
        <f>0.006165*F6589^2</f>
        <v>0</v>
      </c>
      <c r="V6589" t="str">
        <v>x</v>
      </c>
      <c r="W6589">
        <f>W6585</f>
        <v>25</v>
      </c>
      <c r="X6589" t="str">
        <v>x</v>
      </c>
      <c r="Y6589">
        <f>D6575</f>
        <v>3</v>
      </c>
      <c r="Z6589" t="str">
        <v>=</v>
      </c>
      <c r="AA6589">
        <f>N6589*U6589*W6589*Y6589</f>
        <v>0</v>
      </c>
    </row>
    <row r="6590">
      <c r="A6590" t="str">
        <f>A6565</f>
        <v>Lantai Atap</v>
      </c>
      <c r="B6590">
        <f>B6565</f>
        <v>13</v>
      </c>
      <c r="C6590" t="str">
        <v>Kait Horizontal Lap.</v>
      </c>
      <c r="D6590">
        <f>VLOOKUP(D6565,'Detail Balok'!$C$10:$BJ$140,51,FALSE)</f>
        <v>0</v>
      </c>
      <c r="E6590" t="str">
        <v>D</v>
      </c>
      <c r="F6590">
        <f>VLOOKUP(D6565,'Detail Balok'!$C$10:$BJ$140,53,FALSE)</f>
        <v>0</v>
      </c>
      <c r="G6590" t="str">
        <v>-</v>
      </c>
      <c r="H6590">
        <f>VLOOKUP(D6565,'Detail Balok'!$C$10:$BJ$140,55,FALSE)</f>
        <v>100</v>
      </c>
      <c r="J6590">
        <f>(D6566-2*F$5)/1000</f>
        <v>0.17</v>
      </c>
      <c r="K6590" t="str">
        <v>+</v>
      </c>
      <c r="L6590">
        <f>IF(D6590=0,2*MAX(6*F6590,75),(D6590-1)*2*MAX(6*F6590,75))/1000</f>
        <v>0.15</v>
      </c>
      <c r="M6590" t="str">
        <v>=</v>
      </c>
      <c r="N6590">
        <f>J6590+L6590</f>
        <v>0.32</v>
      </c>
      <c r="T6590" t="str">
        <v>x</v>
      </c>
      <c r="U6590">
        <f>0.006165*F6590^2</f>
        <v>0</v>
      </c>
      <c r="V6590" t="str">
        <v>x</v>
      </c>
      <c r="W6590">
        <f>W6586</f>
        <v>24</v>
      </c>
      <c r="X6590" t="str">
        <v>x</v>
      </c>
      <c r="Y6590">
        <f>D6575</f>
        <v>3</v>
      </c>
      <c r="Z6590" t="str">
        <v>=</v>
      </c>
      <c r="AA6590">
        <f>N6590*U6590*W6590*Y6590</f>
        <v>0</v>
      </c>
    </row>
    <row r="6591">
      <c r="A6591" t="str">
        <f>A6565</f>
        <v>Lantai Atap</v>
      </c>
      <c r="B6591">
        <f>B6565</f>
        <v>13</v>
      </c>
      <c r="C6591" t="str">
        <v>Kait Horizontal Tump.</v>
      </c>
      <c r="D6591">
        <f>VLOOKUP(D6565,'Detail Balok'!$C$10:$BJ$140,56,FALSE)</f>
        <v>0</v>
      </c>
      <c r="E6591" t="str">
        <v>D</v>
      </c>
      <c r="F6591">
        <f>VLOOKUP(D6565,'Detail Balok'!$C$10:$BJ$140,58,FALSE)</f>
        <v>0</v>
      </c>
      <c r="G6591" t="str">
        <v>-</v>
      </c>
      <c r="H6591">
        <f>VLOOKUP(D6565,'Detail Balok'!$C$10:$BJ$140,60,FALSE)</f>
        <v>100</v>
      </c>
      <c r="J6591">
        <f>(D6566-2*F$5)/1000</f>
        <v>0.17</v>
      </c>
      <c r="K6591" t="str">
        <v>+</v>
      </c>
      <c r="L6591">
        <f>IF(D6591=0,2*MAX(6*F6591,75),(D6591-1)*2*MAX(6*F6591,75))/1000</f>
        <v>0.15</v>
      </c>
      <c r="M6591" t="str">
        <v>=</v>
      </c>
      <c r="N6591">
        <f>J6591+L6591</f>
        <v>0.32</v>
      </c>
      <c r="T6591" t="str">
        <v>x</v>
      </c>
      <c r="U6591">
        <f>0.006165*F6591^2</f>
        <v>0</v>
      </c>
      <c r="V6591" t="str">
        <v>x</v>
      </c>
      <c r="W6591">
        <f>W6587</f>
        <v>25</v>
      </c>
      <c r="X6591" t="str">
        <v>x</v>
      </c>
      <c r="Y6591">
        <f>D6575</f>
        <v>3</v>
      </c>
      <c r="Z6591" t="str">
        <v>=</v>
      </c>
      <c r="AA6591">
        <f>N6591*U6591*W6591*Y6591</f>
        <v>0</v>
      </c>
    </row>
    <row r="6595">
      <c r="A6595" t="str">
        <f>A6565</f>
        <v>Lantai Atap</v>
      </c>
      <c r="B6595" t="str">
        <v>13A</v>
      </c>
      <c r="C6595" t="str">
        <f>CONCATENATE(A6595," no. ",B6595)</f>
        <v>Lantai Atap no. 13A</v>
      </c>
      <c r="D6595" t="str">
        <f>VLOOKUP(C6595,'Data Panjang Balok'!$C$9:$N$254,2,FALSE)</f>
        <v>B2A4A-1</v>
      </c>
    </row>
    <row r="6596">
      <c r="C6596" t="str">
        <v>Dimensi</v>
      </c>
      <c r="D6596">
        <f>VLOOKUP(D6595,'Detail Balok'!$C$10:$AU$140,2,FALSE)</f>
        <v>250</v>
      </c>
      <c r="F6596" t="str">
        <v>x</v>
      </c>
      <c r="G6596">
        <f>VLOOKUP(D6595,'Detail Balok'!$C$10:$AU$140,3,FALSE)</f>
        <v>450</v>
      </c>
    </row>
    <row r="6597">
      <c r="C6597" t="str">
        <v>Panjang as ke as</v>
      </c>
      <c r="D6597">
        <f>VLOOKUP(C6595,'Data Panjang Balok'!$C$9:$N$254,4,FALSE)</f>
        <v>1025</v>
      </c>
    </row>
    <row r="6598">
      <c r="C6598" t="str">
        <v>Panjang netto</v>
      </c>
      <c r="D6598">
        <f>VLOOKUP(C6595,'Data Panjang Balok'!$C$9:$N$254,7,FALSE)</f>
        <v>1025</v>
      </c>
    </row>
    <row r="6599">
      <c r="C6599" t="str">
        <v>Kolom / balok kiri</v>
      </c>
      <c r="D6599">
        <f>VLOOKUP(C6595,'Data Panjang Balok'!$C$9:$N$254,9,FALSE)</f>
        <v>0</v>
      </c>
    </row>
    <row r="6600">
      <c r="C6600" t="str">
        <v>Kolom / balok kanan</v>
      </c>
      <c r="D6600">
        <f>VLOOKUP(C6595,'Data Panjang Balok'!$C$9:$N$254,10,FALSE)</f>
        <v>0</v>
      </c>
    </row>
    <row r="6601">
      <c r="C6601" t="str">
        <v>Jumlah</v>
      </c>
      <c r="D6601">
        <f>VLOOKUP(C6595,'Data Panjang Balok'!$C$9:$N$254,3,FALSE)</f>
        <v>1</v>
      </c>
    </row>
    <row r="6602">
      <c r="A6602" t="str">
        <f>A6595</f>
        <v>Lantai Atap</v>
      </c>
      <c r="B6602" t="str">
        <f>B6595</f>
        <v>13A</v>
      </c>
      <c r="C6602" t="str">
        <v>Tul Atas Tumpuan</v>
      </c>
      <c r="D6602">
        <f>VLOOKUP(D6595,'Detail Balok'!$C$10:$AU$140,4,FALSE)</f>
        <v>3</v>
      </c>
      <c r="E6602" t="str">
        <v>D</v>
      </c>
      <c r="F6602">
        <f>VLOOKUP(D6595,'Detail Balok'!$C$10:$AU$140,6,FALSE)</f>
        <v>13</v>
      </c>
      <c r="I6602" t="str">
        <v>(</v>
      </c>
      <c r="J6602">
        <f>+D6597/4/1000</f>
        <v>0.25625</v>
      </c>
      <c r="K6602" t="str">
        <v>+</v>
      </c>
      <c r="L6602">
        <f>MAX(VLOOKUP(F6602,N$6:P$15,3,FALSE)/1000,2/3*D6599/1000)+F$16*F6602/1000</f>
        <v>0.156</v>
      </c>
      <c r="M6602" t="str">
        <v>=</v>
      </c>
      <c r="N6602">
        <f>J6602+L6602</f>
        <v>0.41225</v>
      </c>
      <c r="O6602" t="str">
        <v>+</v>
      </c>
      <c r="P6602">
        <f>D6602-D6603</f>
        <v>0</v>
      </c>
      <c r="Q6602" t="str">
        <v>x</v>
      </c>
      <c r="R6602">
        <f>IF(P6602&gt;0,$F$18*F6602/1000,0)</f>
        <v>0</v>
      </c>
      <c r="S6602" t="str">
        <v>)</v>
      </c>
      <c r="T6602" t="str">
        <v>x</v>
      </c>
      <c r="U6602">
        <f>0.006165*F6602^2</f>
        <v>1.041885</v>
      </c>
      <c r="X6602" t="str">
        <v>x</v>
      </c>
      <c r="Y6602">
        <f>D6601</f>
        <v>1</v>
      </c>
      <c r="Z6602" t="str">
        <v>=</v>
      </c>
      <c r="AA6602">
        <f>IF(AA6605=0,(D6602*N6602+P6602*R6602)*U6602*Y6602,0)</f>
        <v>0</v>
      </c>
    </row>
    <row r="6603">
      <c r="A6603" t="str">
        <f>A6595</f>
        <v>Lantai Atap</v>
      </c>
      <c r="B6603" t="str">
        <f>B6595</f>
        <v>13A</v>
      </c>
      <c r="C6603" t="str">
        <v>Tul Atas Lapangan</v>
      </c>
      <c r="D6603">
        <f>VLOOKUP(D6595,'Detail Balok'!$C$10:$AU$140,7,FALSE)</f>
        <v>3</v>
      </c>
      <c r="E6603" t="str">
        <v>D</v>
      </c>
      <c r="F6603">
        <f>VLOOKUP(D6595,'Detail Balok'!$C$10:$AU$140,9,FALSE)</f>
        <v>13</v>
      </c>
      <c r="I6603" t="str">
        <v>(</v>
      </c>
      <c r="J6603">
        <f>+D6597/2/1000</f>
        <v>0.5125</v>
      </c>
      <c r="K6603" t="str">
        <v>+</v>
      </c>
      <c r="M6603" t="str">
        <v>=</v>
      </c>
      <c r="N6603">
        <f>J6603+L6603</f>
        <v>0.5125</v>
      </c>
      <c r="O6603" t="str">
        <v>+</v>
      </c>
      <c r="P6603">
        <f>MAX(D6603-D6602,D6603-D6604)</f>
        <v>0</v>
      </c>
      <c r="Q6603" t="str">
        <v>x</v>
      </c>
      <c r="R6603">
        <f>IF(P6603&gt;0,2*(1-2*$F$19-1/2)*D6598/1000,0)</f>
        <v>0</v>
      </c>
      <c r="S6603" t="str">
        <v>)</v>
      </c>
      <c r="T6603" t="str">
        <v>x</v>
      </c>
      <c r="U6603">
        <f>0.006165*F6603^2</f>
        <v>1.041885</v>
      </c>
      <c r="X6603" t="str">
        <v>x</v>
      </c>
      <c r="Y6603">
        <f>D6601</f>
        <v>1</v>
      </c>
      <c r="Z6603" t="str">
        <v>=</v>
      </c>
      <c r="AA6603">
        <f>IF(AA6605=0,(D6603*N6603+P6603*R6603)*U6603*Y6603,0)</f>
        <v>0</v>
      </c>
    </row>
    <row r="6604">
      <c r="A6604" t="str">
        <f>A6595</f>
        <v>Lantai Atap</v>
      </c>
      <c r="B6604" t="str">
        <f>B6595</f>
        <v>13A</v>
      </c>
      <c r="C6604" t="str">
        <v>Tul Atas Tumpuan</v>
      </c>
      <c r="D6604">
        <f>VLOOKUP(D6595,'Detail Balok'!$C$10:$AU$140,10,FALSE)</f>
        <v>3</v>
      </c>
      <c r="E6604" t="str">
        <v>D</v>
      </c>
      <c r="F6604">
        <f>VLOOKUP(D6595,'Detail Balok'!$C$10:$AU$140,12,FALSE)</f>
        <v>13</v>
      </c>
      <c r="I6604" t="str">
        <v>(</v>
      </c>
      <c r="J6604">
        <f>+D6597/4/1000</f>
        <v>0.25625</v>
      </c>
      <c r="K6604" t="str">
        <v>+</v>
      </c>
      <c r="L6604">
        <f>MAX(VLOOKUP(F6604,N$6:P$15,3,FALSE)/1000,2/3*D6599/1000)+F$16*F6604/1000</f>
        <v>0.156</v>
      </c>
      <c r="M6604" t="str">
        <v>=</v>
      </c>
      <c r="N6604">
        <f>J6604+L6604</f>
        <v>0.41225</v>
      </c>
      <c r="O6604" t="str">
        <v>+</v>
      </c>
      <c r="P6604">
        <f>D6604-D6603</f>
        <v>0</v>
      </c>
      <c r="Q6604" t="str">
        <v>x</v>
      </c>
      <c r="R6604">
        <f>IF(P6604&gt;0,$F$18*F6604/1000,0)</f>
        <v>0</v>
      </c>
      <c r="S6604" t="str">
        <v>)</v>
      </c>
      <c r="T6604" t="str">
        <v>x</v>
      </c>
      <c r="U6604">
        <f>0.006165*F6604^2</f>
        <v>1.041885</v>
      </c>
      <c r="X6604" t="str">
        <v>x</v>
      </c>
      <c r="Y6604">
        <f>D6601</f>
        <v>1</v>
      </c>
      <c r="Z6604" t="str">
        <v>=</v>
      </c>
      <c r="AA6604">
        <f>IF(AA6605=0,(D6604*N6604+P6604*R6604)*U6604*Y6604,0)</f>
        <v>0</v>
      </c>
    </row>
    <row r="6605">
      <c r="A6605" t="str">
        <f>A6595</f>
        <v>Lantai Atap</v>
      </c>
      <c r="B6605" t="str">
        <f>B6595</f>
        <v>13A</v>
      </c>
      <c r="D6605">
        <f>IF(AND(D6602=D6603,D6603=D6604,D6602=D6604),D6602,0)</f>
        <v>3</v>
      </c>
      <c r="E6605" t="str">
        <v>D</v>
      </c>
      <c r="F6605">
        <f>IF(AND(F6602=F6603,F6602=F6604,F6603=F6604),F6602,0)</f>
        <v>13</v>
      </c>
      <c r="L6605" t="str">
        <v>Total panjang per balok</v>
      </c>
      <c r="M6605" t="str">
        <v>=</v>
      </c>
      <c r="N6605">
        <f>IF(AND(D6602=D6603,D6602=D6604,D6603=D6604,F6602=F6603,F6602=F6604,F6603=F6604),SUM(N6602:N6604),0)</f>
        <v>1.337</v>
      </c>
      <c r="O6605" t="str">
        <v>+</v>
      </c>
      <c r="P6605">
        <f>IF(N6605&gt;12,ROUNDDOWN(N6605/12,0),0)</f>
        <v>0</v>
      </c>
      <c r="Q6605" t="str">
        <v>x</v>
      </c>
      <c r="R6605">
        <f>IF(P6605&gt;0,MAX(VLOOKUP(F6605,$D$6:$G$15,3,FALSE),600),0)/1000</f>
        <v>0</v>
      </c>
      <c r="T6605" t="str">
        <v>x</v>
      </c>
      <c r="U6605">
        <f>U6604</f>
        <v>1.041885</v>
      </c>
      <c r="V6605" t="str">
        <v>x</v>
      </c>
      <c r="W6605">
        <f>D6605</f>
        <v>3</v>
      </c>
      <c r="X6605" t="str">
        <v>x</v>
      </c>
      <c r="Y6605">
        <f>Y6604</f>
        <v>1</v>
      </c>
      <c r="Z6605" t="str">
        <v>=</v>
      </c>
      <c r="AA6605">
        <f>(N6605+P6605*R6605/1000)*U6605*W6605*Y6605</f>
        <v>4.179000735</v>
      </c>
    </row>
    <row r="6607">
      <c r="A6607" t="str">
        <f>A6595</f>
        <v>Lantai Atap</v>
      </c>
      <c r="B6607" t="str">
        <f>B6595</f>
        <v>13A</v>
      </c>
      <c r="C6607" t="str">
        <v>Tul Peminggang</v>
      </c>
      <c r="D6607">
        <f>VLOOKUP(D6595,'Detail Balok'!$C$10:$AU$140,13,FALSE)</f>
        <v>0</v>
      </c>
      <c r="E6607" t="str">
        <v>D</v>
      </c>
      <c r="F6607">
        <f>VLOOKUP(D6595,'Detail Balok'!$C$10:$AU$140,15,FALSE)</f>
        <v>8</v>
      </c>
      <c r="J6607">
        <f>+D6597/1000</f>
        <v>1.025</v>
      </c>
      <c r="K6607" t="str">
        <v>+</v>
      </c>
      <c r="L6607">
        <f>2*$F$16*F6607/1000</f>
        <v>0.192</v>
      </c>
      <c r="M6607" t="str">
        <v>=</v>
      </c>
      <c r="N6607">
        <f>J6607+L6607</f>
        <v>1.2169999999999999</v>
      </c>
      <c r="O6607" t="str">
        <v>+</v>
      </c>
      <c r="P6607">
        <f>IF(N6607&gt;12,ROUNDDOWN(N6607/12,0),0)</f>
        <v>0</v>
      </c>
      <c r="Q6607" t="str">
        <v>x</v>
      </c>
      <c r="R6607">
        <f>IF(P6607&gt;0,MAX(VLOOKUP(F6607,$D$6:$G$15,3,FALSE),600),0)/1000</f>
        <v>0</v>
      </c>
      <c r="T6607" t="str">
        <v>x</v>
      </c>
      <c r="U6607">
        <f>0.006165*F6607^2</f>
        <v>0.39456</v>
      </c>
      <c r="V6607" t="str">
        <v>x</v>
      </c>
      <c r="W6607">
        <f>+D6607</f>
        <v>0</v>
      </c>
      <c r="X6607" t="str">
        <v>x</v>
      </c>
      <c r="Y6607">
        <f>D6601</f>
        <v>1</v>
      </c>
      <c r="Z6607" t="str">
        <v>=</v>
      </c>
      <c r="AA6607">
        <f>(N6607+P6607*R6607/1000)*U6607*W6607*Y6607</f>
        <v>0</v>
      </c>
    </row>
    <row r="6610">
      <c r="A6610" t="str">
        <f>A6595</f>
        <v>Lantai Atap</v>
      </c>
      <c r="B6610" t="str">
        <f>B6595</f>
        <v>13A</v>
      </c>
      <c r="C6610" t="str">
        <v>Tul Bawah Tumpuan</v>
      </c>
      <c r="D6610">
        <f>VLOOKUP(D6595,'Detail Balok'!$C$10:$AU$140,22,FALSE)</f>
        <v>3</v>
      </c>
      <c r="E6610" t="str">
        <v>D</v>
      </c>
      <c r="F6610">
        <f>VLOOKUP(D6595,'Detail Balok'!$C$10:$AU$140,24,FALSE)</f>
        <v>13</v>
      </c>
      <c r="I6610" t="str">
        <v>(</v>
      </c>
      <c r="J6610">
        <f>+J6602</f>
        <v>0.25625</v>
      </c>
      <c r="K6610" t="str">
        <v>+</v>
      </c>
      <c r="L6610">
        <f>MAX(VLOOKUP(F6610,N$6:P$15,3,FALSE)/1000,2/3*D6600/1000)+F$16*F6610/1000</f>
        <v>0.156</v>
      </c>
      <c r="M6610" t="str">
        <v>=</v>
      </c>
      <c r="N6610">
        <f>J6610+L6610</f>
        <v>0.41225</v>
      </c>
      <c r="O6610" t="str">
        <v>+</v>
      </c>
      <c r="P6610">
        <f>D6610-D6611</f>
        <v>0</v>
      </c>
      <c r="Q6610" t="str">
        <v>x</v>
      </c>
      <c r="R6610">
        <f>IF(P6610&gt;0,$F$18*F6610/1000,0)</f>
        <v>0</v>
      </c>
      <c r="S6610" t="str">
        <v>)</v>
      </c>
      <c r="T6610" t="str">
        <v>x</v>
      </c>
      <c r="U6610">
        <f>0.006165*F6610^2</f>
        <v>1.041885</v>
      </c>
      <c r="X6610" t="str">
        <v>x</v>
      </c>
      <c r="Y6610">
        <f>D6601</f>
        <v>1</v>
      </c>
      <c r="Z6610" t="str">
        <v>=</v>
      </c>
      <c r="AA6610">
        <f>IF(AA6613=0,(D6610*N6610+P6610*R6610)*U6610*Y6610,0)</f>
        <v>0</v>
      </c>
    </row>
    <row r="6611">
      <c r="A6611" t="str">
        <f>A6595</f>
        <v>Lantai Atap</v>
      </c>
      <c r="B6611" t="str">
        <f>B6595</f>
        <v>13A</v>
      </c>
      <c r="C6611" t="str">
        <v>Tul Bawah Lapangan</v>
      </c>
      <c r="D6611">
        <f>VLOOKUP(D6595,'Detail Balok'!$C$10:$AU$140,25,FALSE)</f>
        <v>3</v>
      </c>
      <c r="E6611" t="str">
        <v>D</v>
      </c>
      <c r="F6611">
        <f>VLOOKUP(D6595,'Detail Balok'!$C$10:$AU$140,27,FALSE)</f>
        <v>13</v>
      </c>
      <c r="I6611" t="str">
        <v>(</v>
      </c>
      <c r="J6611">
        <f>+J6603</f>
        <v>0.5125</v>
      </c>
      <c r="K6611" t="str">
        <v>+</v>
      </c>
      <c r="M6611" t="str">
        <v>=</v>
      </c>
      <c r="N6611">
        <f>J6611+L6611</f>
        <v>0.5125</v>
      </c>
      <c r="O6611" t="str">
        <v>+</v>
      </c>
      <c r="P6611">
        <f>MAX(D6611-D6610,D6611-D6612)</f>
        <v>0</v>
      </c>
      <c r="Q6611" t="str">
        <v>x</v>
      </c>
      <c r="R6611">
        <f>IF(P6611&gt;0,2*(1-2*$F$19-1/2)*D6598/1000,0)</f>
        <v>0</v>
      </c>
      <c r="S6611" t="str">
        <v>)</v>
      </c>
      <c r="T6611" t="str">
        <v>x</v>
      </c>
      <c r="U6611">
        <f>0.006165*F6611^2</f>
        <v>1.041885</v>
      </c>
      <c r="X6611" t="str">
        <v>x</v>
      </c>
      <c r="Y6611">
        <f>D6601</f>
        <v>1</v>
      </c>
      <c r="Z6611" t="str">
        <v>=</v>
      </c>
      <c r="AA6611">
        <f>IF(AA6613=0,(D6611*N6611+P6611*R6611)*U6611*Y6611,0)</f>
        <v>0</v>
      </c>
    </row>
    <row r="6612">
      <c r="A6612" t="str">
        <f>A6595</f>
        <v>Lantai Atap</v>
      </c>
      <c r="B6612" t="str">
        <f>B6595</f>
        <v>13A</v>
      </c>
      <c r="C6612" t="str">
        <v>Tul Bawah Tumpuan</v>
      </c>
      <c r="D6612">
        <f>VLOOKUP(D6595,'Detail Balok'!$C$10:$AU$140,28,FALSE)</f>
        <v>3</v>
      </c>
      <c r="E6612" t="str">
        <v>D</v>
      </c>
      <c r="F6612">
        <f>VLOOKUP(D6595,'Detail Balok'!$C$10:$AU$140,30,FALSE)</f>
        <v>13</v>
      </c>
      <c r="I6612" t="str">
        <v>(</v>
      </c>
      <c r="J6612">
        <f>+J6604</f>
        <v>0.25625</v>
      </c>
      <c r="K6612" t="str">
        <v>+</v>
      </c>
      <c r="L6612">
        <f>MAX(VLOOKUP(F6612,N$6:P$15,3,FALSE)/1000,2/3*D6600/1000)+F$16*F6612/1000</f>
        <v>0.156</v>
      </c>
      <c r="M6612" t="str">
        <v>=</v>
      </c>
      <c r="N6612">
        <f>J6612+L6612</f>
        <v>0.41225</v>
      </c>
      <c r="O6612" t="str">
        <v>+</v>
      </c>
      <c r="P6612">
        <f>D6612-D6611</f>
        <v>0</v>
      </c>
      <c r="Q6612" t="str">
        <v>x</v>
      </c>
      <c r="R6612">
        <f>IF(P6612&gt;0,$F$18*F6612/1000,0)</f>
        <v>0</v>
      </c>
      <c r="S6612" t="str">
        <v>)</v>
      </c>
      <c r="T6612" t="str">
        <v>x</v>
      </c>
      <c r="U6612">
        <f>0.006165*F6612^2</f>
        <v>1.041885</v>
      </c>
      <c r="X6612" t="str">
        <v>x</v>
      </c>
      <c r="Y6612">
        <f>D6601</f>
        <v>1</v>
      </c>
      <c r="Z6612" t="str">
        <v>=</v>
      </c>
      <c r="AA6612">
        <f>IF(AA6613=0,(D6612*N6612+P6612*R6612)*U6612*Y6612,0)</f>
        <v>0</v>
      </c>
    </row>
    <row r="6613">
      <c r="A6613" t="str">
        <f>A6595</f>
        <v>Lantai Atap</v>
      </c>
      <c r="B6613" t="str">
        <f>B6595</f>
        <v>13A</v>
      </c>
      <c r="D6613">
        <f>IF(AND(D6610=D6611,D6611=D6612,D6610=D6612),D6610,0)</f>
        <v>3</v>
      </c>
      <c r="E6613" t="str">
        <v>D</v>
      </c>
      <c r="F6613">
        <f>IF(AND(F6610=F6611,F6610=F6612,F6611=F6612),F6610,0)</f>
        <v>13</v>
      </c>
      <c r="L6613" t="str">
        <v>Total panjang per balok</v>
      </c>
      <c r="M6613" t="str">
        <v>=</v>
      </c>
      <c r="N6613">
        <f>IF(AND(D6610=D6611,D6610=D6612,D6611=D6612,F6610=F6611,F6610=F6612,F6611=F6612),SUM(N6610:N6612),0)</f>
        <v>1.337</v>
      </c>
      <c r="O6613" t="str">
        <v>+</v>
      </c>
      <c r="P6613">
        <f>IF(N6613&gt;12,ROUNDDOWN(N6613/12,0),0)</f>
        <v>0</v>
      </c>
      <c r="Q6613" t="str">
        <v>x</v>
      </c>
      <c r="R6613">
        <f>IF(P6613&gt;0,MAX(VLOOKUP(F6613,$D$6:$G$15,3,FALSE),600),0)/1000</f>
        <v>0</v>
      </c>
      <c r="T6613" t="str">
        <v>x</v>
      </c>
      <c r="U6613">
        <f>U6612</f>
        <v>1.041885</v>
      </c>
      <c r="V6613" t="str">
        <v>x</v>
      </c>
      <c r="W6613">
        <f>D6613</f>
        <v>3</v>
      </c>
      <c r="X6613" t="str">
        <v>x</v>
      </c>
      <c r="Y6613">
        <f>Y6612</f>
        <v>1</v>
      </c>
      <c r="Z6613" t="str">
        <v>=</v>
      </c>
      <c r="AA6613">
        <f>(N6613+P6613*R6613/1000)*U6613*W6613*Y6613</f>
        <v>4.179000735</v>
      </c>
    </row>
    <row r="6615">
      <c r="A6615" t="str">
        <f>A6595</f>
        <v>Lantai Atap</v>
      </c>
      <c r="B6615" t="str">
        <f>B6595</f>
        <v>13A</v>
      </c>
      <c r="C6615" t="str">
        <v>Sengkang Tumpuan</v>
      </c>
      <c r="D6615">
        <f>VLOOKUP(D6595,'Detail Balok'!$C$10:$AU$140,31,FALSE)</f>
        <v>0</v>
      </c>
      <c r="E6615" t="str">
        <v>D</v>
      </c>
      <c r="F6615">
        <f>VLOOKUP(D6595,'Detail Balok'!$C$10:$AU$140,33,FALSE)</f>
        <v>10</v>
      </c>
      <c r="G6615" t="str">
        <v>-</v>
      </c>
      <c r="H6615">
        <f>VLOOKUP(D6595,'Detail Balok'!$C$10:$AU$140,35,FALSE)</f>
        <v>100</v>
      </c>
      <c r="J6615">
        <f>(IF(D6615=0,(2*(D6596+G6596))-(F$5*8),IF(D6615=3,(2*(D6596+G6596))-(F$5*8)+(G6596-2*F$5),IF(D6615=4,(2*(D6596+G6596))-(F$5*8)+2*(G6596-2*F$5)))))/1000</f>
        <v>1.08</v>
      </c>
      <c r="K6615" t="str">
        <v>+</v>
      </c>
      <c r="L6615">
        <f>IF(D6615=0,2*MAX(6*F6615,75),(D6615-1)*2*MAX(6*F6615,75))/1000</f>
        <v>0.15</v>
      </c>
      <c r="M6615" t="str">
        <v>=</v>
      </c>
      <c r="N6615">
        <f>J6615+L6615</f>
        <v>1.23</v>
      </c>
      <c r="T6615" t="str">
        <v>x</v>
      </c>
      <c r="U6615">
        <f>0.006165*F6615^2</f>
        <v>0.6165</v>
      </c>
      <c r="V6615" t="str">
        <v>x</v>
      </c>
      <c r="W6615">
        <f>IF(D6598&gt;4*G6596,ROUND(MAX(D6598/4,2*G6596)/H6615,0)+1,ROUND(D6598/H6615,0)+1)</f>
        <v>11</v>
      </c>
      <c r="X6615" t="str">
        <v>x</v>
      </c>
      <c r="Y6615">
        <f>D6601</f>
        <v>1</v>
      </c>
      <c r="Z6615" t="str">
        <v>=</v>
      </c>
      <c r="AA6615">
        <f>N6615*U6615*W6615*Y6615</f>
        <v>8.341245</v>
      </c>
    </row>
    <row r="6616">
      <c r="A6616" t="str">
        <f>A6595</f>
        <v>Lantai Atap</v>
      </c>
      <c r="B6616" t="str">
        <f>B6595</f>
        <v>13A</v>
      </c>
      <c r="C6616" t="str">
        <v>Sengkang Lapangan</v>
      </c>
      <c r="D6616">
        <f>VLOOKUP(D6595,'Detail Balok'!$C$10:$AU$140,36,FALSE)</f>
        <v>0</v>
      </c>
      <c r="E6616" t="str">
        <v>D</v>
      </c>
      <c r="F6616">
        <f>VLOOKUP(D6595,'Detail Balok'!$C$10:$AU$140,38,FALSE)</f>
        <v>10</v>
      </c>
      <c r="G6616" t="str">
        <v>-</v>
      </c>
      <c r="H6616">
        <f>VLOOKUP(D6595,'Detail Balok'!$C$10:$AU$140,40,FALSE)</f>
        <v>200</v>
      </c>
      <c r="J6616">
        <f>(IF(D6616=0,(2*(D6596+G6596))-(F$5*8),IF(D6616=3,(2*(D6596+G6596))-(F$5*8)+(G6596-2*F$5),IF(D6616=4,(2*(D6596+G6596))-(F$5*8)+2*(G6596-2*F$5)))))/1000</f>
        <v>1.08</v>
      </c>
      <c r="K6616" t="str">
        <v>+</v>
      </c>
      <c r="L6616">
        <f>IF(D6616=0,2*MAX(6*F6616,75),(D6616-1)*2*MAX(6*F6616,75))/1000</f>
        <v>0.15</v>
      </c>
      <c r="M6616" t="str">
        <v>=</v>
      </c>
      <c r="N6616">
        <f>J6616+L6616</f>
        <v>1.23</v>
      </c>
      <c r="T6616" t="str">
        <v>x</v>
      </c>
      <c r="U6616">
        <f>0.006165*F6616^2</f>
        <v>0.6165</v>
      </c>
      <c r="V6616" t="str">
        <v>x</v>
      </c>
      <c r="W6616">
        <f>IF(D6598-MAX(D6598/4,2*G6596)*2&gt;0,ROUND((D6598-MAX(D6598/4,2*G6596)*2)/H6616,0),0)</f>
        <v>0</v>
      </c>
      <c r="X6616" t="str">
        <v>x</v>
      </c>
      <c r="Y6616">
        <f>D6601</f>
        <v>1</v>
      </c>
      <c r="Z6616" t="str">
        <v>=</v>
      </c>
      <c r="AA6616">
        <f>N6616*U6616*W6616*Y6616</f>
        <v>0</v>
      </c>
    </row>
    <row r="6617">
      <c r="A6617" t="str">
        <f>A6595</f>
        <v>Lantai Atap</v>
      </c>
      <c r="B6617" t="str">
        <f>B6595</f>
        <v>13A</v>
      </c>
      <c r="C6617" t="str">
        <v>Sengkang Tumpuan</v>
      </c>
      <c r="D6617">
        <f>VLOOKUP(D6595,'Detail Balok'!$C$10:$AU$140,41,FALSE)</f>
        <v>0</v>
      </c>
      <c r="E6617" t="str">
        <v>D</v>
      </c>
      <c r="F6617">
        <f>VLOOKUP(D6595,'Detail Balok'!$C$10:$AU$140,43,FALSE)</f>
        <v>10</v>
      </c>
      <c r="G6617" t="str">
        <v>-</v>
      </c>
      <c r="H6617">
        <f>VLOOKUP(D6595,'Detail Balok'!$C$10:$AU$140,45,FALSE)</f>
        <v>100</v>
      </c>
      <c r="J6617">
        <f>(IF(D6617=0,(2*(D6596+G6596))-(F$5*8),IF(D6617=3,(2*(D6596+G6596))-(F$5*8)+(G6596-2*F$5),IF(D6617=4,(2*(D6596+G6596))-(F$5*8)+2*(G6596-2*F$5)))))/1000</f>
        <v>1.08</v>
      </c>
      <c r="K6617" t="str">
        <v>+</v>
      </c>
      <c r="L6617">
        <f>IF(D6617=0,2*MAX(6*F6617,75),(D6617-1)*2*MAX(6*F6617,75))/1000</f>
        <v>0.15</v>
      </c>
      <c r="M6617" t="str">
        <v>=</v>
      </c>
      <c r="N6617">
        <f>J6617+L6617</f>
        <v>1.23</v>
      </c>
      <c r="T6617" t="str">
        <v>x</v>
      </c>
      <c r="U6617">
        <f>0.006165*F6617^2</f>
        <v>0.6165</v>
      </c>
      <c r="V6617" t="str">
        <v>x</v>
      </c>
      <c r="W6617">
        <f>IF(D6598&gt;4*G6596,ROUND(MAX(D6598/4,2*G6596)/H6617,0)+1,0)</f>
        <v>0</v>
      </c>
      <c r="X6617" t="str">
        <v>x</v>
      </c>
      <c r="Y6617">
        <f>D6601</f>
        <v>1</v>
      </c>
      <c r="Z6617" t="str">
        <v>=</v>
      </c>
      <c r="AA6617">
        <f>N6617*U6617*W6617*Y6617</f>
        <v>0</v>
      </c>
    </row>
    <row r="6619">
      <c r="A6619" t="str">
        <f>A6595</f>
        <v>Lantai Atap</v>
      </c>
      <c r="B6619" t="str">
        <f>B6595</f>
        <v>13A</v>
      </c>
      <c r="C6619" t="str">
        <v>Kait Horizontal Tump.</v>
      </c>
      <c r="D6619">
        <f>VLOOKUP(D6595,'Detail Balok'!$C$10:$BJ$140,46,FALSE)</f>
        <v>0</v>
      </c>
      <c r="E6619" t="str">
        <v>D</v>
      </c>
      <c r="F6619">
        <f>VLOOKUP(D6595,'Detail Balok'!$C$10:$BJ$140,48,FALSE)</f>
        <v>0</v>
      </c>
      <c r="G6619" t="str">
        <v>-</v>
      </c>
      <c r="H6619">
        <f>VLOOKUP(D6595,'Detail Balok'!$C$10:$BJ$140,50,FALSE)</f>
        <v>100</v>
      </c>
      <c r="J6619">
        <f>(D6596-2*F$5)/1000</f>
        <v>0.17</v>
      </c>
      <c r="K6619" t="str">
        <v>+</v>
      </c>
      <c r="L6619">
        <f>IF(D6619=0,2*MAX(6*F6619,75),(D6619-1)*2*MAX(6*F6619,75))/1000</f>
        <v>0.15</v>
      </c>
      <c r="M6619" t="str">
        <v>=</v>
      </c>
      <c r="N6619">
        <f>J6619+L6619</f>
        <v>0.32</v>
      </c>
      <c r="T6619" t="str">
        <v>x</v>
      </c>
      <c r="U6619">
        <f>0.006165*F6619^2</f>
        <v>0</v>
      </c>
      <c r="V6619" t="str">
        <v>x</v>
      </c>
      <c r="W6619">
        <f>W6615</f>
        <v>11</v>
      </c>
      <c r="X6619" t="str">
        <v>x</v>
      </c>
      <c r="Y6619">
        <f>D6605</f>
        <v>3</v>
      </c>
      <c r="Z6619" t="str">
        <v>=</v>
      </c>
      <c r="AA6619">
        <f>N6619*U6619*W6619*Y6619</f>
        <v>0</v>
      </c>
    </row>
    <row r="6620">
      <c r="A6620" t="str">
        <f>A6595</f>
        <v>Lantai Atap</v>
      </c>
      <c r="B6620" t="str">
        <f>B6595</f>
        <v>13A</v>
      </c>
      <c r="C6620" t="str">
        <v>Kait Horizontal Lap.</v>
      </c>
      <c r="D6620">
        <f>VLOOKUP(D6595,'Detail Balok'!$C$10:$BJ$140,51,FALSE)</f>
        <v>0</v>
      </c>
      <c r="E6620" t="str">
        <v>D</v>
      </c>
      <c r="F6620">
        <f>VLOOKUP(D6595,'Detail Balok'!$C$10:$BJ$140,53,FALSE)</f>
        <v>0</v>
      </c>
      <c r="G6620" t="str">
        <v>-</v>
      </c>
      <c r="H6620">
        <f>VLOOKUP(D6595,'Detail Balok'!$C$10:$BJ$140,55,FALSE)</f>
        <v>100</v>
      </c>
      <c r="J6620">
        <f>(D6596-2*F$5)/1000</f>
        <v>0.17</v>
      </c>
      <c r="K6620" t="str">
        <v>+</v>
      </c>
      <c r="L6620">
        <f>IF(D6620=0,2*MAX(6*F6620,75),(D6620-1)*2*MAX(6*F6620,75))/1000</f>
        <v>0.15</v>
      </c>
      <c r="M6620" t="str">
        <v>=</v>
      </c>
      <c r="N6620">
        <f>J6620+L6620</f>
        <v>0.32</v>
      </c>
      <c r="T6620" t="str">
        <v>x</v>
      </c>
      <c r="U6620">
        <f>0.006165*F6620^2</f>
        <v>0</v>
      </c>
      <c r="V6620" t="str">
        <v>x</v>
      </c>
      <c r="W6620">
        <f>W6616</f>
        <v>0</v>
      </c>
      <c r="X6620" t="str">
        <v>x</v>
      </c>
      <c r="Y6620">
        <f>D6605</f>
        <v>3</v>
      </c>
      <c r="Z6620" t="str">
        <v>=</v>
      </c>
      <c r="AA6620">
        <f>N6620*U6620*W6620*Y6620</f>
        <v>0</v>
      </c>
    </row>
    <row r="6621">
      <c r="A6621" t="str">
        <f>A6595</f>
        <v>Lantai Atap</v>
      </c>
      <c r="B6621" t="str">
        <f>B6595</f>
        <v>13A</v>
      </c>
      <c r="C6621" t="str">
        <v>Kait Horizontal Tump.</v>
      </c>
      <c r="D6621">
        <f>VLOOKUP(D6595,'Detail Balok'!$C$10:$BJ$140,56,FALSE)</f>
        <v>0</v>
      </c>
      <c r="E6621" t="str">
        <v>D</v>
      </c>
      <c r="F6621">
        <f>VLOOKUP(D6595,'Detail Balok'!$C$10:$BJ$140,58,FALSE)</f>
        <v>0</v>
      </c>
      <c r="G6621" t="str">
        <v>-</v>
      </c>
      <c r="H6621">
        <f>VLOOKUP(D6595,'Detail Balok'!$C$10:$BJ$140,60,FALSE)</f>
        <v>100</v>
      </c>
      <c r="J6621">
        <f>(D6596-2*F$5)/1000</f>
        <v>0.17</v>
      </c>
      <c r="K6621" t="str">
        <v>+</v>
      </c>
      <c r="L6621">
        <f>IF(D6621=0,2*MAX(6*F6621,75),(D6621-1)*2*MAX(6*F6621,75))/1000</f>
        <v>0.15</v>
      </c>
      <c r="M6621" t="str">
        <v>=</v>
      </c>
      <c r="N6621">
        <f>J6621+L6621</f>
        <v>0.32</v>
      </c>
      <c r="T6621" t="str">
        <v>x</v>
      </c>
      <c r="U6621">
        <f>0.006165*F6621^2</f>
        <v>0</v>
      </c>
      <c r="V6621" t="str">
        <v>x</v>
      </c>
      <c r="W6621">
        <f>W6617</f>
        <v>0</v>
      </c>
      <c r="X6621" t="str">
        <v>x</v>
      </c>
      <c r="Y6621">
        <f>D6605</f>
        <v>3</v>
      </c>
      <c r="Z6621" t="str">
        <v>=</v>
      </c>
      <c r="AA6621">
        <f>N6621*U6621*W6621*Y6621</f>
        <v>0</v>
      </c>
    </row>
    <row r="6625">
      <c r="A6625" t="str">
        <f>A6565</f>
        <v>Lantai Atap</v>
      </c>
      <c r="B6625">
        <f>B6565+1</f>
        <v>14</v>
      </c>
      <c r="C6625" t="str">
        <f>CONCATENATE(A6625," no. ",B6625)</f>
        <v>Lantai Atap no. 14</v>
      </c>
      <c r="D6625" t="str">
        <f>VLOOKUP(C6625,'Data Panjang Balok'!$C$9:$N$254,2,FALSE)</f>
        <v>B24-1</v>
      </c>
    </row>
    <row r="6626">
      <c r="C6626" t="str">
        <v>Dimensi</v>
      </c>
      <c r="D6626">
        <f>VLOOKUP(D6625,'Detail Balok'!$C$10:$AU$140,2,FALSE)</f>
        <v>200</v>
      </c>
      <c r="F6626" t="str">
        <v>x</v>
      </c>
      <c r="G6626">
        <f>VLOOKUP(D6625,'Detail Balok'!$C$10:$AU$140,3,FALSE)</f>
        <v>400</v>
      </c>
    </row>
    <row r="6627">
      <c r="C6627" t="str">
        <v>Panjang as ke as</v>
      </c>
      <c r="D6627">
        <f>VLOOKUP(C6625,'Data Panjang Balok'!$C$9:$N$254,4,FALSE)</f>
        <v>5150</v>
      </c>
    </row>
    <row r="6628">
      <c r="C6628" t="str">
        <v>Panjang netto</v>
      </c>
      <c r="D6628">
        <f>VLOOKUP(C6625,'Data Panjang Balok'!$C$9:$N$254,7,FALSE)</f>
        <v>5150</v>
      </c>
    </row>
    <row r="6629">
      <c r="C6629" t="str">
        <v>Kolom / balok kiri</v>
      </c>
      <c r="D6629">
        <f>VLOOKUP(C6625,'Data Panjang Balok'!$C$9:$N$254,9,FALSE)</f>
        <v>0</v>
      </c>
    </row>
    <row r="6630">
      <c r="C6630" t="str">
        <v>Kolom / balok kanan</v>
      </c>
      <c r="D6630">
        <f>VLOOKUP(C6625,'Data Panjang Balok'!$C$9:$N$254,10,FALSE)</f>
        <v>0</v>
      </c>
    </row>
    <row r="6631">
      <c r="C6631" t="str">
        <v>Jumlah</v>
      </c>
      <c r="D6631">
        <f>VLOOKUP(C6625,'Data Panjang Balok'!$C$9:$N$254,3,FALSE)</f>
        <v>1</v>
      </c>
    </row>
    <row r="6632">
      <c r="A6632" t="str">
        <f>A6625</f>
        <v>Lantai Atap</v>
      </c>
      <c r="B6632">
        <f>B6625</f>
        <v>14</v>
      </c>
      <c r="C6632" t="str">
        <v>Tul Atas Tumpuan</v>
      </c>
      <c r="D6632">
        <f>VLOOKUP(D6625,'Detail Balok'!$C$10:$AU$140,4,FALSE)</f>
        <v>3</v>
      </c>
      <c r="E6632" t="str">
        <v>D</v>
      </c>
      <c r="F6632">
        <f>VLOOKUP(D6625,'Detail Balok'!$C$10:$AU$140,6,FALSE)</f>
        <v>13</v>
      </c>
      <c r="I6632" t="str">
        <v>(</v>
      </c>
      <c r="J6632">
        <f>+D6627/4/1000</f>
        <v>1.2875</v>
      </c>
      <c r="K6632" t="str">
        <v>+</v>
      </c>
      <c r="L6632">
        <f>MAX(VLOOKUP(F6632,N$6:P$15,3,FALSE)/1000,2/3*D6629/1000)+F$16*F6632/1000</f>
        <v>0.156</v>
      </c>
      <c r="M6632" t="str">
        <v>=</v>
      </c>
      <c r="N6632">
        <f>J6632+L6632</f>
        <v>1.4435</v>
      </c>
      <c r="O6632" t="str">
        <v>+</v>
      </c>
      <c r="P6632">
        <f>D6632-D6633</f>
        <v>0</v>
      </c>
      <c r="Q6632" t="str">
        <v>x</v>
      </c>
      <c r="R6632">
        <f>IF(P6632&gt;0,$F$18*F6632/1000,0)</f>
        <v>0</v>
      </c>
      <c r="S6632" t="str">
        <v>)</v>
      </c>
      <c r="T6632" t="str">
        <v>x</v>
      </c>
      <c r="U6632">
        <f>0.006165*F6632^2</f>
        <v>1.041885</v>
      </c>
      <c r="X6632" t="str">
        <v>x</v>
      </c>
      <c r="Y6632">
        <f>D6631</f>
        <v>1</v>
      </c>
      <c r="Z6632" t="str">
        <v>=</v>
      </c>
      <c r="AA6632">
        <f>IF(AA6635=0,(D6632*N6632+P6632*R6632)*U6632*Y6632,0)</f>
        <v>0</v>
      </c>
    </row>
    <row r="6633">
      <c r="A6633" t="str">
        <f>A6625</f>
        <v>Lantai Atap</v>
      </c>
      <c r="B6633">
        <f>B6625</f>
        <v>14</v>
      </c>
      <c r="C6633" t="str">
        <v>Tul Atas Lapangan</v>
      </c>
      <c r="D6633">
        <f>VLOOKUP(D6625,'Detail Balok'!$C$10:$AU$140,7,FALSE)</f>
        <v>3</v>
      </c>
      <c r="E6633" t="str">
        <v>D</v>
      </c>
      <c r="F6633">
        <f>VLOOKUP(D6625,'Detail Balok'!$C$10:$AU$140,9,FALSE)</f>
        <v>13</v>
      </c>
      <c r="I6633" t="str">
        <v>(</v>
      </c>
      <c r="J6633">
        <f>+D6627/2/1000</f>
        <v>2.575</v>
      </c>
      <c r="K6633" t="str">
        <v>+</v>
      </c>
      <c r="M6633" t="str">
        <v>=</v>
      </c>
      <c r="N6633">
        <f>J6633+L6633</f>
        <v>2.575</v>
      </c>
      <c r="O6633" t="str">
        <v>+</v>
      </c>
      <c r="P6633">
        <f>MAX(D6633-D6632,D6633-D6634)</f>
        <v>0</v>
      </c>
      <c r="Q6633" t="str">
        <v>x</v>
      </c>
      <c r="R6633">
        <f>IF(P6633&gt;0,2*(1-2*$F$19-1/2)*D6628/1000,0)</f>
        <v>0</v>
      </c>
      <c r="S6633" t="str">
        <v>)</v>
      </c>
      <c r="T6633" t="str">
        <v>x</v>
      </c>
      <c r="U6633">
        <f>0.006165*F6633^2</f>
        <v>1.041885</v>
      </c>
      <c r="X6633" t="str">
        <v>x</v>
      </c>
      <c r="Y6633">
        <f>D6631</f>
        <v>1</v>
      </c>
      <c r="Z6633" t="str">
        <v>=</v>
      </c>
      <c r="AA6633">
        <f>IF(AA6635=0,(D6633*N6633+P6633*R6633)*U6633*Y6633,0)</f>
        <v>0</v>
      </c>
    </row>
    <row r="6634">
      <c r="A6634" t="str">
        <f>A6625</f>
        <v>Lantai Atap</v>
      </c>
      <c r="B6634">
        <f>B6625</f>
        <v>14</v>
      </c>
      <c r="C6634" t="str">
        <v>Tul Atas Tumpuan</v>
      </c>
      <c r="D6634">
        <f>VLOOKUP(D6625,'Detail Balok'!$C$10:$AU$140,10,FALSE)</f>
        <v>3</v>
      </c>
      <c r="E6634" t="str">
        <v>D</v>
      </c>
      <c r="F6634">
        <f>VLOOKUP(D6625,'Detail Balok'!$C$10:$AU$140,12,FALSE)</f>
        <v>13</v>
      </c>
      <c r="I6634" t="str">
        <v>(</v>
      </c>
      <c r="J6634">
        <f>+D6627/4/1000</f>
        <v>1.2875</v>
      </c>
      <c r="K6634" t="str">
        <v>+</v>
      </c>
      <c r="L6634">
        <f>MAX(VLOOKUP(F6634,N$6:P$15,3,FALSE)/1000,2/3*D6629/1000)+F$16*F6634/1000</f>
        <v>0.156</v>
      </c>
      <c r="M6634" t="str">
        <v>=</v>
      </c>
      <c r="N6634">
        <f>J6634+L6634</f>
        <v>1.4435</v>
      </c>
      <c r="O6634" t="str">
        <v>+</v>
      </c>
      <c r="P6634">
        <f>D6634-D6633</f>
        <v>0</v>
      </c>
      <c r="Q6634" t="str">
        <v>x</v>
      </c>
      <c r="R6634">
        <f>IF(P6634&gt;0,$F$18*F6634/1000,0)</f>
        <v>0</v>
      </c>
      <c r="S6634" t="str">
        <v>)</v>
      </c>
      <c r="T6634" t="str">
        <v>x</v>
      </c>
      <c r="U6634">
        <f>0.006165*F6634^2</f>
        <v>1.041885</v>
      </c>
      <c r="X6634" t="str">
        <v>x</v>
      </c>
      <c r="Y6634">
        <f>D6631</f>
        <v>1</v>
      </c>
      <c r="Z6634" t="str">
        <v>=</v>
      </c>
      <c r="AA6634">
        <f>IF(AA6635=0,(D6634*N6634+P6634*R6634)*U6634*Y6634,0)</f>
        <v>0</v>
      </c>
    </row>
    <row r="6635">
      <c r="A6635" t="str">
        <f>A6625</f>
        <v>Lantai Atap</v>
      </c>
      <c r="B6635">
        <f>B6625</f>
        <v>14</v>
      </c>
      <c r="D6635">
        <f>IF(AND(D6632=D6633,D6633=D6634,D6632=D6634),D6632,0)</f>
        <v>3</v>
      </c>
      <c r="E6635" t="str">
        <v>D</v>
      </c>
      <c r="F6635">
        <f>IF(AND(F6632=F6633,F6632=F6634,F6633=F6634),F6632,0)</f>
        <v>13</v>
      </c>
      <c r="L6635" t="str">
        <v>Total panjang per balok</v>
      </c>
      <c r="M6635" t="str">
        <v>=</v>
      </c>
      <c r="N6635">
        <f>IF(AND(D6632=D6633,D6632=D6634,D6633=D6634,F6632=F6633,F6632=F6634,F6633=F6634),SUM(N6632:N6634),0)</f>
        <v>5.462000000000001</v>
      </c>
      <c r="O6635" t="str">
        <v>+</v>
      </c>
      <c r="P6635">
        <f>IF(N6635&gt;12,ROUNDDOWN(N6635/12,0),0)</f>
        <v>0</v>
      </c>
      <c r="Q6635" t="str">
        <v>x</v>
      </c>
      <c r="R6635">
        <f>IF(P6635&gt;0,MAX(VLOOKUP(F6635,$D$6:$G$15,3,FALSE),600),0)/1000</f>
        <v>0</v>
      </c>
      <c r="T6635" t="str">
        <v>x</v>
      </c>
      <c r="U6635">
        <f>U6634</f>
        <v>1.041885</v>
      </c>
      <c r="V6635" t="str">
        <v>x</v>
      </c>
      <c r="W6635">
        <f>D6635</f>
        <v>3</v>
      </c>
      <c r="X6635" t="str">
        <v>x</v>
      </c>
      <c r="Y6635">
        <f>Y6634</f>
        <v>1</v>
      </c>
      <c r="Z6635" t="str">
        <v>=</v>
      </c>
      <c r="AA6635">
        <f>(N6635+P6635*R6635/1000)*U6635*W6635*Y6635</f>
        <v>17.072327610000002</v>
      </c>
    </row>
    <row r="6637">
      <c r="A6637" t="str">
        <f>A6625</f>
        <v>Lantai Atap</v>
      </c>
      <c r="B6637">
        <f>B6625</f>
        <v>14</v>
      </c>
      <c r="C6637" t="str">
        <v>Tul Peminggang</v>
      </c>
      <c r="D6637">
        <f>VLOOKUP(D6625,'Detail Balok'!$C$10:$AU$140,13,FALSE)</f>
        <v>0</v>
      </c>
      <c r="E6637" t="str">
        <v>D</v>
      </c>
      <c r="F6637">
        <f>VLOOKUP(D6625,'Detail Balok'!$C$10:$AU$140,15,FALSE)</f>
        <v>8</v>
      </c>
      <c r="J6637">
        <f>+D6627/1000</f>
        <v>5.15</v>
      </c>
      <c r="K6637" t="str">
        <v>+</v>
      </c>
      <c r="L6637">
        <f>2*$F$16*F6637/1000</f>
        <v>0.192</v>
      </c>
      <c r="M6637" t="str">
        <v>=</v>
      </c>
      <c r="N6637">
        <f>J6637+L6637</f>
        <v>5.3420000000000005</v>
      </c>
      <c r="O6637" t="str">
        <v>+</v>
      </c>
      <c r="P6637">
        <f>IF(N6637&gt;12,ROUNDDOWN(N6637/12,0),0)</f>
        <v>0</v>
      </c>
      <c r="Q6637" t="str">
        <v>x</v>
      </c>
      <c r="R6637">
        <f>IF(P6637&gt;0,MAX(VLOOKUP(F6637,$D$6:$G$15,3,FALSE),600),0)/1000</f>
        <v>0</v>
      </c>
      <c r="T6637" t="str">
        <v>x</v>
      </c>
      <c r="U6637">
        <f>0.006165*F6637^2</f>
        <v>0.39456</v>
      </c>
      <c r="V6637" t="str">
        <v>x</v>
      </c>
      <c r="W6637">
        <f>+D6637</f>
        <v>0</v>
      </c>
      <c r="X6637" t="str">
        <v>x</v>
      </c>
      <c r="Y6637">
        <f>D6631</f>
        <v>1</v>
      </c>
      <c r="Z6637" t="str">
        <v>=</v>
      </c>
      <c r="AA6637">
        <f>(N6637+P6637*R6637/1000)*U6637*W6637*Y6637</f>
        <v>0</v>
      </c>
    </row>
    <row r="6640">
      <c r="A6640" t="str">
        <f>A6625</f>
        <v>Lantai Atap</v>
      </c>
      <c r="B6640">
        <f>B6625</f>
        <v>14</v>
      </c>
      <c r="C6640" t="str">
        <v>Tul Bawah Tumpuan</v>
      </c>
      <c r="D6640">
        <f>VLOOKUP(D6625,'Detail Balok'!$C$10:$AU$140,22,FALSE)</f>
        <v>3</v>
      </c>
      <c r="E6640" t="str">
        <v>D</v>
      </c>
      <c r="F6640">
        <f>VLOOKUP(D6625,'Detail Balok'!$C$10:$AU$140,24,FALSE)</f>
        <v>13</v>
      </c>
      <c r="I6640" t="str">
        <v>(</v>
      </c>
      <c r="J6640">
        <f>+J6632</f>
        <v>1.2875</v>
      </c>
      <c r="K6640" t="str">
        <v>+</v>
      </c>
      <c r="L6640">
        <f>MAX(VLOOKUP(F6640,N$6:P$15,3,FALSE)/1000,2/3*D6630/1000)+F$16*F6640/1000</f>
        <v>0.156</v>
      </c>
      <c r="M6640" t="str">
        <v>=</v>
      </c>
      <c r="N6640">
        <f>J6640+L6640</f>
        <v>1.4435</v>
      </c>
      <c r="O6640" t="str">
        <v>+</v>
      </c>
      <c r="P6640">
        <f>D6640-D6641</f>
        <v>0</v>
      </c>
      <c r="Q6640" t="str">
        <v>x</v>
      </c>
      <c r="R6640">
        <f>IF(P6640&gt;0,$F$18*F6640/1000,0)</f>
        <v>0</v>
      </c>
      <c r="S6640" t="str">
        <v>)</v>
      </c>
      <c r="T6640" t="str">
        <v>x</v>
      </c>
      <c r="U6640">
        <f>0.006165*F6640^2</f>
        <v>1.041885</v>
      </c>
      <c r="X6640" t="str">
        <v>x</v>
      </c>
      <c r="Y6640">
        <f>D6631</f>
        <v>1</v>
      </c>
      <c r="Z6640" t="str">
        <v>=</v>
      </c>
      <c r="AA6640">
        <f>IF(AA6643=0,(D6640*N6640+P6640*R6640)*U6640*Y6640,0)</f>
        <v>0</v>
      </c>
    </row>
    <row r="6641">
      <c r="A6641" t="str">
        <f>A6625</f>
        <v>Lantai Atap</v>
      </c>
      <c r="B6641">
        <f>B6625</f>
        <v>14</v>
      </c>
      <c r="C6641" t="str">
        <v>Tul Bawah Lapangan</v>
      </c>
      <c r="D6641">
        <f>VLOOKUP(D6625,'Detail Balok'!$C$10:$AU$140,25,FALSE)</f>
        <v>3</v>
      </c>
      <c r="E6641" t="str">
        <v>D</v>
      </c>
      <c r="F6641">
        <f>VLOOKUP(D6625,'Detail Balok'!$C$10:$AU$140,27,FALSE)</f>
        <v>13</v>
      </c>
      <c r="I6641" t="str">
        <v>(</v>
      </c>
      <c r="J6641">
        <f>+J6633</f>
        <v>2.575</v>
      </c>
      <c r="K6641" t="str">
        <v>+</v>
      </c>
      <c r="M6641" t="str">
        <v>=</v>
      </c>
      <c r="N6641">
        <f>J6641+L6641</f>
        <v>2.575</v>
      </c>
      <c r="O6641" t="str">
        <v>+</v>
      </c>
      <c r="P6641">
        <f>MAX(D6641-D6640,D6641-D6642)</f>
        <v>0</v>
      </c>
      <c r="Q6641" t="str">
        <v>x</v>
      </c>
      <c r="R6641">
        <f>IF(P6641&gt;0,2*(1-2*$F$19-1/2)*D6628/1000,0)</f>
        <v>0</v>
      </c>
      <c r="S6641" t="str">
        <v>)</v>
      </c>
      <c r="T6641" t="str">
        <v>x</v>
      </c>
      <c r="U6641">
        <f>0.006165*F6641^2</f>
        <v>1.041885</v>
      </c>
      <c r="X6641" t="str">
        <v>x</v>
      </c>
      <c r="Y6641">
        <f>D6631</f>
        <v>1</v>
      </c>
      <c r="Z6641" t="str">
        <v>=</v>
      </c>
      <c r="AA6641">
        <f>IF(AA6643=0,(D6641*N6641+P6641*R6641)*U6641*Y6641,0)</f>
        <v>0</v>
      </c>
    </row>
    <row r="6642">
      <c r="A6642" t="str">
        <f>A6625</f>
        <v>Lantai Atap</v>
      </c>
      <c r="B6642">
        <f>B6625</f>
        <v>14</v>
      </c>
      <c r="C6642" t="str">
        <v>Tul Bawah Tumpuan</v>
      </c>
      <c r="D6642">
        <f>VLOOKUP(D6625,'Detail Balok'!$C$10:$AU$140,28,FALSE)</f>
        <v>3</v>
      </c>
      <c r="E6642" t="str">
        <v>D</v>
      </c>
      <c r="F6642">
        <f>VLOOKUP(D6625,'Detail Balok'!$C$10:$AU$140,30,FALSE)</f>
        <v>13</v>
      </c>
      <c r="I6642" t="str">
        <v>(</v>
      </c>
      <c r="J6642">
        <f>+J6634</f>
        <v>1.2875</v>
      </c>
      <c r="K6642" t="str">
        <v>+</v>
      </c>
      <c r="L6642">
        <f>MAX(VLOOKUP(F6642,N$6:P$15,3,FALSE)/1000,2/3*D6630/1000)+F$16*F6642/1000</f>
        <v>0.156</v>
      </c>
      <c r="M6642" t="str">
        <v>=</v>
      </c>
      <c r="N6642">
        <f>J6642+L6642</f>
        <v>1.4435</v>
      </c>
      <c r="O6642" t="str">
        <v>+</v>
      </c>
      <c r="P6642">
        <f>D6642-D6641</f>
        <v>0</v>
      </c>
      <c r="Q6642" t="str">
        <v>x</v>
      </c>
      <c r="R6642">
        <f>IF(P6642&gt;0,$F$18*F6642/1000,0)</f>
        <v>0</v>
      </c>
      <c r="S6642" t="str">
        <v>)</v>
      </c>
      <c r="T6642" t="str">
        <v>x</v>
      </c>
      <c r="U6642">
        <f>0.006165*F6642^2</f>
        <v>1.041885</v>
      </c>
      <c r="X6642" t="str">
        <v>x</v>
      </c>
      <c r="Y6642">
        <f>D6631</f>
        <v>1</v>
      </c>
      <c r="Z6642" t="str">
        <v>=</v>
      </c>
      <c r="AA6642">
        <f>IF(AA6643=0,(D6642*N6642+P6642*R6642)*U6642*Y6642,0)</f>
        <v>0</v>
      </c>
    </row>
    <row r="6643">
      <c r="A6643" t="str">
        <f>A6625</f>
        <v>Lantai Atap</v>
      </c>
      <c r="B6643">
        <f>B6625</f>
        <v>14</v>
      </c>
      <c r="D6643">
        <f>IF(AND(D6640=D6641,D6641=D6642,D6640=D6642),D6640,0)</f>
        <v>3</v>
      </c>
      <c r="E6643" t="str">
        <v>D</v>
      </c>
      <c r="F6643">
        <f>IF(AND(F6640=F6641,F6640=F6642,F6641=F6642),F6640,0)</f>
        <v>13</v>
      </c>
      <c r="L6643" t="str">
        <v>Total panjang per balok</v>
      </c>
      <c r="M6643" t="str">
        <v>=</v>
      </c>
      <c r="N6643">
        <f>IF(AND(D6640=D6641,D6640=D6642,D6641=D6642,F6640=F6641,F6640=F6642,F6641=F6642),SUM(N6640:N6642),0)</f>
        <v>5.462000000000001</v>
      </c>
      <c r="O6643" t="str">
        <v>+</v>
      </c>
      <c r="P6643">
        <f>IF(N6643&gt;12,ROUNDDOWN(N6643/12,0),0)</f>
        <v>0</v>
      </c>
      <c r="Q6643" t="str">
        <v>x</v>
      </c>
      <c r="R6643">
        <f>IF(P6643&gt;0,MAX(VLOOKUP(F6643,$D$6:$G$15,3,FALSE),600),0)/1000</f>
        <v>0</v>
      </c>
      <c r="T6643" t="str">
        <v>x</v>
      </c>
      <c r="U6643">
        <f>U6642</f>
        <v>1.041885</v>
      </c>
      <c r="V6643" t="str">
        <v>x</v>
      </c>
      <c r="W6643">
        <f>D6643</f>
        <v>3</v>
      </c>
      <c r="X6643" t="str">
        <v>x</v>
      </c>
      <c r="Y6643">
        <f>Y6642</f>
        <v>1</v>
      </c>
      <c r="Z6643" t="str">
        <v>=</v>
      </c>
      <c r="AA6643">
        <f>(N6643+P6643*R6643/1000)*U6643*W6643*Y6643</f>
        <v>17.072327610000002</v>
      </c>
    </row>
    <row r="6645">
      <c r="A6645" t="str">
        <f>A6625</f>
        <v>Lantai Atap</v>
      </c>
      <c r="B6645">
        <f>B6625</f>
        <v>14</v>
      </c>
      <c r="C6645" t="str">
        <v>Sengkang Tumpuan</v>
      </c>
      <c r="D6645">
        <f>VLOOKUP(D6625,'Detail Balok'!$C$10:$AU$140,31,FALSE)</f>
        <v>0</v>
      </c>
      <c r="E6645" t="str">
        <v>D</v>
      </c>
      <c r="F6645">
        <f>VLOOKUP(D6625,'Detail Balok'!$C$10:$AU$140,33,FALSE)</f>
        <v>10</v>
      </c>
      <c r="G6645" t="str">
        <v>-</v>
      </c>
      <c r="H6645">
        <f>VLOOKUP(D6625,'Detail Balok'!$C$10:$AU$140,35,FALSE)</f>
        <v>100</v>
      </c>
      <c r="J6645">
        <f>(IF(D6645=0,(2*(D6626+G6626))-(F$5*8),IF(D6645=3,(2*(D6626+G6626))-(F$5*8)+(G6626-2*F$5),IF(D6645=4,(2*(D6626+G6626))-(F$5*8)+2*(G6626-2*F$5)))))/1000</f>
        <v>0.88</v>
      </c>
      <c r="K6645" t="str">
        <v>+</v>
      </c>
      <c r="L6645">
        <f>IF(D6645=0,2*MAX(6*F6645,75),(D6645-1)*2*MAX(6*F6645,75))/1000</f>
        <v>0.15</v>
      </c>
      <c r="M6645" t="str">
        <v>=</v>
      </c>
      <c r="N6645">
        <f>J6645+L6645</f>
        <v>1.03</v>
      </c>
      <c r="T6645" t="str">
        <v>x</v>
      </c>
      <c r="U6645">
        <f>0.006165*F6645^2</f>
        <v>0.6165</v>
      </c>
      <c r="V6645" t="str">
        <v>x</v>
      </c>
      <c r="W6645">
        <f>IF(D6628&gt;4*G6626,ROUND(MAX(D6628/4,2*G6626)/H6645,0)+1,ROUND(D6628/H6645,0)+1)</f>
        <v>14</v>
      </c>
      <c r="X6645" t="str">
        <v>x</v>
      </c>
      <c r="Y6645">
        <f>D6631</f>
        <v>1</v>
      </c>
      <c r="Z6645" t="str">
        <v>=</v>
      </c>
      <c r="AA6645">
        <f>N6645*U6645*W6645*Y6645</f>
        <v>8.889930000000001</v>
      </c>
    </row>
    <row r="6646">
      <c r="A6646" t="str">
        <f>A6625</f>
        <v>Lantai Atap</v>
      </c>
      <c r="B6646">
        <f>B6625</f>
        <v>14</v>
      </c>
      <c r="C6646" t="str">
        <v>Sengkang Lapangan</v>
      </c>
      <c r="D6646">
        <f>VLOOKUP(D6625,'Detail Balok'!$C$10:$AU$140,36,FALSE)</f>
        <v>0</v>
      </c>
      <c r="E6646" t="str">
        <v>D</v>
      </c>
      <c r="F6646">
        <f>VLOOKUP(D6625,'Detail Balok'!$C$10:$AU$140,38,FALSE)</f>
        <v>10</v>
      </c>
      <c r="G6646" t="str">
        <v>-</v>
      </c>
      <c r="H6646">
        <f>VLOOKUP(D6625,'Detail Balok'!$C$10:$AU$140,40,FALSE)</f>
        <v>200</v>
      </c>
      <c r="J6646">
        <f>(IF(D6646=0,(2*(D6626+G6626))-(F$5*8),IF(D6646=3,(2*(D6626+G6626))-(F$5*8)+(G6626-2*F$5),IF(D6646=4,(2*(D6626+G6626))-(F$5*8)+2*(G6626-2*F$5)))))/1000</f>
        <v>0.88</v>
      </c>
      <c r="K6646" t="str">
        <v>+</v>
      </c>
      <c r="L6646">
        <f>IF(D6646=0,2*MAX(6*F6646,75),(D6646-1)*2*MAX(6*F6646,75))/1000</f>
        <v>0.15</v>
      </c>
      <c r="M6646" t="str">
        <v>=</v>
      </c>
      <c r="N6646">
        <f>J6646+L6646</f>
        <v>1.03</v>
      </c>
      <c r="T6646" t="str">
        <v>x</v>
      </c>
      <c r="U6646">
        <f>0.006165*F6646^2</f>
        <v>0.6165</v>
      </c>
      <c r="V6646" t="str">
        <v>x</v>
      </c>
      <c r="W6646">
        <f>IF(D6628-MAX(D6628/4,2*G6626)*2&gt;0,ROUND((D6628-MAX(D6628/4,2*G6626)*2)/H6646,0),0)</f>
        <v>13</v>
      </c>
      <c r="X6646" t="str">
        <v>x</v>
      </c>
      <c r="Y6646">
        <f>D6631</f>
        <v>1</v>
      </c>
      <c r="Z6646" t="str">
        <v>=</v>
      </c>
      <c r="AA6646">
        <f>N6646*U6646*W6646*Y6646</f>
        <v>8.254935000000001</v>
      </c>
    </row>
    <row r="6647">
      <c r="A6647" t="str">
        <f>A6625</f>
        <v>Lantai Atap</v>
      </c>
      <c r="B6647">
        <f>B6625</f>
        <v>14</v>
      </c>
      <c r="C6647" t="str">
        <v>Sengkang Tumpuan</v>
      </c>
      <c r="D6647">
        <f>VLOOKUP(D6625,'Detail Balok'!$C$10:$AU$140,41,FALSE)</f>
        <v>0</v>
      </c>
      <c r="E6647" t="str">
        <v>D</v>
      </c>
      <c r="F6647">
        <f>VLOOKUP(D6625,'Detail Balok'!$C$10:$AU$140,43,FALSE)</f>
        <v>10</v>
      </c>
      <c r="G6647" t="str">
        <v>-</v>
      </c>
      <c r="H6647">
        <f>VLOOKUP(D6625,'Detail Balok'!$C$10:$AU$140,45,FALSE)</f>
        <v>100</v>
      </c>
      <c r="J6647">
        <f>(IF(D6647=0,(2*(D6626+G6626))-(F$5*8),IF(D6647=3,(2*(D6626+G6626))-(F$5*8)+(G6626-2*F$5),IF(D6647=4,(2*(D6626+G6626))-(F$5*8)+2*(G6626-2*F$5)))))/1000</f>
        <v>0.88</v>
      </c>
      <c r="K6647" t="str">
        <v>+</v>
      </c>
      <c r="L6647">
        <f>IF(D6647=0,2*MAX(6*F6647,75),(D6647-1)*2*MAX(6*F6647,75))/1000</f>
        <v>0.15</v>
      </c>
      <c r="M6647" t="str">
        <v>=</v>
      </c>
      <c r="N6647">
        <f>J6647+L6647</f>
        <v>1.03</v>
      </c>
      <c r="T6647" t="str">
        <v>x</v>
      </c>
      <c r="U6647">
        <f>0.006165*F6647^2</f>
        <v>0.6165</v>
      </c>
      <c r="V6647" t="str">
        <v>x</v>
      </c>
      <c r="W6647">
        <f>IF(D6628&gt;4*G6626,ROUND(MAX(D6628/4,2*G6626)/H6647,0)+1,0)</f>
        <v>14</v>
      </c>
      <c r="X6647" t="str">
        <v>x</v>
      </c>
      <c r="Y6647">
        <f>D6631</f>
        <v>1</v>
      </c>
      <c r="Z6647" t="str">
        <v>=</v>
      </c>
      <c r="AA6647">
        <f>N6647*U6647*W6647*Y6647</f>
        <v>8.889930000000001</v>
      </c>
    </row>
    <row r="6649">
      <c r="A6649" t="str">
        <f>A6625</f>
        <v>Lantai Atap</v>
      </c>
      <c r="B6649">
        <f>B6625</f>
        <v>14</v>
      </c>
      <c r="C6649" t="str">
        <v>Kait Horizontal Tump.</v>
      </c>
      <c r="D6649">
        <f>VLOOKUP(D6625,'Detail Balok'!$C$10:$BJ$140,46,FALSE)</f>
        <v>0</v>
      </c>
      <c r="E6649" t="str">
        <v>D</v>
      </c>
      <c r="F6649">
        <f>VLOOKUP(D6625,'Detail Balok'!$C$10:$BJ$140,48,FALSE)</f>
        <v>0</v>
      </c>
      <c r="G6649" t="str">
        <v>-</v>
      </c>
      <c r="H6649">
        <f>VLOOKUP(D6625,'Detail Balok'!$C$10:$BJ$140,50,FALSE)</f>
        <v>100</v>
      </c>
      <c r="J6649">
        <f>(D6626-2*F$5)/1000</f>
        <v>0.12</v>
      </c>
      <c r="K6649" t="str">
        <v>+</v>
      </c>
      <c r="L6649">
        <f>IF(D6649=0,2*MAX(6*F6649,75),(D6649-1)*2*MAX(6*F6649,75))/1000</f>
        <v>0.15</v>
      </c>
      <c r="M6649" t="str">
        <v>=</v>
      </c>
      <c r="N6649">
        <f>J6649+L6649</f>
        <v>0.27</v>
      </c>
      <c r="T6649" t="str">
        <v>x</v>
      </c>
      <c r="U6649">
        <f>0.006165*F6649^2</f>
        <v>0</v>
      </c>
      <c r="V6649" t="str">
        <v>x</v>
      </c>
      <c r="W6649">
        <f>W6645</f>
        <v>14</v>
      </c>
      <c r="X6649" t="str">
        <v>x</v>
      </c>
      <c r="Y6649">
        <f>D6635</f>
        <v>3</v>
      </c>
      <c r="Z6649" t="str">
        <v>=</v>
      </c>
      <c r="AA6649">
        <f>N6649*U6649*W6649*Y6649</f>
        <v>0</v>
      </c>
    </row>
    <row r="6650">
      <c r="A6650" t="str">
        <f>A6625</f>
        <v>Lantai Atap</v>
      </c>
      <c r="B6650">
        <f>B6625</f>
        <v>14</v>
      </c>
      <c r="C6650" t="str">
        <v>Kait Horizontal Lap.</v>
      </c>
      <c r="D6650">
        <f>VLOOKUP(D6625,'Detail Balok'!$C$10:$BJ$140,51,FALSE)</f>
        <v>0</v>
      </c>
      <c r="E6650" t="str">
        <v>D</v>
      </c>
      <c r="F6650">
        <f>VLOOKUP(D6625,'Detail Balok'!$C$10:$BJ$140,53,FALSE)</f>
        <v>0</v>
      </c>
      <c r="G6650" t="str">
        <v>-</v>
      </c>
      <c r="H6650">
        <f>VLOOKUP(D6625,'Detail Balok'!$C$10:$BJ$140,55,FALSE)</f>
        <v>100</v>
      </c>
      <c r="J6650">
        <f>(D6626-2*F$5)/1000</f>
        <v>0.12</v>
      </c>
      <c r="K6650" t="str">
        <v>+</v>
      </c>
      <c r="L6650">
        <f>IF(D6650=0,2*MAX(6*F6650,75),(D6650-1)*2*MAX(6*F6650,75))/1000</f>
        <v>0.15</v>
      </c>
      <c r="M6650" t="str">
        <v>=</v>
      </c>
      <c r="N6650">
        <f>J6650+L6650</f>
        <v>0.27</v>
      </c>
      <c r="T6650" t="str">
        <v>x</v>
      </c>
      <c r="U6650">
        <f>0.006165*F6650^2</f>
        <v>0</v>
      </c>
      <c r="V6650" t="str">
        <v>x</v>
      </c>
      <c r="W6650">
        <f>W6646</f>
        <v>13</v>
      </c>
      <c r="X6650" t="str">
        <v>x</v>
      </c>
      <c r="Y6650">
        <f>D6635</f>
        <v>3</v>
      </c>
      <c r="Z6650" t="str">
        <v>=</v>
      </c>
      <c r="AA6650">
        <f>N6650*U6650*W6650*Y6650</f>
        <v>0</v>
      </c>
    </row>
    <row r="6651">
      <c r="A6651" t="str">
        <f>A6625</f>
        <v>Lantai Atap</v>
      </c>
      <c r="B6651">
        <f>B6625</f>
        <v>14</v>
      </c>
      <c r="C6651" t="str">
        <v>Kait Horizontal Tump.</v>
      </c>
      <c r="D6651">
        <f>VLOOKUP(D6625,'Detail Balok'!$C$10:$BJ$140,56,FALSE)</f>
        <v>0</v>
      </c>
      <c r="E6651" t="str">
        <v>D</v>
      </c>
      <c r="F6651">
        <f>VLOOKUP(D6625,'Detail Balok'!$C$10:$BJ$140,58,FALSE)</f>
        <v>0</v>
      </c>
      <c r="G6651" t="str">
        <v>-</v>
      </c>
      <c r="H6651">
        <f>VLOOKUP(D6625,'Detail Balok'!$C$10:$BJ$140,60,FALSE)</f>
        <v>100</v>
      </c>
      <c r="J6651">
        <f>(D6626-2*F$5)/1000</f>
        <v>0.12</v>
      </c>
      <c r="K6651" t="str">
        <v>+</v>
      </c>
      <c r="L6651">
        <f>IF(D6651=0,2*MAX(6*F6651,75),(D6651-1)*2*MAX(6*F6651,75))/1000</f>
        <v>0.15</v>
      </c>
      <c r="M6651" t="str">
        <v>=</v>
      </c>
      <c r="N6651">
        <f>J6651+L6651</f>
        <v>0.27</v>
      </c>
      <c r="T6651" t="str">
        <v>x</v>
      </c>
      <c r="U6651">
        <f>0.006165*F6651^2</f>
        <v>0</v>
      </c>
      <c r="V6651" t="str">
        <v>x</v>
      </c>
      <c r="W6651">
        <f>W6647</f>
        <v>14</v>
      </c>
      <c r="X6651" t="str">
        <v>x</v>
      </c>
      <c r="Y6651">
        <f>D6635</f>
        <v>3</v>
      </c>
      <c r="Z6651" t="str">
        <v>=</v>
      </c>
      <c r="AA6651">
        <f>N6651*U6651*W6651*Y6651</f>
        <v>0</v>
      </c>
    </row>
    <row r="6655">
      <c r="A6655" t="str">
        <f>A6625</f>
        <v>Lantai Atap</v>
      </c>
      <c r="B6655">
        <f>B6625+1</f>
        <v>15</v>
      </c>
      <c r="C6655" t="str">
        <f>CONCATENATE(A6655," no. ",B6655)</f>
        <v>Lantai Atap no. 15</v>
      </c>
      <c r="D6655" t="str">
        <f>VLOOKUP(C6655,'Data Panjang Balok'!$C$9:$N$254,2,FALSE)</f>
        <v>B5-1</v>
      </c>
    </row>
    <row r="6656">
      <c r="C6656" t="str">
        <v>Dimensi</v>
      </c>
      <c r="D6656">
        <f>VLOOKUP(D6655,'Detail Balok'!$C$10:$AU$140,2,FALSE)</f>
        <v>130</v>
      </c>
      <c r="F6656" t="str">
        <v>x</v>
      </c>
      <c r="G6656">
        <f>VLOOKUP(D6655,'Detail Balok'!$C$10:$AU$140,3,FALSE)</f>
        <v>500</v>
      </c>
    </row>
    <row r="6657">
      <c r="C6657" t="str">
        <v>Panjang as ke as</v>
      </c>
      <c r="D6657">
        <f>VLOOKUP(C6655,'Data Panjang Balok'!$C$9:$N$254,4,FALSE)</f>
        <v>6150</v>
      </c>
    </row>
    <row r="6658">
      <c r="C6658" t="str">
        <v>Panjang netto</v>
      </c>
      <c r="D6658">
        <f>VLOOKUP(C6655,'Data Panjang Balok'!$C$9:$N$254,7,FALSE)</f>
        <v>6150</v>
      </c>
    </row>
    <row r="6659">
      <c r="C6659" t="str">
        <v>Kolom / balok kiri</v>
      </c>
      <c r="D6659">
        <f>VLOOKUP(C6655,'Data Panjang Balok'!$C$9:$N$254,9,FALSE)</f>
        <v>0</v>
      </c>
    </row>
    <row r="6660">
      <c r="C6660" t="str">
        <v>Kolom / balok kanan</v>
      </c>
      <c r="D6660">
        <f>VLOOKUP(C6655,'Data Panjang Balok'!$C$9:$N$254,10,FALSE)</f>
        <v>0</v>
      </c>
    </row>
    <row r="6661">
      <c r="C6661" t="str">
        <v>Jumlah</v>
      </c>
      <c r="D6661">
        <f>VLOOKUP(C6655,'Data Panjang Balok'!$C$9:$N$254,3,FALSE)</f>
        <v>1</v>
      </c>
    </row>
    <row r="6662">
      <c r="A6662" t="str">
        <f>A6655</f>
        <v>Lantai Atap</v>
      </c>
      <c r="B6662">
        <f>B6655</f>
        <v>15</v>
      </c>
      <c r="C6662" t="str">
        <v>Tul Atas Tumpuan</v>
      </c>
      <c r="D6662">
        <f>VLOOKUP(D6655,'Detail Balok'!$C$10:$AU$140,4,FALSE)</f>
        <v>3</v>
      </c>
      <c r="E6662" t="str">
        <v>D</v>
      </c>
      <c r="F6662">
        <f>VLOOKUP(D6655,'Detail Balok'!$C$10:$AU$140,6,FALSE)</f>
        <v>13</v>
      </c>
      <c r="I6662" t="str">
        <v>(</v>
      </c>
      <c r="J6662">
        <f>+D6657/4/1000</f>
        <v>1.5375</v>
      </c>
      <c r="K6662" t="str">
        <v>+</v>
      </c>
      <c r="L6662">
        <f>MAX(VLOOKUP(F6662,N$6:P$15,3,FALSE)/1000,2/3*D6659/1000)+F$16*F6662/1000</f>
        <v>0.156</v>
      </c>
      <c r="M6662" t="str">
        <v>=</v>
      </c>
      <c r="N6662">
        <f>J6662+L6662</f>
        <v>1.6935</v>
      </c>
      <c r="O6662" t="str">
        <v>+</v>
      </c>
      <c r="P6662">
        <f>D6662-D6663</f>
        <v>0</v>
      </c>
      <c r="Q6662" t="str">
        <v>x</v>
      </c>
      <c r="R6662">
        <f>IF(P6662&gt;0,$F$18*F6662/1000,0)</f>
        <v>0</v>
      </c>
      <c r="S6662" t="str">
        <v>)</v>
      </c>
      <c r="T6662" t="str">
        <v>x</v>
      </c>
      <c r="U6662">
        <f>0.006165*F6662^2</f>
        <v>1.041885</v>
      </c>
      <c r="X6662" t="str">
        <v>x</v>
      </c>
      <c r="Y6662">
        <f>D6661</f>
        <v>1</v>
      </c>
      <c r="Z6662" t="str">
        <v>=</v>
      </c>
      <c r="AA6662">
        <f>IF(AA6665=0,(D6662*N6662+P6662*R6662)*U6662*Y6662,0)</f>
        <v>0</v>
      </c>
    </row>
    <row r="6663">
      <c r="A6663" t="str">
        <f>A6655</f>
        <v>Lantai Atap</v>
      </c>
      <c r="B6663">
        <f>B6655</f>
        <v>15</v>
      </c>
      <c r="C6663" t="str">
        <v>Tul Atas Lapangan</v>
      </c>
      <c r="D6663">
        <f>VLOOKUP(D6655,'Detail Balok'!$C$10:$AU$140,7,FALSE)</f>
        <v>3</v>
      </c>
      <c r="E6663" t="str">
        <v>D</v>
      </c>
      <c r="F6663">
        <f>VLOOKUP(D6655,'Detail Balok'!$C$10:$AU$140,9,FALSE)</f>
        <v>13</v>
      </c>
      <c r="I6663" t="str">
        <v>(</v>
      </c>
      <c r="J6663">
        <f>+D6657/2/1000</f>
        <v>3.075</v>
      </c>
      <c r="K6663" t="str">
        <v>+</v>
      </c>
      <c r="M6663" t="str">
        <v>=</v>
      </c>
      <c r="N6663">
        <f>J6663+L6663</f>
        <v>3.075</v>
      </c>
      <c r="O6663" t="str">
        <v>+</v>
      </c>
      <c r="P6663">
        <f>MAX(D6663-D6662,D6663-D6664)</f>
        <v>0</v>
      </c>
      <c r="Q6663" t="str">
        <v>x</v>
      </c>
      <c r="R6663">
        <f>IF(P6663&gt;0,2*(1-2*$F$19-1/2)*D6658/1000,0)</f>
        <v>0</v>
      </c>
      <c r="S6663" t="str">
        <v>)</v>
      </c>
      <c r="T6663" t="str">
        <v>x</v>
      </c>
      <c r="U6663">
        <f>0.006165*F6663^2</f>
        <v>1.041885</v>
      </c>
      <c r="X6663" t="str">
        <v>x</v>
      </c>
      <c r="Y6663">
        <f>D6661</f>
        <v>1</v>
      </c>
      <c r="Z6663" t="str">
        <v>=</v>
      </c>
      <c r="AA6663">
        <f>IF(AA6665=0,(D6663*N6663+P6663*R6663)*U6663*Y6663,0)</f>
        <v>0</v>
      </c>
    </row>
    <row r="6664">
      <c r="A6664" t="str">
        <f>A6655</f>
        <v>Lantai Atap</v>
      </c>
      <c r="B6664">
        <f>B6655</f>
        <v>15</v>
      </c>
      <c r="C6664" t="str">
        <v>Tul Atas Tumpuan</v>
      </c>
      <c r="D6664">
        <f>VLOOKUP(D6655,'Detail Balok'!$C$10:$AU$140,10,FALSE)</f>
        <v>3</v>
      </c>
      <c r="E6664" t="str">
        <v>D</v>
      </c>
      <c r="F6664">
        <f>VLOOKUP(D6655,'Detail Balok'!$C$10:$AU$140,12,FALSE)</f>
        <v>13</v>
      </c>
      <c r="I6664" t="str">
        <v>(</v>
      </c>
      <c r="J6664">
        <f>+D6657/4/1000</f>
        <v>1.5375</v>
      </c>
      <c r="K6664" t="str">
        <v>+</v>
      </c>
      <c r="L6664">
        <f>MAX(VLOOKUP(F6664,N$6:P$15,3,FALSE)/1000,2/3*D6659/1000)+F$16*F6664/1000</f>
        <v>0.156</v>
      </c>
      <c r="M6664" t="str">
        <v>=</v>
      </c>
      <c r="N6664">
        <f>J6664+L6664</f>
        <v>1.6935</v>
      </c>
      <c r="O6664" t="str">
        <v>+</v>
      </c>
      <c r="P6664">
        <f>D6664-D6663</f>
        <v>0</v>
      </c>
      <c r="Q6664" t="str">
        <v>x</v>
      </c>
      <c r="R6664">
        <f>IF(P6664&gt;0,$F$18*F6664/1000,0)</f>
        <v>0</v>
      </c>
      <c r="S6664" t="str">
        <v>)</v>
      </c>
      <c r="T6664" t="str">
        <v>x</v>
      </c>
      <c r="U6664">
        <f>0.006165*F6664^2</f>
        <v>1.041885</v>
      </c>
      <c r="X6664" t="str">
        <v>x</v>
      </c>
      <c r="Y6664">
        <f>D6661</f>
        <v>1</v>
      </c>
      <c r="Z6664" t="str">
        <v>=</v>
      </c>
      <c r="AA6664">
        <f>IF(AA6665=0,(D6664*N6664+P6664*R6664)*U6664*Y6664,0)</f>
        <v>0</v>
      </c>
    </row>
    <row r="6665">
      <c r="A6665" t="str">
        <f>A6655</f>
        <v>Lantai Atap</v>
      </c>
      <c r="B6665">
        <f>B6655</f>
        <v>15</v>
      </c>
      <c r="D6665">
        <f>IF(AND(D6662=D6663,D6663=D6664,D6662=D6664),D6662,0)</f>
        <v>3</v>
      </c>
      <c r="E6665" t="str">
        <v>D</v>
      </c>
      <c r="F6665">
        <f>IF(AND(F6662=F6663,F6662=F6664,F6663=F6664),F6662,0)</f>
        <v>13</v>
      </c>
      <c r="L6665" t="str">
        <v>Total panjang per balok</v>
      </c>
      <c r="M6665" t="str">
        <v>=</v>
      </c>
      <c r="N6665">
        <f>IF(AND(D6662=D6663,D6662=D6664,D6663=D6664,F6662=F6663,F6662=F6664,F6663=F6664),SUM(N6662:N6664),0)</f>
        <v>6.462000000000001</v>
      </c>
      <c r="O6665" t="str">
        <v>+</v>
      </c>
      <c r="P6665">
        <f>IF(N6665&gt;12,ROUNDDOWN(N6665/12,0),0)</f>
        <v>0</v>
      </c>
      <c r="Q6665" t="str">
        <v>x</v>
      </c>
      <c r="R6665">
        <f>IF(P6665&gt;0,MAX(VLOOKUP(F6665,$D$6:$G$15,3,FALSE),600),0)/1000</f>
        <v>0</v>
      </c>
      <c r="T6665" t="str">
        <v>x</v>
      </c>
      <c r="U6665">
        <f>U6664</f>
        <v>1.041885</v>
      </c>
      <c r="V6665" t="str">
        <v>x</v>
      </c>
      <c r="W6665">
        <f>D6665</f>
        <v>3</v>
      </c>
      <c r="X6665" t="str">
        <v>x</v>
      </c>
      <c r="Y6665">
        <f>Y6664</f>
        <v>1</v>
      </c>
      <c r="Z6665" t="str">
        <v>=</v>
      </c>
      <c r="AA6665">
        <f>(N6665+P6665*R6665/1000)*U6665*W6665*Y6665</f>
        <v>20.19798261</v>
      </c>
    </row>
    <row r="6667">
      <c r="A6667" t="str">
        <f>A6655</f>
        <v>Lantai Atap</v>
      </c>
      <c r="B6667">
        <f>B6655</f>
        <v>15</v>
      </c>
      <c r="C6667" t="str">
        <v>Tul Peminggang</v>
      </c>
      <c r="D6667">
        <f>VLOOKUP(D6655,'Detail Balok'!$C$10:$AU$140,13,FALSE)</f>
        <v>2</v>
      </c>
      <c r="E6667" t="str">
        <v>D</v>
      </c>
      <c r="F6667">
        <f>VLOOKUP(D6655,'Detail Balok'!$C$10:$AU$140,15,FALSE)</f>
        <v>10</v>
      </c>
      <c r="J6667">
        <f>+D6657/1000</f>
        <v>6.15</v>
      </c>
      <c r="K6667" t="str">
        <v>+</v>
      </c>
      <c r="L6667">
        <f>2*$F$16*F6667/1000</f>
        <v>0.24</v>
      </c>
      <c r="M6667" t="str">
        <v>=</v>
      </c>
      <c r="N6667">
        <f>J6667+L6667</f>
        <v>6.390000000000001</v>
      </c>
      <c r="O6667" t="str">
        <v>+</v>
      </c>
      <c r="P6667">
        <f>IF(N6667&gt;12,ROUNDDOWN(N6667/12,0),0)</f>
        <v>0</v>
      </c>
      <c r="Q6667" t="str">
        <v>x</v>
      </c>
      <c r="R6667">
        <f>IF(P6667&gt;0,MAX(VLOOKUP(F6667,$D$6:$G$15,3,FALSE),600),0)/1000</f>
        <v>0</v>
      </c>
      <c r="T6667" t="str">
        <v>x</v>
      </c>
      <c r="U6667">
        <f>0.006165*F6667^2</f>
        <v>0.6165</v>
      </c>
      <c r="V6667" t="str">
        <v>x</v>
      </c>
      <c r="W6667">
        <f>+D6667</f>
        <v>2</v>
      </c>
      <c r="X6667" t="str">
        <v>x</v>
      </c>
      <c r="Y6667">
        <f>D6661</f>
        <v>1</v>
      </c>
      <c r="Z6667" t="str">
        <v>=</v>
      </c>
      <c r="AA6667">
        <f>(N6667+P6667*R6667/1000)*U6667*W6667*Y6667</f>
        <v>7.878870000000001</v>
      </c>
    </row>
    <row r="6670">
      <c r="A6670" t="str">
        <f>A6655</f>
        <v>Lantai Atap</v>
      </c>
      <c r="B6670">
        <f>B6655</f>
        <v>15</v>
      </c>
      <c r="C6670" t="str">
        <v>Tul Bawah Tumpuan</v>
      </c>
      <c r="D6670">
        <f>VLOOKUP(D6655,'Detail Balok'!$C$10:$AU$140,22,FALSE)</f>
        <v>3</v>
      </c>
      <c r="E6670" t="str">
        <v>D</v>
      </c>
      <c r="F6670">
        <f>VLOOKUP(D6655,'Detail Balok'!$C$10:$AU$140,24,FALSE)</f>
        <v>13</v>
      </c>
      <c r="I6670" t="str">
        <v>(</v>
      </c>
      <c r="J6670">
        <f>+J6662</f>
        <v>1.5375</v>
      </c>
      <c r="K6670" t="str">
        <v>+</v>
      </c>
      <c r="L6670">
        <f>MAX(VLOOKUP(F6670,N$6:P$15,3,FALSE)/1000,2/3*D6660/1000)+F$16*F6670/1000</f>
        <v>0.156</v>
      </c>
      <c r="M6670" t="str">
        <v>=</v>
      </c>
      <c r="N6670">
        <f>J6670+L6670</f>
        <v>1.6935</v>
      </c>
      <c r="O6670" t="str">
        <v>+</v>
      </c>
      <c r="P6670">
        <f>D6670-D6671</f>
        <v>0</v>
      </c>
      <c r="Q6670" t="str">
        <v>x</v>
      </c>
      <c r="R6670">
        <f>IF(P6670&gt;0,$F$18*F6670/1000,0)</f>
        <v>0</v>
      </c>
      <c r="S6670" t="str">
        <v>)</v>
      </c>
      <c r="T6670" t="str">
        <v>x</v>
      </c>
      <c r="U6670">
        <f>0.006165*F6670^2</f>
        <v>1.041885</v>
      </c>
      <c r="X6670" t="str">
        <v>x</v>
      </c>
      <c r="Y6670">
        <f>D6661</f>
        <v>1</v>
      </c>
      <c r="Z6670" t="str">
        <v>=</v>
      </c>
      <c r="AA6670">
        <f>IF(AA6673=0,(D6670*N6670+P6670*R6670)*U6670*Y6670,0)</f>
        <v>0</v>
      </c>
    </row>
    <row r="6671">
      <c r="A6671" t="str">
        <f>A6655</f>
        <v>Lantai Atap</v>
      </c>
      <c r="B6671">
        <f>B6655</f>
        <v>15</v>
      </c>
      <c r="C6671" t="str">
        <v>Tul Bawah Lapangan</v>
      </c>
      <c r="D6671">
        <f>VLOOKUP(D6655,'Detail Balok'!$C$10:$AU$140,25,FALSE)</f>
        <v>3</v>
      </c>
      <c r="E6671" t="str">
        <v>D</v>
      </c>
      <c r="F6671">
        <f>VLOOKUP(D6655,'Detail Balok'!$C$10:$AU$140,27,FALSE)</f>
        <v>13</v>
      </c>
      <c r="I6671" t="str">
        <v>(</v>
      </c>
      <c r="J6671">
        <f>+J6663</f>
        <v>3.075</v>
      </c>
      <c r="K6671" t="str">
        <v>+</v>
      </c>
      <c r="M6671" t="str">
        <v>=</v>
      </c>
      <c r="N6671">
        <f>J6671+L6671</f>
        <v>3.075</v>
      </c>
      <c r="O6671" t="str">
        <v>+</v>
      </c>
      <c r="P6671">
        <f>MAX(D6671-D6670,D6671-D6672)</f>
        <v>0</v>
      </c>
      <c r="Q6671" t="str">
        <v>x</v>
      </c>
      <c r="R6671">
        <f>IF(P6671&gt;0,2*(1-2*$F$19-1/2)*D6658/1000,0)</f>
        <v>0</v>
      </c>
      <c r="S6671" t="str">
        <v>)</v>
      </c>
      <c r="T6671" t="str">
        <v>x</v>
      </c>
      <c r="U6671">
        <f>0.006165*F6671^2</f>
        <v>1.041885</v>
      </c>
      <c r="X6671" t="str">
        <v>x</v>
      </c>
      <c r="Y6671">
        <f>D6661</f>
        <v>1</v>
      </c>
      <c r="Z6671" t="str">
        <v>=</v>
      </c>
      <c r="AA6671">
        <f>IF(AA6673=0,(D6671*N6671+P6671*R6671)*U6671*Y6671,0)</f>
        <v>0</v>
      </c>
    </row>
    <row r="6672">
      <c r="A6672" t="str">
        <f>A6655</f>
        <v>Lantai Atap</v>
      </c>
      <c r="B6672">
        <f>B6655</f>
        <v>15</v>
      </c>
      <c r="C6672" t="str">
        <v>Tul Bawah Tumpuan</v>
      </c>
      <c r="D6672">
        <f>VLOOKUP(D6655,'Detail Balok'!$C$10:$AU$140,28,FALSE)</f>
        <v>3</v>
      </c>
      <c r="E6672" t="str">
        <v>D</v>
      </c>
      <c r="F6672">
        <f>VLOOKUP(D6655,'Detail Balok'!$C$10:$AU$140,30,FALSE)</f>
        <v>13</v>
      </c>
      <c r="I6672" t="str">
        <v>(</v>
      </c>
      <c r="J6672">
        <f>+J6664</f>
        <v>1.5375</v>
      </c>
      <c r="K6672" t="str">
        <v>+</v>
      </c>
      <c r="L6672">
        <f>MAX(VLOOKUP(F6672,N$6:P$15,3,FALSE)/1000,2/3*D6660/1000)+F$16*F6672/1000</f>
        <v>0.156</v>
      </c>
      <c r="M6672" t="str">
        <v>=</v>
      </c>
      <c r="N6672">
        <f>J6672+L6672</f>
        <v>1.6935</v>
      </c>
      <c r="O6672" t="str">
        <v>+</v>
      </c>
      <c r="P6672">
        <f>D6672-D6671</f>
        <v>0</v>
      </c>
      <c r="Q6672" t="str">
        <v>x</v>
      </c>
      <c r="R6672">
        <f>IF(P6672&gt;0,$F$18*F6672/1000,0)</f>
        <v>0</v>
      </c>
      <c r="S6672" t="str">
        <v>)</v>
      </c>
      <c r="T6672" t="str">
        <v>x</v>
      </c>
      <c r="U6672">
        <f>0.006165*F6672^2</f>
        <v>1.041885</v>
      </c>
      <c r="X6672" t="str">
        <v>x</v>
      </c>
      <c r="Y6672">
        <f>D6661</f>
        <v>1</v>
      </c>
      <c r="Z6672" t="str">
        <v>=</v>
      </c>
      <c r="AA6672">
        <f>IF(AA6673=0,(D6672*N6672+P6672*R6672)*U6672*Y6672,0)</f>
        <v>0</v>
      </c>
    </row>
    <row r="6673">
      <c r="A6673" t="str">
        <f>A6655</f>
        <v>Lantai Atap</v>
      </c>
      <c r="B6673">
        <f>B6655</f>
        <v>15</v>
      </c>
      <c r="D6673">
        <f>IF(AND(D6670=D6671,D6671=D6672,D6670=D6672),D6670,0)</f>
        <v>3</v>
      </c>
      <c r="E6673" t="str">
        <v>D</v>
      </c>
      <c r="F6673">
        <f>IF(AND(F6670=F6671,F6670=F6672,F6671=F6672),F6670,0)</f>
        <v>13</v>
      </c>
      <c r="L6673" t="str">
        <v>Total panjang per balok</v>
      </c>
      <c r="M6673" t="str">
        <v>=</v>
      </c>
      <c r="N6673">
        <f>IF(AND(D6670=D6671,D6670=D6672,D6671=D6672,F6670=F6671,F6670=F6672,F6671=F6672),SUM(N6670:N6672),0)</f>
        <v>6.462000000000001</v>
      </c>
      <c r="O6673" t="str">
        <v>+</v>
      </c>
      <c r="P6673">
        <f>IF(N6673&gt;12,ROUNDDOWN(N6673/12,0),0)</f>
        <v>0</v>
      </c>
      <c r="Q6673" t="str">
        <v>x</v>
      </c>
      <c r="R6673">
        <f>IF(P6673&gt;0,MAX(VLOOKUP(F6673,$D$6:$G$15,3,FALSE),600),0)/1000</f>
        <v>0</v>
      </c>
      <c r="T6673" t="str">
        <v>x</v>
      </c>
      <c r="U6673">
        <f>U6672</f>
        <v>1.041885</v>
      </c>
      <c r="V6673" t="str">
        <v>x</v>
      </c>
      <c r="W6673">
        <f>D6673</f>
        <v>3</v>
      </c>
      <c r="X6673" t="str">
        <v>x</v>
      </c>
      <c r="Y6673">
        <f>Y6672</f>
        <v>1</v>
      </c>
      <c r="Z6673" t="str">
        <v>=</v>
      </c>
      <c r="AA6673">
        <f>(N6673+P6673*R6673/1000)*U6673*W6673*Y6673</f>
        <v>20.19798261</v>
      </c>
    </row>
    <row r="6675">
      <c r="A6675" t="str">
        <f>A6655</f>
        <v>Lantai Atap</v>
      </c>
      <c r="B6675">
        <f>B6655</f>
        <v>15</v>
      </c>
      <c r="C6675" t="str">
        <v>Sengkang Tumpuan</v>
      </c>
      <c r="D6675">
        <f>VLOOKUP(D6655,'Detail Balok'!$C$10:$AU$140,31,FALSE)</f>
        <v>0</v>
      </c>
      <c r="E6675" t="str">
        <v>D</v>
      </c>
      <c r="F6675">
        <f>VLOOKUP(D6655,'Detail Balok'!$C$10:$AU$140,33,FALSE)</f>
        <v>8</v>
      </c>
      <c r="G6675" t="str">
        <v>-</v>
      </c>
      <c r="H6675">
        <f>VLOOKUP(D6655,'Detail Balok'!$C$10:$AU$140,35,FALSE)</f>
        <v>150</v>
      </c>
      <c r="J6675">
        <f>(IF(D6675=0,(2*(D6656+G6656))-(F$5*8),IF(D6675=3,(2*(D6656+G6656))-(F$5*8)+(G6656-2*F$5),IF(D6675=4,(2*(D6656+G6656))-(F$5*8)+2*(G6656-2*F$5)))))/1000</f>
        <v>0.94</v>
      </c>
      <c r="K6675" t="str">
        <v>+</v>
      </c>
      <c r="L6675">
        <f>IF(D6675=0,2*MAX(6*F6675,75),(D6675-1)*2*MAX(6*F6675,75))/1000</f>
        <v>0.15</v>
      </c>
      <c r="M6675" t="str">
        <v>=</v>
      </c>
      <c r="N6675">
        <f>J6675+L6675</f>
        <v>1.0899999999999999</v>
      </c>
      <c r="T6675" t="str">
        <v>x</v>
      </c>
      <c r="U6675">
        <f>0.006165*F6675^2</f>
        <v>0.39456</v>
      </c>
      <c r="V6675" t="str">
        <v>x</v>
      </c>
      <c r="W6675">
        <f>IF(D6658&gt;4*G6656,ROUND(MAX(D6658/4,2*G6656)/H6675,0)+1,ROUND(D6658/H6675,0)+1)</f>
        <v>11</v>
      </c>
      <c r="X6675" t="str">
        <v>x</v>
      </c>
      <c r="Y6675">
        <f>D6661</f>
        <v>1</v>
      </c>
      <c r="Z6675" t="str">
        <v>=</v>
      </c>
      <c r="AA6675">
        <f>N6675*U6675*W6675*Y6675</f>
        <v>4.7307744</v>
      </c>
    </row>
    <row r="6676">
      <c r="A6676" t="str">
        <f>A6655</f>
        <v>Lantai Atap</v>
      </c>
      <c r="B6676">
        <f>B6655</f>
        <v>15</v>
      </c>
      <c r="C6676" t="str">
        <v>Sengkang Lapangan</v>
      </c>
      <c r="D6676">
        <f>VLOOKUP(D6655,'Detail Balok'!$C$10:$AU$140,36,FALSE)</f>
        <v>0</v>
      </c>
      <c r="E6676" t="str">
        <v>D</v>
      </c>
      <c r="F6676">
        <f>VLOOKUP(D6655,'Detail Balok'!$C$10:$AU$140,38,FALSE)</f>
        <v>8</v>
      </c>
      <c r="G6676" t="str">
        <v>-</v>
      </c>
      <c r="H6676">
        <f>VLOOKUP(D6655,'Detail Balok'!$C$10:$AU$140,40,FALSE)</f>
        <v>200</v>
      </c>
      <c r="J6676">
        <f>(IF(D6676=0,(2*(D6656+G6656))-(F$5*8),IF(D6676=3,(2*(D6656+G6656))-(F$5*8)+(G6656-2*F$5),IF(D6676=4,(2*(D6656+G6656))-(F$5*8)+2*(G6656-2*F$5)))))/1000</f>
        <v>0.94</v>
      </c>
      <c r="K6676" t="str">
        <v>+</v>
      </c>
      <c r="L6676">
        <f>IF(D6676=0,2*MAX(6*F6676,75),(D6676-1)*2*MAX(6*F6676,75))/1000</f>
        <v>0.15</v>
      </c>
      <c r="M6676" t="str">
        <v>=</v>
      </c>
      <c r="N6676">
        <f>J6676+L6676</f>
        <v>1.0899999999999999</v>
      </c>
      <c r="T6676" t="str">
        <v>x</v>
      </c>
      <c r="U6676">
        <f>0.006165*F6676^2</f>
        <v>0.39456</v>
      </c>
      <c r="V6676" t="str">
        <v>x</v>
      </c>
      <c r="W6676">
        <f>IF(D6658-MAX(D6658/4,2*G6656)*2&gt;0,ROUND((D6658-MAX(D6658/4,2*G6656)*2)/H6676,0),0)</f>
        <v>15</v>
      </c>
      <c r="X6676" t="str">
        <v>x</v>
      </c>
      <c r="Y6676">
        <f>D6661</f>
        <v>1</v>
      </c>
      <c r="Z6676" t="str">
        <v>=</v>
      </c>
      <c r="AA6676">
        <f>N6676*U6676*W6676*Y6676</f>
        <v>6.4510559999999995</v>
      </c>
    </row>
    <row r="6677">
      <c r="A6677" t="str">
        <f>A6655</f>
        <v>Lantai Atap</v>
      </c>
      <c r="B6677">
        <f>B6655</f>
        <v>15</v>
      </c>
      <c r="C6677" t="str">
        <v>Sengkang Tumpuan</v>
      </c>
      <c r="D6677">
        <f>VLOOKUP(D6655,'Detail Balok'!$C$10:$AU$140,41,FALSE)</f>
        <v>0</v>
      </c>
      <c r="E6677" t="str">
        <v>D</v>
      </c>
      <c r="F6677">
        <f>VLOOKUP(D6655,'Detail Balok'!$C$10:$AU$140,43,FALSE)</f>
        <v>8</v>
      </c>
      <c r="G6677" t="str">
        <v>-</v>
      </c>
      <c r="H6677">
        <f>VLOOKUP(D6655,'Detail Balok'!$C$10:$AU$140,45,FALSE)</f>
        <v>150</v>
      </c>
      <c r="J6677">
        <f>(IF(D6677=0,(2*(D6656+G6656))-(F$5*8),IF(D6677=3,(2*(D6656+G6656))-(F$5*8)+(G6656-2*F$5),IF(D6677=4,(2*(D6656+G6656))-(F$5*8)+2*(G6656-2*F$5)))))/1000</f>
        <v>0.94</v>
      </c>
      <c r="K6677" t="str">
        <v>+</v>
      </c>
      <c r="L6677">
        <f>IF(D6677=0,2*MAX(6*F6677,75),(D6677-1)*2*MAX(6*F6677,75))/1000</f>
        <v>0.15</v>
      </c>
      <c r="M6677" t="str">
        <v>=</v>
      </c>
      <c r="N6677">
        <f>J6677+L6677</f>
        <v>1.0899999999999999</v>
      </c>
      <c r="T6677" t="str">
        <v>x</v>
      </c>
      <c r="U6677">
        <f>0.006165*F6677^2</f>
        <v>0.39456</v>
      </c>
      <c r="V6677" t="str">
        <v>x</v>
      </c>
      <c r="W6677">
        <f>IF(D6658&gt;4*G6656,ROUND(MAX(D6658/4,2*G6656)/H6677,0)+1,0)</f>
        <v>11</v>
      </c>
      <c r="X6677" t="str">
        <v>x</v>
      </c>
      <c r="Y6677">
        <f>D6661</f>
        <v>1</v>
      </c>
      <c r="Z6677" t="str">
        <v>=</v>
      </c>
      <c r="AA6677">
        <f>N6677*U6677*W6677*Y6677</f>
        <v>4.7307744</v>
      </c>
    </row>
    <row r="6679">
      <c r="A6679" t="str">
        <f>A6655</f>
        <v>Lantai Atap</v>
      </c>
      <c r="B6679">
        <f>B6655</f>
        <v>15</v>
      </c>
      <c r="C6679" t="str">
        <v>Kait Horizontal Tump.</v>
      </c>
      <c r="D6679">
        <f>VLOOKUP(D6655,'Detail Balok'!$C$10:$BJ$140,46,FALSE)</f>
        <v>0</v>
      </c>
      <c r="E6679" t="str">
        <v>D</v>
      </c>
      <c r="F6679">
        <f>VLOOKUP(D6655,'Detail Balok'!$C$10:$BJ$140,48,FALSE)</f>
        <v>0</v>
      </c>
      <c r="G6679" t="str">
        <v>-</v>
      </c>
      <c r="H6679">
        <f>VLOOKUP(D6655,'Detail Balok'!$C$10:$BJ$140,50,FALSE)</f>
        <v>100</v>
      </c>
      <c r="J6679">
        <f>(D6656-2*F$5)/1000</f>
        <v>0.05</v>
      </c>
      <c r="K6679" t="str">
        <v>+</v>
      </c>
      <c r="L6679">
        <f>IF(D6679=0,2*MAX(6*F6679,75),(D6679-1)*2*MAX(6*F6679,75))/1000</f>
        <v>0.15</v>
      </c>
      <c r="M6679" t="str">
        <v>=</v>
      </c>
      <c r="N6679">
        <f>J6679+L6679</f>
        <v>0.2</v>
      </c>
      <c r="T6679" t="str">
        <v>x</v>
      </c>
      <c r="U6679">
        <f>0.006165*F6679^2</f>
        <v>0</v>
      </c>
      <c r="V6679" t="str">
        <v>x</v>
      </c>
      <c r="W6679">
        <f>W6675</f>
        <v>11</v>
      </c>
      <c r="X6679" t="str">
        <v>x</v>
      </c>
      <c r="Y6679">
        <f>D6665</f>
        <v>3</v>
      </c>
      <c r="Z6679" t="str">
        <v>=</v>
      </c>
      <c r="AA6679">
        <f>N6679*U6679*W6679*Y6679</f>
        <v>0</v>
      </c>
    </row>
    <row r="6680">
      <c r="A6680" t="str">
        <f>A6655</f>
        <v>Lantai Atap</v>
      </c>
      <c r="B6680">
        <f>B6655</f>
        <v>15</v>
      </c>
      <c r="C6680" t="str">
        <v>Kait Horizontal Lap.</v>
      </c>
      <c r="D6680">
        <f>VLOOKUP(D6655,'Detail Balok'!$C$10:$BJ$140,51,FALSE)</f>
        <v>0</v>
      </c>
      <c r="E6680" t="str">
        <v>D</v>
      </c>
      <c r="F6680">
        <f>VLOOKUP(D6655,'Detail Balok'!$C$10:$BJ$140,53,FALSE)</f>
        <v>0</v>
      </c>
      <c r="G6680" t="str">
        <v>-</v>
      </c>
      <c r="H6680">
        <f>VLOOKUP(D6655,'Detail Balok'!$C$10:$BJ$140,55,FALSE)</f>
        <v>100</v>
      </c>
      <c r="J6680">
        <f>(D6656-2*F$5)/1000</f>
        <v>0.05</v>
      </c>
      <c r="K6680" t="str">
        <v>+</v>
      </c>
      <c r="L6680">
        <f>IF(D6680=0,2*MAX(6*F6680,75),(D6680-1)*2*MAX(6*F6680,75))/1000</f>
        <v>0.15</v>
      </c>
      <c r="M6680" t="str">
        <v>=</v>
      </c>
      <c r="N6680">
        <f>J6680+L6680</f>
        <v>0.2</v>
      </c>
      <c r="T6680" t="str">
        <v>x</v>
      </c>
      <c r="U6680">
        <f>0.006165*F6680^2</f>
        <v>0</v>
      </c>
      <c r="V6680" t="str">
        <v>x</v>
      </c>
      <c r="W6680">
        <f>W6676</f>
        <v>15</v>
      </c>
      <c r="X6680" t="str">
        <v>x</v>
      </c>
      <c r="Y6680">
        <f>D6665</f>
        <v>3</v>
      </c>
      <c r="Z6680" t="str">
        <v>=</v>
      </c>
      <c r="AA6680">
        <f>N6680*U6680*W6680*Y6680</f>
        <v>0</v>
      </c>
    </row>
    <row r="6681">
      <c r="A6681" t="str">
        <f>A6655</f>
        <v>Lantai Atap</v>
      </c>
      <c r="B6681">
        <f>B6655</f>
        <v>15</v>
      </c>
      <c r="C6681" t="str">
        <v>Kait Horizontal Tump.</v>
      </c>
      <c r="D6681">
        <f>VLOOKUP(D6655,'Detail Balok'!$C$10:$BJ$140,56,FALSE)</f>
        <v>0</v>
      </c>
      <c r="E6681" t="str">
        <v>D</v>
      </c>
      <c r="F6681">
        <f>VLOOKUP(D6655,'Detail Balok'!$C$10:$BJ$140,58,FALSE)</f>
        <v>0</v>
      </c>
      <c r="G6681" t="str">
        <v>-</v>
      </c>
      <c r="H6681">
        <f>VLOOKUP(D6655,'Detail Balok'!$C$10:$BJ$140,60,FALSE)</f>
        <v>100</v>
      </c>
      <c r="J6681">
        <f>(D6656-2*F$5)/1000</f>
        <v>0.05</v>
      </c>
      <c r="K6681" t="str">
        <v>+</v>
      </c>
      <c r="L6681">
        <f>IF(D6681=0,2*MAX(6*F6681,75),(D6681-1)*2*MAX(6*F6681,75))/1000</f>
        <v>0.15</v>
      </c>
      <c r="M6681" t="str">
        <v>=</v>
      </c>
      <c r="N6681">
        <f>J6681+L6681</f>
        <v>0.2</v>
      </c>
      <c r="T6681" t="str">
        <v>x</v>
      </c>
      <c r="U6681">
        <f>0.006165*F6681^2</f>
        <v>0</v>
      </c>
      <c r="V6681" t="str">
        <v>x</v>
      </c>
      <c r="W6681">
        <f>W6677</f>
        <v>11</v>
      </c>
      <c r="X6681" t="str">
        <v>x</v>
      </c>
      <c r="Y6681">
        <f>D6665</f>
        <v>3</v>
      </c>
      <c r="Z6681" t="str">
        <v>=</v>
      </c>
      <c r="AA6681">
        <f>N6681*U6681*W6681*Y6681</f>
        <v>0</v>
      </c>
    </row>
    <row r="6685">
      <c r="A6685" t="str">
        <f>A6655</f>
        <v>Lantai Atap</v>
      </c>
      <c r="B6685">
        <f>B6655+1</f>
        <v>16</v>
      </c>
      <c r="C6685" t="str">
        <f>CONCATENATE(A6685," no. ",B6685)</f>
        <v>Lantai Atap no. 16</v>
      </c>
      <c r="D6685" t="str">
        <f>VLOOKUP(C6685,'Data Panjang Balok'!$C$9:$N$254,2,FALSE)</f>
        <v>B4-1</v>
      </c>
    </row>
    <row r="6686">
      <c r="C6686" t="str">
        <v>Dimensi</v>
      </c>
      <c r="D6686">
        <f>VLOOKUP(D6685,'Detail Balok'!$C$10:$AU$140,2,FALSE)</f>
        <v>130</v>
      </c>
      <c r="F6686" t="str">
        <v>x</v>
      </c>
      <c r="G6686">
        <f>VLOOKUP(D6685,'Detail Balok'!$C$10:$AU$140,3,FALSE)</f>
        <v>400</v>
      </c>
    </row>
    <row r="6687">
      <c r="C6687" t="str">
        <v>Panjang as ke as</v>
      </c>
      <c r="D6687">
        <f>VLOOKUP(C6685,'Data Panjang Balok'!$C$9:$N$254,4,FALSE)</f>
        <v>2425</v>
      </c>
    </row>
    <row r="6688">
      <c r="C6688" t="str">
        <v>Panjang netto</v>
      </c>
      <c r="D6688">
        <f>VLOOKUP(C6685,'Data Panjang Balok'!$C$9:$N$254,7,FALSE)</f>
        <v>2425</v>
      </c>
    </row>
    <row r="6689">
      <c r="C6689" t="str">
        <v>Kolom / balok kiri</v>
      </c>
      <c r="D6689">
        <f>VLOOKUP(C6685,'Data Panjang Balok'!$C$9:$N$254,9,FALSE)</f>
        <v>0</v>
      </c>
    </row>
    <row r="6690">
      <c r="C6690" t="str">
        <v>Kolom / balok kanan</v>
      </c>
      <c r="D6690">
        <f>VLOOKUP(C6685,'Data Panjang Balok'!$C$9:$N$254,10,FALSE)</f>
        <v>0</v>
      </c>
    </row>
    <row r="6691">
      <c r="C6691" t="str">
        <v>Jumlah</v>
      </c>
      <c r="D6691">
        <f>VLOOKUP(C6685,'Data Panjang Balok'!$C$9:$N$254,3,FALSE)</f>
        <v>1</v>
      </c>
    </row>
    <row r="6692">
      <c r="A6692" t="str">
        <f>A6685</f>
        <v>Lantai Atap</v>
      </c>
      <c r="B6692">
        <f>B6685</f>
        <v>16</v>
      </c>
      <c r="C6692" t="str">
        <v>Tul Atas Tumpuan</v>
      </c>
      <c r="D6692">
        <f>VLOOKUP(D6685,'Detail Balok'!$C$10:$AU$140,4,FALSE)</f>
        <v>2</v>
      </c>
      <c r="E6692" t="str">
        <v>D</v>
      </c>
      <c r="F6692">
        <f>VLOOKUP(D6685,'Detail Balok'!$C$10:$AU$140,6,FALSE)</f>
        <v>13</v>
      </c>
      <c r="I6692" t="str">
        <v>(</v>
      </c>
      <c r="J6692">
        <f>+D6687/4/1000</f>
        <v>0.60625</v>
      </c>
      <c r="K6692" t="str">
        <v>+</v>
      </c>
      <c r="L6692">
        <f>MAX(VLOOKUP(F6692,N$6:P$15,3,FALSE)/1000,2/3*D6689/1000)+F$16*F6692/1000</f>
        <v>0.156</v>
      </c>
      <c r="M6692" t="str">
        <v>=</v>
      </c>
      <c r="N6692">
        <f>J6692+L6692</f>
        <v>0.76225</v>
      </c>
      <c r="O6692" t="str">
        <v>+</v>
      </c>
      <c r="P6692">
        <f>D6692-D6693</f>
        <v>0</v>
      </c>
      <c r="Q6692" t="str">
        <v>x</v>
      </c>
      <c r="R6692">
        <f>IF(P6692&gt;0,$F$18*F6692/1000,0)</f>
        <v>0</v>
      </c>
      <c r="S6692" t="str">
        <v>)</v>
      </c>
      <c r="T6692" t="str">
        <v>x</v>
      </c>
      <c r="U6692">
        <f>0.006165*F6692^2</f>
        <v>1.041885</v>
      </c>
      <c r="X6692" t="str">
        <v>x</v>
      </c>
      <c r="Y6692">
        <f>D6691</f>
        <v>1</v>
      </c>
      <c r="Z6692" t="str">
        <v>=</v>
      </c>
      <c r="AA6692">
        <f>IF(AA6695=0,(D6692*N6692+P6692*R6692)*U6692*Y6692,0)</f>
        <v>0</v>
      </c>
    </row>
    <row r="6693">
      <c r="A6693" t="str">
        <f>A6685</f>
        <v>Lantai Atap</v>
      </c>
      <c r="B6693">
        <f>B6685</f>
        <v>16</v>
      </c>
      <c r="C6693" t="str">
        <v>Tul Atas Lapangan</v>
      </c>
      <c r="D6693">
        <f>VLOOKUP(D6685,'Detail Balok'!$C$10:$AU$140,7,FALSE)</f>
        <v>2</v>
      </c>
      <c r="E6693" t="str">
        <v>D</v>
      </c>
      <c r="F6693">
        <f>VLOOKUP(D6685,'Detail Balok'!$C$10:$AU$140,9,FALSE)</f>
        <v>13</v>
      </c>
      <c r="I6693" t="str">
        <v>(</v>
      </c>
      <c r="J6693">
        <f>+D6687/2/1000</f>
        <v>1.2125</v>
      </c>
      <c r="K6693" t="str">
        <v>+</v>
      </c>
      <c r="M6693" t="str">
        <v>=</v>
      </c>
      <c r="N6693">
        <f>J6693+L6693</f>
        <v>1.2125</v>
      </c>
      <c r="O6693" t="str">
        <v>+</v>
      </c>
      <c r="P6693">
        <f>MAX(D6693-D6692,D6693-D6694)</f>
        <v>0</v>
      </c>
      <c r="Q6693" t="str">
        <v>x</v>
      </c>
      <c r="R6693">
        <f>IF(P6693&gt;0,2*(1-2*$F$19-1/2)*D6688/1000,0)</f>
        <v>0</v>
      </c>
      <c r="S6693" t="str">
        <v>)</v>
      </c>
      <c r="T6693" t="str">
        <v>x</v>
      </c>
      <c r="U6693">
        <f>0.006165*F6693^2</f>
        <v>1.041885</v>
      </c>
      <c r="X6693" t="str">
        <v>x</v>
      </c>
      <c r="Y6693">
        <f>D6691</f>
        <v>1</v>
      </c>
      <c r="Z6693" t="str">
        <v>=</v>
      </c>
      <c r="AA6693">
        <f>IF(AA6695=0,(D6693*N6693+P6693*R6693)*U6693*Y6693,0)</f>
        <v>0</v>
      </c>
    </row>
    <row r="6694">
      <c r="A6694" t="str">
        <f>A6685</f>
        <v>Lantai Atap</v>
      </c>
      <c r="B6694">
        <f>B6685</f>
        <v>16</v>
      </c>
      <c r="C6694" t="str">
        <v>Tul Atas Tumpuan</v>
      </c>
      <c r="D6694">
        <f>VLOOKUP(D6685,'Detail Balok'!$C$10:$AU$140,10,FALSE)</f>
        <v>2</v>
      </c>
      <c r="E6694" t="str">
        <v>D</v>
      </c>
      <c r="F6694">
        <f>VLOOKUP(D6685,'Detail Balok'!$C$10:$AU$140,12,FALSE)</f>
        <v>13</v>
      </c>
      <c r="I6694" t="str">
        <v>(</v>
      </c>
      <c r="J6694">
        <f>+D6687/4/1000</f>
        <v>0.60625</v>
      </c>
      <c r="K6694" t="str">
        <v>+</v>
      </c>
      <c r="L6694">
        <f>MAX(VLOOKUP(F6694,N$6:P$15,3,FALSE)/1000,2/3*D6689/1000)+F$16*F6694/1000</f>
        <v>0.156</v>
      </c>
      <c r="M6694" t="str">
        <v>=</v>
      </c>
      <c r="N6694">
        <f>J6694+L6694</f>
        <v>0.76225</v>
      </c>
      <c r="O6694" t="str">
        <v>+</v>
      </c>
      <c r="P6694">
        <f>D6694-D6693</f>
        <v>0</v>
      </c>
      <c r="Q6694" t="str">
        <v>x</v>
      </c>
      <c r="R6694">
        <f>IF(P6694&gt;0,$F$18*F6694/1000,0)</f>
        <v>0</v>
      </c>
      <c r="S6694" t="str">
        <v>)</v>
      </c>
      <c r="T6694" t="str">
        <v>x</v>
      </c>
      <c r="U6694">
        <f>0.006165*F6694^2</f>
        <v>1.041885</v>
      </c>
      <c r="X6694" t="str">
        <v>x</v>
      </c>
      <c r="Y6694">
        <f>D6691</f>
        <v>1</v>
      </c>
      <c r="Z6694" t="str">
        <v>=</v>
      </c>
      <c r="AA6694">
        <f>IF(AA6695=0,(D6694*N6694+P6694*R6694)*U6694*Y6694,0)</f>
        <v>0</v>
      </c>
    </row>
    <row r="6695">
      <c r="A6695" t="str">
        <f>A6685</f>
        <v>Lantai Atap</v>
      </c>
      <c r="B6695">
        <f>B6685</f>
        <v>16</v>
      </c>
      <c r="D6695">
        <f>IF(AND(D6692=D6693,D6693=D6694,D6692=D6694),D6692,0)</f>
        <v>2</v>
      </c>
      <c r="E6695" t="str">
        <v>D</v>
      </c>
      <c r="F6695">
        <f>IF(AND(F6692=F6693,F6692=F6694,F6693=F6694),F6692,0)</f>
        <v>13</v>
      </c>
      <c r="L6695" t="str">
        <v>Total panjang per balok</v>
      </c>
      <c r="M6695" t="str">
        <v>=</v>
      </c>
      <c r="N6695">
        <f>IF(AND(D6692=D6693,D6692=D6694,D6693=D6694,F6692=F6693,F6692=F6694,F6693=F6694),SUM(N6692:N6694),0)</f>
        <v>2.7369999999999997</v>
      </c>
      <c r="O6695" t="str">
        <v>+</v>
      </c>
      <c r="P6695">
        <f>IF(N6695&gt;12,ROUNDDOWN(N6695/12,0),0)</f>
        <v>0</v>
      </c>
      <c r="Q6695" t="str">
        <v>x</v>
      </c>
      <c r="R6695">
        <f>IF(P6695&gt;0,MAX(VLOOKUP(F6695,$D$6:$G$15,3,FALSE),600),0)/1000</f>
        <v>0</v>
      </c>
      <c r="T6695" t="str">
        <v>x</v>
      </c>
      <c r="U6695">
        <f>U6694</f>
        <v>1.041885</v>
      </c>
      <c r="V6695" t="str">
        <v>x</v>
      </c>
      <c r="W6695">
        <f>D6695</f>
        <v>2</v>
      </c>
      <c r="X6695" t="str">
        <v>x</v>
      </c>
      <c r="Y6695">
        <f>Y6694</f>
        <v>1</v>
      </c>
      <c r="Z6695" t="str">
        <v>=</v>
      </c>
      <c r="AA6695">
        <f>(N6695+P6695*R6695/1000)*U6695*W6695*Y6695</f>
        <v>5.703278489999999</v>
      </c>
    </row>
    <row r="6697">
      <c r="A6697" t="str">
        <f>A6685</f>
        <v>Lantai Atap</v>
      </c>
      <c r="B6697">
        <f>B6685</f>
        <v>16</v>
      </c>
      <c r="C6697" t="str">
        <v>Tul Peminggang</v>
      </c>
      <c r="D6697">
        <f>VLOOKUP(D6685,'Detail Balok'!$C$10:$AU$140,13,FALSE)</f>
        <v>0</v>
      </c>
      <c r="E6697" t="str">
        <v>D</v>
      </c>
      <c r="F6697">
        <f>VLOOKUP(D6685,'Detail Balok'!$C$10:$AU$140,15,FALSE)</f>
        <v>8</v>
      </c>
      <c r="J6697">
        <f>+D6687/1000</f>
        <v>2.425</v>
      </c>
      <c r="K6697" t="str">
        <v>+</v>
      </c>
      <c r="L6697">
        <f>2*$F$16*F6697/1000</f>
        <v>0.192</v>
      </c>
      <c r="M6697" t="str">
        <v>=</v>
      </c>
      <c r="N6697">
        <f>J6697+L6697</f>
        <v>2.617</v>
      </c>
      <c r="O6697" t="str">
        <v>+</v>
      </c>
      <c r="P6697">
        <f>IF(N6697&gt;12,ROUNDDOWN(N6697/12,0),0)</f>
        <v>0</v>
      </c>
      <c r="Q6697" t="str">
        <v>x</v>
      </c>
      <c r="R6697">
        <f>IF(P6697&gt;0,MAX(VLOOKUP(F6697,$D$6:$G$15,3,FALSE),600),0)/1000</f>
        <v>0</v>
      </c>
      <c r="T6697" t="str">
        <v>x</v>
      </c>
      <c r="U6697">
        <f>0.006165*F6697^2</f>
        <v>0.39456</v>
      </c>
      <c r="V6697" t="str">
        <v>x</v>
      </c>
      <c r="W6697">
        <f>+D6697</f>
        <v>0</v>
      </c>
      <c r="X6697" t="str">
        <v>x</v>
      </c>
      <c r="Y6697">
        <f>D6691</f>
        <v>1</v>
      </c>
      <c r="Z6697" t="str">
        <v>=</v>
      </c>
      <c r="AA6697">
        <f>(N6697+P6697*R6697/1000)*U6697*W6697*Y6697</f>
        <v>0</v>
      </c>
    </row>
    <row r="6700">
      <c r="A6700" t="str">
        <f>A6685</f>
        <v>Lantai Atap</v>
      </c>
      <c r="B6700">
        <f>B6685</f>
        <v>16</v>
      </c>
      <c r="C6700" t="str">
        <v>Tul Bawah Tumpuan</v>
      </c>
      <c r="D6700">
        <f>VLOOKUP(D6685,'Detail Balok'!$C$10:$AU$140,22,FALSE)</f>
        <v>2</v>
      </c>
      <c r="E6700" t="str">
        <v>D</v>
      </c>
      <c r="F6700">
        <f>VLOOKUP(D6685,'Detail Balok'!$C$10:$AU$140,24,FALSE)</f>
        <v>13</v>
      </c>
      <c r="I6700" t="str">
        <v>(</v>
      </c>
      <c r="J6700">
        <f>+J6692</f>
        <v>0.60625</v>
      </c>
      <c r="K6700" t="str">
        <v>+</v>
      </c>
      <c r="L6700">
        <f>MAX(VLOOKUP(F6700,N$6:P$15,3,FALSE)/1000,2/3*D6690/1000)+F$16*F6700/1000</f>
        <v>0.156</v>
      </c>
      <c r="M6700" t="str">
        <v>=</v>
      </c>
      <c r="N6700">
        <f>J6700+L6700</f>
        <v>0.76225</v>
      </c>
      <c r="O6700" t="str">
        <v>+</v>
      </c>
      <c r="P6700">
        <f>D6700-D6701</f>
        <v>0</v>
      </c>
      <c r="Q6700" t="str">
        <v>x</v>
      </c>
      <c r="R6700">
        <f>IF(P6700&gt;0,$F$18*F6700/1000,0)</f>
        <v>0</v>
      </c>
      <c r="S6700" t="str">
        <v>)</v>
      </c>
      <c r="T6700" t="str">
        <v>x</v>
      </c>
      <c r="U6700">
        <f>0.006165*F6700^2</f>
        <v>1.041885</v>
      </c>
      <c r="X6700" t="str">
        <v>x</v>
      </c>
      <c r="Y6700">
        <f>D6691</f>
        <v>1</v>
      </c>
      <c r="Z6700" t="str">
        <v>=</v>
      </c>
      <c r="AA6700">
        <f>IF(AA6703=0,(D6700*N6700+P6700*R6700)*U6700*Y6700,0)</f>
        <v>0</v>
      </c>
    </row>
    <row r="6701">
      <c r="A6701" t="str">
        <f>A6685</f>
        <v>Lantai Atap</v>
      </c>
      <c r="B6701">
        <f>B6685</f>
        <v>16</v>
      </c>
      <c r="C6701" t="str">
        <v>Tul Bawah Lapangan</v>
      </c>
      <c r="D6701">
        <f>VLOOKUP(D6685,'Detail Balok'!$C$10:$AU$140,25,FALSE)</f>
        <v>2</v>
      </c>
      <c r="E6701" t="str">
        <v>D</v>
      </c>
      <c r="F6701">
        <f>VLOOKUP(D6685,'Detail Balok'!$C$10:$AU$140,27,FALSE)</f>
        <v>13</v>
      </c>
      <c r="I6701" t="str">
        <v>(</v>
      </c>
      <c r="J6701">
        <f>+J6693</f>
        <v>1.2125</v>
      </c>
      <c r="K6701" t="str">
        <v>+</v>
      </c>
      <c r="M6701" t="str">
        <v>=</v>
      </c>
      <c r="N6701">
        <f>J6701+L6701</f>
        <v>1.2125</v>
      </c>
      <c r="O6701" t="str">
        <v>+</v>
      </c>
      <c r="P6701">
        <f>MAX(D6701-D6700,D6701-D6702)</f>
        <v>0</v>
      </c>
      <c r="Q6701" t="str">
        <v>x</v>
      </c>
      <c r="R6701">
        <f>IF(P6701&gt;0,2*(1-2*$F$19-1/2)*D6688/1000,0)</f>
        <v>0</v>
      </c>
      <c r="S6701" t="str">
        <v>)</v>
      </c>
      <c r="T6701" t="str">
        <v>x</v>
      </c>
      <c r="U6701">
        <f>0.006165*F6701^2</f>
        <v>1.041885</v>
      </c>
      <c r="X6701" t="str">
        <v>x</v>
      </c>
      <c r="Y6701">
        <f>D6691</f>
        <v>1</v>
      </c>
      <c r="Z6701" t="str">
        <v>=</v>
      </c>
      <c r="AA6701">
        <f>IF(AA6703=0,(D6701*N6701+P6701*R6701)*U6701*Y6701,0)</f>
        <v>0</v>
      </c>
    </row>
    <row r="6702">
      <c r="A6702" t="str">
        <f>A6685</f>
        <v>Lantai Atap</v>
      </c>
      <c r="B6702">
        <f>B6685</f>
        <v>16</v>
      </c>
      <c r="C6702" t="str">
        <v>Tul Bawah Tumpuan</v>
      </c>
      <c r="D6702">
        <f>VLOOKUP(D6685,'Detail Balok'!$C$10:$AU$140,28,FALSE)</f>
        <v>2</v>
      </c>
      <c r="E6702" t="str">
        <v>D</v>
      </c>
      <c r="F6702">
        <f>VLOOKUP(D6685,'Detail Balok'!$C$10:$AU$140,30,FALSE)</f>
        <v>13</v>
      </c>
      <c r="I6702" t="str">
        <v>(</v>
      </c>
      <c r="J6702">
        <f>+J6694</f>
        <v>0.60625</v>
      </c>
      <c r="K6702" t="str">
        <v>+</v>
      </c>
      <c r="L6702">
        <f>MAX(VLOOKUP(F6702,N$6:P$15,3,FALSE)/1000,2/3*D6690/1000)+F$16*F6702/1000</f>
        <v>0.156</v>
      </c>
      <c r="M6702" t="str">
        <v>=</v>
      </c>
      <c r="N6702">
        <f>J6702+L6702</f>
        <v>0.76225</v>
      </c>
      <c r="O6702" t="str">
        <v>+</v>
      </c>
      <c r="P6702">
        <f>D6702-D6701</f>
        <v>0</v>
      </c>
      <c r="Q6702" t="str">
        <v>x</v>
      </c>
      <c r="R6702">
        <f>IF(P6702&gt;0,$F$18*F6702/1000,0)</f>
        <v>0</v>
      </c>
      <c r="S6702" t="str">
        <v>)</v>
      </c>
      <c r="T6702" t="str">
        <v>x</v>
      </c>
      <c r="U6702">
        <f>0.006165*F6702^2</f>
        <v>1.041885</v>
      </c>
      <c r="X6702" t="str">
        <v>x</v>
      </c>
      <c r="Y6702">
        <f>D6691</f>
        <v>1</v>
      </c>
      <c r="Z6702" t="str">
        <v>=</v>
      </c>
      <c r="AA6702">
        <f>IF(AA6703=0,(D6702*N6702+P6702*R6702)*U6702*Y6702,0)</f>
        <v>0</v>
      </c>
    </row>
    <row r="6703">
      <c r="A6703" t="str">
        <f>A6685</f>
        <v>Lantai Atap</v>
      </c>
      <c r="B6703">
        <f>B6685</f>
        <v>16</v>
      </c>
      <c r="D6703">
        <f>IF(AND(D6700=D6701,D6701=D6702,D6700=D6702),D6700,0)</f>
        <v>2</v>
      </c>
      <c r="E6703" t="str">
        <v>D</v>
      </c>
      <c r="F6703">
        <f>IF(AND(F6700=F6701,F6700=F6702,F6701=F6702),F6700,0)</f>
        <v>13</v>
      </c>
      <c r="L6703" t="str">
        <v>Total panjang per balok</v>
      </c>
      <c r="M6703" t="str">
        <v>=</v>
      </c>
      <c r="N6703">
        <f>IF(AND(D6700=D6701,D6700=D6702,D6701=D6702,F6700=F6701,F6700=F6702,F6701=F6702),SUM(N6700:N6702),0)</f>
        <v>2.7369999999999997</v>
      </c>
      <c r="O6703" t="str">
        <v>+</v>
      </c>
      <c r="P6703">
        <f>IF(N6703&gt;12,ROUNDDOWN(N6703/12,0),0)</f>
        <v>0</v>
      </c>
      <c r="Q6703" t="str">
        <v>x</v>
      </c>
      <c r="R6703">
        <f>IF(P6703&gt;0,MAX(VLOOKUP(F6703,$D$6:$G$15,3,FALSE),600),0)/1000</f>
        <v>0</v>
      </c>
      <c r="T6703" t="str">
        <v>x</v>
      </c>
      <c r="U6703">
        <f>U6702</f>
        <v>1.041885</v>
      </c>
      <c r="V6703" t="str">
        <v>x</v>
      </c>
      <c r="W6703">
        <f>D6703</f>
        <v>2</v>
      </c>
      <c r="X6703" t="str">
        <v>x</v>
      </c>
      <c r="Y6703">
        <f>Y6702</f>
        <v>1</v>
      </c>
      <c r="Z6703" t="str">
        <v>=</v>
      </c>
      <c r="AA6703">
        <f>(N6703+P6703*R6703/1000)*U6703*W6703*Y6703</f>
        <v>5.703278489999999</v>
      </c>
    </row>
    <row r="6705">
      <c r="A6705" t="str">
        <f>A6685</f>
        <v>Lantai Atap</v>
      </c>
      <c r="B6705">
        <f>B6685</f>
        <v>16</v>
      </c>
      <c r="C6705" t="str">
        <v>Sengkang Tumpuan</v>
      </c>
      <c r="D6705">
        <f>VLOOKUP(D6685,'Detail Balok'!$C$10:$AU$140,31,FALSE)</f>
        <v>0</v>
      </c>
      <c r="E6705" t="str">
        <v>D</v>
      </c>
      <c r="F6705">
        <f>VLOOKUP(D6685,'Detail Balok'!$C$10:$AU$140,33,FALSE)</f>
        <v>8</v>
      </c>
      <c r="G6705" t="str">
        <v>-</v>
      </c>
      <c r="H6705">
        <f>VLOOKUP(D6685,'Detail Balok'!$C$10:$AU$140,35,FALSE)</f>
        <v>150</v>
      </c>
      <c r="J6705">
        <f>(IF(D6705=0,(2*(D6686+G6686))-(F$5*8),IF(D6705=3,(2*(D6686+G6686))-(F$5*8)+(G6686-2*F$5),IF(D6705=4,(2*(D6686+G6686))-(F$5*8)+2*(G6686-2*F$5)))))/1000</f>
        <v>0.74</v>
      </c>
      <c r="K6705" t="str">
        <v>+</v>
      </c>
      <c r="L6705">
        <f>IF(D6705=0,2*MAX(6*F6705,75),(D6705-1)*2*MAX(6*F6705,75))/1000</f>
        <v>0.15</v>
      </c>
      <c r="M6705" t="str">
        <v>=</v>
      </c>
      <c r="N6705">
        <f>J6705+L6705</f>
        <v>0.89</v>
      </c>
      <c r="T6705" t="str">
        <v>x</v>
      </c>
      <c r="U6705">
        <f>0.006165*F6705^2</f>
        <v>0.39456</v>
      </c>
      <c r="V6705" t="str">
        <v>x</v>
      </c>
      <c r="W6705">
        <f>IF(D6688&gt;4*G6686,ROUND(MAX(D6688/4,2*G6686)/H6705,0)+1,ROUND(D6688/H6705,0)+1)</f>
        <v>6</v>
      </c>
      <c r="X6705" t="str">
        <v>x</v>
      </c>
      <c r="Y6705">
        <f>D6691</f>
        <v>1</v>
      </c>
      <c r="Z6705" t="str">
        <v>=</v>
      </c>
      <c r="AA6705">
        <f>N6705*U6705*W6705*Y6705</f>
        <v>2.1069504</v>
      </c>
    </row>
    <row r="6706">
      <c r="A6706" t="str">
        <f>A6685</f>
        <v>Lantai Atap</v>
      </c>
      <c r="B6706">
        <f>B6685</f>
        <v>16</v>
      </c>
      <c r="C6706" t="str">
        <v>Sengkang Lapangan</v>
      </c>
      <c r="D6706">
        <f>VLOOKUP(D6685,'Detail Balok'!$C$10:$AU$140,36,FALSE)</f>
        <v>0</v>
      </c>
      <c r="E6706" t="str">
        <v>D</v>
      </c>
      <c r="F6706">
        <f>VLOOKUP(D6685,'Detail Balok'!$C$10:$AU$140,38,FALSE)</f>
        <v>8</v>
      </c>
      <c r="G6706" t="str">
        <v>-</v>
      </c>
      <c r="H6706">
        <f>VLOOKUP(D6685,'Detail Balok'!$C$10:$AU$140,40,FALSE)</f>
        <v>200</v>
      </c>
      <c r="J6706">
        <f>(IF(D6706=0,(2*(D6686+G6686))-(F$5*8),IF(D6706=3,(2*(D6686+G6686))-(F$5*8)+(G6686-2*F$5),IF(D6706=4,(2*(D6686+G6686))-(F$5*8)+2*(G6686-2*F$5)))))/1000</f>
        <v>0.74</v>
      </c>
      <c r="K6706" t="str">
        <v>+</v>
      </c>
      <c r="L6706">
        <f>IF(D6706=0,2*MAX(6*F6706,75),(D6706-1)*2*MAX(6*F6706,75))/1000</f>
        <v>0.15</v>
      </c>
      <c r="M6706" t="str">
        <v>=</v>
      </c>
      <c r="N6706">
        <f>J6706+L6706</f>
        <v>0.89</v>
      </c>
      <c r="T6706" t="str">
        <v>x</v>
      </c>
      <c r="U6706">
        <f>0.006165*F6706^2</f>
        <v>0.39456</v>
      </c>
      <c r="V6706" t="str">
        <v>x</v>
      </c>
      <c r="W6706">
        <f>IF(D6688-MAX(D6688/4,2*G6686)*2&gt;0,ROUND((D6688-MAX(D6688/4,2*G6686)*2)/H6706,0),0)</f>
        <v>4</v>
      </c>
      <c r="X6706" t="str">
        <v>x</v>
      </c>
      <c r="Y6706">
        <f>D6691</f>
        <v>1</v>
      </c>
      <c r="Z6706" t="str">
        <v>=</v>
      </c>
      <c r="AA6706">
        <f>N6706*U6706*W6706*Y6706</f>
        <v>1.4046336000000001</v>
      </c>
    </row>
    <row r="6707">
      <c r="A6707" t="str">
        <f>A6685</f>
        <v>Lantai Atap</v>
      </c>
      <c r="B6707">
        <f>B6685</f>
        <v>16</v>
      </c>
      <c r="C6707" t="str">
        <v>Sengkang Tumpuan</v>
      </c>
      <c r="D6707">
        <f>VLOOKUP(D6685,'Detail Balok'!$C$10:$AU$140,41,FALSE)</f>
        <v>0</v>
      </c>
      <c r="E6707" t="str">
        <v>D</v>
      </c>
      <c r="F6707">
        <f>VLOOKUP(D6685,'Detail Balok'!$C$10:$AU$140,43,FALSE)</f>
        <v>8</v>
      </c>
      <c r="G6707" t="str">
        <v>-</v>
      </c>
      <c r="H6707">
        <f>VLOOKUP(D6685,'Detail Balok'!$C$10:$AU$140,45,FALSE)</f>
        <v>150</v>
      </c>
      <c r="J6707">
        <f>(IF(D6707=0,(2*(D6686+G6686))-(F$5*8),IF(D6707=3,(2*(D6686+G6686))-(F$5*8)+(G6686-2*F$5),IF(D6707=4,(2*(D6686+G6686))-(F$5*8)+2*(G6686-2*F$5)))))/1000</f>
        <v>0.74</v>
      </c>
      <c r="K6707" t="str">
        <v>+</v>
      </c>
      <c r="L6707">
        <f>IF(D6707=0,2*MAX(6*F6707,75),(D6707-1)*2*MAX(6*F6707,75))/1000</f>
        <v>0.15</v>
      </c>
      <c r="M6707" t="str">
        <v>=</v>
      </c>
      <c r="N6707">
        <f>J6707+L6707</f>
        <v>0.89</v>
      </c>
      <c r="T6707" t="str">
        <v>x</v>
      </c>
      <c r="U6707">
        <f>0.006165*F6707^2</f>
        <v>0.39456</v>
      </c>
      <c r="V6707" t="str">
        <v>x</v>
      </c>
      <c r="W6707">
        <f>IF(D6688&gt;4*G6686,ROUND(MAX(D6688/4,2*G6686)/H6707,0)+1,0)</f>
        <v>6</v>
      </c>
      <c r="X6707" t="str">
        <v>x</v>
      </c>
      <c r="Y6707">
        <f>D6691</f>
        <v>1</v>
      </c>
      <c r="Z6707" t="str">
        <v>=</v>
      </c>
      <c r="AA6707">
        <f>N6707*U6707*W6707*Y6707</f>
        <v>2.1069504</v>
      </c>
    </row>
    <row r="6709">
      <c r="A6709" t="str">
        <f>A6685</f>
        <v>Lantai Atap</v>
      </c>
      <c r="B6709">
        <f>B6685</f>
        <v>16</v>
      </c>
      <c r="C6709" t="str">
        <v>Kait Horizontal Tump.</v>
      </c>
      <c r="D6709">
        <f>VLOOKUP(D6685,'Detail Balok'!$C$10:$BJ$140,46,FALSE)</f>
        <v>0</v>
      </c>
      <c r="E6709" t="str">
        <v>D</v>
      </c>
      <c r="F6709">
        <f>VLOOKUP(D6685,'Detail Balok'!$C$10:$BJ$140,48,FALSE)</f>
        <v>0</v>
      </c>
      <c r="G6709" t="str">
        <v>-</v>
      </c>
      <c r="H6709">
        <f>VLOOKUP(D6685,'Detail Balok'!$C$10:$BJ$140,50,FALSE)</f>
        <v>100</v>
      </c>
      <c r="J6709">
        <f>(D6686-2*F$5)/1000</f>
        <v>0.05</v>
      </c>
      <c r="K6709" t="str">
        <v>+</v>
      </c>
      <c r="L6709">
        <f>IF(D6709=0,2*MAX(6*F6709,75),(D6709-1)*2*MAX(6*F6709,75))/1000</f>
        <v>0.15</v>
      </c>
      <c r="M6709" t="str">
        <v>=</v>
      </c>
      <c r="N6709">
        <f>J6709+L6709</f>
        <v>0.2</v>
      </c>
      <c r="T6709" t="str">
        <v>x</v>
      </c>
      <c r="U6709">
        <f>0.006165*F6709^2</f>
        <v>0</v>
      </c>
      <c r="V6709" t="str">
        <v>x</v>
      </c>
      <c r="W6709">
        <f>W6705</f>
        <v>6</v>
      </c>
      <c r="X6709" t="str">
        <v>x</v>
      </c>
      <c r="Y6709">
        <f>D6695</f>
        <v>2</v>
      </c>
      <c r="Z6709" t="str">
        <v>=</v>
      </c>
      <c r="AA6709">
        <f>N6709*U6709*W6709*Y6709</f>
        <v>0</v>
      </c>
    </row>
    <row r="6710">
      <c r="A6710" t="str">
        <f>A6685</f>
        <v>Lantai Atap</v>
      </c>
      <c r="B6710">
        <f>B6685</f>
        <v>16</v>
      </c>
      <c r="C6710" t="str">
        <v>Kait Horizontal Lap.</v>
      </c>
      <c r="D6710">
        <f>VLOOKUP(D6685,'Detail Balok'!$C$10:$BJ$140,51,FALSE)</f>
        <v>0</v>
      </c>
      <c r="E6710" t="str">
        <v>D</v>
      </c>
      <c r="F6710">
        <f>VLOOKUP(D6685,'Detail Balok'!$C$10:$BJ$140,53,FALSE)</f>
        <v>0</v>
      </c>
      <c r="G6710" t="str">
        <v>-</v>
      </c>
      <c r="H6710">
        <f>VLOOKUP(D6685,'Detail Balok'!$C$10:$BJ$140,55,FALSE)</f>
        <v>100</v>
      </c>
      <c r="J6710">
        <f>(D6686-2*F$5)/1000</f>
        <v>0.05</v>
      </c>
      <c r="K6710" t="str">
        <v>+</v>
      </c>
      <c r="L6710">
        <f>IF(D6710=0,2*MAX(6*F6710,75),(D6710-1)*2*MAX(6*F6710,75))/1000</f>
        <v>0.15</v>
      </c>
      <c r="M6710" t="str">
        <v>=</v>
      </c>
      <c r="N6710">
        <f>J6710+L6710</f>
        <v>0.2</v>
      </c>
      <c r="T6710" t="str">
        <v>x</v>
      </c>
      <c r="U6710">
        <f>0.006165*F6710^2</f>
        <v>0</v>
      </c>
      <c r="V6710" t="str">
        <v>x</v>
      </c>
      <c r="W6710">
        <f>W6706</f>
        <v>4</v>
      </c>
      <c r="X6710" t="str">
        <v>x</v>
      </c>
      <c r="Y6710">
        <f>D6695</f>
        <v>2</v>
      </c>
      <c r="Z6710" t="str">
        <v>=</v>
      </c>
      <c r="AA6710">
        <f>N6710*U6710*W6710*Y6710</f>
        <v>0</v>
      </c>
    </row>
    <row r="6711">
      <c r="A6711" t="str">
        <f>A6685</f>
        <v>Lantai Atap</v>
      </c>
      <c r="B6711">
        <f>B6685</f>
        <v>16</v>
      </c>
      <c r="C6711" t="str">
        <v>Kait Horizontal Tump.</v>
      </c>
      <c r="D6711">
        <f>VLOOKUP(D6685,'Detail Balok'!$C$10:$BJ$140,56,FALSE)</f>
        <v>0</v>
      </c>
      <c r="E6711" t="str">
        <v>D</v>
      </c>
      <c r="F6711">
        <f>VLOOKUP(D6685,'Detail Balok'!$C$10:$BJ$140,58,FALSE)</f>
        <v>0</v>
      </c>
      <c r="G6711" t="str">
        <v>-</v>
      </c>
      <c r="H6711">
        <f>VLOOKUP(D6685,'Detail Balok'!$C$10:$BJ$140,60,FALSE)</f>
        <v>100</v>
      </c>
      <c r="J6711">
        <f>(D6686-2*F$5)/1000</f>
        <v>0.05</v>
      </c>
      <c r="K6711" t="str">
        <v>+</v>
      </c>
      <c r="L6711">
        <f>IF(D6711=0,2*MAX(6*F6711,75),(D6711-1)*2*MAX(6*F6711,75))/1000</f>
        <v>0.15</v>
      </c>
      <c r="M6711" t="str">
        <v>=</v>
      </c>
      <c r="N6711">
        <f>J6711+L6711</f>
        <v>0.2</v>
      </c>
      <c r="T6711" t="str">
        <v>x</v>
      </c>
      <c r="U6711">
        <f>0.006165*F6711^2</f>
        <v>0</v>
      </c>
      <c r="V6711" t="str">
        <v>x</v>
      </c>
      <c r="W6711">
        <f>W6707</f>
        <v>6</v>
      </c>
      <c r="X6711" t="str">
        <v>x</v>
      </c>
      <c r="Y6711">
        <f>D6695</f>
        <v>2</v>
      </c>
      <c r="Z6711" t="str">
        <v>=</v>
      </c>
      <c r="AA6711">
        <f>N6711*U6711*W6711*Y6711</f>
        <v>0</v>
      </c>
    </row>
    <row r="6715">
      <c r="A6715" t="str">
        <f>A6685</f>
        <v>Lantai Atap</v>
      </c>
      <c r="B6715">
        <f>B6685+1</f>
        <v>17</v>
      </c>
      <c r="C6715" t="str">
        <f>CONCATENATE(A6715," no. ",B6715)</f>
        <v>Lantai Atap no. 17</v>
      </c>
      <c r="D6715" t="str">
        <f>VLOOKUP(C6715,'Data Panjang Balok'!$C$9:$N$254,2,FALSE)</f>
        <v>B5-1</v>
      </c>
    </row>
    <row r="6716">
      <c r="C6716" t="str">
        <v>Dimensi</v>
      </c>
      <c r="D6716">
        <f>VLOOKUP(D6715,'Detail Balok'!$C$10:$AU$140,2,FALSE)</f>
        <v>130</v>
      </c>
      <c r="F6716" t="str">
        <v>x</v>
      </c>
      <c r="G6716">
        <f>VLOOKUP(D6715,'Detail Balok'!$C$10:$AU$140,3,FALSE)</f>
        <v>500</v>
      </c>
    </row>
    <row r="6717">
      <c r="C6717" t="str">
        <v>Panjang as ke as</v>
      </c>
      <c r="D6717">
        <f>VLOOKUP(C6715,'Data Panjang Balok'!$C$9:$N$254,4,FALSE)</f>
        <v>11525</v>
      </c>
    </row>
    <row r="6718">
      <c r="C6718" t="str">
        <v>Panjang netto</v>
      </c>
      <c r="D6718">
        <f>VLOOKUP(C6715,'Data Panjang Balok'!$C$9:$N$254,7,FALSE)</f>
        <v>11525</v>
      </c>
    </row>
    <row r="6719">
      <c r="C6719" t="str">
        <v>Kolom / balok kiri</v>
      </c>
      <c r="D6719">
        <f>VLOOKUP(C6715,'Data Panjang Balok'!$C$9:$N$254,9,FALSE)</f>
        <v>0</v>
      </c>
    </row>
    <row r="6720">
      <c r="C6720" t="str">
        <v>Kolom / balok kanan</v>
      </c>
      <c r="D6720">
        <f>VLOOKUP(C6715,'Data Panjang Balok'!$C$9:$N$254,10,FALSE)</f>
        <v>0</v>
      </c>
    </row>
    <row r="6721">
      <c r="C6721" t="str">
        <v>Jumlah</v>
      </c>
      <c r="D6721">
        <f>VLOOKUP(C6715,'Data Panjang Balok'!$C$9:$N$254,3,FALSE)</f>
        <v>1</v>
      </c>
    </row>
    <row r="6722">
      <c r="A6722" t="str">
        <f>A6715</f>
        <v>Lantai Atap</v>
      </c>
      <c r="B6722">
        <f>B6715</f>
        <v>17</v>
      </c>
      <c r="C6722" t="str">
        <v>Tul Atas Tumpuan</v>
      </c>
      <c r="D6722">
        <f>VLOOKUP(D6715,'Detail Balok'!$C$10:$AU$140,4,FALSE)</f>
        <v>3</v>
      </c>
      <c r="E6722" t="str">
        <v>D</v>
      </c>
      <c r="F6722">
        <f>VLOOKUP(D6715,'Detail Balok'!$C$10:$AU$140,6,FALSE)</f>
        <v>13</v>
      </c>
      <c r="I6722" t="str">
        <v>(</v>
      </c>
      <c r="J6722">
        <f>+D6717/4/1000</f>
        <v>2.88125</v>
      </c>
      <c r="K6722" t="str">
        <v>+</v>
      </c>
      <c r="L6722">
        <f>MAX(VLOOKUP(F6722,N$6:P$15,3,FALSE)/1000,2/3*D6719/1000)+F$16*F6722/1000</f>
        <v>0.156</v>
      </c>
      <c r="M6722" t="str">
        <v>=</v>
      </c>
      <c r="N6722">
        <f>J6722+L6722</f>
        <v>3.0372500000000002</v>
      </c>
      <c r="O6722" t="str">
        <v>+</v>
      </c>
      <c r="P6722">
        <f>D6722-D6723</f>
        <v>0</v>
      </c>
      <c r="Q6722" t="str">
        <v>x</v>
      </c>
      <c r="R6722">
        <f>IF(P6722&gt;0,$F$18*F6722/1000,0)</f>
        <v>0</v>
      </c>
      <c r="S6722" t="str">
        <v>)</v>
      </c>
      <c r="T6722" t="str">
        <v>x</v>
      </c>
      <c r="U6722">
        <f>0.006165*F6722^2</f>
        <v>1.041885</v>
      </c>
      <c r="X6722" t="str">
        <v>x</v>
      </c>
      <c r="Y6722">
        <f>D6721</f>
        <v>1</v>
      </c>
      <c r="Z6722" t="str">
        <v>=</v>
      </c>
      <c r="AA6722">
        <f>IF(AA6725=0,(D6722*N6722+P6722*R6722)*U6722*Y6722,0)</f>
        <v>0</v>
      </c>
    </row>
    <row r="6723">
      <c r="A6723" t="str">
        <f>A6715</f>
        <v>Lantai Atap</v>
      </c>
      <c r="B6723">
        <f>B6715</f>
        <v>17</v>
      </c>
      <c r="C6723" t="str">
        <v>Tul Atas Lapangan</v>
      </c>
      <c r="D6723">
        <f>VLOOKUP(D6715,'Detail Balok'!$C$10:$AU$140,7,FALSE)</f>
        <v>3</v>
      </c>
      <c r="E6723" t="str">
        <v>D</v>
      </c>
      <c r="F6723">
        <f>VLOOKUP(D6715,'Detail Balok'!$C$10:$AU$140,9,FALSE)</f>
        <v>13</v>
      </c>
      <c r="I6723" t="str">
        <v>(</v>
      </c>
      <c r="J6723">
        <f>+D6717/2/1000</f>
        <v>5.7625</v>
      </c>
      <c r="K6723" t="str">
        <v>+</v>
      </c>
      <c r="M6723" t="str">
        <v>=</v>
      </c>
      <c r="N6723">
        <f>J6723+L6723</f>
        <v>5.7625</v>
      </c>
      <c r="O6723" t="str">
        <v>+</v>
      </c>
      <c r="P6723">
        <f>MAX(D6723-D6722,D6723-D6724)</f>
        <v>0</v>
      </c>
      <c r="Q6723" t="str">
        <v>x</v>
      </c>
      <c r="R6723">
        <f>IF(P6723&gt;0,2*(1-2*$F$19-1/2)*D6718/1000,0)</f>
        <v>0</v>
      </c>
      <c r="S6723" t="str">
        <v>)</v>
      </c>
      <c r="T6723" t="str">
        <v>x</v>
      </c>
      <c r="U6723">
        <f>0.006165*F6723^2</f>
        <v>1.041885</v>
      </c>
      <c r="X6723" t="str">
        <v>x</v>
      </c>
      <c r="Y6723">
        <f>D6721</f>
        <v>1</v>
      </c>
      <c r="Z6723" t="str">
        <v>=</v>
      </c>
      <c r="AA6723">
        <f>IF(AA6725=0,(D6723*N6723+P6723*R6723)*U6723*Y6723,0)</f>
        <v>0</v>
      </c>
    </row>
    <row r="6724">
      <c r="A6724" t="str">
        <f>A6715</f>
        <v>Lantai Atap</v>
      </c>
      <c r="B6724">
        <f>B6715</f>
        <v>17</v>
      </c>
      <c r="C6724" t="str">
        <v>Tul Atas Tumpuan</v>
      </c>
      <c r="D6724">
        <f>VLOOKUP(D6715,'Detail Balok'!$C$10:$AU$140,10,FALSE)</f>
        <v>3</v>
      </c>
      <c r="E6724" t="str">
        <v>D</v>
      </c>
      <c r="F6724">
        <f>VLOOKUP(D6715,'Detail Balok'!$C$10:$AU$140,12,FALSE)</f>
        <v>13</v>
      </c>
      <c r="I6724" t="str">
        <v>(</v>
      </c>
      <c r="J6724">
        <f>+D6717/4/1000</f>
        <v>2.88125</v>
      </c>
      <c r="K6724" t="str">
        <v>+</v>
      </c>
      <c r="L6724">
        <f>MAX(VLOOKUP(F6724,N$6:P$15,3,FALSE)/1000,2/3*D6719/1000)+F$16*F6724/1000</f>
        <v>0.156</v>
      </c>
      <c r="M6724" t="str">
        <v>=</v>
      </c>
      <c r="N6724">
        <f>J6724+L6724</f>
        <v>3.0372500000000002</v>
      </c>
      <c r="O6724" t="str">
        <v>+</v>
      </c>
      <c r="P6724">
        <f>D6724-D6723</f>
        <v>0</v>
      </c>
      <c r="Q6724" t="str">
        <v>x</v>
      </c>
      <c r="R6724">
        <f>IF(P6724&gt;0,$F$18*F6724/1000,0)</f>
        <v>0</v>
      </c>
      <c r="S6724" t="str">
        <v>)</v>
      </c>
      <c r="T6724" t="str">
        <v>x</v>
      </c>
      <c r="U6724">
        <f>0.006165*F6724^2</f>
        <v>1.041885</v>
      </c>
      <c r="X6724" t="str">
        <v>x</v>
      </c>
      <c r="Y6724">
        <f>D6721</f>
        <v>1</v>
      </c>
      <c r="Z6724" t="str">
        <v>=</v>
      </c>
      <c r="AA6724">
        <f>IF(AA6725=0,(D6724*N6724+P6724*R6724)*U6724*Y6724,0)</f>
        <v>0</v>
      </c>
    </row>
    <row r="6725">
      <c r="A6725" t="str">
        <f>A6715</f>
        <v>Lantai Atap</v>
      </c>
      <c r="B6725">
        <f>B6715</f>
        <v>17</v>
      </c>
      <c r="D6725">
        <f>IF(AND(D6722=D6723,D6723=D6724,D6722=D6724),D6722,0)</f>
        <v>3</v>
      </c>
      <c r="E6725" t="str">
        <v>D</v>
      </c>
      <c r="F6725">
        <f>IF(AND(F6722=F6723,F6722=F6724,F6723=F6724),F6722,0)</f>
        <v>13</v>
      </c>
      <c r="L6725" t="str">
        <v>Total panjang per balok</v>
      </c>
      <c r="M6725" t="str">
        <v>=</v>
      </c>
      <c r="N6725">
        <f>IF(AND(D6722=D6723,D6722=D6724,D6723=D6724,F6722=F6723,F6722=F6724,F6723=F6724),SUM(N6722:N6724),0)</f>
        <v>11.837</v>
      </c>
      <c r="O6725" t="str">
        <v>+</v>
      </c>
      <c r="P6725">
        <f>IF(N6725&gt;12,ROUNDDOWN(N6725/12,0),0)</f>
        <v>0</v>
      </c>
      <c r="Q6725" t="str">
        <v>x</v>
      </c>
      <c r="R6725">
        <f>IF(P6725&gt;0,MAX(VLOOKUP(F6725,$D$6:$G$15,3,FALSE),600),0)/1000</f>
        <v>0</v>
      </c>
      <c r="T6725" t="str">
        <v>x</v>
      </c>
      <c r="U6725">
        <f>U6724</f>
        <v>1.041885</v>
      </c>
      <c r="V6725" t="str">
        <v>x</v>
      </c>
      <c r="W6725">
        <f>D6725</f>
        <v>3</v>
      </c>
      <c r="X6725" t="str">
        <v>x</v>
      </c>
      <c r="Y6725">
        <f>Y6724</f>
        <v>1</v>
      </c>
      <c r="Z6725" t="str">
        <v>=</v>
      </c>
      <c r="AA6725">
        <f>(N6725+P6725*R6725/1000)*U6725*W6725*Y6725</f>
        <v>36.998378235</v>
      </c>
    </row>
    <row r="6727">
      <c r="A6727" t="str">
        <f>A6715</f>
        <v>Lantai Atap</v>
      </c>
      <c r="B6727">
        <f>B6715</f>
        <v>17</v>
      </c>
      <c r="C6727" t="str">
        <v>Tul Peminggang</v>
      </c>
      <c r="D6727">
        <f>VLOOKUP(D6715,'Detail Balok'!$C$10:$AU$140,13,FALSE)</f>
        <v>2</v>
      </c>
      <c r="E6727" t="str">
        <v>D</v>
      </c>
      <c r="F6727">
        <f>VLOOKUP(D6715,'Detail Balok'!$C$10:$AU$140,15,FALSE)</f>
        <v>10</v>
      </c>
      <c r="J6727">
        <f>+D6717/1000</f>
        <v>11.525</v>
      </c>
      <c r="K6727" t="str">
        <v>+</v>
      </c>
      <c r="L6727">
        <f>2*$F$16*F6727/1000</f>
        <v>0.24</v>
      </c>
      <c r="M6727" t="str">
        <v>=</v>
      </c>
      <c r="N6727">
        <f>J6727+L6727</f>
        <v>11.765</v>
      </c>
      <c r="O6727" t="str">
        <v>+</v>
      </c>
      <c r="P6727">
        <f>IF(N6727&gt;12,ROUNDDOWN(N6727/12,0),0)</f>
        <v>0</v>
      </c>
      <c r="Q6727" t="str">
        <v>x</v>
      </c>
      <c r="R6727">
        <f>IF(P6727&gt;0,MAX(VLOOKUP(F6727,$D$6:$G$15,3,FALSE),600),0)/1000</f>
        <v>0</v>
      </c>
      <c r="T6727" t="str">
        <v>x</v>
      </c>
      <c r="U6727">
        <f>0.006165*F6727^2</f>
        <v>0.6165</v>
      </c>
      <c r="V6727" t="str">
        <v>x</v>
      </c>
      <c r="W6727">
        <f>+D6727</f>
        <v>2</v>
      </c>
      <c r="X6727" t="str">
        <v>x</v>
      </c>
      <c r="Y6727">
        <f>D6721</f>
        <v>1</v>
      </c>
      <c r="Z6727" t="str">
        <v>=</v>
      </c>
      <c r="AA6727">
        <f>(N6727+P6727*R6727/1000)*U6727*W6727*Y6727</f>
        <v>14.506245000000002</v>
      </c>
    </row>
    <row r="6730">
      <c r="A6730" t="str">
        <f>A6715</f>
        <v>Lantai Atap</v>
      </c>
      <c r="B6730">
        <f>B6715</f>
        <v>17</v>
      </c>
      <c r="C6730" t="str">
        <v>Tul Bawah Tumpuan</v>
      </c>
      <c r="D6730">
        <f>VLOOKUP(D6715,'Detail Balok'!$C$10:$AU$140,22,FALSE)</f>
        <v>3</v>
      </c>
      <c r="E6730" t="str">
        <v>D</v>
      </c>
      <c r="F6730">
        <f>VLOOKUP(D6715,'Detail Balok'!$C$10:$AU$140,24,FALSE)</f>
        <v>13</v>
      </c>
      <c r="I6730" t="str">
        <v>(</v>
      </c>
      <c r="J6730">
        <f>+J6722</f>
        <v>2.88125</v>
      </c>
      <c r="K6730" t="str">
        <v>+</v>
      </c>
      <c r="L6730">
        <f>MAX(VLOOKUP(F6730,N$6:P$15,3,FALSE)/1000,2/3*D6720/1000)+F$16*F6730/1000</f>
        <v>0.156</v>
      </c>
      <c r="M6730" t="str">
        <v>=</v>
      </c>
      <c r="N6730">
        <f>J6730+L6730</f>
        <v>3.0372500000000002</v>
      </c>
      <c r="O6730" t="str">
        <v>+</v>
      </c>
      <c r="P6730">
        <f>D6730-D6731</f>
        <v>0</v>
      </c>
      <c r="Q6730" t="str">
        <v>x</v>
      </c>
      <c r="R6730">
        <f>IF(P6730&gt;0,$F$18*F6730/1000,0)</f>
        <v>0</v>
      </c>
      <c r="S6730" t="str">
        <v>)</v>
      </c>
      <c r="T6730" t="str">
        <v>x</v>
      </c>
      <c r="U6730">
        <f>0.006165*F6730^2</f>
        <v>1.041885</v>
      </c>
      <c r="X6730" t="str">
        <v>x</v>
      </c>
      <c r="Y6730">
        <f>D6721</f>
        <v>1</v>
      </c>
      <c r="Z6730" t="str">
        <v>=</v>
      </c>
      <c r="AA6730">
        <f>IF(AA6733=0,(D6730*N6730+P6730*R6730)*U6730*Y6730,0)</f>
        <v>0</v>
      </c>
    </row>
    <row r="6731">
      <c r="A6731" t="str">
        <f>A6715</f>
        <v>Lantai Atap</v>
      </c>
      <c r="B6731">
        <f>B6715</f>
        <v>17</v>
      </c>
      <c r="C6731" t="str">
        <v>Tul Bawah Lapangan</v>
      </c>
      <c r="D6731">
        <f>VLOOKUP(D6715,'Detail Balok'!$C$10:$AU$140,25,FALSE)</f>
        <v>3</v>
      </c>
      <c r="E6731" t="str">
        <v>D</v>
      </c>
      <c r="F6731">
        <f>VLOOKUP(D6715,'Detail Balok'!$C$10:$AU$140,27,FALSE)</f>
        <v>13</v>
      </c>
      <c r="I6731" t="str">
        <v>(</v>
      </c>
      <c r="J6731">
        <f>+J6723</f>
        <v>5.7625</v>
      </c>
      <c r="K6731" t="str">
        <v>+</v>
      </c>
      <c r="M6731" t="str">
        <v>=</v>
      </c>
      <c r="N6731">
        <f>J6731+L6731</f>
        <v>5.7625</v>
      </c>
      <c r="O6731" t="str">
        <v>+</v>
      </c>
      <c r="P6731">
        <f>MAX(D6731-D6730,D6731-D6732)</f>
        <v>0</v>
      </c>
      <c r="Q6731" t="str">
        <v>x</v>
      </c>
      <c r="R6731">
        <f>IF(P6731&gt;0,2*(1-2*$F$19-1/2)*D6718/1000,0)</f>
        <v>0</v>
      </c>
      <c r="S6731" t="str">
        <v>)</v>
      </c>
      <c r="T6731" t="str">
        <v>x</v>
      </c>
      <c r="U6731">
        <f>0.006165*F6731^2</f>
        <v>1.041885</v>
      </c>
      <c r="X6731" t="str">
        <v>x</v>
      </c>
      <c r="Y6731">
        <f>D6721</f>
        <v>1</v>
      </c>
      <c r="Z6731" t="str">
        <v>=</v>
      </c>
      <c r="AA6731">
        <f>IF(AA6733=0,(D6731*N6731+P6731*R6731)*U6731*Y6731,0)</f>
        <v>0</v>
      </c>
    </row>
    <row r="6732">
      <c r="A6732" t="str">
        <f>A6715</f>
        <v>Lantai Atap</v>
      </c>
      <c r="B6732">
        <f>B6715</f>
        <v>17</v>
      </c>
      <c r="C6732" t="str">
        <v>Tul Bawah Tumpuan</v>
      </c>
      <c r="D6732">
        <f>VLOOKUP(D6715,'Detail Balok'!$C$10:$AU$140,28,FALSE)</f>
        <v>3</v>
      </c>
      <c r="E6732" t="str">
        <v>D</v>
      </c>
      <c r="F6732">
        <f>VLOOKUP(D6715,'Detail Balok'!$C$10:$AU$140,30,FALSE)</f>
        <v>13</v>
      </c>
      <c r="I6732" t="str">
        <v>(</v>
      </c>
      <c r="J6732">
        <f>+J6724</f>
        <v>2.88125</v>
      </c>
      <c r="K6732" t="str">
        <v>+</v>
      </c>
      <c r="L6732">
        <f>MAX(VLOOKUP(F6732,N$6:P$15,3,FALSE)/1000,2/3*D6720/1000)+F$16*F6732/1000</f>
        <v>0.156</v>
      </c>
      <c r="M6732" t="str">
        <v>=</v>
      </c>
      <c r="N6732">
        <f>J6732+L6732</f>
        <v>3.0372500000000002</v>
      </c>
      <c r="O6732" t="str">
        <v>+</v>
      </c>
      <c r="P6732">
        <f>D6732-D6731</f>
        <v>0</v>
      </c>
      <c r="Q6732" t="str">
        <v>x</v>
      </c>
      <c r="R6732">
        <f>IF(P6732&gt;0,$F$18*F6732/1000,0)</f>
        <v>0</v>
      </c>
      <c r="S6732" t="str">
        <v>)</v>
      </c>
      <c r="T6732" t="str">
        <v>x</v>
      </c>
      <c r="U6732">
        <f>0.006165*F6732^2</f>
        <v>1.041885</v>
      </c>
      <c r="X6732" t="str">
        <v>x</v>
      </c>
      <c r="Y6732">
        <f>D6721</f>
        <v>1</v>
      </c>
      <c r="Z6732" t="str">
        <v>=</v>
      </c>
      <c r="AA6732">
        <f>IF(AA6733=0,(D6732*N6732+P6732*R6732)*U6732*Y6732,0)</f>
        <v>0</v>
      </c>
    </row>
    <row r="6733">
      <c r="A6733" t="str">
        <f>A6715</f>
        <v>Lantai Atap</v>
      </c>
      <c r="B6733">
        <f>B6715</f>
        <v>17</v>
      </c>
      <c r="D6733">
        <f>IF(AND(D6730=D6731,D6731=D6732,D6730=D6732),D6730,0)</f>
        <v>3</v>
      </c>
      <c r="E6733" t="str">
        <v>D</v>
      </c>
      <c r="F6733">
        <f>IF(AND(F6730=F6731,F6730=F6732,F6731=F6732),F6730,0)</f>
        <v>13</v>
      </c>
      <c r="L6733" t="str">
        <v>Total panjang per balok</v>
      </c>
      <c r="M6733" t="str">
        <v>=</v>
      </c>
      <c r="N6733">
        <f>IF(AND(D6730=D6731,D6730=D6732,D6731=D6732,F6730=F6731,F6730=F6732,F6731=F6732),SUM(N6730:N6732),0)</f>
        <v>11.837</v>
      </c>
      <c r="O6733" t="str">
        <v>+</v>
      </c>
      <c r="P6733">
        <f>IF(N6733&gt;12,ROUNDDOWN(N6733/12,0),0)</f>
        <v>0</v>
      </c>
      <c r="Q6733" t="str">
        <v>x</v>
      </c>
      <c r="R6733">
        <f>IF(P6733&gt;0,MAX(VLOOKUP(F6733,$D$6:$G$15,3,FALSE),600),0)/1000</f>
        <v>0</v>
      </c>
      <c r="T6733" t="str">
        <v>x</v>
      </c>
      <c r="U6733">
        <f>U6732</f>
        <v>1.041885</v>
      </c>
      <c r="V6733" t="str">
        <v>x</v>
      </c>
      <c r="W6733">
        <f>D6733</f>
        <v>3</v>
      </c>
      <c r="X6733" t="str">
        <v>x</v>
      </c>
      <c r="Y6733">
        <f>Y6732</f>
        <v>1</v>
      </c>
      <c r="Z6733" t="str">
        <v>=</v>
      </c>
      <c r="AA6733">
        <f>(N6733+P6733*R6733/1000)*U6733*W6733*Y6733</f>
        <v>36.998378235</v>
      </c>
    </row>
    <row r="6735">
      <c r="A6735" t="str">
        <f>A6715</f>
        <v>Lantai Atap</v>
      </c>
      <c r="B6735">
        <f>B6715</f>
        <v>17</v>
      </c>
      <c r="C6735" t="str">
        <v>Sengkang Tumpuan</v>
      </c>
      <c r="D6735">
        <f>VLOOKUP(D6715,'Detail Balok'!$C$10:$AU$140,31,FALSE)</f>
        <v>0</v>
      </c>
      <c r="E6735" t="str">
        <v>D</v>
      </c>
      <c r="F6735">
        <f>VLOOKUP(D6715,'Detail Balok'!$C$10:$AU$140,33,FALSE)</f>
        <v>8</v>
      </c>
      <c r="G6735" t="str">
        <v>-</v>
      </c>
      <c r="H6735">
        <f>VLOOKUP(D6715,'Detail Balok'!$C$10:$AU$140,35,FALSE)</f>
        <v>150</v>
      </c>
      <c r="J6735">
        <f>(IF(D6735=0,(2*(D6716+G6716))-(F$5*8),IF(D6735=3,(2*(D6716+G6716))-(F$5*8)+(G6716-2*F$5),IF(D6735=4,(2*(D6716+G6716))-(F$5*8)+2*(G6716-2*F$5)))))/1000</f>
        <v>0.94</v>
      </c>
      <c r="K6735" t="str">
        <v>+</v>
      </c>
      <c r="L6735">
        <f>IF(D6735=0,2*MAX(6*F6735,75),(D6735-1)*2*MAX(6*F6735,75))/1000</f>
        <v>0.15</v>
      </c>
      <c r="M6735" t="str">
        <v>=</v>
      </c>
      <c r="N6735">
        <f>J6735+L6735</f>
        <v>1.0899999999999999</v>
      </c>
      <c r="T6735" t="str">
        <v>x</v>
      </c>
      <c r="U6735">
        <f>0.006165*F6735^2</f>
        <v>0.39456</v>
      </c>
      <c r="V6735" t="str">
        <v>x</v>
      </c>
      <c r="W6735">
        <f>IF(D6718&gt;4*G6716,ROUND(MAX(D6718/4,2*G6716)/H6735,0)+1,ROUND(D6718/H6735,0)+1)</f>
        <v>20</v>
      </c>
      <c r="X6735" t="str">
        <v>x</v>
      </c>
      <c r="Y6735">
        <f>D6721</f>
        <v>1</v>
      </c>
      <c r="Z6735" t="str">
        <v>=</v>
      </c>
      <c r="AA6735">
        <f>N6735*U6735*W6735*Y6735</f>
        <v>8.601408</v>
      </c>
    </row>
    <row r="6736">
      <c r="A6736" t="str">
        <f>A6715</f>
        <v>Lantai Atap</v>
      </c>
      <c r="B6736">
        <f>B6715</f>
        <v>17</v>
      </c>
      <c r="C6736" t="str">
        <v>Sengkang Lapangan</v>
      </c>
      <c r="D6736">
        <f>VLOOKUP(D6715,'Detail Balok'!$C$10:$AU$140,36,FALSE)</f>
        <v>0</v>
      </c>
      <c r="E6736" t="str">
        <v>D</v>
      </c>
      <c r="F6736">
        <f>VLOOKUP(D6715,'Detail Balok'!$C$10:$AU$140,38,FALSE)</f>
        <v>8</v>
      </c>
      <c r="G6736" t="str">
        <v>-</v>
      </c>
      <c r="H6736">
        <f>VLOOKUP(D6715,'Detail Balok'!$C$10:$AU$140,40,FALSE)</f>
        <v>200</v>
      </c>
      <c r="J6736">
        <f>(IF(D6736=0,(2*(D6716+G6716))-(F$5*8),IF(D6736=3,(2*(D6716+G6716))-(F$5*8)+(G6716-2*F$5),IF(D6736=4,(2*(D6716+G6716))-(F$5*8)+2*(G6716-2*F$5)))))/1000</f>
        <v>0.94</v>
      </c>
      <c r="K6736" t="str">
        <v>+</v>
      </c>
      <c r="L6736">
        <f>IF(D6736=0,2*MAX(6*F6736,75),(D6736-1)*2*MAX(6*F6736,75))/1000</f>
        <v>0.15</v>
      </c>
      <c r="M6736" t="str">
        <v>=</v>
      </c>
      <c r="N6736">
        <f>J6736+L6736</f>
        <v>1.0899999999999999</v>
      </c>
      <c r="T6736" t="str">
        <v>x</v>
      </c>
      <c r="U6736">
        <f>0.006165*F6736^2</f>
        <v>0.39456</v>
      </c>
      <c r="V6736" t="str">
        <v>x</v>
      </c>
      <c r="W6736">
        <f>IF(D6718-MAX(D6718/4,2*G6716)*2&gt;0,ROUND((D6718-MAX(D6718/4,2*G6716)*2)/H6736,0),0)</f>
        <v>29</v>
      </c>
      <c r="X6736" t="str">
        <v>x</v>
      </c>
      <c r="Y6736">
        <f>D6721</f>
        <v>1</v>
      </c>
      <c r="Z6736" t="str">
        <v>=</v>
      </c>
      <c r="AA6736">
        <f>N6736*U6736*W6736*Y6736</f>
        <v>12.472041599999999</v>
      </c>
    </row>
    <row r="6737">
      <c r="A6737" t="str">
        <f>A6715</f>
        <v>Lantai Atap</v>
      </c>
      <c r="B6737">
        <f>B6715</f>
        <v>17</v>
      </c>
      <c r="C6737" t="str">
        <v>Sengkang Tumpuan</v>
      </c>
      <c r="D6737">
        <f>VLOOKUP(D6715,'Detail Balok'!$C$10:$AU$140,41,FALSE)</f>
        <v>0</v>
      </c>
      <c r="E6737" t="str">
        <v>D</v>
      </c>
      <c r="F6737">
        <f>VLOOKUP(D6715,'Detail Balok'!$C$10:$AU$140,43,FALSE)</f>
        <v>8</v>
      </c>
      <c r="G6737" t="str">
        <v>-</v>
      </c>
      <c r="H6737">
        <f>VLOOKUP(D6715,'Detail Balok'!$C$10:$AU$140,45,FALSE)</f>
        <v>150</v>
      </c>
      <c r="J6737">
        <f>(IF(D6737=0,(2*(D6716+G6716))-(F$5*8),IF(D6737=3,(2*(D6716+G6716))-(F$5*8)+(G6716-2*F$5),IF(D6737=4,(2*(D6716+G6716))-(F$5*8)+2*(G6716-2*F$5)))))/1000</f>
        <v>0.94</v>
      </c>
      <c r="K6737" t="str">
        <v>+</v>
      </c>
      <c r="L6737">
        <f>IF(D6737=0,2*MAX(6*F6737,75),(D6737-1)*2*MAX(6*F6737,75))/1000</f>
        <v>0.15</v>
      </c>
      <c r="M6737" t="str">
        <v>=</v>
      </c>
      <c r="N6737">
        <f>J6737+L6737</f>
        <v>1.0899999999999999</v>
      </c>
      <c r="T6737" t="str">
        <v>x</v>
      </c>
      <c r="U6737">
        <f>0.006165*F6737^2</f>
        <v>0.39456</v>
      </c>
      <c r="V6737" t="str">
        <v>x</v>
      </c>
      <c r="W6737">
        <f>IF(D6718&gt;4*G6716,ROUND(MAX(D6718/4,2*G6716)/H6737,0)+1,0)</f>
        <v>20</v>
      </c>
      <c r="X6737" t="str">
        <v>x</v>
      </c>
      <c r="Y6737">
        <f>D6721</f>
        <v>1</v>
      </c>
      <c r="Z6737" t="str">
        <v>=</v>
      </c>
      <c r="AA6737">
        <f>N6737*U6737*W6737*Y6737</f>
        <v>8.601408</v>
      </c>
    </row>
    <row r="6739">
      <c r="A6739" t="str">
        <f>A6715</f>
        <v>Lantai Atap</v>
      </c>
      <c r="B6739">
        <f>B6715</f>
        <v>17</v>
      </c>
      <c r="C6739" t="str">
        <v>Kait Horizontal Tump.</v>
      </c>
      <c r="D6739">
        <f>VLOOKUP(D6715,'Detail Balok'!$C$10:$BJ$140,46,FALSE)</f>
        <v>0</v>
      </c>
      <c r="E6739" t="str">
        <v>D</v>
      </c>
      <c r="F6739">
        <f>VLOOKUP(D6715,'Detail Balok'!$C$10:$BJ$140,48,FALSE)</f>
        <v>0</v>
      </c>
      <c r="G6739" t="str">
        <v>-</v>
      </c>
      <c r="H6739">
        <f>VLOOKUP(D6715,'Detail Balok'!$C$10:$BJ$140,50,FALSE)</f>
        <v>100</v>
      </c>
      <c r="J6739">
        <f>(D6716-2*F$5)/1000</f>
        <v>0.05</v>
      </c>
      <c r="K6739" t="str">
        <v>+</v>
      </c>
      <c r="L6739">
        <f>IF(D6739=0,2*MAX(6*F6739,75),(D6739-1)*2*MAX(6*F6739,75))/1000</f>
        <v>0.15</v>
      </c>
      <c r="M6739" t="str">
        <v>=</v>
      </c>
      <c r="N6739">
        <f>J6739+L6739</f>
        <v>0.2</v>
      </c>
      <c r="T6739" t="str">
        <v>x</v>
      </c>
      <c r="U6739">
        <f>0.006165*F6739^2</f>
        <v>0</v>
      </c>
      <c r="V6739" t="str">
        <v>x</v>
      </c>
      <c r="W6739">
        <f>W6735</f>
        <v>20</v>
      </c>
      <c r="X6739" t="str">
        <v>x</v>
      </c>
      <c r="Y6739">
        <f>D6725</f>
        <v>3</v>
      </c>
      <c r="Z6739" t="str">
        <v>=</v>
      </c>
      <c r="AA6739">
        <f>N6739*U6739*W6739*Y6739</f>
        <v>0</v>
      </c>
    </row>
    <row r="6740">
      <c r="A6740" t="str">
        <f>A6715</f>
        <v>Lantai Atap</v>
      </c>
      <c r="B6740">
        <f>B6715</f>
        <v>17</v>
      </c>
      <c r="C6740" t="str">
        <v>Kait Horizontal Lap.</v>
      </c>
      <c r="D6740">
        <f>VLOOKUP(D6715,'Detail Balok'!$C$10:$BJ$140,51,FALSE)</f>
        <v>0</v>
      </c>
      <c r="E6740" t="str">
        <v>D</v>
      </c>
      <c r="F6740">
        <f>VLOOKUP(D6715,'Detail Balok'!$C$10:$BJ$140,53,FALSE)</f>
        <v>0</v>
      </c>
      <c r="G6740" t="str">
        <v>-</v>
      </c>
      <c r="H6740">
        <f>VLOOKUP(D6715,'Detail Balok'!$C$10:$BJ$140,55,FALSE)</f>
        <v>100</v>
      </c>
      <c r="J6740">
        <f>(D6716-2*F$5)/1000</f>
        <v>0.05</v>
      </c>
      <c r="K6740" t="str">
        <v>+</v>
      </c>
      <c r="L6740">
        <f>IF(D6740=0,2*MAX(6*F6740,75),(D6740-1)*2*MAX(6*F6740,75))/1000</f>
        <v>0.15</v>
      </c>
      <c r="M6740" t="str">
        <v>=</v>
      </c>
      <c r="N6740">
        <f>J6740+L6740</f>
        <v>0.2</v>
      </c>
      <c r="T6740" t="str">
        <v>x</v>
      </c>
      <c r="U6740">
        <f>0.006165*F6740^2</f>
        <v>0</v>
      </c>
      <c r="V6740" t="str">
        <v>x</v>
      </c>
      <c r="W6740">
        <f>W6736</f>
        <v>29</v>
      </c>
      <c r="X6740" t="str">
        <v>x</v>
      </c>
      <c r="Y6740">
        <f>D6725</f>
        <v>3</v>
      </c>
      <c r="Z6740" t="str">
        <v>=</v>
      </c>
      <c r="AA6740">
        <f>N6740*U6740*W6740*Y6740</f>
        <v>0</v>
      </c>
    </row>
    <row r="6741">
      <c r="A6741" t="str">
        <f>A6715</f>
        <v>Lantai Atap</v>
      </c>
      <c r="B6741">
        <f>B6715</f>
        <v>17</v>
      </c>
      <c r="C6741" t="str">
        <v>Kait Horizontal Tump.</v>
      </c>
      <c r="D6741">
        <f>VLOOKUP(D6715,'Detail Balok'!$C$10:$BJ$140,56,FALSE)</f>
        <v>0</v>
      </c>
      <c r="E6741" t="str">
        <v>D</v>
      </c>
      <c r="F6741">
        <f>VLOOKUP(D6715,'Detail Balok'!$C$10:$BJ$140,58,FALSE)</f>
        <v>0</v>
      </c>
      <c r="G6741" t="str">
        <v>-</v>
      </c>
      <c r="H6741">
        <f>VLOOKUP(D6715,'Detail Balok'!$C$10:$BJ$140,60,FALSE)</f>
        <v>100</v>
      </c>
      <c r="J6741">
        <f>(D6716-2*F$5)/1000</f>
        <v>0.05</v>
      </c>
      <c r="K6741" t="str">
        <v>+</v>
      </c>
      <c r="L6741">
        <f>IF(D6741=0,2*MAX(6*F6741,75),(D6741-1)*2*MAX(6*F6741,75))/1000</f>
        <v>0.15</v>
      </c>
      <c r="M6741" t="str">
        <v>=</v>
      </c>
      <c r="N6741">
        <f>J6741+L6741</f>
        <v>0.2</v>
      </c>
      <c r="T6741" t="str">
        <v>x</v>
      </c>
      <c r="U6741">
        <f>0.006165*F6741^2</f>
        <v>0</v>
      </c>
      <c r="V6741" t="str">
        <v>x</v>
      </c>
      <c r="W6741">
        <f>W6737</f>
        <v>20</v>
      </c>
      <c r="X6741" t="str">
        <v>x</v>
      </c>
      <c r="Y6741">
        <f>D6725</f>
        <v>3</v>
      </c>
      <c r="Z6741" t="str">
        <v>=</v>
      </c>
      <c r="AA6741">
        <f>N6741*U6741*W6741*Y6741</f>
        <v>0</v>
      </c>
    </row>
    <row r="6745">
      <c r="A6745" t="str">
        <f>A6715</f>
        <v>Lantai Atap</v>
      </c>
      <c r="B6745">
        <f>B6715+1</f>
        <v>18</v>
      </c>
      <c r="C6745" t="str">
        <f>CONCATENATE(A6745," no. ",B6745)</f>
        <v>Lantai Atap no. 18</v>
      </c>
      <c r="D6745" t="str">
        <f>VLOOKUP(C6745,'Data Panjang Balok'!$C$9:$N$254,2,FALSE)</f>
        <v>B24-1</v>
      </c>
    </row>
    <row r="6746">
      <c r="C6746" t="str">
        <v>Dimensi</v>
      </c>
      <c r="D6746">
        <f>VLOOKUP(D6745,'Detail Balok'!$C$10:$AU$140,2,FALSE)</f>
        <v>200</v>
      </c>
      <c r="F6746" t="str">
        <v>x</v>
      </c>
      <c r="G6746">
        <f>VLOOKUP(D6745,'Detail Balok'!$C$10:$AU$140,3,FALSE)</f>
        <v>400</v>
      </c>
    </row>
    <row r="6747">
      <c r="C6747" t="str">
        <v>Panjang as ke as</v>
      </c>
      <c r="D6747">
        <f>VLOOKUP(C6745,'Data Panjang Balok'!$C$9:$N$254,4,FALSE)</f>
        <v>13650</v>
      </c>
    </row>
    <row r="6748">
      <c r="C6748" t="str">
        <v>Panjang netto</v>
      </c>
      <c r="D6748">
        <f>VLOOKUP(C6745,'Data Panjang Balok'!$C$9:$N$254,7,FALSE)</f>
        <v>13650</v>
      </c>
    </row>
    <row r="6749">
      <c r="C6749" t="str">
        <v>Kolom / balok kiri</v>
      </c>
      <c r="D6749">
        <f>VLOOKUP(C6745,'Data Panjang Balok'!$C$9:$N$254,9,FALSE)</f>
        <v>0</v>
      </c>
    </row>
    <row r="6750">
      <c r="C6750" t="str">
        <v>Kolom / balok kanan</v>
      </c>
      <c r="D6750">
        <f>VLOOKUP(C6745,'Data Panjang Balok'!$C$9:$N$254,10,FALSE)</f>
        <v>0</v>
      </c>
    </row>
    <row r="6751">
      <c r="C6751" t="str">
        <v>Jumlah</v>
      </c>
      <c r="D6751">
        <f>VLOOKUP(C6745,'Data Panjang Balok'!$C$9:$N$254,3,FALSE)</f>
        <v>1</v>
      </c>
    </row>
    <row r="6752">
      <c r="A6752" t="str">
        <f>A6745</f>
        <v>Lantai Atap</v>
      </c>
      <c r="B6752">
        <f>B6745</f>
        <v>18</v>
      </c>
      <c r="C6752" t="str">
        <v>Tul Atas Tumpuan</v>
      </c>
      <c r="D6752">
        <f>VLOOKUP(D6745,'Detail Balok'!$C$10:$AU$140,4,FALSE)</f>
        <v>3</v>
      </c>
      <c r="E6752" t="str">
        <v>D</v>
      </c>
      <c r="F6752">
        <f>VLOOKUP(D6745,'Detail Balok'!$C$10:$AU$140,6,FALSE)</f>
        <v>13</v>
      </c>
      <c r="I6752" t="str">
        <v>(</v>
      </c>
      <c r="J6752">
        <f>+D6747/4/1000</f>
        <v>3.4125</v>
      </c>
      <c r="K6752" t="str">
        <v>+</v>
      </c>
      <c r="L6752">
        <f>MAX(VLOOKUP(F6752,N$6:P$15,3,FALSE)/1000,2/3*D6749/1000)+F$16*F6752/1000</f>
        <v>0.156</v>
      </c>
      <c r="M6752" t="str">
        <v>=</v>
      </c>
      <c r="N6752">
        <f>J6752+L6752</f>
        <v>3.5685000000000002</v>
      </c>
      <c r="O6752" t="str">
        <v>+</v>
      </c>
      <c r="P6752">
        <f>D6752-D6753</f>
        <v>0</v>
      </c>
      <c r="Q6752" t="str">
        <v>x</v>
      </c>
      <c r="R6752">
        <f>IF(P6752&gt;0,$F$18*F6752/1000,0)</f>
        <v>0</v>
      </c>
      <c r="S6752" t="str">
        <v>)</v>
      </c>
      <c r="T6752" t="str">
        <v>x</v>
      </c>
      <c r="U6752">
        <f>0.006165*F6752^2</f>
        <v>1.041885</v>
      </c>
      <c r="X6752" t="str">
        <v>x</v>
      </c>
      <c r="Y6752">
        <f>D6751</f>
        <v>1</v>
      </c>
      <c r="Z6752" t="str">
        <v>=</v>
      </c>
      <c r="AA6752">
        <f>IF(AA6755=0,(D6752*N6752+P6752*R6752)*U6752*Y6752,0)</f>
        <v>0</v>
      </c>
    </row>
    <row r="6753">
      <c r="A6753" t="str">
        <f>A6745</f>
        <v>Lantai Atap</v>
      </c>
      <c r="B6753">
        <f>B6745</f>
        <v>18</v>
      </c>
      <c r="C6753" t="str">
        <v>Tul Atas Lapangan</v>
      </c>
      <c r="D6753">
        <f>VLOOKUP(D6745,'Detail Balok'!$C$10:$AU$140,7,FALSE)</f>
        <v>3</v>
      </c>
      <c r="E6753" t="str">
        <v>D</v>
      </c>
      <c r="F6753">
        <f>VLOOKUP(D6745,'Detail Balok'!$C$10:$AU$140,9,FALSE)</f>
        <v>13</v>
      </c>
      <c r="I6753" t="str">
        <v>(</v>
      </c>
      <c r="J6753">
        <f>+D6747/2/1000</f>
        <v>6.825</v>
      </c>
      <c r="K6753" t="str">
        <v>+</v>
      </c>
      <c r="M6753" t="str">
        <v>=</v>
      </c>
      <c r="N6753">
        <f>J6753+L6753</f>
        <v>6.825</v>
      </c>
      <c r="O6753" t="str">
        <v>+</v>
      </c>
      <c r="P6753">
        <f>MAX(D6753-D6752,D6753-D6754)</f>
        <v>0</v>
      </c>
      <c r="Q6753" t="str">
        <v>x</v>
      </c>
      <c r="R6753">
        <f>IF(P6753&gt;0,2*(1-2*$F$19-1/2)*D6748/1000,0)</f>
        <v>0</v>
      </c>
      <c r="S6753" t="str">
        <v>)</v>
      </c>
      <c r="T6753" t="str">
        <v>x</v>
      </c>
      <c r="U6753">
        <f>0.006165*F6753^2</f>
        <v>1.041885</v>
      </c>
      <c r="X6753" t="str">
        <v>x</v>
      </c>
      <c r="Y6753">
        <f>D6751</f>
        <v>1</v>
      </c>
      <c r="Z6753" t="str">
        <v>=</v>
      </c>
      <c r="AA6753">
        <f>IF(AA6755=0,(D6753*N6753+P6753*R6753)*U6753*Y6753,0)</f>
        <v>0</v>
      </c>
    </row>
    <row r="6754">
      <c r="A6754" t="str">
        <f>A6745</f>
        <v>Lantai Atap</v>
      </c>
      <c r="B6754">
        <f>B6745</f>
        <v>18</v>
      </c>
      <c r="C6754" t="str">
        <v>Tul Atas Tumpuan</v>
      </c>
      <c r="D6754">
        <f>VLOOKUP(D6745,'Detail Balok'!$C$10:$AU$140,10,FALSE)</f>
        <v>3</v>
      </c>
      <c r="E6754" t="str">
        <v>D</v>
      </c>
      <c r="F6754">
        <f>VLOOKUP(D6745,'Detail Balok'!$C$10:$AU$140,12,FALSE)</f>
        <v>13</v>
      </c>
      <c r="I6754" t="str">
        <v>(</v>
      </c>
      <c r="J6754">
        <f>+D6747/4/1000</f>
        <v>3.4125</v>
      </c>
      <c r="K6754" t="str">
        <v>+</v>
      </c>
      <c r="L6754">
        <f>MAX(VLOOKUP(F6754,N$6:P$15,3,FALSE)/1000,2/3*D6749/1000)+F$16*F6754/1000</f>
        <v>0.156</v>
      </c>
      <c r="M6754" t="str">
        <v>=</v>
      </c>
      <c r="N6754">
        <f>J6754+L6754</f>
        <v>3.5685000000000002</v>
      </c>
      <c r="O6754" t="str">
        <v>+</v>
      </c>
      <c r="P6754">
        <f>D6754-D6753</f>
        <v>0</v>
      </c>
      <c r="Q6754" t="str">
        <v>x</v>
      </c>
      <c r="R6754">
        <f>IF(P6754&gt;0,$F$18*F6754/1000,0)</f>
        <v>0</v>
      </c>
      <c r="S6754" t="str">
        <v>)</v>
      </c>
      <c r="T6754" t="str">
        <v>x</v>
      </c>
      <c r="U6754">
        <f>0.006165*F6754^2</f>
        <v>1.041885</v>
      </c>
      <c r="X6754" t="str">
        <v>x</v>
      </c>
      <c r="Y6754">
        <f>D6751</f>
        <v>1</v>
      </c>
      <c r="Z6754" t="str">
        <v>=</v>
      </c>
      <c r="AA6754">
        <f>IF(AA6755=0,(D6754*N6754+P6754*R6754)*U6754*Y6754,0)</f>
        <v>0</v>
      </c>
    </row>
    <row r="6755">
      <c r="A6755" t="str">
        <f>A6745</f>
        <v>Lantai Atap</v>
      </c>
      <c r="B6755">
        <f>B6745</f>
        <v>18</v>
      </c>
      <c r="D6755">
        <f>IF(AND(D6752=D6753,D6753=D6754,D6752=D6754),D6752,0)</f>
        <v>3</v>
      </c>
      <c r="E6755" t="str">
        <v>D</v>
      </c>
      <c r="F6755">
        <f>IF(AND(F6752=F6753,F6752=F6754,F6753=F6754),F6752,0)</f>
        <v>13</v>
      </c>
      <c r="L6755" t="str">
        <v>Total panjang per balok</v>
      </c>
      <c r="M6755" t="str">
        <v>=</v>
      </c>
      <c r="N6755">
        <f>IF(AND(D6752=D6753,D6752=D6754,D6753=D6754,F6752=F6753,F6752=F6754,F6753=F6754),SUM(N6752:N6754),0)</f>
        <v>13.962</v>
      </c>
      <c r="O6755" t="str">
        <v>+</v>
      </c>
      <c r="P6755">
        <f>IF(N6755&gt;12,ROUNDDOWN(N6755/12,0),0)</f>
        <v>1</v>
      </c>
      <c r="Q6755" t="str">
        <v>x</v>
      </c>
      <c r="R6755">
        <f>IF(P6755&gt;0,MAX(VLOOKUP(F6755,$D$6:$G$15,3,FALSE),600),0)/1000</f>
        <v>0.65</v>
      </c>
      <c r="T6755" t="str">
        <v>x</v>
      </c>
      <c r="U6755">
        <f>U6754</f>
        <v>1.041885</v>
      </c>
      <c r="V6755" t="str">
        <v>x</v>
      </c>
      <c r="W6755">
        <f>D6755</f>
        <v>3</v>
      </c>
      <c r="X6755" t="str">
        <v>x</v>
      </c>
      <c r="Y6755">
        <f>Y6754</f>
        <v>1</v>
      </c>
      <c r="Z6755" t="str">
        <v>=</v>
      </c>
      <c r="AA6755">
        <f>(N6755+P6755*R6755/1000)*U6755*W6755*Y6755</f>
        <v>43.64242678575</v>
      </c>
    </row>
    <row r="6757">
      <c r="A6757" t="str">
        <f>A6745</f>
        <v>Lantai Atap</v>
      </c>
      <c r="B6757">
        <f>B6745</f>
        <v>18</v>
      </c>
      <c r="C6757" t="str">
        <v>Tul Peminggang</v>
      </c>
      <c r="D6757">
        <f>VLOOKUP(D6745,'Detail Balok'!$C$10:$AU$140,13,FALSE)</f>
        <v>0</v>
      </c>
      <c r="E6757" t="str">
        <v>D</v>
      </c>
      <c r="F6757">
        <f>VLOOKUP(D6745,'Detail Balok'!$C$10:$AU$140,15,FALSE)</f>
        <v>8</v>
      </c>
      <c r="J6757">
        <f>+D6747/1000</f>
        <v>13.65</v>
      </c>
      <c r="K6757" t="str">
        <v>+</v>
      </c>
      <c r="L6757">
        <f>2*$F$16*F6757/1000</f>
        <v>0.192</v>
      </c>
      <c r="M6757" t="str">
        <v>=</v>
      </c>
      <c r="N6757">
        <f>J6757+L6757</f>
        <v>13.842</v>
      </c>
      <c r="O6757" t="str">
        <v>+</v>
      </c>
      <c r="P6757">
        <f>IF(N6757&gt;12,ROUNDDOWN(N6757/12,0),0)</f>
        <v>1</v>
      </c>
      <c r="Q6757" t="str">
        <v>x</v>
      </c>
      <c r="R6757">
        <f>IF(P6757&gt;0,MAX(VLOOKUP(F6757,$D$6:$G$15,3,FALSE),600),0)/1000</f>
        <v>0.6</v>
      </c>
      <c r="T6757" t="str">
        <v>x</v>
      </c>
      <c r="U6757">
        <f>0.006165*F6757^2</f>
        <v>0.39456</v>
      </c>
      <c r="V6757" t="str">
        <v>x</v>
      </c>
      <c r="W6757">
        <f>+D6757</f>
        <v>0</v>
      </c>
      <c r="X6757" t="str">
        <v>x</v>
      </c>
      <c r="Y6757">
        <f>D6751</f>
        <v>1</v>
      </c>
      <c r="Z6757" t="str">
        <v>=</v>
      </c>
      <c r="AA6757">
        <f>(N6757+P6757*R6757/1000)*U6757*W6757*Y6757</f>
        <v>0</v>
      </c>
    </row>
    <row r="6760">
      <c r="A6760" t="str">
        <f>A6745</f>
        <v>Lantai Atap</v>
      </c>
      <c r="B6760">
        <f>B6745</f>
        <v>18</v>
      </c>
      <c r="C6760" t="str">
        <v>Tul Bawah Tumpuan</v>
      </c>
      <c r="D6760">
        <f>VLOOKUP(D6745,'Detail Balok'!$C$10:$AU$140,22,FALSE)</f>
        <v>3</v>
      </c>
      <c r="E6760" t="str">
        <v>D</v>
      </c>
      <c r="F6760">
        <f>VLOOKUP(D6745,'Detail Balok'!$C$10:$AU$140,24,FALSE)</f>
        <v>13</v>
      </c>
      <c r="I6760" t="str">
        <v>(</v>
      </c>
      <c r="J6760">
        <f>+J6752</f>
        <v>3.4125</v>
      </c>
      <c r="K6760" t="str">
        <v>+</v>
      </c>
      <c r="L6760">
        <f>MAX(VLOOKUP(F6760,N$6:P$15,3,FALSE)/1000,2/3*D6750/1000)+F$16*F6760/1000</f>
        <v>0.156</v>
      </c>
      <c r="M6760" t="str">
        <v>=</v>
      </c>
      <c r="N6760">
        <f>J6760+L6760</f>
        <v>3.5685000000000002</v>
      </c>
      <c r="O6760" t="str">
        <v>+</v>
      </c>
      <c r="P6760">
        <f>D6760-D6761</f>
        <v>0</v>
      </c>
      <c r="Q6760" t="str">
        <v>x</v>
      </c>
      <c r="R6760">
        <f>IF(P6760&gt;0,$F$18*F6760/1000,0)</f>
        <v>0</v>
      </c>
      <c r="S6760" t="str">
        <v>)</v>
      </c>
      <c r="T6760" t="str">
        <v>x</v>
      </c>
      <c r="U6760">
        <f>0.006165*F6760^2</f>
        <v>1.041885</v>
      </c>
      <c r="X6760" t="str">
        <v>x</v>
      </c>
      <c r="Y6760">
        <f>D6751</f>
        <v>1</v>
      </c>
      <c r="Z6760" t="str">
        <v>=</v>
      </c>
      <c r="AA6760">
        <f>IF(AA6763=0,(D6760*N6760+P6760*R6760)*U6760*Y6760,0)</f>
        <v>0</v>
      </c>
    </row>
    <row r="6761">
      <c r="A6761" t="str">
        <f>A6745</f>
        <v>Lantai Atap</v>
      </c>
      <c r="B6761">
        <f>B6745</f>
        <v>18</v>
      </c>
      <c r="C6761" t="str">
        <v>Tul Bawah Lapangan</v>
      </c>
      <c r="D6761">
        <f>VLOOKUP(D6745,'Detail Balok'!$C$10:$AU$140,25,FALSE)</f>
        <v>3</v>
      </c>
      <c r="E6761" t="str">
        <v>D</v>
      </c>
      <c r="F6761">
        <f>VLOOKUP(D6745,'Detail Balok'!$C$10:$AU$140,27,FALSE)</f>
        <v>13</v>
      </c>
      <c r="I6761" t="str">
        <v>(</v>
      </c>
      <c r="J6761">
        <f>+J6753</f>
        <v>6.825</v>
      </c>
      <c r="K6761" t="str">
        <v>+</v>
      </c>
      <c r="M6761" t="str">
        <v>=</v>
      </c>
      <c r="N6761">
        <f>J6761+L6761</f>
        <v>6.825</v>
      </c>
      <c r="O6761" t="str">
        <v>+</v>
      </c>
      <c r="P6761">
        <f>MAX(D6761-D6760,D6761-D6762)</f>
        <v>0</v>
      </c>
      <c r="Q6761" t="str">
        <v>x</v>
      </c>
      <c r="R6761">
        <f>IF(P6761&gt;0,2*(1-2*$F$19-1/2)*D6748/1000,0)</f>
        <v>0</v>
      </c>
      <c r="S6761" t="str">
        <v>)</v>
      </c>
      <c r="T6761" t="str">
        <v>x</v>
      </c>
      <c r="U6761">
        <f>0.006165*F6761^2</f>
        <v>1.041885</v>
      </c>
      <c r="X6761" t="str">
        <v>x</v>
      </c>
      <c r="Y6761">
        <f>D6751</f>
        <v>1</v>
      </c>
      <c r="Z6761" t="str">
        <v>=</v>
      </c>
      <c r="AA6761">
        <f>IF(AA6763=0,(D6761*N6761+P6761*R6761)*U6761*Y6761,0)</f>
        <v>0</v>
      </c>
    </row>
    <row r="6762">
      <c r="A6762" t="str">
        <f>A6745</f>
        <v>Lantai Atap</v>
      </c>
      <c r="B6762">
        <f>B6745</f>
        <v>18</v>
      </c>
      <c r="C6762" t="str">
        <v>Tul Bawah Tumpuan</v>
      </c>
      <c r="D6762">
        <f>VLOOKUP(D6745,'Detail Balok'!$C$10:$AU$140,28,FALSE)</f>
        <v>3</v>
      </c>
      <c r="E6762" t="str">
        <v>D</v>
      </c>
      <c r="F6762">
        <f>VLOOKUP(D6745,'Detail Balok'!$C$10:$AU$140,30,FALSE)</f>
        <v>13</v>
      </c>
      <c r="I6762" t="str">
        <v>(</v>
      </c>
      <c r="J6762">
        <f>+J6754</f>
        <v>3.4125</v>
      </c>
      <c r="K6762" t="str">
        <v>+</v>
      </c>
      <c r="L6762">
        <f>MAX(VLOOKUP(F6762,N$6:P$15,3,FALSE)/1000,2/3*D6750/1000)+F$16*F6762/1000</f>
        <v>0.156</v>
      </c>
      <c r="M6762" t="str">
        <v>=</v>
      </c>
      <c r="N6762">
        <f>J6762+L6762</f>
        <v>3.5685000000000002</v>
      </c>
      <c r="O6762" t="str">
        <v>+</v>
      </c>
      <c r="P6762">
        <f>D6762-D6761</f>
        <v>0</v>
      </c>
      <c r="Q6762" t="str">
        <v>x</v>
      </c>
      <c r="R6762">
        <f>IF(P6762&gt;0,$F$18*F6762/1000,0)</f>
        <v>0</v>
      </c>
      <c r="S6762" t="str">
        <v>)</v>
      </c>
      <c r="T6762" t="str">
        <v>x</v>
      </c>
      <c r="U6762">
        <f>0.006165*F6762^2</f>
        <v>1.041885</v>
      </c>
      <c r="X6762" t="str">
        <v>x</v>
      </c>
      <c r="Y6762">
        <f>D6751</f>
        <v>1</v>
      </c>
      <c r="Z6762" t="str">
        <v>=</v>
      </c>
      <c r="AA6762">
        <f>IF(AA6763=0,(D6762*N6762+P6762*R6762)*U6762*Y6762,0)</f>
        <v>0</v>
      </c>
    </row>
    <row r="6763">
      <c r="A6763" t="str">
        <f>A6745</f>
        <v>Lantai Atap</v>
      </c>
      <c r="B6763">
        <f>B6745</f>
        <v>18</v>
      </c>
      <c r="D6763">
        <f>IF(AND(D6760=D6761,D6761=D6762,D6760=D6762),D6760,0)</f>
        <v>3</v>
      </c>
      <c r="E6763" t="str">
        <v>D</v>
      </c>
      <c r="F6763">
        <f>IF(AND(F6760=F6761,F6760=F6762,F6761=F6762),F6760,0)</f>
        <v>13</v>
      </c>
      <c r="L6763" t="str">
        <v>Total panjang per balok</v>
      </c>
      <c r="M6763" t="str">
        <v>=</v>
      </c>
      <c r="N6763">
        <f>IF(AND(D6760=D6761,D6760=D6762,D6761=D6762,F6760=F6761,F6760=F6762,F6761=F6762),SUM(N6760:N6762),0)</f>
        <v>13.962</v>
      </c>
      <c r="O6763" t="str">
        <v>+</v>
      </c>
      <c r="P6763">
        <f>IF(N6763&gt;12,ROUNDDOWN(N6763/12,0),0)</f>
        <v>1</v>
      </c>
      <c r="Q6763" t="str">
        <v>x</v>
      </c>
      <c r="R6763">
        <f>IF(P6763&gt;0,MAX(VLOOKUP(F6763,$D$6:$G$15,3,FALSE),600),0)/1000</f>
        <v>0.65</v>
      </c>
      <c r="T6763" t="str">
        <v>x</v>
      </c>
      <c r="U6763">
        <f>U6762</f>
        <v>1.041885</v>
      </c>
      <c r="V6763" t="str">
        <v>x</v>
      </c>
      <c r="W6763">
        <f>D6763</f>
        <v>3</v>
      </c>
      <c r="X6763" t="str">
        <v>x</v>
      </c>
      <c r="Y6763">
        <f>Y6762</f>
        <v>1</v>
      </c>
      <c r="Z6763" t="str">
        <v>=</v>
      </c>
      <c r="AA6763">
        <f>(N6763+P6763*R6763/1000)*U6763*W6763*Y6763</f>
        <v>43.64242678575</v>
      </c>
    </row>
    <row r="6765">
      <c r="A6765" t="str">
        <f>A6745</f>
        <v>Lantai Atap</v>
      </c>
      <c r="B6765">
        <f>B6745</f>
        <v>18</v>
      </c>
      <c r="C6765" t="str">
        <v>Sengkang Tumpuan</v>
      </c>
      <c r="D6765">
        <f>VLOOKUP(D6745,'Detail Balok'!$C$10:$AU$140,31,FALSE)</f>
        <v>0</v>
      </c>
      <c r="E6765" t="str">
        <v>D</v>
      </c>
      <c r="F6765">
        <f>VLOOKUP(D6745,'Detail Balok'!$C$10:$AU$140,33,FALSE)</f>
        <v>10</v>
      </c>
      <c r="G6765" t="str">
        <v>-</v>
      </c>
      <c r="H6765">
        <f>VLOOKUP(D6745,'Detail Balok'!$C$10:$AU$140,35,FALSE)</f>
        <v>100</v>
      </c>
      <c r="J6765">
        <f>(IF(D6765=0,(2*(D6746+G6746))-(F$5*8),IF(D6765=3,(2*(D6746+G6746))-(F$5*8)+(G6746-2*F$5),IF(D6765=4,(2*(D6746+G6746))-(F$5*8)+2*(G6746-2*F$5)))))/1000</f>
        <v>0.88</v>
      </c>
      <c r="K6765" t="str">
        <v>+</v>
      </c>
      <c r="L6765">
        <f>IF(D6765=0,2*MAX(6*F6765,75),(D6765-1)*2*MAX(6*F6765,75))/1000</f>
        <v>0.15</v>
      </c>
      <c r="M6765" t="str">
        <v>=</v>
      </c>
      <c r="N6765">
        <f>J6765+L6765</f>
        <v>1.03</v>
      </c>
      <c r="T6765" t="str">
        <v>x</v>
      </c>
      <c r="U6765">
        <f>0.006165*F6765^2</f>
        <v>0.6165</v>
      </c>
      <c r="V6765" t="str">
        <v>x</v>
      </c>
      <c r="W6765">
        <f>IF(D6748&gt;4*G6746,ROUND(MAX(D6748/4,2*G6746)/H6765,0)+1,ROUND(D6748/H6765,0)+1)</f>
        <v>35</v>
      </c>
      <c r="X6765" t="str">
        <v>x</v>
      </c>
      <c r="Y6765">
        <f>D6751</f>
        <v>1</v>
      </c>
      <c r="Z6765" t="str">
        <v>=</v>
      </c>
      <c r="AA6765">
        <f>N6765*U6765*W6765*Y6765</f>
        <v>22.224825000000003</v>
      </c>
    </row>
    <row r="6766">
      <c r="A6766" t="str">
        <f>A6745</f>
        <v>Lantai Atap</v>
      </c>
      <c r="B6766">
        <f>B6745</f>
        <v>18</v>
      </c>
      <c r="C6766" t="str">
        <v>Sengkang Lapangan</v>
      </c>
      <c r="D6766">
        <f>VLOOKUP(D6745,'Detail Balok'!$C$10:$AU$140,36,FALSE)</f>
        <v>0</v>
      </c>
      <c r="E6766" t="str">
        <v>D</v>
      </c>
      <c r="F6766">
        <f>VLOOKUP(D6745,'Detail Balok'!$C$10:$AU$140,38,FALSE)</f>
        <v>10</v>
      </c>
      <c r="G6766" t="str">
        <v>-</v>
      </c>
      <c r="H6766">
        <f>VLOOKUP(D6745,'Detail Balok'!$C$10:$AU$140,40,FALSE)</f>
        <v>200</v>
      </c>
      <c r="J6766">
        <f>(IF(D6766=0,(2*(D6746+G6746))-(F$5*8),IF(D6766=3,(2*(D6746+G6746))-(F$5*8)+(G6746-2*F$5),IF(D6766=4,(2*(D6746+G6746))-(F$5*8)+2*(G6746-2*F$5)))))/1000</f>
        <v>0.88</v>
      </c>
      <c r="K6766" t="str">
        <v>+</v>
      </c>
      <c r="L6766">
        <f>IF(D6766=0,2*MAX(6*F6766,75),(D6766-1)*2*MAX(6*F6766,75))/1000</f>
        <v>0.15</v>
      </c>
      <c r="M6766" t="str">
        <v>=</v>
      </c>
      <c r="N6766">
        <f>J6766+L6766</f>
        <v>1.03</v>
      </c>
      <c r="T6766" t="str">
        <v>x</v>
      </c>
      <c r="U6766">
        <f>0.006165*F6766^2</f>
        <v>0.6165</v>
      </c>
      <c r="V6766" t="str">
        <v>x</v>
      </c>
      <c r="W6766">
        <f>IF(D6748-MAX(D6748/4,2*G6746)*2&gt;0,ROUND((D6748-MAX(D6748/4,2*G6746)*2)/H6766,0),0)</f>
        <v>34</v>
      </c>
      <c r="X6766" t="str">
        <v>x</v>
      </c>
      <c r="Y6766">
        <f>D6751</f>
        <v>1</v>
      </c>
      <c r="Z6766" t="str">
        <v>=</v>
      </c>
      <c r="AA6766">
        <f>N6766*U6766*W6766*Y6766</f>
        <v>21.589830000000003</v>
      </c>
    </row>
    <row r="6767">
      <c r="A6767" t="str">
        <f>A6745</f>
        <v>Lantai Atap</v>
      </c>
      <c r="B6767">
        <f>B6745</f>
        <v>18</v>
      </c>
      <c r="C6767" t="str">
        <v>Sengkang Tumpuan</v>
      </c>
      <c r="D6767">
        <f>VLOOKUP(D6745,'Detail Balok'!$C$10:$AU$140,41,FALSE)</f>
        <v>0</v>
      </c>
      <c r="E6767" t="str">
        <v>D</v>
      </c>
      <c r="F6767">
        <f>VLOOKUP(D6745,'Detail Balok'!$C$10:$AU$140,43,FALSE)</f>
        <v>10</v>
      </c>
      <c r="G6767" t="str">
        <v>-</v>
      </c>
      <c r="H6767">
        <f>VLOOKUP(D6745,'Detail Balok'!$C$10:$AU$140,45,FALSE)</f>
        <v>100</v>
      </c>
      <c r="J6767">
        <f>(IF(D6767=0,(2*(D6746+G6746))-(F$5*8),IF(D6767=3,(2*(D6746+G6746))-(F$5*8)+(G6746-2*F$5),IF(D6767=4,(2*(D6746+G6746))-(F$5*8)+2*(G6746-2*F$5)))))/1000</f>
        <v>0.88</v>
      </c>
      <c r="K6767" t="str">
        <v>+</v>
      </c>
      <c r="L6767">
        <f>IF(D6767=0,2*MAX(6*F6767,75),(D6767-1)*2*MAX(6*F6767,75))/1000</f>
        <v>0.15</v>
      </c>
      <c r="M6767" t="str">
        <v>=</v>
      </c>
      <c r="N6767">
        <f>J6767+L6767</f>
        <v>1.03</v>
      </c>
      <c r="T6767" t="str">
        <v>x</v>
      </c>
      <c r="U6767">
        <f>0.006165*F6767^2</f>
        <v>0.6165</v>
      </c>
      <c r="V6767" t="str">
        <v>x</v>
      </c>
      <c r="W6767">
        <f>IF(D6748&gt;4*G6746,ROUND(MAX(D6748/4,2*G6746)/H6767,0)+1,0)</f>
        <v>35</v>
      </c>
      <c r="X6767" t="str">
        <v>x</v>
      </c>
      <c r="Y6767">
        <f>D6751</f>
        <v>1</v>
      </c>
      <c r="Z6767" t="str">
        <v>=</v>
      </c>
      <c r="AA6767">
        <f>N6767*U6767*W6767*Y6767</f>
        <v>22.224825000000003</v>
      </c>
    </row>
    <row r="6769">
      <c r="A6769" t="str">
        <f>A6745</f>
        <v>Lantai Atap</v>
      </c>
      <c r="B6769">
        <f>B6745</f>
        <v>18</v>
      </c>
      <c r="C6769" t="str">
        <v>Kait Horizontal Tump.</v>
      </c>
      <c r="D6769">
        <f>VLOOKUP(D6745,'Detail Balok'!$C$10:$BJ$140,46,FALSE)</f>
        <v>0</v>
      </c>
      <c r="E6769" t="str">
        <v>D</v>
      </c>
      <c r="F6769">
        <f>VLOOKUP(D6745,'Detail Balok'!$C$10:$BJ$140,48,FALSE)</f>
        <v>0</v>
      </c>
      <c r="G6769" t="str">
        <v>-</v>
      </c>
      <c r="H6769">
        <f>VLOOKUP(D6745,'Detail Balok'!$C$10:$BJ$140,50,FALSE)</f>
        <v>100</v>
      </c>
      <c r="J6769">
        <f>(D6746-2*F$5)/1000</f>
        <v>0.12</v>
      </c>
      <c r="K6769" t="str">
        <v>+</v>
      </c>
      <c r="L6769">
        <f>IF(D6769=0,2*MAX(6*F6769,75),(D6769-1)*2*MAX(6*F6769,75))/1000</f>
        <v>0.15</v>
      </c>
      <c r="M6769" t="str">
        <v>=</v>
      </c>
      <c r="N6769">
        <f>J6769+L6769</f>
        <v>0.27</v>
      </c>
      <c r="T6769" t="str">
        <v>x</v>
      </c>
      <c r="U6769">
        <f>0.006165*F6769^2</f>
        <v>0</v>
      </c>
      <c r="V6769" t="str">
        <v>x</v>
      </c>
      <c r="W6769">
        <f>W6765</f>
        <v>35</v>
      </c>
      <c r="X6769" t="str">
        <v>x</v>
      </c>
      <c r="Y6769">
        <f>D6755</f>
        <v>3</v>
      </c>
      <c r="Z6769" t="str">
        <v>=</v>
      </c>
      <c r="AA6769">
        <f>N6769*U6769*W6769*Y6769</f>
        <v>0</v>
      </c>
    </row>
    <row r="6770">
      <c r="A6770" t="str">
        <f>A6745</f>
        <v>Lantai Atap</v>
      </c>
      <c r="B6770">
        <f>B6745</f>
        <v>18</v>
      </c>
      <c r="C6770" t="str">
        <v>Kait Horizontal Lap.</v>
      </c>
      <c r="D6770">
        <f>VLOOKUP(D6745,'Detail Balok'!$C$10:$BJ$140,51,FALSE)</f>
        <v>0</v>
      </c>
      <c r="E6770" t="str">
        <v>D</v>
      </c>
      <c r="F6770">
        <f>VLOOKUP(D6745,'Detail Balok'!$C$10:$BJ$140,53,FALSE)</f>
        <v>0</v>
      </c>
      <c r="G6770" t="str">
        <v>-</v>
      </c>
      <c r="H6770">
        <f>VLOOKUP(D6745,'Detail Balok'!$C$10:$BJ$140,55,FALSE)</f>
        <v>100</v>
      </c>
      <c r="J6770">
        <f>(D6746-2*F$5)/1000</f>
        <v>0.12</v>
      </c>
      <c r="K6770" t="str">
        <v>+</v>
      </c>
      <c r="L6770">
        <f>IF(D6770=0,2*MAX(6*F6770,75),(D6770-1)*2*MAX(6*F6770,75))/1000</f>
        <v>0.15</v>
      </c>
      <c r="M6770" t="str">
        <v>=</v>
      </c>
      <c r="N6770">
        <f>J6770+L6770</f>
        <v>0.27</v>
      </c>
      <c r="T6770" t="str">
        <v>x</v>
      </c>
      <c r="U6770">
        <f>0.006165*F6770^2</f>
        <v>0</v>
      </c>
      <c r="V6770" t="str">
        <v>x</v>
      </c>
      <c r="W6770">
        <f>W6766</f>
        <v>34</v>
      </c>
      <c r="X6770" t="str">
        <v>x</v>
      </c>
      <c r="Y6770">
        <f>D6755</f>
        <v>3</v>
      </c>
      <c r="Z6770" t="str">
        <v>=</v>
      </c>
      <c r="AA6770">
        <f>N6770*U6770*W6770*Y6770</f>
        <v>0</v>
      </c>
    </row>
    <row r="6771">
      <c r="A6771" t="str">
        <f>A6745</f>
        <v>Lantai Atap</v>
      </c>
      <c r="B6771">
        <f>B6745</f>
        <v>18</v>
      </c>
      <c r="C6771" t="str">
        <v>Kait Horizontal Tump.</v>
      </c>
      <c r="D6771">
        <f>VLOOKUP(D6745,'Detail Balok'!$C$10:$BJ$140,56,FALSE)</f>
        <v>0</v>
      </c>
      <c r="E6771" t="str">
        <v>D</v>
      </c>
      <c r="F6771">
        <f>VLOOKUP(D6745,'Detail Balok'!$C$10:$BJ$140,58,FALSE)</f>
        <v>0</v>
      </c>
      <c r="G6771" t="str">
        <v>-</v>
      </c>
      <c r="H6771">
        <f>VLOOKUP(D6745,'Detail Balok'!$C$10:$BJ$140,60,FALSE)</f>
        <v>100</v>
      </c>
      <c r="J6771">
        <f>(D6746-2*F$5)/1000</f>
        <v>0.12</v>
      </c>
      <c r="K6771" t="str">
        <v>+</v>
      </c>
      <c r="L6771">
        <f>IF(D6771=0,2*MAX(6*F6771,75),(D6771-1)*2*MAX(6*F6771,75))/1000</f>
        <v>0.15</v>
      </c>
      <c r="M6771" t="str">
        <v>=</v>
      </c>
      <c r="N6771">
        <f>J6771+L6771</f>
        <v>0.27</v>
      </c>
      <c r="T6771" t="str">
        <v>x</v>
      </c>
      <c r="U6771">
        <f>0.006165*F6771^2</f>
        <v>0</v>
      </c>
      <c r="V6771" t="str">
        <v>x</v>
      </c>
      <c r="W6771">
        <f>W6767</f>
        <v>35</v>
      </c>
      <c r="X6771" t="str">
        <v>x</v>
      </c>
      <c r="Y6771">
        <f>D6755</f>
        <v>3</v>
      </c>
      <c r="Z6771" t="str">
        <v>=</v>
      </c>
      <c r="AA6771">
        <f>N6771*U6771*W6771*Y6771</f>
        <v>0</v>
      </c>
    </row>
    <row r="6775">
      <c r="A6775" t="str">
        <f>A6745</f>
        <v>Lantai Atap</v>
      </c>
      <c r="B6775">
        <f>B6745+1</f>
        <v>19</v>
      </c>
      <c r="C6775" t="str">
        <f>CONCATENATE(A6775," no. ",B6775)</f>
        <v>Lantai Atap no. 19</v>
      </c>
      <c r="D6775" t="str">
        <f>VLOOKUP(C6775,'Data Panjang Balok'!$C$9:$N$254,2,FALSE)</f>
        <v>B2A4A-1</v>
      </c>
    </row>
    <row r="6776">
      <c r="C6776" t="str">
        <v>Dimensi</v>
      </c>
      <c r="D6776">
        <f>VLOOKUP(D6775,'Detail Balok'!$C$10:$AU$140,2,FALSE)</f>
        <v>250</v>
      </c>
      <c r="F6776" t="str">
        <v>x</v>
      </c>
      <c r="G6776">
        <f>VLOOKUP(D6775,'Detail Balok'!$C$10:$AU$140,3,FALSE)</f>
        <v>450</v>
      </c>
    </row>
    <row r="6777">
      <c r="C6777" t="str">
        <v>Panjang as ke as</v>
      </c>
      <c r="D6777">
        <f>VLOOKUP(C6775,'Data Panjang Balok'!$C$9:$N$254,4,FALSE)</f>
        <v>4685</v>
      </c>
    </row>
    <row r="6778">
      <c r="C6778" t="str">
        <v>Panjang netto</v>
      </c>
      <c r="D6778">
        <f>VLOOKUP(C6775,'Data Panjang Balok'!$C$9:$N$254,7,FALSE)</f>
        <v>4685</v>
      </c>
    </row>
    <row r="6779">
      <c r="C6779" t="str">
        <v>Kolom / balok kiri</v>
      </c>
      <c r="D6779">
        <f>VLOOKUP(C6775,'Data Panjang Balok'!$C$9:$N$254,9,FALSE)</f>
        <v>0</v>
      </c>
    </row>
    <row r="6780">
      <c r="C6780" t="str">
        <v>Kolom / balok kanan</v>
      </c>
      <c r="D6780">
        <f>VLOOKUP(C6775,'Data Panjang Balok'!$C$9:$N$254,10,FALSE)</f>
        <v>0</v>
      </c>
    </row>
    <row r="6781">
      <c r="C6781" t="str">
        <v>Jumlah</v>
      </c>
      <c r="D6781">
        <f>VLOOKUP(C6775,'Data Panjang Balok'!$C$9:$N$254,3,FALSE)</f>
        <v>1</v>
      </c>
    </row>
    <row r="6782">
      <c r="A6782" t="str">
        <f>A6775</f>
        <v>Lantai Atap</v>
      </c>
      <c r="B6782">
        <f>B6775</f>
        <v>19</v>
      </c>
      <c r="C6782" t="str">
        <v>Tul Atas Tumpuan</v>
      </c>
      <c r="D6782">
        <f>VLOOKUP(D6775,'Detail Balok'!$C$10:$AU$140,4,FALSE)</f>
        <v>3</v>
      </c>
      <c r="E6782" t="str">
        <v>D</v>
      </c>
      <c r="F6782">
        <f>VLOOKUP(D6775,'Detail Balok'!$C$10:$AU$140,6,FALSE)</f>
        <v>13</v>
      </c>
      <c r="I6782" t="str">
        <v>(</v>
      </c>
      <c r="J6782">
        <f>+D6777/4/1000</f>
        <v>1.17125</v>
      </c>
      <c r="K6782" t="str">
        <v>+</v>
      </c>
      <c r="L6782">
        <f>MAX(VLOOKUP(F6782,N$6:P$15,3,FALSE)/1000,2/3*D6779/1000)+F$16*F6782/1000</f>
        <v>0.156</v>
      </c>
      <c r="M6782" t="str">
        <v>=</v>
      </c>
      <c r="N6782">
        <f>J6782+L6782</f>
        <v>1.3272499999999998</v>
      </c>
      <c r="O6782" t="str">
        <v>+</v>
      </c>
      <c r="P6782">
        <f>D6782-D6783</f>
        <v>0</v>
      </c>
      <c r="Q6782" t="str">
        <v>x</v>
      </c>
      <c r="R6782">
        <f>IF(P6782&gt;0,$F$18*F6782/1000,0)</f>
        <v>0</v>
      </c>
      <c r="S6782" t="str">
        <v>)</v>
      </c>
      <c r="T6782" t="str">
        <v>x</v>
      </c>
      <c r="U6782">
        <f>0.006165*F6782^2</f>
        <v>1.041885</v>
      </c>
      <c r="X6782" t="str">
        <v>x</v>
      </c>
      <c r="Y6782">
        <f>D6781</f>
        <v>1</v>
      </c>
      <c r="Z6782" t="str">
        <v>=</v>
      </c>
      <c r="AA6782">
        <f>IF(AA6785=0,(D6782*N6782+P6782*R6782)*U6782*Y6782,0)</f>
        <v>0</v>
      </c>
    </row>
    <row r="6783">
      <c r="A6783" t="str">
        <f>A6775</f>
        <v>Lantai Atap</v>
      </c>
      <c r="B6783">
        <f>B6775</f>
        <v>19</v>
      </c>
      <c r="C6783" t="str">
        <v>Tul Atas Lapangan</v>
      </c>
      <c r="D6783">
        <f>VLOOKUP(D6775,'Detail Balok'!$C$10:$AU$140,7,FALSE)</f>
        <v>3</v>
      </c>
      <c r="E6783" t="str">
        <v>D</v>
      </c>
      <c r="F6783">
        <f>VLOOKUP(D6775,'Detail Balok'!$C$10:$AU$140,9,FALSE)</f>
        <v>13</v>
      </c>
      <c r="I6783" t="str">
        <v>(</v>
      </c>
      <c r="J6783">
        <f>+D6777/2/1000</f>
        <v>2.3425</v>
      </c>
      <c r="K6783" t="str">
        <v>+</v>
      </c>
      <c r="M6783" t="str">
        <v>=</v>
      </c>
      <c r="N6783">
        <f>J6783+L6783</f>
        <v>2.3425</v>
      </c>
      <c r="O6783" t="str">
        <v>+</v>
      </c>
      <c r="P6783">
        <f>MAX(D6783-D6782,D6783-D6784)</f>
        <v>0</v>
      </c>
      <c r="Q6783" t="str">
        <v>x</v>
      </c>
      <c r="R6783">
        <f>IF(P6783&gt;0,2*(1-2*$F$19-1/2)*D6778/1000,0)</f>
        <v>0</v>
      </c>
      <c r="S6783" t="str">
        <v>)</v>
      </c>
      <c r="T6783" t="str">
        <v>x</v>
      </c>
      <c r="U6783">
        <f>0.006165*F6783^2</f>
        <v>1.041885</v>
      </c>
      <c r="X6783" t="str">
        <v>x</v>
      </c>
      <c r="Y6783">
        <f>D6781</f>
        <v>1</v>
      </c>
      <c r="Z6783" t="str">
        <v>=</v>
      </c>
      <c r="AA6783">
        <f>IF(AA6785=0,(D6783*N6783+P6783*R6783)*U6783*Y6783,0)</f>
        <v>0</v>
      </c>
    </row>
    <row r="6784">
      <c r="A6784" t="str">
        <f>A6775</f>
        <v>Lantai Atap</v>
      </c>
      <c r="B6784">
        <f>B6775</f>
        <v>19</v>
      </c>
      <c r="C6784" t="str">
        <v>Tul Atas Tumpuan</v>
      </c>
      <c r="D6784">
        <f>VLOOKUP(D6775,'Detail Balok'!$C$10:$AU$140,10,FALSE)</f>
        <v>3</v>
      </c>
      <c r="E6784" t="str">
        <v>D</v>
      </c>
      <c r="F6784">
        <f>VLOOKUP(D6775,'Detail Balok'!$C$10:$AU$140,12,FALSE)</f>
        <v>13</v>
      </c>
      <c r="I6784" t="str">
        <v>(</v>
      </c>
      <c r="J6784">
        <f>+D6777/4/1000</f>
        <v>1.17125</v>
      </c>
      <c r="K6784" t="str">
        <v>+</v>
      </c>
      <c r="L6784">
        <f>MAX(VLOOKUP(F6784,N$6:P$15,3,FALSE)/1000,2/3*D6779/1000)+F$16*F6784/1000</f>
        <v>0.156</v>
      </c>
      <c r="M6784" t="str">
        <v>=</v>
      </c>
      <c r="N6784">
        <f>J6784+L6784</f>
        <v>1.3272499999999998</v>
      </c>
      <c r="O6784" t="str">
        <v>+</v>
      </c>
      <c r="P6784">
        <f>D6784-D6783</f>
        <v>0</v>
      </c>
      <c r="Q6784" t="str">
        <v>x</v>
      </c>
      <c r="R6784">
        <f>IF(P6784&gt;0,$F$18*F6784/1000,0)</f>
        <v>0</v>
      </c>
      <c r="S6784" t="str">
        <v>)</v>
      </c>
      <c r="T6784" t="str">
        <v>x</v>
      </c>
      <c r="U6784">
        <f>0.006165*F6784^2</f>
        <v>1.041885</v>
      </c>
      <c r="X6784" t="str">
        <v>x</v>
      </c>
      <c r="Y6784">
        <f>D6781</f>
        <v>1</v>
      </c>
      <c r="Z6784" t="str">
        <v>=</v>
      </c>
      <c r="AA6784">
        <f>IF(AA6785=0,(D6784*N6784+P6784*R6784)*U6784*Y6784,0)</f>
        <v>0</v>
      </c>
    </row>
    <row r="6785">
      <c r="A6785" t="str">
        <f>A6775</f>
        <v>Lantai Atap</v>
      </c>
      <c r="B6785">
        <f>B6775</f>
        <v>19</v>
      </c>
      <c r="D6785">
        <f>IF(AND(D6782=D6783,D6783=D6784,D6782=D6784),D6782,0)</f>
        <v>3</v>
      </c>
      <c r="E6785" t="str">
        <v>D</v>
      </c>
      <c r="F6785">
        <f>IF(AND(F6782=F6783,F6782=F6784,F6783=F6784),F6782,0)</f>
        <v>13</v>
      </c>
      <c r="L6785" t="str">
        <v>Total panjang per balok</v>
      </c>
      <c r="M6785" t="str">
        <v>=</v>
      </c>
      <c r="N6785">
        <f>IF(AND(D6782=D6783,D6782=D6784,D6783=D6784,F6782=F6783,F6782=F6784,F6783=F6784),SUM(N6782:N6784),0)</f>
        <v>4.997</v>
      </c>
      <c r="O6785" t="str">
        <v>+</v>
      </c>
      <c r="P6785">
        <f>IF(N6785&gt;12,ROUNDDOWN(N6785/12,0),0)</f>
        <v>0</v>
      </c>
      <c r="Q6785" t="str">
        <v>x</v>
      </c>
      <c r="R6785">
        <f>IF(P6785&gt;0,MAX(VLOOKUP(F6785,$D$6:$G$15,3,FALSE),600),0)/1000</f>
        <v>0</v>
      </c>
      <c r="T6785" t="str">
        <v>x</v>
      </c>
      <c r="U6785">
        <f>U6784</f>
        <v>1.041885</v>
      </c>
      <c r="V6785" t="str">
        <v>x</v>
      </c>
      <c r="W6785">
        <f>D6785</f>
        <v>3</v>
      </c>
      <c r="X6785" t="str">
        <v>x</v>
      </c>
      <c r="Y6785">
        <f>Y6784</f>
        <v>1</v>
      </c>
      <c r="Z6785" t="str">
        <v>=</v>
      </c>
      <c r="AA6785">
        <f>(N6785+P6785*R6785/1000)*U6785*W6785*Y6785</f>
        <v>15.618898034999999</v>
      </c>
    </row>
    <row r="6787">
      <c r="A6787" t="str">
        <f>A6775</f>
        <v>Lantai Atap</v>
      </c>
      <c r="B6787">
        <f>B6775</f>
        <v>19</v>
      </c>
      <c r="C6787" t="str">
        <v>Tul Peminggang</v>
      </c>
      <c r="D6787">
        <f>VLOOKUP(D6775,'Detail Balok'!$C$10:$AU$140,13,FALSE)</f>
        <v>0</v>
      </c>
      <c r="E6787" t="str">
        <v>D</v>
      </c>
      <c r="F6787">
        <f>VLOOKUP(D6775,'Detail Balok'!$C$10:$AU$140,15,FALSE)</f>
        <v>8</v>
      </c>
      <c r="J6787">
        <f>+D6777/1000</f>
        <v>4.685</v>
      </c>
      <c r="K6787" t="str">
        <v>+</v>
      </c>
      <c r="L6787">
        <f>2*$F$16*F6787/1000</f>
        <v>0.192</v>
      </c>
      <c r="M6787" t="str">
        <v>=</v>
      </c>
      <c r="N6787">
        <f>J6787+L6787</f>
        <v>4.877</v>
      </c>
      <c r="O6787" t="str">
        <v>+</v>
      </c>
      <c r="P6787">
        <f>IF(N6787&gt;12,ROUNDDOWN(N6787/12,0),0)</f>
        <v>0</v>
      </c>
      <c r="Q6787" t="str">
        <v>x</v>
      </c>
      <c r="R6787">
        <f>IF(P6787&gt;0,MAX(VLOOKUP(F6787,$D$6:$G$15,3,FALSE),600),0)/1000</f>
        <v>0</v>
      </c>
      <c r="T6787" t="str">
        <v>x</v>
      </c>
      <c r="U6787">
        <f>0.006165*F6787^2</f>
        <v>0.39456</v>
      </c>
      <c r="V6787" t="str">
        <v>x</v>
      </c>
      <c r="W6787">
        <f>+D6787</f>
        <v>0</v>
      </c>
      <c r="X6787" t="str">
        <v>x</v>
      </c>
      <c r="Y6787">
        <f>D6781</f>
        <v>1</v>
      </c>
      <c r="Z6787" t="str">
        <v>=</v>
      </c>
      <c r="AA6787">
        <f>(N6787+P6787*R6787/1000)*U6787*W6787*Y6787</f>
        <v>0</v>
      </c>
    </row>
    <row r="6790">
      <c r="A6790" t="str">
        <f>A6775</f>
        <v>Lantai Atap</v>
      </c>
      <c r="B6790">
        <f>B6775</f>
        <v>19</v>
      </c>
      <c r="C6790" t="str">
        <v>Tul Bawah Tumpuan</v>
      </c>
      <c r="D6790">
        <f>VLOOKUP(D6775,'Detail Balok'!$C$10:$AU$140,22,FALSE)</f>
        <v>3</v>
      </c>
      <c r="E6790" t="str">
        <v>D</v>
      </c>
      <c r="F6790">
        <f>VLOOKUP(D6775,'Detail Balok'!$C$10:$AU$140,24,FALSE)</f>
        <v>13</v>
      </c>
      <c r="I6790" t="str">
        <v>(</v>
      </c>
      <c r="J6790">
        <f>+J6782</f>
        <v>1.17125</v>
      </c>
      <c r="K6790" t="str">
        <v>+</v>
      </c>
      <c r="L6790">
        <f>MAX(VLOOKUP(F6790,N$6:P$15,3,FALSE)/1000,2/3*D6780/1000)+F$16*F6790/1000</f>
        <v>0.156</v>
      </c>
      <c r="M6790" t="str">
        <v>=</v>
      </c>
      <c r="N6790">
        <f>J6790+L6790</f>
        <v>1.3272499999999998</v>
      </c>
      <c r="O6790" t="str">
        <v>+</v>
      </c>
      <c r="P6790">
        <f>D6790-D6791</f>
        <v>0</v>
      </c>
      <c r="Q6790" t="str">
        <v>x</v>
      </c>
      <c r="R6790">
        <f>IF(P6790&gt;0,$F$18*F6790/1000,0)</f>
        <v>0</v>
      </c>
      <c r="S6790" t="str">
        <v>)</v>
      </c>
      <c r="T6790" t="str">
        <v>x</v>
      </c>
      <c r="U6790">
        <f>0.006165*F6790^2</f>
        <v>1.041885</v>
      </c>
      <c r="X6790" t="str">
        <v>x</v>
      </c>
      <c r="Y6790">
        <f>D6781</f>
        <v>1</v>
      </c>
      <c r="Z6790" t="str">
        <v>=</v>
      </c>
      <c r="AA6790">
        <f>IF(AA6793=0,(D6790*N6790+P6790*R6790)*U6790*Y6790,0)</f>
        <v>0</v>
      </c>
    </row>
    <row r="6791">
      <c r="A6791" t="str">
        <f>A6775</f>
        <v>Lantai Atap</v>
      </c>
      <c r="B6791">
        <f>B6775</f>
        <v>19</v>
      </c>
      <c r="C6791" t="str">
        <v>Tul Bawah Lapangan</v>
      </c>
      <c r="D6791">
        <f>VLOOKUP(D6775,'Detail Balok'!$C$10:$AU$140,25,FALSE)</f>
        <v>3</v>
      </c>
      <c r="E6791" t="str">
        <v>D</v>
      </c>
      <c r="F6791">
        <f>VLOOKUP(D6775,'Detail Balok'!$C$10:$AU$140,27,FALSE)</f>
        <v>13</v>
      </c>
      <c r="I6791" t="str">
        <v>(</v>
      </c>
      <c r="J6791">
        <f>+J6783</f>
        <v>2.3425</v>
      </c>
      <c r="K6791" t="str">
        <v>+</v>
      </c>
      <c r="M6791" t="str">
        <v>=</v>
      </c>
      <c r="N6791">
        <f>J6791+L6791</f>
        <v>2.3425</v>
      </c>
      <c r="O6791" t="str">
        <v>+</v>
      </c>
      <c r="P6791">
        <f>MAX(D6791-D6790,D6791-D6792)</f>
        <v>0</v>
      </c>
      <c r="Q6791" t="str">
        <v>x</v>
      </c>
      <c r="R6791">
        <f>IF(P6791&gt;0,2*(1-2*$F$19-1/2)*D6778/1000,0)</f>
        <v>0</v>
      </c>
      <c r="S6791" t="str">
        <v>)</v>
      </c>
      <c r="T6791" t="str">
        <v>x</v>
      </c>
      <c r="U6791">
        <f>0.006165*F6791^2</f>
        <v>1.041885</v>
      </c>
      <c r="X6791" t="str">
        <v>x</v>
      </c>
      <c r="Y6791">
        <f>D6781</f>
        <v>1</v>
      </c>
      <c r="Z6791" t="str">
        <v>=</v>
      </c>
      <c r="AA6791">
        <f>IF(AA6793=0,(D6791*N6791+P6791*R6791)*U6791*Y6791,0)</f>
        <v>0</v>
      </c>
    </row>
    <row r="6792">
      <c r="A6792" t="str">
        <f>A6775</f>
        <v>Lantai Atap</v>
      </c>
      <c r="B6792">
        <f>B6775</f>
        <v>19</v>
      </c>
      <c r="C6792" t="str">
        <v>Tul Bawah Tumpuan</v>
      </c>
      <c r="D6792">
        <f>VLOOKUP(D6775,'Detail Balok'!$C$10:$AU$140,28,FALSE)</f>
        <v>3</v>
      </c>
      <c r="E6792" t="str">
        <v>D</v>
      </c>
      <c r="F6792">
        <f>VLOOKUP(D6775,'Detail Balok'!$C$10:$AU$140,30,FALSE)</f>
        <v>13</v>
      </c>
      <c r="I6792" t="str">
        <v>(</v>
      </c>
      <c r="J6792">
        <f>+J6784</f>
        <v>1.17125</v>
      </c>
      <c r="K6792" t="str">
        <v>+</v>
      </c>
      <c r="L6792">
        <f>MAX(VLOOKUP(F6792,N$6:P$15,3,FALSE)/1000,2/3*D6780/1000)+F$16*F6792/1000</f>
        <v>0.156</v>
      </c>
      <c r="M6792" t="str">
        <v>=</v>
      </c>
      <c r="N6792">
        <f>J6792+L6792</f>
        <v>1.3272499999999998</v>
      </c>
      <c r="O6792" t="str">
        <v>+</v>
      </c>
      <c r="P6792">
        <f>D6792-D6791</f>
        <v>0</v>
      </c>
      <c r="Q6792" t="str">
        <v>x</v>
      </c>
      <c r="R6792">
        <f>IF(P6792&gt;0,$F$18*F6792/1000,0)</f>
        <v>0</v>
      </c>
      <c r="S6792" t="str">
        <v>)</v>
      </c>
      <c r="T6792" t="str">
        <v>x</v>
      </c>
      <c r="U6792">
        <f>0.006165*F6792^2</f>
        <v>1.041885</v>
      </c>
      <c r="X6792" t="str">
        <v>x</v>
      </c>
      <c r="Y6792">
        <f>D6781</f>
        <v>1</v>
      </c>
      <c r="Z6792" t="str">
        <v>=</v>
      </c>
      <c r="AA6792">
        <f>IF(AA6793=0,(D6792*N6792+P6792*R6792)*U6792*Y6792,0)</f>
        <v>0</v>
      </c>
    </row>
    <row r="6793">
      <c r="A6793" t="str">
        <f>A6775</f>
        <v>Lantai Atap</v>
      </c>
      <c r="B6793">
        <f>B6775</f>
        <v>19</v>
      </c>
      <c r="D6793">
        <f>IF(AND(D6790=D6791,D6791=D6792,D6790=D6792),D6790,0)</f>
        <v>3</v>
      </c>
      <c r="E6793" t="str">
        <v>D</v>
      </c>
      <c r="F6793">
        <f>IF(AND(F6790=F6791,F6790=F6792,F6791=F6792),F6790,0)</f>
        <v>13</v>
      </c>
      <c r="L6793" t="str">
        <v>Total panjang per balok</v>
      </c>
      <c r="M6793" t="str">
        <v>=</v>
      </c>
      <c r="N6793">
        <f>IF(AND(D6790=D6791,D6790=D6792,D6791=D6792,F6790=F6791,F6790=F6792,F6791=F6792),SUM(N6790:N6792),0)</f>
        <v>4.997</v>
      </c>
      <c r="O6793" t="str">
        <v>+</v>
      </c>
      <c r="P6793">
        <f>IF(N6793&gt;12,ROUNDDOWN(N6793/12,0),0)</f>
        <v>0</v>
      </c>
      <c r="Q6793" t="str">
        <v>x</v>
      </c>
      <c r="R6793">
        <f>IF(P6793&gt;0,MAX(VLOOKUP(F6793,$D$6:$G$15,3,FALSE),600),0)/1000</f>
        <v>0</v>
      </c>
      <c r="T6793" t="str">
        <v>x</v>
      </c>
      <c r="U6793">
        <f>U6792</f>
        <v>1.041885</v>
      </c>
      <c r="V6793" t="str">
        <v>x</v>
      </c>
      <c r="W6793">
        <f>D6793</f>
        <v>3</v>
      </c>
      <c r="X6793" t="str">
        <v>x</v>
      </c>
      <c r="Y6793">
        <f>Y6792</f>
        <v>1</v>
      </c>
      <c r="Z6793" t="str">
        <v>=</v>
      </c>
      <c r="AA6793">
        <f>(N6793+P6793*R6793/1000)*U6793*W6793*Y6793</f>
        <v>15.618898034999999</v>
      </c>
    </row>
    <row r="6795">
      <c r="A6795" t="str">
        <f>A6775</f>
        <v>Lantai Atap</v>
      </c>
      <c r="B6795">
        <f>B6775</f>
        <v>19</v>
      </c>
      <c r="C6795" t="str">
        <v>Sengkang Tumpuan</v>
      </c>
      <c r="D6795">
        <f>VLOOKUP(D6775,'Detail Balok'!$C$10:$AU$140,31,FALSE)</f>
        <v>0</v>
      </c>
      <c r="E6795" t="str">
        <v>D</v>
      </c>
      <c r="F6795">
        <f>VLOOKUP(D6775,'Detail Balok'!$C$10:$AU$140,33,FALSE)</f>
        <v>10</v>
      </c>
      <c r="G6795" t="str">
        <v>-</v>
      </c>
      <c r="H6795">
        <f>VLOOKUP(D6775,'Detail Balok'!$C$10:$AU$140,35,FALSE)</f>
        <v>100</v>
      </c>
      <c r="J6795">
        <f>(IF(D6795=0,(2*(D6776+G6776))-(F$5*8),IF(D6795=3,(2*(D6776+G6776))-(F$5*8)+(G6776-2*F$5),IF(D6795=4,(2*(D6776+G6776))-(F$5*8)+2*(G6776-2*F$5)))))/1000</f>
        <v>1.08</v>
      </c>
      <c r="K6795" t="str">
        <v>+</v>
      </c>
      <c r="L6795">
        <f>IF(D6795=0,2*MAX(6*F6795,75),(D6795-1)*2*MAX(6*F6795,75))/1000</f>
        <v>0.15</v>
      </c>
      <c r="M6795" t="str">
        <v>=</v>
      </c>
      <c r="N6795">
        <f>J6795+L6795</f>
        <v>1.23</v>
      </c>
      <c r="T6795" t="str">
        <v>x</v>
      </c>
      <c r="U6795">
        <f>0.006165*F6795^2</f>
        <v>0.6165</v>
      </c>
      <c r="V6795" t="str">
        <v>x</v>
      </c>
      <c r="W6795">
        <f>IF(D6778&gt;4*G6776,ROUND(MAX(D6778/4,2*G6776)/H6795,0)+1,ROUND(D6778/H6795,0)+1)</f>
        <v>13</v>
      </c>
      <c r="X6795" t="str">
        <v>x</v>
      </c>
      <c r="Y6795">
        <f>D6781</f>
        <v>1</v>
      </c>
      <c r="Z6795" t="str">
        <v>=</v>
      </c>
      <c r="AA6795">
        <f>N6795*U6795*W6795*Y6795</f>
        <v>9.857835000000001</v>
      </c>
    </row>
    <row r="6796">
      <c r="A6796" t="str">
        <f>A6775</f>
        <v>Lantai Atap</v>
      </c>
      <c r="B6796">
        <f>B6775</f>
        <v>19</v>
      </c>
      <c r="C6796" t="str">
        <v>Sengkang Lapangan</v>
      </c>
      <c r="D6796">
        <f>VLOOKUP(D6775,'Detail Balok'!$C$10:$AU$140,36,FALSE)</f>
        <v>0</v>
      </c>
      <c r="E6796" t="str">
        <v>D</v>
      </c>
      <c r="F6796">
        <f>VLOOKUP(D6775,'Detail Balok'!$C$10:$AU$140,38,FALSE)</f>
        <v>10</v>
      </c>
      <c r="G6796" t="str">
        <v>-</v>
      </c>
      <c r="H6796">
        <f>VLOOKUP(D6775,'Detail Balok'!$C$10:$AU$140,40,FALSE)</f>
        <v>200</v>
      </c>
      <c r="J6796">
        <f>(IF(D6796=0,(2*(D6776+G6776))-(F$5*8),IF(D6796=3,(2*(D6776+G6776))-(F$5*8)+(G6776-2*F$5),IF(D6796=4,(2*(D6776+G6776))-(F$5*8)+2*(G6776-2*F$5)))))/1000</f>
        <v>1.08</v>
      </c>
      <c r="K6796" t="str">
        <v>+</v>
      </c>
      <c r="L6796">
        <f>IF(D6796=0,2*MAX(6*F6796,75),(D6796-1)*2*MAX(6*F6796,75))/1000</f>
        <v>0.15</v>
      </c>
      <c r="M6796" t="str">
        <v>=</v>
      </c>
      <c r="N6796">
        <f>J6796+L6796</f>
        <v>1.23</v>
      </c>
      <c r="T6796" t="str">
        <v>x</v>
      </c>
      <c r="U6796">
        <f>0.006165*F6796^2</f>
        <v>0.6165</v>
      </c>
      <c r="V6796" t="str">
        <v>x</v>
      </c>
      <c r="W6796">
        <f>IF(D6778-MAX(D6778/4,2*G6776)*2&gt;0,ROUND((D6778-MAX(D6778/4,2*G6776)*2)/H6796,0),0)</f>
        <v>12</v>
      </c>
      <c r="X6796" t="str">
        <v>x</v>
      </c>
      <c r="Y6796">
        <f>D6781</f>
        <v>1</v>
      </c>
      <c r="Z6796" t="str">
        <v>=</v>
      </c>
      <c r="AA6796">
        <f>N6796*U6796*W6796*Y6796</f>
        <v>9.099540000000001</v>
      </c>
    </row>
    <row r="6797">
      <c r="A6797" t="str">
        <f>A6775</f>
        <v>Lantai Atap</v>
      </c>
      <c r="B6797">
        <f>B6775</f>
        <v>19</v>
      </c>
      <c r="C6797" t="str">
        <v>Sengkang Tumpuan</v>
      </c>
      <c r="D6797">
        <f>VLOOKUP(D6775,'Detail Balok'!$C$10:$AU$140,41,FALSE)</f>
        <v>0</v>
      </c>
      <c r="E6797" t="str">
        <v>D</v>
      </c>
      <c r="F6797">
        <f>VLOOKUP(D6775,'Detail Balok'!$C$10:$AU$140,43,FALSE)</f>
        <v>10</v>
      </c>
      <c r="G6797" t="str">
        <v>-</v>
      </c>
      <c r="H6797">
        <f>VLOOKUP(D6775,'Detail Balok'!$C$10:$AU$140,45,FALSE)</f>
        <v>100</v>
      </c>
      <c r="J6797">
        <f>(IF(D6797=0,(2*(D6776+G6776))-(F$5*8),IF(D6797=3,(2*(D6776+G6776))-(F$5*8)+(G6776-2*F$5),IF(D6797=4,(2*(D6776+G6776))-(F$5*8)+2*(G6776-2*F$5)))))/1000</f>
        <v>1.08</v>
      </c>
      <c r="K6797" t="str">
        <v>+</v>
      </c>
      <c r="L6797">
        <f>IF(D6797=0,2*MAX(6*F6797,75),(D6797-1)*2*MAX(6*F6797,75))/1000</f>
        <v>0.15</v>
      </c>
      <c r="M6797" t="str">
        <v>=</v>
      </c>
      <c r="N6797">
        <f>J6797+L6797</f>
        <v>1.23</v>
      </c>
      <c r="T6797" t="str">
        <v>x</v>
      </c>
      <c r="U6797">
        <f>0.006165*F6797^2</f>
        <v>0.6165</v>
      </c>
      <c r="V6797" t="str">
        <v>x</v>
      </c>
      <c r="W6797">
        <f>IF(D6778&gt;4*G6776,ROUND(MAX(D6778/4,2*G6776)/H6797,0)+1,0)</f>
        <v>13</v>
      </c>
      <c r="X6797" t="str">
        <v>x</v>
      </c>
      <c r="Y6797">
        <f>D6781</f>
        <v>1</v>
      </c>
      <c r="Z6797" t="str">
        <v>=</v>
      </c>
      <c r="AA6797">
        <f>N6797*U6797*W6797*Y6797</f>
        <v>9.857835000000001</v>
      </c>
    </row>
    <row r="6799">
      <c r="A6799" t="str">
        <f>A6775</f>
        <v>Lantai Atap</v>
      </c>
      <c r="B6799">
        <f>B6775</f>
        <v>19</v>
      </c>
      <c r="C6799" t="str">
        <v>Kait Horizontal Tump.</v>
      </c>
      <c r="D6799">
        <f>VLOOKUP(D6775,'Detail Balok'!$C$10:$BJ$140,46,FALSE)</f>
        <v>0</v>
      </c>
      <c r="E6799" t="str">
        <v>D</v>
      </c>
      <c r="F6799">
        <f>VLOOKUP(D6775,'Detail Balok'!$C$10:$BJ$140,48,FALSE)</f>
        <v>0</v>
      </c>
      <c r="G6799" t="str">
        <v>-</v>
      </c>
      <c r="H6799">
        <f>VLOOKUP(D6775,'Detail Balok'!$C$10:$BJ$140,50,FALSE)</f>
        <v>100</v>
      </c>
      <c r="J6799">
        <f>(D6776-2*F$5)/1000</f>
        <v>0.17</v>
      </c>
      <c r="K6799" t="str">
        <v>+</v>
      </c>
      <c r="L6799">
        <f>IF(D6799=0,2*MAX(6*F6799,75),(D6799-1)*2*MAX(6*F6799,75))/1000</f>
        <v>0.15</v>
      </c>
      <c r="M6799" t="str">
        <v>=</v>
      </c>
      <c r="N6799">
        <f>J6799+L6799</f>
        <v>0.32</v>
      </c>
      <c r="T6799" t="str">
        <v>x</v>
      </c>
      <c r="U6799">
        <f>0.006165*F6799^2</f>
        <v>0</v>
      </c>
      <c r="V6799" t="str">
        <v>x</v>
      </c>
      <c r="W6799">
        <f>W6795</f>
        <v>13</v>
      </c>
      <c r="X6799" t="str">
        <v>x</v>
      </c>
      <c r="Y6799">
        <f>D6785</f>
        <v>3</v>
      </c>
      <c r="Z6799" t="str">
        <v>=</v>
      </c>
      <c r="AA6799">
        <f>N6799*U6799*W6799*Y6799</f>
        <v>0</v>
      </c>
    </row>
    <row r="6800">
      <c r="A6800" t="str">
        <f>A6775</f>
        <v>Lantai Atap</v>
      </c>
      <c r="B6800">
        <f>B6775</f>
        <v>19</v>
      </c>
      <c r="C6800" t="str">
        <v>Kait Horizontal Lap.</v>
      </c>
      <c r="D6800">
        <f>VLOOKUP(D6775,'Detail Balok'!$C$10:$BJ$140,51,FALSE)</f>
        <v>0</v>
      </c>
      <c r="E6800" t="str">
        <v>D</v>
      </c>
      <c r="F6800">
        <f>VLOOKUP(D6775,'Detail Balok'!$C$10:$BJ$140,53,FALSE)</f>
        <v>0</v>
      </c>
      <c r="G6800" t="str">
        <v>-</v>
      </c>
      <c r="H6800">
        <f>VLOOKUP(D6775,'Detail Balok'!$C$10:$BJ$140,55,FALSE)</f>
        <v>100</v>
      </c>
      <c r="J6800">
        <f>(D6776-2*F$5)/1000</f>
        <v>0.17</v>
      </c>
      <c r="K6800" t="str">
        <v>+</v>
      </c>
      <c r="L6800">
        <f>IF(D6800=0,2*MAX(6*F6800,75),(D6800-1)*2*MAX(6*F6800,75))/1000</f>
        <v>0.15</v>
      </c>
      <c r="M6800" t="str">
        <v>=</v>
      </c>
      <c r="N6800">
        <f>J6800+L6800</f>
        <v>0.32</v>
      </c>
      <c r="T6800" t="str">
        <v>x</v>
      </c>
      <c r="U6800">
        <f>0.006165*F6800^2</f>
        <v>0</v>
      </c>
      <c r="V6800" t="str">
        <v>x</v>
      </c>
      <c r="W6800">
        <f>W6796</f>
        <v>12</v>
      </c>
      <c r="X6800" t="str">
        <v>x</v>
      </c>
      <c r="Y6800">
        <f>D6785</f>
        <v>3</v>
      </c>
      <c r="Z6800" t="str">
        <v>=</v>
      </c>
      <c r="AA6800">
        <f>N6800*U6800*W6800*Y6800</f>
        <v>0</v>
      </c>
    </row>
    <row r="6801">
      <c r="A6801" t="str">
        <f>A6775</f>
        <v>Lantai Atap</v>
      </c>
      <c r="B6801">
        <f>B6775</f>
        <v>19</v>
      </c>
      <c r="C6801" t="str">
        <v>Kait Horizontal Tump.</v>
      </c>
      <c r="D6801">
        <f>VLOOKUP(D6775,'Detail Balok'!$C$10:$BJ$140,56,FALSE)</f>
        <v>0</v>
      </c>
      <c r="E6801" t="str">
        <v>D</v>
      </c>
      <c r="F6801">
        <f>VLOOKUP(D6775,'Detail Balok'!$C$10:$BJ$140,58,FALSE)</f>
        <v>0</v>
      </c>
      <c r="G6801" t="str">
        <v>-</v>
      </c>
      <c r="H6801">
        <f>VLOOKUP(D6775,'Detail Balok'!$C$10:$BJ$140,60,FALSE)</f>
        <v>100</v>
      </c>
      <c r="J6801">
        <f>(D6776-2*F$5)/1000</f>
        <v>0.17</v>
      </c>
      <c r="K6801" t="str">
        <v>+</v>
      </c>
      <c r="L6801">
        <f>IF(D6801=0,2*MAX(6*F6801,75),(D6801-1)*2*MAX(6*F6801,75))/1000</f>
        <v>0.15</v>
      </c>
      <c r="M6801" t="str">
        <v>=</v>
      </c>
      <c r="N6801">
        <f>J6801+L6801</f>
        <v>0.32</v>
      </c>
      <c r="T6801" t="str">
        <v>x</v>
      </c>
      <c r="U6801">
        <f>0.006165*F6801^2</f>
        <v>0</v>
      </c>
      <c r="V6801" t="str">
        <v>x</v>
      </c>
      <c r="W6801">
        <f>W6797</f>
        <v>13</v>
      </c>
      <c r="X6801" t="str">
        <v>x</v>
      </c>
      <c r="Y6801">
        <f>D6785</f>
        <v>3</v>
      </c>
      <c r="Z6801" t="str">
        <v>=</v>
      </c>
      <c r="AA6801">
        <f>N6801*U6801*W6801*Y6801</f>
        <v>0</v>
      </c>
    </row>
    <row r="6805">
      <c r="A6805" t="str">
        <f>A6775</f>
        <v>Lantai Atap</v>
      </c>
      <c r="B6805">
        <f>B6775+1</f>
        <v>20</v>
      </c>
      <c r="C6805" t="str">
        <f>CONCATENATE(A6805," no. ",B6805)</f>
        <v>Lantai Atap no. 20</v>
      </c>
      <c r="D6805" t="str">
        <f>VLOOKUP(C6805,'Data Panjang Balok'!$C$9:$N$254,2,FALSE)</f>
        <v>B24-1</v>
      </c>
    </row>
    <row r="6806">
      <c r="C6806" t="str">
        <v>Dimensi</v>
      </c>
      <c r="D6806">
        <f>VLOOKUP(D6805,'Detail Balok'!$C$10:$AU$140,2,FALSE)</f>
        <v>200</v>
      </c>
      <c r="F6806" t="str">
        <v>x</v>
      </c>
      <c r="G6806">
        <f>VLOOKUP(D6805,'Detail Balok'!$C$10:$AU$140,3,FALSE)</f>
        <v>400</v>
      </c>
    </row>
    <row r="6807">
      <c r="C6807" t="str">
        <v>Panjang as ke as</v>
      </c>
      <c r="D6807">
        <f>VLOOKUP(C6805,'Data Panjang Balok'!$C$9:$N$254,4,FALSE)</f>
        <v>9610</v>
      </c>
    </row>
    <row r="6808">
      <c r="C6808" t="str">
        <v>Panjang netto</v>
      </c>
      <c r="D6808">
        <f>VLOOKUP(C6805,'Data Panjang Balok'!$C$9:$N$254,7,FALSE)</f>
        <v>9610</v>
      </c>
    </row>
    <row r="6809">
      <c r="C6809" t="str">
        <v>Kolom / balok kiri</v>
      </c>
      <c r="D6809">
        <f>VLOOKUP(C6805,'Data Panjang Balok'!$C$9:$N$254,9,FALSE)</f>
        <v>0</v>
      </c>
    </row>
    <row r="6810">
      <c r="C6810" t="str">
        <v>Kolom / balok kanan</v>
      </c>
      <c r="D6810">
        <f>VLOOKUP(C6805,'Data Panjang Balok'!$C$9:$N$254,10,FALSE)</f>
        <v>0</v>
      </c>
    </row>
    <row r="6811">
      <c r="C6811" t="str">
        <v>Jumlah</v>
      </c>
      <c r="D6811">
        <f>VLOOKUP(C6805,'Data Panjang Balok'!$C$9:$N$254,3,FALSE)</f>
        <v>1</v>
      </c>
    </row>
    <row r="6812">
      <c r="A6812" t="str">
        <f>A6805</f>
        <v>Lantai Atap</v>
      </c>
      <c r="B6812">
        <f>B6805</f>
        <v>20</v>
      </c>
      <c r="C6812" t="str">
        <v>Tul Atas Tumpuan</v>
      </c>
      <c r="D6812">
        <f>VLOOKUP(D6805,'Detail Balok'!$C$10:$AU$140,4,FALSE)</f>
        <v>3</v>
      </c>
      <c r="E6812" t="str">
        <v>D</v>
      </c>
      <c r="F6812">
        <f>VLOOKUP(D6805,'Detail Balok'!$C$10:$AU$140,6,FALSE)</f>
        <v>13</v>
      </c>
      <c r="I6812" t="str">
        <v>(</v>
      </c>
      <c r="J6812">
        <f>+D6807/4/1000</f>
        <v>2.4025</v>
      </c>
      <c r="K6812" t="str">
        <v>+</v>
      </c>
      <c r="L6812">
        <f>MAX(VLOOKUP(F6812,N$6:P$15,3,FALSE)/1000,2/3*D6809/1000)+F$16*F6812/1000</f>
        <v>0.156</v>
      </c>
      <c r="M6812" t="str">
        <v>=</v>
      </c>
      <c r="N6812">
        <f>J6812+L6812</f>
        <v>2.5585</v>
      </c>
      <c r="O6812" t="str">
        <v>+</v>
      </c>
      <c r="P6812">
        <f>D6812-D6813</f>
        <v>0</v>
      </c>
      <c r="Q6812" t="str">
        <v>x</v>
      </c>
      <c r="R6812">
        <f>IF(P6812&gt;0,$F$18*F6812/1000,0)</f>
        <v>0</v>
      </c>
      <c r="S6812" t="str">
        <v>)</v>
      </c>
      <c r="T6812" t="str">
        <v>x</v>
      </c>
      <c r="U6812">
        <f>0.006165*F6812^2</f>
        <v>1.041885</v>
      </c>
      <c r="X6812" t="str">
        <v>x</v>
      </c>
      <c r="Y6812">
        <f>D6811</f>
        <v>1</v>
      </c>
      <c r="Z6812" t="str">
        <v>=</v>
      </c>
      <c r="AA6812">
        <f>IF(AA6815=0,(D6812*N6812+P6812*R6812)*U6812*Y6812,0)</f>
        <v>0</v>
      </c>
    </row>
    <row r="6813">
      <c r="A6813" t="str">
        <f>A6805</f>
        <v>Lantai Atap</v>
      </c>
      <c r="B6813">
        <f>B6805</f>
        <v>20</v>
      </c>
      <c r="C6813" t="str">
        <v>Tul Atas Lapangan</v>
      </c>
      <c r="D6813">
        <f>VLOOKUP(D6805,'Detail Balok'!$C$10:$AU$140,7,FALSE)</f>
        <v>3</v>
      </c>
      <c r="E6813" t="str">
        <v>D</v>
      </c>
      <c r="F6813">
        <f>VLOOKUP(D6805,'Detail Balok'!$C$10:$AU$140,9,FALSE)</f>
        <v>13</v>
      </c>
      <c r="I6813" t="str">
        <v>(</v>
      </c>
      <c r="J6813">
        <f>+D6807/2/1000</f>
        <v>4.805</v>
      </c>
      <c r="K6813" t="str">
        <v>+</v>
      </c>
      <c r="M6813" t="str">
        <v>=</v>
      </c>
      <c r="N6813">
        <f>J6813+L6813</f>
        <v>4.805</v>
      </c>
      <c r="O6813" t="str">
        <v>+</v>
      </c>
      <c r="P6813">
        <f>MAX(D6813-D6812,D6813-D6814)</f>
        <v>0</v>
      </c>
      <c r="Q6813" t="str">
        <v>x</v>
      </c>
      <c r="R6813">
        <f>IF(P6813&gt;0,2*(1-2*$F$19-1/2)*D6808/1000,0)</f>
        <v>0</v>
      </c>
      <c r="S6813" t="str">
        <v>)</v>
      </c>
      <c r="T6813" t="str">
        <v>x</v>
      </c>
      <c r="U6813">
        <f>0.006165*F6813^2</f>
        <v>1.041885</v>
      </c>
      <c r="X6813" t="str">
        <v>x</v>
      </c>
      <c r="Y6813">
        <f>D6811</f>
        <v>1</v>
      </c>
      <c r="Z6813" t="str">
        <v>=</v>
      </c>
      <c r="AA6813">
        <f>IF(AA6815=0,(D6813*N6813+P6813*R6813)*U6813*Y6813,0)</f>
        <v>0</v>
      </c>
    </row>
    <row r="6814">
      <c r="A6814" t="str">
        <f>A6805</f>
        <v>Lantai Atap</v>
      </c>
      <c r="B6814">
        <f>B6805</f>
        <v>20</v>
      </c>
      <c r="C6814" t="str">
        <v>Tul Atas Tumpuan</v>
      </c>
      <c r="D6814">
        <f>VLOOKUP(D6805,'Detail Balok'!$C$10:$AU$140,10,FALSE)</f>
        <v>3</v>
      </c>
      <c r="E6814" t="str">
        <v>D</v>
      </c>
      <c r="F6814">
        <f>VLOOKUP(D6805,'Detail Balok'!$C$10:$AU$140,12,FALSE)</f>
        <v>13</v>
      </c>
      <c r="I6814" t="str">
        <v>(</v>
      </c>
      <c r="J6814">
        <f>+D6807/4/1000</f>
        <v>2.4025</v>
      </c>
      <c r="K6814" t="str">
        <v>+</v>
      </c>
      <c r="L6814">
        <f>MAX(VLOOKUP(F6814,N$6:P$15,3,FALSE)/1000,2/3*D6809/1000)+F$16*F6814/1000</f>
        <v>0.156</v>
      </c>
      <c r="M6814" t="str">
        <v>=</v>
      </c>
      <c r="N6814">
        <f>J6814+L6814</f>
        <v>2.5585</v>
      </c>
      <c r="O6814" t="str">
        <v>+</v>
      </c>
      <c r="P6814">
        <f>D6814-D6813</f>
        <v>0</v>
      </c>
      <c r="Q6814" t="str">
        <v>x</v>
      </c>
      <c r="R6814">
        <f>IF(P6814&gt;0,$F$18*F6814/1000,0)</f>
        <v>0</v>
      </c>
      <c r="S6814" t="str">
        <v>)</v>
      </c>
      <c r="T6814" t="str">
        <v>x</v>
      </c>
      <c r="U6814">
        <f>0.006165*F6814^2</f>
        <v>1.041885</v>
      </c>
      <c r="X6814" t="str">
        <v>x</v>
      </c>
      <c r="Y6814">
        <f>D6811</f>
        <v>1</v>
      </c>
      <c r="Z6814" t="str">
        <v>=</v>
      </c>
      <c r="AA6814">
        <f>IF(AA6815=0,(D6814*N6814+P6814*R6814)*U6814*Y6814,0)</f>
        <v>0</v>
      </c>
    </row>
    <row r="6815">
      <c r="A6815" t="str">
        <f>A6805</f>
        <v>Lantai Atap</v>
      </c>
      <c r="B6815">
        <f>B6805</f>
        <v>20</v>
      </c>
      <c r="D6815">
        <f>IF(AND(D6812=D6813,D6813=D6814,D6812=D6814),D6812,0)</f>
        <v>3</v>
      </c>
      <c r="E6815" t="str">
        <v>D</v>
      </c>
      <c r="F6815">
        <f>IF(AND(F6812=F6813,F6812=F6814,F6813=F6814),F6812,0)</f>
        <v>13</v>
      </c>
      <c r="L6815" t="str">
        <v>Total panjang per balok</v>
      </c>
      <c r="M6815" t="str">
        <v>=</v>
      </c>
      <c r="N6815">
        <f>IF(AND(D6812=D6813,D6812=D6814,D6813=D6814,F6812=F6813,F6812=F6814,F6813=F6814),SUM(N6812:N6814),0)</f>
        <v>9.922</v>
      </c>
      <c r="O6815" t="str">
        <v>+</v>
      </c>
      <c r="P6815">
        <f>IF(N6815&gt;12,ROUNDDOWN(N6815/12,0),0)</f>
        <v>0</v>
      </c>
      <c r="Q6815" t="str">
        <v>x</v>
      </c>
      <c r="R6815">
        <f>IF(P6815&gt;0,MAX(VLOOKUP(F6815,$D$6:$G$15,3,FALSE),600),0)/1000</f>
        <v>0</v>
      </c>
      <c r="T6815" t="str">
        <v>x</v>
      </c>
      <c r="U6815">
        <f>U6814</f>
        <v>1.041885</v>
      </c>
      <c r="V6815" t="str">
        <v>x</v>
      </c>
      <c r="W6815">
        <f>D6815</f>
        <v>3</v>
      </c>
      <c r="X6815" t="str">
        <v>x</v>
      </c>
      <c r="Y6815">
        <f>Y6814</f>
        <v>1</v>
      </c>
      <c r="Z6815" t="str">
        <v>=</v>
      </c>
      <c r="AA6815">
        <f>(N6815+P6815*R6815/1000)*U6815*W6815*Y6815</f>
        <v>31.01274891</v>
      </c>
    </row>
    <row r="6817">
      <c r="A6817" t="str">
        <f>A6805</f>
        <v>Lantai Atap</v>
      </c>
      <c r="B6817">
        <f>B6805</f>
        <v>20</v>
      </c>
      <c r="C6817" t="str">
        <v>Tul Peminggang</v>
      </c>
      <c r="D6817">
        <f>VLOOKUP(D6805,'Detail Balok'!$C$10:$AU$140,13,FALSE)</f>
        <v>0</v>
      </c>
      <c r="E6817" t="str">
        <v>D</v>
      </c>
      <c r="F6817">
        <f>VLOOKUP(D6805,'Detail Balok'!$C$10:$AU$140,15,FALSE)</f>
        <v>8</v>
      </c>
      <c r="J6817">
        <f>+D6807/1000</f>
        <v>9.61</v>
      </c>
      <c r="K6817" t="str">
        <v>+</v>
      </c>
      <c r="L6817">
        <f>2*$F$16*F6817/1000</f>
        <v>0.192</v>
      </c>
      <c r="M6817" t="str">
        <v>=</v>
      </c>
      <c r="N6817">
        <f>J6817+L6817</f>
        <v>9.802</v>
      </c>
      <c r="O6817" t="str">
        <v>+</v>
      </c>
      <c r="P6817">
        <f>IF(N6817&gt;12,ROUNDDOWN(N6817/12,0),0)</f>
        <v>0</v>
      </c>
      <c r="Q6817" t="str">
        <v>x</v>
      </c>
      <c r="R6817">
        <f>IF(P6817&gt;0,MAX(VLOOKUP(F6817,$D$6:$G$15,3,FALSE),600),0)/1000</f>
        <v>0</v>
      </c>
      <c r="T6817" t="str">
        <v>x</v>
      </c>
      <c r="U6817">
        <f>0.006165*F6817^2</f>
        <v>0.39456</v>
      </c>
      <c r="V6817" t="str">
        <v>x</v>
      </c>
      <c r="W6817">
        <f>+D6817</f>
        <v>0</v>
      </c>
      <c r="X6817" t="str">
        <v>x</v>
      </c>
      <c r="Y6817">
        <f>D6811</f>
        <v>1</v>
      </c>
      <c r="Z6817" t="str">
        <v>=</v>
      </c>
      <c r="AA6817">
        <f>(N6817+P6817*R6817/1000)*U6817*W6817*Y6817</f>
        <v>0</v>
      </c>
    </row>
    <row r="6820">
      <c r="A6820" t="str">
        <f>A6805</f>
        <v>Lantai Atap</v>
      </c>
      <c r="B6820">
        <f>B6805</f>
        <v>20</v>
      </c>
      <c r="C6820" t="str">
        <v>Tul Bawah Tumpuan</v>
      </c>
      <c r="D6820">
        <f>VLOOKUP(D6805,'Detail Balok'!$C$10:$AU$140,22,FALSE)</f>
        <v>3</v>
      </c>
      <c r="E6820" t="str">
        <v>D</v>
      </c>
      <c r="F6820">
        <f>VLOOKUP(D6805,'Detail Balok'!$C$10:$AU$140,24,FALSE)</f>
        <v>13</v>
      </c>
      <c r="I6820" t="str">
        <v>(</v>
      </c>
      <c r="J6820">
        <f>+J6812</f>
        <v>2.4025</v>
      </c>
      <c r="K6820" t="str">
        <v>+</v>
      </c>
      <c r="L6820">
        <f>MAX(VLOOKUP(F6820,N$6:P$15,3,FALSE)/1000,2/3*D6810/1000)+F$16*F6820/1000</f>
        <v>0.156</v>
      </c>
      <c r="M6820" t="str">
        <v>=</v>
      </c>
      <c r="N6820">
        <f>J6820+L6820</f>
        <v>2.5585</v>
      </c>
      <c r="O6820" t="str">
        <v>+</v>
      </c>
      <c r="P6820">
        <f>D6820-D6821</f>
        <v>0</v>
      </c>
      <c r="Q6820" t="str">
        <v>x</v>
      </c>
      <c r="R6820">
        <f>IF(P6820&gt;0,$F$18*F6820/1000,0)</f>
        <v>0</v>
      </c>
      <c r="S6820" t="str">
        <v>)</v>
      </c>
      <c r="T6820" t="str">
        <v>x</v>
      </c>
      <c r="U6820">
        <f>0.006165*F6820^2</f>
        <v>1.041885</v>
      </c>
      <c r="X6820" t="str">
        <v>x</v>
      </c>
      <c r="Y6820">
        <f>D6811</f>
        <v>1</v>
      </c>
      <c r="Z6820" t="str">
        <v>=</v>
      </c>
      <c r="AA6820">
        <f>IF(AA6823=0,(D6820*N6820+P6820*R6820)*U6820*Y6820,0)</f>
        <v>0</v>
      </c>
    </row>
    <row r="6821">
      <c r="A6821" t="str">
        <f>A6805</f>
        <v>Lantai Atap</v>
      </c>
      <c r="B6821">
        <f>B6805</f>
        <v>20</v>
      </c>
      <c r="C6821" t="str">
        <v>Tul Bawah Lapangan</v>
      </c>
      <c r="D6821">
        <f>VLOOKUP(D6805,'Detail Balok'!$C$10:$AU$140,25,FALSE)</f>
        <v>3</v>
      </c>
      <c r="E6821" t="str">
        <v>D</v>
      </c>
      <c r="F6821">
        <f>VLOOKUP(D6805,'Detail Balok'!$C$10:$AU$140,27,FALSE)</f>
        <v>13</v>
      </c>
      <c r="I6821" t="str">
        <v>(</v>
      </c>
      <c r="J6821">
        <f>+J6813</f>
        <v>4.805</v>
      </c>
      <c r="K6821" t="str">
        <v>+</v>
      </c>
      <c r="M6821" t="str">
        <v>=</v>
      </c>
      <c r="N6821">
        <f>J6821+L6821</f>
        <v>4.805</v>
      </c>
      <c r="O6821" t="str">
        <v>+</v>
      </c>
      <c r="P6821">
        <f>MAX(D6821-D6820,D6821-D6822)</f>
        <v>0</v>
      </c>
      <c r="Q6821" t="str">
        <v>x</v>
      </c>
      <c r="R6821">
        <f>IF(P6821&gt;0,2*(1-2*$F$19-1/2)*D6808/1000,0)</f>
        <v>0</v>
      </c>
      <c r="S6821" t="str">
        <v>)</v>
      </c>
      <c r="T6821" t="str">
        <v>x</v>
      </c>
      <c r="U6821">
        <f>0.006165*F6821^2</f>
        <v>1.041885</v>
      </c>
      <c r="X6821" t="str">
        <v>x</v>
      </c>
      <c r="Y6821">
        <f>D6811</f>
        <v>1</v>
      </c>
      <c r="Z6821" t="str">
        <v>=</v>
      </c>
      <c r="AA6821">
        <f>IF(AA6823=0,(D6821*N6821+P6821*R6821)*U6821*Y6821,0)</f>
        <v>0</v>
      </c>
    </row>
    <row r="6822">
      <c r="A6822" t="str">
        <f>A6805</f>
        <v>Lantai Atap</v>
      </c>
      <c r="B6822">
        <f>B6805</f>
        <v>20</v>
      </c>
      <c r="C6822" t="str">
        <v>Tul Bawah Tumpuan</v>
      </c>
      <c r="D6822">
        <f>VLOOKUP(D6805,'Detail Balok'!$C$10:$AU$140,28,FALSE)</f>
        <v>3</v>
      </c>
      <c r="E6822" t="str">
        <v>D</v>
      </c>
      <c r="F6822">
        <f>VLOOKUP(D6805,'Detail Balok'!$C$10:$AU$140,30,FALSE)</f>
        <v>13</v>
      </c>
      <c r="I6822" t="str">
        <v>(</v>
      </c>
      <c r="J6822">
        <f>+J6814</f>
        <v>2.4025</v>
      </c>
      <c r="K6822" t="str">
        <v>+</v>
      </c>
      <c r="L6822">
        <f>MAX(VLOOKUP(F6822,N$6:P$15,3,FALSE)/1000,2/3*D6810/1000)+F$16*F6822/1000</f>
        <v>0.156</v>
      </c>
      <c r="M6822" t="str">
        <v>=</v>
      </c>
      <c r="N6822">
        <f>J6822+L6822</f>
        <v>2.5585</v>
      </c>
      <c r="O6822" t="str">
        <v>+</v>
      </c>
      <c r="P6822">
        <f>D6822-D6821</f>
        <v>0</v>
      </c>
      <c r="Q6822" t="str">
        <v>x</v>
      </c>
      <c r="R6822">
        <f>IF(P6822&gt;0,$F$18*F6822/1000,0)</f>
        <v>0</v>
      </c>
      <c r="S6822" t="str">
        <v>)</v>
      </c>
      <c r="T6822" t="str">
        <v>x</v>
      </c>
      <c r="U6822">
        <f>0.006165*F6822^2</f>
        <v>1.041885</v>
      </c>
      <c r="X6822" t="str">
        <v>x</v>
      </c>
      <c r="Y6822">
        <f>D6811</f>
        <v>1</v>
      </c>
      <c r="Z6822" t="str">
        <v>=</v>
      </c>
      <c r="AA6822">
        <f>IF(AA6823=0,(D6822*N6822+P6822*R6822)*U6822*Y6822,0)</f>
        <v>0</v>
      </c>
    </row>
    <row r="6823">
      <c r="A6823" t="str">
        <f>A6805</f>
        <v>Lantai Atap</v>
      </c>
      <c r="B6823">
        <f>B6805</f>
        <v>20</v>
      </c>
      <c r="D6823">
        <f>IF(AND(D6820=D6821,D6821=D6822,D6820=D6822),D6820,0)</f>
        <v>3</v>
      </c>
      <c r="E6823" t="str">
        <v>D</v>
      </c>
      <c r="F6823">
        <f>IF(AND(F6820=F6821,F6820=F6822,F6821=F6822),F6820,0)</f>
        <v>13</v>
      </c>
      <c r="L6823" t="str">
        <v>Total panjang per balok</v>
      </c>
      <c r="M6823" t="str">
        <v>=</v>
      </c>
      <c r="N6823">
        <f>IF(AND(D6820=D6821,D6820=D6822,D6821=D6822,F6820=F6821,F6820=F6822,F6821=F6822),SUM(N6820:N6822),0)</f>
        <v>9.922</v>
      </c>
      <c r="O6823" t="str">
        <v>+</v>
      </c>
      <c r="P6823">
        <f>IF(N6823&gt;12,ROUNDDOWN(N6823/12,0),0)</f>
        <v>0</v>
      </c>
      <c r="Q6823" t="str">
        <v>x</v>
      </c>
      <c r="R6823">
        <f>IF(P6823&gt;0,MAX(VLOOKUP(F6823,$D$6:$G$15,3,FALSE),600),0)/1000</f>
        <v>0</v>
      </c>
      <c r="T6823" t="str">
        <v>x</v>
      </c>
      <c r="U6823">
        <f>U6822</f>
        <v>1.041885</v>
      </c>
      <c r="V6823" t="str">
        <v>x</v>
      </c>
      <c r="W6823">
        <f>D6823</f>
        <v>3</v>
      </c>
      <c r="X6823" t="str">
        <v>x</v>
      </c>
      <c r="Y6823">
        <f>Y6822</f>
        <v>1</v>
      </c>
      <c r="Z6823" t="str">
        <v>=</v>
      </c>
      <c r="AA6823">
        <f>(N6823+P6823*R6823/1000)*U6823*W6823*Y6823</f>
        <v>31.01274891</v>
      </c>
    </row>
    <row r="6825">
      <c r="A6825" t="str">
        <f>A6805</f>
        <v>Lantai Atap</v>
      </c>
      <c r="B6825">
        <f>B6805</f>
        <v>20</v>
      </c>
      <c r="C6825" t="str">
        <v>Sengkang Tumpuan</v>
      </c>
      <c r="D6825">
        <f>VLOOKUP(D6805,'Detail Balok'!$C$10:$AU$140,31,FALSE)</f>
        <v>0</v>
      </c>
      <c r="E6825" t="str">
        <v>D</v>
      </c>
      <c r="F6825">
        <f>VLOOKUP(D6805,'Detail Balok'!$C$10:$AU$140,33,FALSE)</f>
        <v>10</v>
      </c>
      <c r="G6825" t="str">
        <v>-</v>
      </c>
      <c r="H6825">
        <f>VLOOKUP(D6805,'Detail Balok'!$C$10:$AU$140,35,FALSE)</f>
        <v>100</v>
      </c>
      <c r="J6825">
        <f>(IF(D6825=0,(2*(D6806+G6806))-(F$5*8),IF(D6825=3,(2*(D6806+G6806))-(F$5*8)+(G6806-2*F$5),IF(D6825=4,(2*(D6806+G6806))-(F$5*8)+2*(G6806-2*F$5)))))/1000</f>
        <v>0.88</v>
      </c>
      <c r="K6825" t="str">
        <v>+</v>
      </c>
      <c r="L6825">
        <f>IF(D6825=0,2*MAX(6*F6825,75),(D6825-1)*2*MAX(6*F6825,75))/1000</f>
        <v>0.15</v>
      </c>
      <c r="M6825" t="str">
        <v>=</v>
      </c>
      <c r="N6825">
        <f>J6825+L6825</f>
        <v>1.03</v>
      </c>
      <c r="T6825" t="str">
        <v>x</v>
      </c>
      <c r="U6825">
        <f>0.006165*F6825^2</f>
        <v>0.6165</v>
      </c>
      <c r="V6825" t="str">
        <v>x</v>
      </c>
      <c r="W6825">
        <f>IF(D6808&gt;4*G6806,ROUND(MAX(D6808/4,2*G6806)/H6825,0)+1,ROUND(D6808/H6825,0)+1)</f>
        <v>25</v>
      </c>
      <c r="X6825" t="str">
        <v>x</v>
      </c>
      <c r="Y6825">
        <f>D6811</f>
        <v>1</v>
      </c>
      <c r="Z6825" t="str">
        <v>=</v>
      </c>
      <c r="AA6825">
        <f>N6825*U6825*W6825*Y6825</f>
        <v>15.874875000000003</v>
      </c>
    </row>
    <row r="6826">
      <c r="A6826" t="str">
        <f>A6805</f>
        <v>Lantai Atap</v>
      </c>
      <c r="B6826">
        <f>B6805</f>
        <v>20</v>
      </c>
      <c r="C6826" t="str">
        <v>Sengkang Lapangan</v>
      </c>
      <c r="D6826">
        <f>VLOOKUP(D6805,'Detail Balok'!$C$10:$AU$140,36,FALSE)</f>
        <v>0</v>
      </c>
      <c r="E6826" t="str">
        <v>D</v>
      </c>
      <c r="F6826">
        <f>VLOOKUP(D6805,'Detail Balok'!$C$10:$AU$140,38,FALSE)</f>
        <v>10</v>
      </c>
      <c r="G6826" t="str">
        <v>-</v>
      </c>
      <c r="H6826">
        <f>VLOOKUP(D6805,'Detail Balok'!$C$10:$AU$140,40,FALSE)</f>
        <v>200</v>
      </c>
      <c r="J6826">
        <f>(IF(D6826=0,(2*(D6806+G6806))-(F$5*8),IF(D6826=3,(2*(D6806+G6806))-(F$5*8)+(G6806-2*F$5),IF(D6826=4,(2*(D6806+G6806))-(F$5*8)+2*(G6806-2*F$5)))))/1000</f>
        <v>0.88</v>
      </c>
      <c r="K6826" t="str">
        <v>+</v>
      </c>
      <c r="L6826">
        <f>IF(D6826=0,2*MAX(6*F6826,75),(D6826-1)*2*MAX(6*F6826,75))/1000</f>
        <v>0.15</v>
      </c>
      <c r="M6826" t="str">
        <v>=</v>
      </c>
      <c r="N6826">
        <f>J6826+L6826</f>
        <v>1.03</v>
      </c>
      <c r="T6826" t="str">
        <v>x</v>
      </c>
      <c r="U6826">
        <f>0.006165*F6826^2</f>
        <v>0.6165</v>
      </c>
      <c r="V6826" t="str">
        <v>x</v>
      </c>
      <c r="W6826">
        <f>IF(D6808-MAX(D6808/4,2*G6806)*2&gt;0,ROUND((D6808-MAX(D6808/4,2*G6806)*2)/H6826,0),0)</f>
        <v>24</v>
      </c>
      <c r="X6826" t="str">
        <v>x</v>
      </c>
      <c r="Y6826">
        <f>D6811</f>
        <v>1</v>
      </c>
      <c r="Z6826" t="str">
        <v>=</v>
      </c>
      <c r="AA6826">
        <f>N6826*U6826*W6826*Y6826</f>
        <v>15.239880000000003</v>
      </c>
    </row>
    <row r="6827">
      <c r="A6827" t="str">
        <f>A6805</f>
        <v>Lantai Atap</v>
      </c>
      <c r="B6827">
        <f>B6805</f>
        <v>20</v>
      </c>
      <c r="C6827" t="str">
        <v>Sengkang Tumpuan</v>
      </c>
      <c r="D6827">
        <f>VLOOKUP(D6805,'Detail Balok'!$C$10:$AU$140,41,FALSE)</f>
        <v>0</v>
      </c>
      <c r="E6827" t="str">
        <v>D</v>
      </c>
      <c r="F6827">
        <f>VLOOKUP(D6805,'Detail Balok'!$C$10:$AU$140,43,FALSE)</f>
        <v>10</v>
      </c>
      <c r="G6827" t="str">
        <v>-</v>
      </c>
      <c r="H6827">
        <f>VLOOKUP(D6805,'Detail Balok'!$C$10:$AU$140,45,FALSE)</f>
        <v>100</v>
      </c>
      <c r="J6827">
        <f>(IF(D6827=0,(2*(D6806+G6806))-(F$5*8),IF(D6827=3,(2*(D6806+G6806))-(F$5*8)+(G6806-2*F$5),IF(D6827=4,(2*(D6806+G6806))-(F$5*8)+2*(G6806-2*F$5)))))/1000</f>
        <v>0.88</v>
      </c>
      <c r="K6827" t="str">
        <v>+</v>
      </c>
      <c r="L6827">
        <f>IF(D6827=0,2*MAX(6*F6827,75),(D6827-1)*2*MAX(6*F6827,75))/1000</f>
        <v>0.15</v>
      </c>
      <c r="M6827" t="str">
        <v>=</v>
      </c>
      <c r="N6827">
        <f>J6827+L6827</f>
        <v>1.03</v>
      </c>
      <c r="T6827" t="str">
        <v>x</v>
      </c>
      <c r="U6827">
        <f>0.006165*F6827^2</f>
        <v>0.6165</v>
      </c>
      <c r="V6827" t="str">
        <v>x</v>
      </c>
      <c r="W6827">
        <f>IF(D6808&gt;4*G6806,ROUND(MAX(D6808/4,2*G6806)/H6827,0)+1,0)</f>
        <v>25</v>
      </c>
      <c r="X6827" t="str">
        <v>x</v>
      </c>
      <c r="Y6827">
        <f>D6811</f>
        <v>1</v>
      </c>
      <c r="Z6827" t="str">
        <v>=</v>
      </c>
      <c r="AA6827">
        <f>N6827*U6827*W6827*Y6827</f>
        <v>15.874875000000003</v>
      </c>
    </row>
    <row r="6829">
      <c r="A6829" t="str">
        <f>A6805</f>
        <v>Lantai Atap</v>
      </c>
      <c r="B6829">
        <f>B6805</f>
        <v>20</v>
      </c>
      <c r="C6829" t="str">
        <v>Kait Horizontal Tump.</v>
      </c>
      <c r="D6829">
        <f>VLOOKUP(D6805,'Detail Balok'!$C$10:$BJ$140,46,FALSE)</f>
        <v>0</v>
      </c>
      <c r="E6829" t="str">
        <v>D</v>
      </c>
      <c r="F6829">
        <f>VLOOKUP(D6805,'Detail Balok'!$C$10:$BJ$140,48,FALSE)</f>
        <v>0</v>
      </c>
      <c r="G6829" t="str">
        <v>-</v>
      </c>
      <c r="H6829">
        <f>VLOOKUP(D6805,'Detail Balok'!$C$10:$BJ$140,50,FALSE)</f>
        <v>100</v>
      </c>
      <c r="J6829">
        <f>(D6806-2*F$5)/1000</f>
        <v>0.12</v>
      </c>
      <c r="K6829" t="str">
        <v>+</v>
      </c>
      <c r="L6829">
        <f>IF(D6829=0,2*MAX(6*F6829,75),(D6829-1)*2*MAX(6*F6829,75))/1000</f>
        <v>0.15</v>
      </c>
      <c r="M6829" t="str">
        <v>=</v>
      </c>
      <c r="N6829">
        <f>J6829+L6829</f>
        <v>0.27</v>
      </c>
      <c r="T6829" t="str">
        <v>x</v>
      </c>
      <c r="U6829">
        <f>0.006165*F6829^2</f>
        <v>0</v>
      </c>
      <c r="V6829" t="str">
        <v>x</v>
      </c>
      <c r="W6829">
        <f>W6825</f>
        <v>25</v>
      </c>
      <c r="X6829" t="str">
        <v>x</v>
      </c>
      <c r="Y6829">
        <f>D6815</f>
        <v>3</v>
      </c>
      <c r="Z6829" t="str">
        <v>=</v>
      </c>
      <c r="AA6829">
        <f>N6829*U6829*W6829*Y6829</f>
        <v>0</v>
      </c>
    </row>
    <row r="6830">
      <c r="A6830" t="str">
        <f>A6805</f>
        <v>Lantai Atap</v>
      </c>
      <c r="B6830">
        <f>B6805</f>
        <v>20</v>
      </c>
      <c r="C6830" t="str">
        <v>Kait Horizontal Lap.</v>
      </c>
      <c r="D6830">
        <f>VLOOKUP(D6805,'Detail Balok'!$C$10:$BJ$140,51,FALSE)</f>
        <v>0</v>
      </c>
      <c r="E6830" t="str">
        <v>D</v>
      </c>
      <c r="F6830">
        <f>VLOOKUP(D6805,'Detail Balok'!$C$10:$BJ$140,53,FALSE)</f>
        <v>0</v>
      </c>
      <c r="G6830" t="str">
        <v>-</v>
      </c>
      <c r="H6830">
        <f>VLOOKUP(D6805,'Detail Balok'!$C$10:$BJ$140,55,FALSE)</f>
        <v>100</v>
      </c>
      <c r="J6830">
        <f>(D6806-2*F$5)/1000</f>
        <v>0.12</v>
      </c>
      <c r="K6830" t="str">
        <v>+</v>
      </c>
      <c r="L6830">
        <f>IF(D6830=0,2*MAX(6*F6830,75),(D6830-1)*2*MAX(6*F6830,75))/1000</f>
        <v>0.15</v>
      </c>
      <c r="M6830" t="str">
        <v>=</v>
      </c>
      <c r="N6830">
        <f>J6830+L6830</f>
        <v>0.27</v>
      </c>
      <c r="T6830" t="str">
        <v>x</v>
      </c>
      <c r="U6830">
        <f>0.006165*F6830^2</f>
        <v>0</v>
      </c>
      <c r="V6830" t="str">
        <v>x</v>
      </c>
      <c r="W6830">
        <f>W6826</f>
        <v>24</v>
      </c>
      <c r="X6830" t="str">
        <v>x</v>
      </c>
      <c r="Y6830">
        <f>D6815</f>
        <v>3</v>
      </c>
      <c r="Z6830" t="str">
        <v>=</v>
      </c>
      <c r="AA6830">
        <f>N6830*U6830*W6830*Y6830</f>
        <v>0</v>
      </c>
    </row>
    <row r="6831">
      <c r="A6831" t="str">
        <f>A6805</f>
        <v>Lantai Atap</v>
      </c>
      <c r="B6831">
        <f>B6805</f>
        <v>20</v>
      </c>
      <c r="C6831" t="str">
        <v>Kait Horizontal Tump.</v>
      </c>
      <c r="D6831">
        <f>VLOOKUP(D6805,'Detail Balok'!$C$10:$BJ$140,56,FALSE)</f>
        <v>0</v>
      </c>
      <c r="E6831" t="str">
        <v>D</v>
      </c>
      <c r="F6831">
        <f>VLOOKUP(D6805,'Detail Balok'!$C$10:$BJ$140,58,FALSE)</f>
        <v>0</v>
      </c>
      <c r="G6831" t="str">
        <v>-</v>
      </c>
      <c r="H6831">
        <f>VLOOKUP(D6805,'Detail Balok'!$C$10:$BJ$140,60,FALSE)</f>
        <v>100</v>
      </c>
      <c r="J6831">
        <f>(D6806-2*F$5)/1000</f>
        <v>0.12</v>
      </c>
      <c r="K6831" t="str">
        <v>+</v>
      </c>
      <c r="L6831">
        <f>IF(D6831=0,2*MAX(6*F6831,75),(D6831-1)*2*MAX(6*F6831,75))/1000</f>
        <v>0.15</v>
      </c>
      <c r="M6831" t="str">
        <v>=</v>
      </c>
      <c r="N6831">
        <f>J6831+L6831</f>
        <v>0.27</v>
      </c>
      <c r="T6831" t="str">
        <v>x</v>
      </c>
      <c r="U6831">
        <f>0.006165*F6831^2</f>
        <v>0</v>
      </c>
      <c r="V6831" t="str">
        <v>x</v>
      </c>
      <c r="W6831">
        <f>W6827</f>
        <v>25</v>
      </c>
      <c r="X6831" t="str">
        <v>x</v>
      </c>
      <c r="Y6831">
        <f>D6815</f>
        <v>3</v>
      </c>
      <c r="Z6831" t="str">
        <v>=</v>
      </c>
      <c r="AA6831">
        <f>N6831*U6831*W6831*Y6831</f>
        <v>0</v>
      </c>
    </row>
    <row r="6835">
      <c r="A6835" t="str">
        <f>A6805</f>
        <v>Lantai Atap</v>
      </c>
      <c r="B6835">
        <f>B6805+1</f>
        <v>21</v>
      </c>
      <c r="C6835" t="str">
        <f>CONCATENATE(A6835," no. ",B6835)</f>
        <v>Lantai Atap no. 21</v>
      </c>
      <c r="D6835" t="str">
        <f>VLOOKUP(C6835,'Data Panjang Balok'!$C$9:$N$254,2,FALSE)</f>
        <v>B2A4A-1</v>
      </c>
    </row>
    <row r="6836">
      <c r="C6836" t="str">
        <v>Dimensi</v>
      </c>
      <c r="D6836">
        <f>VLOOKUP(D6835,'Detail Balok'!$C$10:$AU$140,2,FALSE)</f>
        <v>250</v>
      </c>
      <c r="F6836" t="str">
        <v>x</v>
      </c>
      <c r="G6836">
        <f>VLOOKUP(D6835,'Detail Balok'!$C$10:$AU$140,3,FALSE)</f>
        <v>450</v>
      </c>
    </row>
    <row r="6837">
      <c r="C6837" t="str">
        <v>Panjang as ke as</v>
      </c>
      <c r="D6837">
        <f>VLOOKUP(C6835,'Data Panjang Balok'!$C$9:$N$254,4,FALSE)</f>
        <v>5140</v>
      </c>
    </row>
    <row r="6838">
      <c r="C6838" t="str">
        <v>Panjang netto</v>
      </c>
      <c r="D6838">
        <f>VLOOKUP(C6835,'Data Panjang Balok'!$C$9:$N$254,7,FALSE)</f>
        <v>5140</v>
      </c>
    </row>
    <row r="6839">
      <c r="C6839" t="str">
        <v>Kolom / balok kiri</v>
      </c>
      <c r="D6839">
        <f>VLOOKUP(C6835,'Data Panjang Balok'!$C$9:$N$254,9,FALSE)</f>
        <v>0</v>
      </c>
    </row>
    <row r="6840">
      <c r="C6840" t="str">
        <v>Kolom / balok kanan</v>
      </c>
      <c r="D6840">
        <f>VLOOKUP(C6835,'Data Panjang Balok'!$C$9:$N$254,10,FALSE)</f>
        <v>0</v>
      </c>
    </row>
    <row r="6841">
      <c r="C6841" t="str">
        <v>Jumlah</v>
      </c>
      <c r="D6841">
        <f>VLOOKUP(C6835,'Data Panjang Balok'!$C$9:$N$254,3,FALSE)</f>
        <v>1</v>
      </c>
    </row>
    <row r="6842">
      <c r="A6842" t="str">
        <f>A6835</f>
        <v>Lantai Atap</v>
      </c>
      <c r="B6842">
        <f>B6835</f>
        <v>21</v>
      </c>
      <c r="C6842" t="str">
        <v>Tul Atas Tumpuan</v>
      </c>
      <c r="D6842">
        <f>VLOOKUP(D6835,'Detail Balok'!$C$10:$AU$140,4,FALSE)</f>
        <v>3</v>
      </c>
      <c r="E6842" t="str">
        <v>D</v>
      </c>
      <c r="F6842">
        <f>VLOOKUP(D6835,'Detail Balok'!$C$10:$AU$140,6,FALSE)</f>
        <v>13</v>
      </c>
      <c r="I6842" t="str">
        <v>(</v>
      </c>
      <c r="J6842">
        <f>+D6837/4/1000</f>
        <v>1.285</v>
      </c>
      <c r="K6842" t="str">
        <v>+</v>
      </c>
      <c r="L6842">
        <f>MAX(VLOOKUP(F6842,N$6:P$15,3,FALSE)/1000,2/3*D6839/1000)+F$16*F6842/1000</f>
        <v>0.156</v>
      </c>
      <c r="M6842" t="str">
        <v>=</v>
      </c>
      <c r="N6842">
        <f>J6842+L6842</f>
        <v>1.4409999999999998</v>
      </c>
      <c r="O6842" t="str">
        <v>+</v>
      </c>
      <c r="P6842">
        <f>D6842-D6843</f>
        <v>0</v>
      </c>
      <c r="Q6842" t="str">
        <v>x</v>
      </c>
      <c r="R6842">
        <f>IF(P6842&gt;0,$F$18*F6842/1000,0)</f>
        <v>0</v>
      </c>
      <c r="S6842" t="str">
        <v>)</v>
      </c>
      <c r="T6842" t="str">
        <v>x</v>
      </c>
      <c r="U6842">
        <f>0.006165*F6842^2</f>
        <v>1.041885</v>
      </c>
      <c r="X6842" t="str">
        <v>x</v>
      </c>
      <c r="Y6842">
        <f>D6841</f>
        <v>1</v>
      </c>
      <c r="Z6842" t="str">
        <v>=</v>
      </c>
      <c r="AA6842">
        <f>IF(AA6845=0,(D6842*N6842+P6842*R6842)*U6842*Y6842,0)</f>
        <v>0</v>
      </c>
    </row>
    <row r="6843">
      <c r="A6843" t="str">
        <f>A6835</f>
        <v>Lantai Atap</v>
      </c>
      <c r="B6843">
        <f>B6835</f>
        <v>21</v>
      </c>
      <c r="C6843" t="str">
        <v>Tul Atas Lapangan</v>
      </c>
      <c r="D6843">
        <f>VLOOKUP(D6835,'Detail Balok'!$C$10:$AU$140,7,FALSE)</f>
        <v>3</v>
      </c>
      <c r="E6843" t="str">
        <v>D</v>
      </c>
      <c r="F6843">
        <f>VLOOKUP(D6835,'Detail Balok'!$C$10:$AU$140,9,FALSE)</f>
        <v>13</v>
      </c>
      <c r="I6843" t="str">
        <v>(</v>
      </c>
      <c r="J6843">
        <f>+D6837/2/1000</f>
        <v>2.57</v>
      </c>
      <c r="K6843" t="str">
        <v>+</v>
      </c>
      <c r="M6843" t="str">
        <v>=</v>
      </c>
      <c r="N6843">
        <f>J6843+L6843</f>
        <v>2.57</v>
      </c>
      <c r="O6843" t="str">
        <v>+</v>
      </c>
      <c r="P6843">
        <f>MAX(D6843-D6842,D6843-D6844)</f>
        <v>0</v>
      </c>
      <c r="Q6843" t="str">
        <v>x</v>
      </c>
      <c r="R6843">
        <f>IF(P6843&gt;0,2*(1-2*$F$19-1/2)*D6838/1000,0)</f>
        <v>0</v>
      </c>
      <c r="S6843" t="str">
        <v>)</v>
      </c>
      <c r="T6843" t="str">
        <v>x</v>
      </c>
      <c r="U6843">
        <f>0.006165*F6843^2</f>
        <v>1.041885</v>
      </c>
      <c r="X6843" t="str">
        <v>x</v>
      </c>
      <c r="Y6843">
        <f>D6841</f>
        <v>1</v>
      </c>
      <c r="Z6843" t="str">
        <v>=</v>
      </c>
      <c r="AA6843">
        <f>IF(AA6845=0,(D6843*N6843+P6843*R6843)*U6843*Y6843,0)</f>
        <v>0</v>
      </c>
    </row>
    <row r="6844">
      <c r="A6844" t="str">
        <f>A6835</f>
        <v>Lantai Atap</v>
      </c>
      <c r="B6844">
        <f>B6835</f>
        <v>21</v>
      </c>
      <c r="C6844" t="str">
        <v>Tul Atas Tumpuan</v>
      </c>
      <c r="D6844">
        <f>VLOOKUP(D6835,'Detail Balok'!$C$10:$AU$140,10,FALSE)</f>
        <v>3</v>
      </c>
      <c r="E6844" t="str">
        <v>D</v>
      </c>
      <c r="F6844">
        <f>VLOOKUP(D6835,'Detail Balok'!$C$10:$AU$140,12,FALSE)</f>
        <v>13</v>
      </c>
      <c r="I6844" t="str">
        <v>(</v>
      </c>
      <c r="J6844">
        <f>+D6837/4/1000</f>
        <v>1.285</v>
      </c>
      <c r="K6844" t="str">
        <v>+</v>
      </c>
      <c r="L6844">
        <f>MAX(VLOOKUP(F6844,N$6:P$15,3,FALSE)/1000,2/3*D6839/1000)+F$16*F6844/1000</f>
        <v>0.156</v>
      </c>
      <c r="M6844" t="str">
        <v>=</v>
      </c>
      <c r="N6844">
        <f>J6844+L6844</f>
        <v>1.4409999999999998</v>
      </c>
      <c r="O6844" t="str">
        <v>+</v>
      </c>
      <c r="P6844">
        <f>D6844-D6843</f>
        <v>0</v>
      </c>
      <c r="Q6844" t="str">
        <v>x</v>
      </c>
      <c r="R6844">
        <f>IF(P6844&gt;0,$F$18*F6844/1000,0)</f>
        <v>0</v>
      </c>
      <c r="S6844" t="str">
        <v>)</v>
      </c>
      <c r="T6844" t="str">
        <v>x</v>
      </c>
      <c r="U6844">
        <f>0.006165*F6844^2</f>
        <v>1.041885</v>
      </c>
      <c r="X6844" t="str">
        <v>x</v>
      </c>
      <c r="Y6844">
        <f>D6841</f>
        <v>1</v>
      </c>
      <c r="Z6844" t="str">
        <v>=</v>
      </c>
      <c r="AA6844">
        <f>IF(AA6845=0,(D6844*N6844+P6844*R6844)*U6844*Y6844,0)</f>
        <v>0</v>
      </c>
    </row>
    <row r="6845">
      <c r="A6845" t="str">
        <f>A6835</f>
        <v>Lantai Atap</v>
      </c>
      <c r="B6845">
        <f>B6835</f>
        <v>21</v>
      </c>
      <c r="D6845">
        <f>IF(AND(D6842=D6843,D6843=D6844,D6842=D6844),D6842,0)</f>
        <v>3</v>
      </c>
      <c r="E6845" t="str">
        <v>D</v>
      </c>
      <c r="F6845">
        <f>IF(AND(F6842=F6843,F6842=F6844,F6843=F6844),F6842,0)</f>
        <v>13</v>
      </c>
      <c r="L6845" t="str">
        <v>Total panjang per balok</v>
      </c>
      <c r="M6845" t="str">
        <v>=</v>
      </c>
      <c r="N6845">
        <f>IF(AND(D6842=D6843,D6842=D6844,D6843=D6844,F6842=F6843,F6842=F6844,F6843=F6844),SUM(N6842:N6844),0)</f>
        <v>5.451999999999999</v>
      </c>
      <c r="O6845" t="str">
        <v>+</v>
      </c>
      <c r="P6845">
        <f>IF(N6845&gt;12,ROUNDDOWN(N6845/12,0),0)</f>
        <v>0</v>
      </c>
      <c r="Q6845" t="str">
        <v>x</v>
      </c>
      <c r="R6845">
        <f>IF(P6845&gt;0,MAX(VLOOKUP(F6845,$D$6:$G$15,3,FALSE),600),0)/1000</f>
        <v>0</v>
      </c>
      <c r="T6845" t="str">
        <v>x</v>
      </c>
      <c r="U6845">
        <f>U6844</f>
        <v>1.041885</v>
      </c>
      <c r="V6845" t="str">
        <v>x</v>
      </c>
      <c r="W6845">
        <f>D6845</f>
        <v>3</v>
      </c>
      <c r="X6845" t="str">
        <v>x</v>
      </c>
      <c r="Y6845">
        <f>Y6844</f>
        <v>1</v>
      </c>
      <c r="Z6845" t="str">
        <v>=</v>
      </c>
      <c r="AA6845">
        <f>(N6845+P6845*R6845/1000)*U6845*W6845*Y6845</f>
        <v>17.041071059999997</v>
      </c>
    </row>
    <row r="6847">
      <c r="A6847" t="str">
        <f>A6835</f>
        <v>Lantai Atap</v>
      </c>
      <c r="B6847">
        <f>B6835</f>
        <v>21</v>
      </c>
      <c r="C6847" t="str">
        <v>Tul Peminggang</v>
      </c>
      <c r="D6847">
        <f>VLOOKUP(D6835,'Detail Balok'!$C$10:$AU$140,13,FALSE)</f>
        <v>0</v>
      </c>
      <c r="E6847" t="str">
        <v>D</v>
      </c>
      <c r="F6847">
        <f>VLOOKUP(D6835,'Detail Balok'!$C$10:$AU$140,15,FALSE)</f>
        <v>8</v>
      </c>
      <c r="J6847">
        <f>+D6837/1000</f>
        <v>5.14</v>
      </c>
      <c r="K6847" t="str">
        <v>+</v>
      </c>
      <c r="L6847">
        <f>2*$F$16*F6847/1000</f>
        <v>0.192</v>
      </c>
      <c r="M6847" t="str">
        <v>=</v>
      </c>
      <c r="N6847">
        <f>J6847+L6847</f>
        <v>5.332</v>
      </c>
      <c r="O6847" t="str">
        <v>+</v>
      </c>
      <c r="P6847">
        <f>IF(N6847&gt;12,ROUNDDOWN(N6847/12,0),0)</f>
        <v>0</v>
      </c>
      <c r="Q6847" t="str">
        <v>x</v>
      </c>
      <c r="R6847">
        <f>IF(P6847&gt;0,MAX(VLOOKUP(F6847,$D$6:$G$15,3,FALSE),600),0)/1000</f>
        <v>0</v>
      </c>
      <c r="T6847" t="str">
        <v>x</v>
      </c>
      <c r="U6847">
        <f>0.006165*F6847^2</f>
        <v>0.39456</v>
      </c>
      <c r="V6847" t="str">
        <v>x</v>
      </c>
      <c r="W6847">
        <f>+D6847</f>
        <v>0</v>
      </c>
      <c r="X6847" t="str">
        <v>x</v>
      </c>
      <c r="Y6847">
        <f>D6841</f>
        <v>1</v>
      </c>
      <c r="Z6847" t="str">
        <v>=</v>
      </c>
      <c r="AA6847">
        <f>(N6847+P6847*R6847/1000)*U6847*W6847*Y6847</f>
        <v>0</v>
      </c>
    </row>
    <row r="6850">
      <c r="A6850" t="str">
        <f>A6835</f>
        <v>Lantai Atap</v>
      </c>
      <c r="B6850">
        <f>B6835</f>
        <v>21</v>
      </c>
      <c r="C6850" t="str">
        <v>Tul Bawah Tumpuan</v>
      </c>
      <c r="D6850">
        <f>VLOOKUP(D6835,'Detail Balok'!$C$10:$AU$140,22,FALSE)</f>
        <v>3</v>
      </c>
      <c r="E6850" t="str">
        <v>D</v>
      </c>
      <c r="F6850">
        <f>VLOOKUP(D6835,'Detail Balok'!$C$10:$AU$140,24,FALSE)</f>
        <v>13</v>
      </c>
      <c r="I6850" t="str">
        <v>(</v>
      </c>
      <c r="J6850">
        <f>+J6842</f>
        <v>1.285</v>
      </c>
      <c r="K6850" t="str">
        <v>+</v>
      </c>
      <c r="L6850">
        <f>MAX(VLOOKUP(F6850,N$6:P$15,3,FALSE)/1000,2/3*D6840/1000)+F$16*F6850/1000</f>
        <v>0.156</v>
      </c>
      <c r="M6850" t="str">
        <v>=</v>
      </c>
      <c r="N6850">
        <f>J6850+L6850</f>
        <v>1.4409999999999998</v>
      </c>
      <c r="O6850" t="str">
        <v>+</v>
      </c>
      <c r="P6850">
        <f>D6850-D6851</f>
        <v>0</v>
      </c>
      <c r="Q6850" t="str">
        <v>x</v>
      </c>
      <c r="R6850">
        <f>IF(P6850&gt;0,$F$18*F6850/1000,0)</f>
        <v>0</v>
      </c>
      <c r="S6850" t="str">
        <v>)</v>
      </c>
      <c r="T6850" t="str">
        <v>x</v>
      </c>
      <c r="U6850">
        <f>0.006165*F6850^2</f>
        <v>1.041885</v>
      </c>
      <c r="X6850" t="str">
        <v>x</v>
      </c>
      <c r="Y6850">
        <f>D6841</f>
        <v>1</v>
      </c>
      <c r="Z6850" t="str">
        <v>=</v>
      </c>
      <c r="AA6850">
        <f>IF(AA6853=0,(D6850*N6850+P6850*R6850)*U6850*Y6850,0)</f>
        <v>0</v>
      </c>
    </row>
    <row r="6851">
      <c r="A6851" t="str">
        <f>A6835</f>
        <v>Lantai Atap</v>
      </c>
      <c r="B6851">
        <f>B6835</f>
        <v>21</v>
      </c>
      <c r="C6851" t="str">
        <v>Tul Bawah Lapangan</v>
      </c>
      <c r="D6851">
        <f>VLOOKUP(D6835,'Detail Balok'!$C$10:$AU$140,25,FALSE)</f>
        <v>3</v>
      </c>
      <c r="E6851" t="str">
        <v>D</v>
      </c>
      <c r="F6851">
        <f>VLOOKUP(D6835,'Detail Balok'!$C$10:$AU$140,27,FALSE)</f>
        <v>13</v>
      </c>
      <c r="I6851" t="str">
        <v>(</v>
      </c>
      <c r="J6851">
        <f>+J6843</f>
        <v>2.57</v>
      </c>
      <c r="K6851" t="str">
        <v>+</v>
      </c>
      <c r="M6851" t="str">
        <v>=</v>
      </c>
      <c r="N6851">
        <f>J6851+L6851</f>
        <v>2.57</v>
      </c>
      <c r="O6851" t="str">
        <v>+</v>
      </c>
      <c r="P6851">
        <f>MAX(D6851-D6850,D6851-D6852)</f>
        <v>0</v>
      </c>
      <c r="Q6851" t="str">
        <v>x</v>
      </c>
      <c r="R6851">
        <f>IF(P6851&gt;0,2*(1-2*$F$19-1/2)*D6838/1000,0)</f>
        <v>0</v>
      </c>
      <c r="S6851" t="str">
        <v>)</v>
      </c>
      <c r="T6851" t="str">
        <v>x</v>
      </c>
      <c r="U6851">
        <f>0.006165*F6851^2</f>
        <v>1.041885</v>
      </c>
      <c r="X6851" t="str">
        <v>x</v>
      </c>
      <c r="Y6851">
        <f>D6841</f>
        <v>1</v>
      </c>
      <c r="Z6851" t="str">
        <v>=</v>
      </c>
      <c r="AA6851">
        <f>IF(AA6853=0,(D6851*N6851+P6851*R6851)*U6851*Y6851,0)</f>
        <v>0</v>
      </c>
    </row>
    <row r="6852">
      <c r="A6852" t="str">
        <f>A6835</f>
        <v>Lantai Atap</v>
      </c>
      <c r="B6852">
        <f>B6835</f>
        <v>21</v>
      </c>
      <c r="C6852" t="str">
        <v>Tul Bawah Tumpuan</v>
      </c>
      <c r="D6852">
        <f>VLOOKUP(D6835,'Detail Balok'!$C$10:$AU$140,28,FALSE)</f>
        <v>3</v>
      </c>
      <c r="E6852" t="str">
        <v>D</v>
      </c>
      <c r="F6852">
        <f>VLOOKUP(D6835,'Detail Balok'!$C$10:$AU$140,30,FALSE)</f>
        <v>13</v>
      </c>
      <c r="I6852" t="str">
        <v>(</v>
      </c>
      <c r="J6852">
        <f>+J6844</f>
        <v>1.285</v>
      </c>
      <c r="K6852" t="str">
        <v>+</v>
      </c>
      <c r="L6852">
        <f>MAX(VLOOKUP(F6852,N$6:P$15,3,FALSE)/1000,2/3*D6840/1000)+F$16*F6852/1000</f>
        <v>0.156</v>
      </c>
      <c r="M6852" t="str">
        <v>=</v>
      </c>
      <c r="N6852">
        <f>J6852+L6852</f>
        <v>1.4409999999999998</v>
      </c>
      <c r="O6852" t="str">
        <v>+</v>
      </c>
      <c r="P6852">
        <f>D6852-D6851</f>
        <v>0</v>
      </c>
      <c r="Q6852" t="str">
        <v>x</v>
      </c>
      <c r="R6852">
        <f>IF(P6852&gt;0,$F$18*F6852/1000,0)</f>
        <v>0</v>
      </c>
      <c r="S6852" t="str">
        <v>)</v>
      </c>
      <c r="T6852" t="str">
        <v>x</v>
      </c>
      <c r="U6852">
        <f>0.006165*F6852^2</f>
        <v>1.041885</v>
      </c>
      <c r="X6852" t="str">
        <v>x</v>
      </c>
      <c r="Y6852">
        <f>D6841</f>
        <v>1</v>
      </c>
      <c r="Z6852" t="str">
        <v>=</v>
      </c>
      <c r="AA6852">
        <f>IF(AA6853=0,(D6852*N6852+P6852*R6852)*U6852*Y6852,0)</f>
        <v>0</v>
      </c>
    </row>
    <row r="6853">
      <c r="A6853" t="str">
        <f>A6835</f>
        <v>Lantai Atap</v>
      </c>
      <c r="B6853">
        <f>B6835</f>
        <v>21</v>
      </c>
      <c r="D6853">
        <f>IF(AND(D6850=D6851,D6851=D6852,D6850=D6852),D6850,0)</f>
        <v>3</v>
      </c>
      <c r="E6853" t="str">
        <v>D</v>
      </c>
      <c r="F6853">
        <f>IF(AND(F6850=F6851,F6850=F6852,F6851=F6852),F6850,0)</f>
        <v>13</v>
      </c>
      <c r="L6853" t="str">
        <v>Total panjang per balok</v>
      </c>
      <c r="M6853" t="str">
        <v>=</v>
      </c>
      <c r="N6853">
        <f>IF(AND(D6850=D6851,D6850=D6852,D6851=D6852,F6850=F6851,F6850=F6852,F6851=F6852),SUM(N6850:N6852),0)</f>
        <v>5.451999999999999</v>
      </c>
      <c r="O6853" t="str">
        <v>+</v>
      </c>
      <c r="P6853">
        <f>IF(N6853&gt;12,ROUNDDOWN(N6853/12,0),0)</f>
        <v>0</v>
      </c>
      <c r="Q6853" t="str">
        <v>x</v>
      </c>
      <c r="R6853">
        <f>IF(P6853&gt;0,MAX(VLOOKUP(F6853,$D$6:$G$15,3,FALSE),600),0)/1000</f>
        <v>0</v>
      </c>
      <c r="T6853" t="str">
        <v>x</v>
      </c>
      <c r="U6853">
        <f>U6852</f>
        <v>1.041885</v>
      </c>
      <c r="V6853" t="str">
        <v>x</v>
      </c>
      <c r="W6853">
        <f>D6853</f>
        <v>3</v>
      </c>
      <c r="X6853" t="str">
        <v>x</v>
      </c>
      <c r="Y6853">
        <f>Y6852</f>
        <v>1</v>
      </c>
      <c r="Z6853" t="str">
        <v>=</v>
      </c>
      <c r="AA6853">
        <f>(N6853+P6853*R6853/1000)*U6853*W6853*Y6853</f>
        <v>17.041071059999997</v>
      </c>
    </row>
    <row r="6855">
      <c r="A6855" t="str">
        <f>A6835</f>
        <v>Lantai Atap</v>
      </c>
      <c r="B6855">
        <f>B6835</f>
        <v>21</v>
      </c>
      <c r="C6855" t="str">
        <v>Sengkang Tumpuan</v>
      </c>
      <c r="D6855">
        <f>VLOOKUP(D6835,'Detail Balok'!$C$10:$AU$140,31,FALSE)</f>
        <v>0</v>
      </c>
      <c r="E6855" t="str">
        <v>D</v>
      </c>
      <c r="F6855">
        <f>VLOOKUP(D6835,'Detail Balok'!$C$10:$AU$140,33,FALSE)</f>
        <v>10</v>
      </c>
      <c r="G6855" t="str">
        <v>-</v>
      </c>
      <c r="H6855">
        <f>VLOOKUP(D6835,'Detail Balok'!$C$10:$AU$140,35,FALSE)</f>
        <v>100</v>
      </c>
      <c r="J6855">
        <f>(IF(D6855=0,(2*(D6836+G6836))-(F$5*8),IF(D6855=3,(2*(D6836+G6836))-(F$5*8)+(G6836-2*F$5),IF(D6855=4,(2*(D6836+G6836))-(F$5*8)+2*(G6836-2*F$5)))))/1000</f>
        <v>1.08</v>
      </c>
      <c r="K6855" t="str">
        <v>+</v>
      </c>
      <c r="L6855">
        <f>IF(D6855=0,2*MAX(6*F6855,75),(D6855-1)*2*MAX(6*F6855,75))/1000</f>
        <v>0.15</v>
      </c>
      <c r="M6855" t="str">
        <v>=</v>
      </c>
      <c r="N6855">
        <f>J6855+L6855</f>
        <v>1.23</v>
      </c>
      <c r="T6855" t="str">
        <v>x</v>
      </c>
      <c r="U6855">
        <f>0.006165*F6855^2</f>
        <v>0.6165</v>
      </c>
      <c r="V6855" t="str">
        <v>x</v>
      </c>
      <c r="W6855">
        <f>IF(D6838&gt;4*G6836,ROUND(MAX(D6838/4,2*G6836)/H6855,0)+1,ROUND(D6838/H6855,0)+1)</f>
        <v>14</v>
      </c>
      <c r="X6855" t="str">
        <v>x</v>
      </c>
      <c r="Y6855">
        <f>D6841</f>
        <v>1</v>
      </c>
      <c r="Z6855" t="str">
        <v>=</v>
      </c>
      <c r="AA6855">
        <f>N6855*U6855*W6855*Y6855</f>
        <v>10.61613</v>
      </c>
    </row>
    <row r="6856">
      <c r="A6856" t="str">
        <f>A6835</f>
        <v>Lantai Atap</v>
      </c>
      <c r="B6856">
        <f>B6835</f>
        <v>21</v>
      </c>
      <c r="C6856" t="str">
        <v>Sengkang Lapangan</v>
      </c>
      <c r="D6856">
        <f>VLOOKUP(D6835,'Detail Balok'!$C$10:$AU$140,36,FALSE)</f>
        <v>0</v>
      </c>
      <c r="E6856" t="str">
        <v>D</v>
      </c>
      <c r="F6856">
        <f>VLOOKUP(D6835,'Detail Balok'!$C$10:$AU$140,38,FALSE)</f>
        <v>10</v>
      </c>
      <c r="G6856" t="str">
        <v>-</v>
      </c>
      <c r="H6856">
        <f>VLOOKUP(D6835,'Detail Balok'!$C$10:$AU$140,40,FALSE)</f>
        <v>200</v>
      </c>
      <c r="J6856">
        <f>(IF(D6856=0,(2*(D6836+G6836))-(F$5*8),IF(D6856=3,(2*(D6836+G6836))-(F$5*8)+(G6836-2*F$5),IF(D6856=4,(2*(D6836+G6836))-(F$5*8)+2*(G6836-2*F$5)))))/1000</f>
        <v>1.08</v>
      </c>
      <c r="K6856" t="str">
        <v>+</v>
      </c>
      <c r="L6856">
        <f>IF(D6856=0,2*MAX(6*F6856,75),(D6856-1)*2*MAX(6*F6856,75))/1000</f>
        <v>0.15</v>
      </c>
      <c r="M6856" t="str">
        <v>=</v>
      </c>
      <c r="N6856">
        <f>J6856+L6856</f>
        <v>1.23</v>
      </c>
      <c r="T6856" t="str">
        <v>x</v>
      </c>
      <c r="U6856">
        <f>0.006165*F6856^2</f>
        <v>0.6165</v>
      </c>
      <c r="V6856" t="str">
        <v>x</v>
      </c>
      <c r="W6856">
        <f>IF(D6838-MAX(D6838/4,2*G6836)*2&gt;0,ROUND((D6838-MAX(D6838/4,2*G6836)*2)/H6856,0),0)</f>
        <v>13</v>
      </c>
      <c r="X6856" t="str">
        <v>x</v>
      </c>
      <c r="Y6856">
        <f>D6841</f>
        <v>1</v>
      </c>
      <c r="Z6856" t="str">
        <v>=</v>
      </c>
      <c r="AA6856">
        <f>N6856*U6856*W6856*Y6856</f>
        <v>9.857835000000001</v>
      </c>
    </row>
    <row r="6857">
      <c r="A6857" t="str">
        <f>A6835</f>
        <v>Lantai Atap</v>
      </c>
      <c r="B6857">
        <f>B6835</f>
        <v>21</v>
      </c>
      <c r="C6857" t="str">
        <v>Sengkang Tumpuan</v>
      </c>
      <c r="D6857">
        <f>VLOOKUP(D6835,'Detail Balok'!$C$10:$AU$140,41,FALSE)</f>
        <v>0</v>
      </c>
      <c r="E6857" t="str">
        <v>D</v>
      </c>
      <c r="F6857">
        <f>VLOOKUP(D6835,'Detail Balok'!$C$10:$AU$140,43,FALSE)</f>
        <v>10</v>
      </c>
      <c r="G6857" t="str">
        <v>-</v>
      </c>
      <c r="H6857">
        <f>VLOOKUP(D6835,'Detail Balok'!$C$10:$AU$140,45,FALSE)</f>
        <v>100</v>
      </c>
      <c r="J6857">
        <f>(IF(D6857=0,(2*(D6836+G6836))-(F$5*8),IF(D6857=3,(2*(D6836+G6836))-(F$5*8)+(G6836-2*F$5),IF(D6857=4,(2*(D6836+G6836))-(F$5*8)+2*(G6836-2*F$5)))))/1000</f>
        <v>1.08</v>
      </c>
      <c r="K6857" t="str">
        <v>+</v>
      </c>
      <c r="L6857">
        <f>IF(D6857=0,2*MAX(6*F6857,75),(D6857-1)*2*MAX(6*F6857,75))/1000</f>
        <v>0.15</v>
      </c>
      <c r="M6857" t="str">
        <v>=</v>
      </c>
      <c r="N6857">
        <f>J6857+L6857</f>
        <v>1.23</v>
      </c>
      <c r="T6857" t="str">
        <v>x</v>
      </c>
      <c r="U6857">
        <f>0.006165*F6857^2</f>
        <v>0.6165</v>
      </c>
      <c r="V6857" t="str">
        <v>x</v>
      </c>
      <c r="W6857">
        <f>IF(D6838&gt;4*G6836,ROUND(MAX(D6838/4,2*G6836)/H6857,0)+1,0)</f>
        <v>14</v>
      </c>
      <c r="X6857" t="str">
        <v>x</v>
      </c>
      <c r="Y6857">
        <f>D6841</f>
        <v>1</v>
      </c>
      <c r="Z6857" t="str">
        <v>=</v>
      </c>
      <c r="AA6857">
        <f>N6857*U6857*W6857*Y6857</f>
        <v>10.61613</v>
      </c>
    </row>
    <row r="6859">
      <c r="A6859" t="str">
        <f>A6835</f>
        <v>Lantai Atap</v>
      </c>
      <c r="B6859">
        <f>B6835</f>
        <v>21</v>
      </c>
      <c r="C6859" t="str">
        <v>Kait Horizontal Tump.</v>
      </c>
      <c r="D6859">
        <f>VLOOKUP(D6835,'Detail Balok'!$C$10:$BJ$140,46,FALSE)</f>
        <v>0</v>
      </c>
      <c r="E6859" t="str">
        <v>D</v>
      </c>
      <c r="F6859">
        <f>VLOOKUP(D6835,'Detail Balok'!$C$10:$BJ$140,48,FALSE)</f>
        <v>0</v>
      </c>
      <c r="G6859" t="str">
        <v>-</v>
      </c>
      <c r="H6859">
        <f>VLOOKUP(D6835,'Detail Balok'!$C$10:$BJ$140,50,FALSE)</f>
        <v>100</v>
      </c>
      <c r="J6859">
        <f>(D6836-2*F$5)/1000</f>
        <v>0.17</v>
      </c>
      <c r="K6859" t="str">
        <v>+</v>
      </c>
      <c r="L6859">
        <f>IF(D6859=0,2*MAX(6*F6859,75),(D6859-1)*2*MAX(6*F6859,75))/1000</f>
        <v>0.15</v>
      </c>
      <c r="M6859" t="str">
        <v>=</v>
      </c>
      <c r="N6859">
        <f>J6859+L6859</f>
        <v>0.32</v>
      </c>
      <c r="T6859" t="str">
        <v>x</v>
      </c>
      <c r="U6859">
        <f>0.006165*F6859^2</f>
        <v>0</v>
      </c>
      <c r="V6859" t="str">
        <v>x</v>
      </c>
      <c r="W6859">
        <f>W6855</f>
        <v>14</v>
      </c>
      <c r="X6859" t="str">
        <v>x</v>
      </c>
      <c r="Y6859">
        <f>D6845</f>
        <v>3</v>
      </c>
      <c r="Z6859" t="str">
        <v>=</v>
      </c>
      <c r="AA6859">
        <f>N6859*U6859*W6859*Y6859</f>
        <v>0</v>
      </c>
    </row>
    <row r="6860">
      <c r="A6860" t="str">
        <f>A6835</f>
        <v>Lantai Atap</v>
      </c>
      <c r="B6860">
        <f>B6835</f>
        <v>21</v>
      </c>
      <c r="C6860" t="str">
        <v>Kait Horizontal Lap.</v>
      </c>
      <c r="D6860">
        <f>VLOOKUP(D6835,'Detail Balok'!$C$10:$BJ$140,51,FALSE)</f>
        <v>0</v>
      </c>
      <c r="E6860" t="str">
        <v>D</v>
      </c>
      <c r="F6860">
        <f>VLOOKUP(D6835,'Detail Balok'!$C$10:$BJ$140,53,FALSE)</f>
        <v>0</v>
      </c>
      <c r="G6860" t="str">
        <v>-</v>
      </c>
      <c r="H6860">
        <f>VLOOKUP(D6835,'Detail Balok'!$C$10:$BJ$140,55,FALSE)</f>
        <v>100</v>
      </c>
      <c r="J6860">
        <f>(D6836-2*F$5)/1000</f>
        <v>0.17</v>
      </c>
      <c r="K6860" t="str">
        <v>+</v>
      </c>
      <c r="L6860">
        <f>IF(D6860=0,2*MAX(6*F6860,75),(D6860-1)*2*MAX(6*F6860,75))/1000</f>
        <v>0.15</v>
      </c>
      <c r="M6860" t="str">
        <v>=</v>
      </c>
      <c r="N6860">
        <f>J6860+L6860</f>
        <v>0.32</v>
      </c>
      <c r="T6860" t="str">
        <v>x</v>
      </c>
      <c r="U6860">
        <f>0.006165*F6860^2</f>
        <v>0</v>
      </c>
      <c r="V6860" t="str">
        <v>x</v>
      </c>
      <c r="W6860">
        <f>W6856</f>
        <v>13</v>
      </c>
      <c r="X6860" t="str">
        <v>x</v>
      </c>
      <c r="Y6860">
        <f>D6845</f>
        <v>3</v>
      </c>
      <c r="Z6860" t="str">
        <v>=</v>
      </c>
      <c r="AA6860">
        <f>N6860*U6860*W6860*Y6860</f>
        <v>0</v>
      </c>
    </row>
    <row r="6861">
      <c r="A6861" t="str">
        <f>A6835</f>
        <v>Lantai Atap</v>
      </c>
      <c r="B6861">
        <f>B6835</f>
        <v>21</v>
      </c>
      <c r="C6861" t="str">
        <v>Kait Horizontal Tump.</v>
      </c>
      <c r="D6861">
        <f>VLOOKUP(D6835,'Detail Balok'!$C$10:$BJ$140,56,FALSE)</f>
        <v>0</v>
      </c>
      <c r="E6861" t="str">
        <v>D</v>
      </c>
      <c r="F6861">
        <f>VLOOKUP(D6835,'Detail Balok'!$C$10:$BJ$140,58,FALSE)</f>
        <v>0</v>
      </c>
      <c r="G6861" t="str">
        <v>-</v>
      </c>
      <c r="H6861">
        <f>VLOOKUP(D6835,'Detail Balok'!$C$10:$BJ$140,60,FALSE)</f>
        <v>100</v>
      </c>
      <c r="J6861">
        <f>(D6836-2*F$5)/1000</f>
        <v>0.17</v>
      </c>
      <c r="K6861" t="str">
        <v>+</v>
      </c>
      <c r="L6861">
        <f>IF(D6861=0,2*MAX(6*F6861,75),(D6861-1)*2*MAX(6*F6861,75))/1000</f>
        <v>0.15</v>
      </c>
      <c r="M6861" t="str">
        <v>=</v>
      </c>
      <c r="N6861">
        <f>J6861+L6861</f>
        <v>0.32</v>
      </c>
      <c r="T6861" t="str">
        <v>x</v>
      </c>
      <c r="U6861">
        <f>0.006165*F6861^2</f>
        <v>0</v>
      </c>
      <c r="V6861" t="str">
        <v>x</v>
      </c>
      <c r="W6861">
        <f>W6857</f>
        <v>14</v>
      </c>
      <c r="X6861" t="str">
        <v>x</v>
      </c>
      <c r="Y6861">
        <f>D6845</f>
        <v>3</v>
      </c>
      <c r="Z6861" t="str">
        <v>=</v>
      </c>
      <c r="AA6861">
        <f>N6861*U6861*W6861*Y6861</f>
        <v>0</v>
      </c>
    </row>
    <row r="6865">
      <c r="A6865" t="str">
        <f>A6835</f>
        <v>Lantai Atap</v>
      </c>
      <c r="B6865">
        <f>B6835+1</f>
        <v>22</v>
      </c>
      <c r="C6865" t="str">
        <f>CONCATENATE(A6865," no. ",B6865)</f>
        <v>Lantai Atap no. 22</v>
      </c>
      <c r="D6865" t="str">
        <f>VLOOKUP(C6865,'Data Panjang Balok'!$C$9:$N$254,2,FALSE)</f>
        <v>B25-1</v>
      </c>
    </row>
    <row r="6866">
      <c r="C6866" t="str">
        <v>Dimensi</v>
      </c>
      <c r="D6866">
        <f>VLOOKUP(D6865,'Detail Balok'!$C$10:$AU$140,2,FALSE)</f>
        <v>200</v>
      </c>
      <c r="F6866" t="str">
        <v>x</v>
      </c>
      <c r="G6866">
        <f>VLOOKUP(D6865,'Detail Balok'!$C$10:$AU$140,3,FALSE)</f>
        <v>500</v>
      </c>
    </row>
    <row r="6867">
      <c r="C6867" t="str">
        <v>Panjang as ke as</v>
      </c>
      <c r="D6867">
        <f>VLOOKUP(C6865,'Data Panjang Balok'!$C$9:$N$254,4,FALSE)</f>
        <v>10650</v>
      </c>
    </row>
    <row r="6868">
      <c r="C6868" t="str">
        <v>Panjang netto</v>
      </c>
      <c r="D6868">
        <f>VLOOKUP(C6865,'Data Panjang Balok'!$C$9:$N$254,7,FALSE)</f>
        <v>10650</v>
      </c>
    </row>
    <row r="6869">
      <c r="C6869" t="str">
        <v>Kolom / balok kiri</v>
      </c>
      <c r="D6869">
        <f>VLOOKUP(C6865,'Data Panjang Balok'!$C$9:$N$254,9,FALSE)</f>
        <v>0</v>
      </c>
    </row>
    <row r="6870">
      <c r="C6870" t="str">
        <v>Kolom / balok kanan</v>
      </c>
      <c r="D6870">
        <f>VLOOKUP(C6865,'Data Panjang Balok'!$C$9:$N$254,10,FALSE)</f>
        <v>0</v>
      </c>
    </row>
    <row r="6871">
      <c r="C6871" t="str">
        <v>Jumlah</v>
      </c>
      <c r="D6871">
        <f>VLOOKUP(C6865,'Data Panjang Balok'!$C$9:$N$254,3,FALSE)</f>
        <v>1</v>
      </c>
    </row>
    <row r="6872">
      <c r="A6872" t="str">
        <f>A6865</f>
        <v>Lantai Atap</v>
      </c>
      <c r="B6872">
        <f>B6865</f>
        <v>22</v>
      </c>
      <c r="C6872" t="str">
        <v>Tul Atas Tumpuan</v>
      </c>
      <c r="D6872">
        <f>VLOOKUP(D6865,'Detail Balok'!$C$10:$AU$140,4,FALSE)</f>
        <v>4</v>
      </c>
      <c r="E6872" t="str">
        <v>D</v>
      </c>
      <c r="F6872">
        <f>VLOOKUP(D6865,'Detail Balok'!$C$10:$AU$140,6,FALSE)</f>
        <v>16</v>
      </c>
      <c r="I6872" t="str">
        <v>(</v>
      </c>
      <c r="J6872">
        <f>+D6867/4/1000</f>
        <v>2.6625</v>
      </c>
      <c r="K6872" t="str">
        <v>+</v>
      </c>
      <c r="L6872">
        <f>MAX(VLOOKUP(F6872,N$6:P$15,3,FALSE)/1000,2/3*D6869/1000)+F$16*F6872/1000</f>
        <v>0.192</v>
      </c>
      <c r="M6872" t="str">
        <v>=</v>
      </c>
      <c r="N6872">
        <f>J6872+L6872</f>
        <v>2.8545000000000003</v>
      </c>
      <c r="O6872" t="str">
        <v>+</v>
      </c>
      <c r="P6872">
        <f>D6872-D6873</f>
        <v>0</v>
      </c>
      <c r="Q6872" t="str">
        <v>x</v>
      </c>
      <c r="R6872">
        <f>IF(P6872&gt;0,$F$18*F6872/1000,0)</f>
        <v>0</v>
      </c>
      <c r="S6872" t="str">
        <v>)</v>
      </c>
      <c r="T6872" t="str">
        <v>x</v>
      </c>
      <c r="U6872">
        <f>0.006165*F6872^2</f>
        <v>1.57824</v>
      </c>
      <c r="X6872" t="str">
        <v>x</v>
      </c>
      <c r="Y6872">
        <f>D6871</f>
        <v>1</v>
      </c>
      <c r="Z6872" t="str">
        <v>=</v>
      </c>
      <c r="AA6872">
        <f>IF(AA6875=0,(D6872*N6872+P6872*R6872)*U6872*Y6872,0)</f>
        <v>0</v>
      </c>
    </row>
    <row r="6873">
      <c r="A6873" t="str">
        <f>A6865</f>
        <v>Lantai Atap</v>
      </c>
      <c r="B6873">
        <f>B6865</f>
        <v>22</v>
      </c>
      <c r="C6873" t="str">
        <v>Tul Atas Lapangan</v>
      </c>
      <c r="D6873">
        <f>VLOOKUP(D6865,'Detail Balok'!$C$10:$AU$140,7,FALSE)</f>
        <v>4</v>
      </c>
      <c r="E6873" t="str">
        <v>D</v>
      </c>
      <c r="F6873">
        <f>VLOOKUP(D6865,'Detail Balok'!$C$10:$AU$140,9,FALSE)</f>
        <v>16</v>
      </c>
      <c r="I6873" t="str">
        <v>(</v>
      </c>
      <c r="J6873">
        <f>+D6867/2/1000</f>
        <v>5.325</v>
      </c>
      <c r="K6873" t="str">
        <v>+</v>
      </c>
      <c r="M6873" t="str">
        <v>=</v>
      </c>
      <c r="N6873">
        <f>J6873+L6873</f>
        <v>5.325</v>
      </c>
      <c r="O6873" t="str">
        <v>+</v>
      </c>
      <c r="P6873">
        <f>MAX(D6873-D6872,D6873-D6874)</f>
        <v>0</v>
      </c>
      <c r="Q6873" t="str">
        <v>x</v>
      </c>
      <c r="R6873">
        <f>IF(P6873&gt;0,2*(1-2*$F$19-1/2)*D6868/1000,0)</f>
        <v>0</v>
      </c>
      <c r="S6873" t="str">
        <v>)</v>
      </c>
      <c r="T6873" t="str">
        <v>x</v>
      </c>
      <c r="U6873">
        <f>0.006165*F6873^2</f>
        <v>1.57824</v>
      </c>
      <c r="X6873" t="str">
        <v>x</v>
      </c>
      <c r="Y6873">
        <f>D6871</f>
        <v>1</v>
      </c>
      <c r="Z6873" t="str">
        <v>=</v>
      </c>
      <c r="AA6873">
        <f>IF(AA6875=0,(D6873*N6873+P6873*R6873)*U6873*Y6873,0)</f>
        <v>0</v>
      </c>
    </row>
    <row r="6874">
      <c r="A6874" t="str">
        <f>A6865</f>
        <v>Lantai Atap</v>
      </c>
      <c r="B6874">
        <f>B6865</f>
        <v>22</v>
      </c>
      <c r="C6874" t="str">
        <v>Tul Atas Tumpuan</v>
      </c>
      <c r="D6874">
        <f>VLOOKUP(D6865,'Detail Balok'!$C$10:$AU$140,10,FALSE)</f>
        <v>4</v>
      </c>
      <c r="E6874" t="str">
        <v>D</v>
      </c>
      <c r="F6874">
        <f>VLOOKUP(D6865,'Detail Balok'!$C$10:$AU$140,12,FALSE)</f>
        <v>16</v>
      </c>
      <c r="I6874" t="str">
        <v>(</v>
      </c>
      <c r="J6874">
        <f>+D6867/4/1000</f>
        <v>2.6625</v>
      </c>
      <c r="K6874" t="str">
        <v>+</v>
      </c>
      <c r="L6874">
        <f>MAX(VLOOKUP(F6874,N$6:P$15,3,FALSE)/1000,2/3*D6869/1000)+F$16*F6874/1000</f>
        <v>0.192</v>
      </c>
      <c r="M6874" t="str">
        <v>=</v>
      </c>
      <c r="N6874">
        <f>J6874+L6874</f>
        <v>2.8545000000000003</v>
      </c>
      <c r="O6874" t="str">
        <v>+</v>
      </c>
      <c r="P6874">
        <f>D6874-D6873</f>
        <v>0</v>
      </c>
      <c r="Q6874" t="str">
        <v>x</v>
      </c>
      <c r="R6874">
        <f>IF(P6874&gt;0,$F$18*F6874/1000,0)</f>
        <v>0</v>
      </c>
      <c r="S6874" t="str">
        <v>)</v>
      </c>
      <c r="T6874" t="str">
        <v>x</v>
      </c>
      <c r="U6874">
        <f>0.006165*F6874^2</f>
        <v>1.57824</v>
      </c>
      <c r="X6874" t="str">
        <v>x</v>
      </c>
      <c r="Y6874">
        <f>D6871</f>
        <v>1</v>
      </c>
      <c r="Z6874" t="str">
        <v>=</v>
      </c>
      <c r="AA6874">
        <f>IF(AA6875=0,(D6874*N6874+P6874*R6874)*U6874*Y6874,0)</f>
        <v>0</v>
      </c>
    </row>
    <row r="6875">
      <c r="A6875" t="str">
        <f>A6865</f>
        <v>Lantai Atap</v>
      </c>
      <c r="B6875">
        <f>B6865</f>
        <v>22</v>
      </c>
      <c r="D6875">
        <f>IF(AND(D6872=D6873,D6873=D6874,D6872=D6874),D6872,0)</f>
        <v>4</v>
      </c>
      <c r="E6875" t="str">
        <v>D</v>
      </c>
      <c r="F6875">
        <f>IF(AND(F6872=F6873,F6872=F6874,F6873=F6874),F6872,0)</f>
        <v>16</v>
      </c>
      <c r="L6875" t="str">
        <v>Total panjang per balok</v>
      </c>
      <c r="M6875" t="str">
        <v>=</v>
      </c>
      <c r="N6875">
        <f>IF(AND(D6872=D6873,D6872=D6874,D6873=D6874,F6872=F6873,F6872=F6874,F6873=F6874),SUM(N6872:N6874),0)</f>
        <v>11.034</v>
      </c>
      <c r="O6875" t="str">
        <v>+</v>
      </c>
      <c r="P6875">
        <f>IF(N6875&gt;12,ROUNDDOWN(N6875/12,0),0)</f>
        <v>0</v>
      </c>
      <c r="Q6875" t="str">
        <v>x</v>
      </c>
      <c r="R6875">
        <f>IF(P6875&gt;0,MAX(VLOOKUP(F6875,$D$6:$G$15,3,FALSE),600),0)/1000</f>
        <v>0</v>
      </c>
      <c r="T6875" t="str">
        <v>x</v>
      </c>
      <c r="U6875">
        <f>U6874</f>
        <v>1.57824</v>
      </c>
      <c r="V6875" t="str">
        <v>x</v>
      </c>
      <c r="W6875">
        <f>D6875</f>
        <v>4</v>
      </c>
      <c r="X6875" t="str">
        <v>x</v>
      </c>
      <c r="Y6875">
        <f>Y6874</f>
        <v>1</v>
      </c>
      <c r="Z6875" t="str">
        <v>=</v>
      </c>
      <c r="AA6875">
        <f>(N6875+P6875*R6875/1000)*U6875*W6875*Y6875</f>
        <v>69.65720064000001</v>
      </c>
    </row>
    <row r="6877">
      <c r="A6877" t="str">
        <f>A6865</f>
        <v>Lantai Atap</v>
      </c>
      <c r="B6877">
        <f>B6865</f>
        <v>22</v>
      </c>
      <c r="C6877" t="str">
        <v>Tul Peminggang</v>
      </c>
      <c r="D6877">
        <f>VLOOKUP(D6865,'Detail Balok'!$C$10:$AU$140,13,FALSE)</f>
        <v>2</v>
      </c>
      <c r="E6877" t="str">
        <v>D</v>
      </c>
      <c r="F6877">
        <f>VLOOKUP(D6865,'Detail Balok'!$C$10:$AU$140,15,FALSE)</f>
        <v>10</v>
      </c>
      <c r="J6877">
        <f>+D6867/1000</f>
        <v>10.65</v>
      </c>
      <c r="K6877" t="str">
        <v>+</v>
      </c>
      <c r="L6877">
        <f>2*$F$16*F6877/1000</f>
        <v>0.24</v>
      </c>
      <c r="M6877" t="str">
        <v>=</v>
      </c>
      <c r="N6877">
        <f>J6877+L6877</f>
        <v>10.89</v>
      </c>
      <c r="O6877" t="str">
        <v>+</v>
      </c>
      <c r="P6877">
        <f>IF(N6877&gt;12,ROUNDDOWN(N6877/12,0),0)</f>
        <v>0</v>
      </c>
      <c r="Q6877" t="str">
        <v>x</v>
      </c>
      <c r="R6877">
        <f>IF(P6877&gt;0,MAX(VLOOKUP(F6877,$D$6:$G$15,3,FALSE),600),0)/1000</f>
        <v>0</v>
      </c>
      <c r="T6877" t="str">
        <v>x</v>
      </c>
      <c r="U6877">
        <f>0.006165*F6877^2</f>
        <v>0.6165</v>
      </c>
      <c r="V6877" t="str">
        <v>x</v>
      </c>
      <c r="W6877">
        <f>+D6877</f>
        <v>2</v>
      </c>
      <c r="X6877" t="str">
        <v>x</v>
      </c>
      <c r="Y6877">
        <f>D6871</f>
        <v>1</v>
      </c>
      <c r="Z6877" t="str">
        <v>=</v>
      </c>
      <c r="AA6877">
        <f>(N6877+P6877*R6877/1000)*U6877*W6877*Y6877</f>
        <v>13.427370000000002</v>
      </c>
    </row>
    <row r="6880">
      <c r="A6880" t="str">
        <f>A6865</f>
        <v>Lantai Atap</v>
      </c>
      <c r="B6880">
        <f>B6865</f>
        <v>22</v>
      </c>
      <c r="C6880" t="str">
        <v>Tul Bawah Tumpuan</v>
      </c>
      <c r="D6880">
        <f>VLOOKUP(D6865,'Detail Balok'!$C$10:$AU$140,22,FALSE)</f>
        <v>4</v>
      </c>
      <c r="E6880" t="str">
        <v>D</v>
      </c>
      <c r="F6880">
        <f>VLOOKUP(D6865,'Detail Balok'!$C$10:$AU$140,24,FALSE)</f>
        <v>16</v>
      </c>
      <c r="I6880" t="str">
        <v>(</v>
      </c>
      <c r="J6880">
        <f>+J6872</f>
        <v>2.6625</v>
      </c>
      <c r="K6880" t="str">
        <v>+</v>
      </c>
      <c r="L6880">
        <f>MAX(VLOOKUP(F6880,N$6:P$15,3,FALSE)/1000,2/3*D6870/1000)+F$16*F6880/1000</f>
        <v>0.192</v>
      </c>
      <c r="M6880" t="str">
        <v>=</v>
      </c>
      <c r="N6880">
        <f>J6880+L6880</f>
        <v>2.8545000000000003</v>
      </c>
      <c r="O6880" t="str">
        <v>+</v>
      </c>
      <c r="P6880">
        <f>D6880-D6881</f>
        <v>0</v>
      </c>
      <c r="Q6880" t="str">
        <v>x</v>
      </c>
      <c r="R6880">
        <f>IF(P6880&gt;0,$F$18*F6880/1000,0)</f>
        <v>0</v>
      </c>
      <c r="S6880" t="str">
        <v>)</v>
      </c>
      <c r="T6880" t="str">
        <v>x</v>
      </c>
      <c r="U6880">
        <f>0.006165*F6880^2</f>
        <v>1.57824</v>
      </c>
      <c r="X6880" t="str">
        <v>x</v>
      </c>
      <c r="Y6880">
        <f>D6871</f>
        <v>1</v>
      </c>
      <c r="Z6880" t="str">
        <v>=</v>
      </c>
      <c r="AA6880">
        <f>IF(AA6883=0,(D6880*N6880+P6880*R6880)*U6880*Y6880,0)</f>
        <v>0</v>
      </c>
    </row>
    <row r="6881">
      <c r="A6881" t="str">
        <f>A6865</f>
        <v>Lantai Atap</v>
      </c>
      <c r="B6881">
        <f>B6865</f>
        <v>22</v>
      </c>
      <c r="C6881" t="str">
        <v>Tul Bawah Lapangan</v>
      </c>
      <c r="D6881">
        <f>VLOOKUP(D6865,'Detail Balok'!$C$10:$AU$140,25,FALSE)</f>
        <v>4</v>
      </c>
      <c r="E6881" t="str">
        <v>D</v>
      </c>
      <c r="F6881">
        <f>VLOOKUP(D6865,'Detail Balok'!$C$10:$AU$140,27,FALSE)</f>
        <v>16</v>
      </c>
      <c r="I6881" t="str">
        <v>(</v>
      </c>
      <c r="J6881">
        <f>+J6873</f>
        <v>5.325</v>
      </c>
      <c r="K6881" t="str">
        <v>+</v>
      </c>
      <c r="M6881" t="str">
        <v>=</v>
      </c>
      <c r="N6881">
        <f>J6881+L6881</f>
        <v>5.325</v>
      </c>
      <c r="O6881" t="str">
        <v>+</v>
      </c>
      <c r="P6881">
        <f>MAX(D6881-D6880,D6881-D6882)</f>
        <v>0</v>
      </c>
      <c r="Q6881" t="str">
        <v>x</v>
      </c>
      <c r="R6881">
        <f>IF(P6881&gt;0,2*(1-2*$F$19-1/2)*D6868/1000,0)</f>
        <v>0</v>
      </c>
      <c r="S6881" t="str">
        <v>)</v>
      </c>
      <c r="T6881" t="str">
        <v>x</v>
      </c>
      <c r="U6881">
        <f>0.006165*F6881^2</f>
        <v>1.57824</v>
      </c>
      <c r="X6881" t="str">
        <v>x</v>
      </c>
      <c r="Y6881">
        <f>D6871</f>
        <v>1</v>
      </c>
      <c r="Z6881" t="str">
        <v>=</v>
      </c>
      <c r="AA6881">
        <f>IF(AA6883=0,(D6881*N6881+P6881*R6881)*U6881*Y6881,0)</f>
        <v>0</v>
      </c>
    </row>
    <row r="6882">
      <c r="A6882" t="str">
        <f>A6865</f>
        <v>Lantai Atap</v>
      </c>
      <c r="B6882">
        <f>B6865</f>
        <v>22</v>
      </c>
      <c r="C6882" t="str">
        <v>Tul Bawah Tumpuan</v>
      </c>
      <c r="D6882">
        <f>VLOOKUP(D6865,'Detail Balok'!$C$10:$AU$140,28,FALSE)</f>
        <v>4</v>
      </c>
      <c r="E6882" t="str">
        <v>D</v>
      </c>
      <c r="F6882">
        <f>VLOOKUP(D6865,'Detail Balok'!$C$10:$AU$140,30,FALSE)</f>
        <v>16</v>
      </c>
      <c r="I6882" t="str">
        <v>(</v>
      </c>
      <c r="J6882">
        <f>+J6874</f>
        <v>2.6625</v>
      </c>
      <c r="K6882" t="str">
        <v>+</v>
      </c>
      <c r="L6882">
        <f>MAX(VLOOKUP(F6882,N$6:P$15,3,FALSE)/1000,2/3*D6870/1000)+F$16*F6882/1000</f>
        <v>0.192</v>
      </c>
      <c r="M6882" t="str">
        <v>=</v>
      </c>
      <c r="N6882">
        <f>J6882+L6882</f>
        <v>2.8545000000000003</v>
      </c>
      <c r="O6882" t="str">
        <v>+</v>
      </c>
      <c r="P6882">
        <f>D6882-D6881</f>
        <v>0</v>
      </c>
      <c r="Q6882" t="str">
        <v>x</v>
      </c>
      <c r="R6882">
        <f>IF(P6882&gt;0,$F$18*F6882/1000,0)</f>
        <v>0</v>
      </c>
      <c r="S6882" t="str">
        <v>)</v>
      </c>
      <c r="T6882" t="str">
        <v>x</v>
      </c>
      <c r="U6882">
        <f>0.006165*F6882^2</f>
        <v>1.57824</v>
      </c>
      <c r="X6882" t="str">
        <v>x</v>
      </c>
      <c r="Y6882">
        <f>D6871</f>
        <v>1</v>
      </c>
      <c r="Z6882" t="str">
        <v>=</v>
      </c>
      <c r="AA6882">
        <f>IF(AA6883=0,(D6882*N6882+P6882*R6882)*U6882*Y6882,0)</f>
        <v>0</v>
      </c>
    </row>
    <row r="6883">
      <c r="A6883" t="str">
        <f>A6865</f>
        <v>Lantai Atap</v>
      </c>
      <c r="B6883">
        <f>B6865</f>
        <v>22</v>
      </c>
      <c r="D6883">
        <f>IF(AND(D6880=D6881,D6881=D6882,D6880=D6882),D6880,0)</f>
        <v>4</v>
      </c>
      <c r="E6883" t="str">
        <v>D</v>
      </c>
      <c r="F6883">
        <f>IF(AND(F6880=F6881,F6880=F6882,F6881=F6882),F6880,0)</f>
        <v>16</v>
      </c>
      <c r="L6883" t="str">
        <v>Total panjang per balok</v>
      </c>
      <c r="M6883" t="str">
        <v>=</v>
      </c>
      <c r="N6883">
        <f>IF(AND(D6880=D6881,D6880=D6882,D6881=D6882,F6880=F6881,F6880=F6882,F6881=F6882),SUM(N6880:N6882),0)</f>
        <v>11.034</v>
      </c>
      <c r="O6883" t="str">
        <v>+</v>
      </c>
      <c r="P6883">
        <f>IF(N6883&gt;12,ROUNDDOWN(N6883/12,0),0)</f>
        <v>0</v>
      </c>
      <c r="Q6883" t="str">
        <v>x</v>
      </c>
      <c r="R6883">
        <f>IF(P6883&gt;0,MAX(VLOOKUP(F6883,$D$6:$G$15,3,FALSE),600),0)/1000</f>
        <v>0</v>
      </c>
      <c r="T6883" t="str">
        <v>x</v>
      </c>
      <c r="U6883">
        <f>U6882</f>
        <v>1.57824</v>
      </c>
      <c r="V6883" t="str">
        <v>x</v>
      </c>
      <c r="W6883">
        <f>D6883</f>
        <v>4</v>
      </c>
      <c r="X6883" t="str">
        <v>x</v>
      </c>
      <c r="Y6883">
        <f>Y6882</f>
        <v>1</v>
      </c>
      <c r="Z6883" t="str">
        <v>=</v>
      </c>
      <c r="AA6883">
        <f>(N6883+P6883*R6883/1000)*U6883*W6883*Y6883</f>
        <v>69.65720064000001</v>
      </c>
    </row>
    <row r="6885">
      <c r="A6885" t="str">
        <f>A6865</f>
        <v>Lantai Atap</v>
      </c>
      <c r="B6885">
        <f>B6865</f>
        <v>22</v>
      </c>
      <c r="C6885" t="str">
        <v>Sengkang Tumpuan</v>
      </c>
      <c r="D6885">
        <f>VLOOKUP(D6865,'Detail Balok'!$C$10:$AU$140,31,FALSE)</f>
        <v>0</v>
      </c>
      <c r="E6885" t="str">
        <v>D</v>
      </c>
      <c r="F6885">
        <f>VLOOKUP(D6865,'Detail Balok'!$C$10:$AU$140,33,FALSE)</f>
        <v>10</v>
      </c>
      <c r="G6885" t="str">
        <v>-</v>
      </c>
      <c r="H6885">
        <f>VLOOKUP(D6865,'Detail Balok'!$C$10:$AU$140,35,FALSE)</f>
        <v>150</v>
      </c>
      <c r="J6885">
        <f>(IF(D6885=0,(2*(D6866+G6866))-(F$5*8),IF(D6885=3,(2*(D6866+G6866))-(F$5*8)+(G6866-2*F$5),IF(D6885=4,(2*(D6866+G6866))-(F$5*8)+2*(G6866-2*F$5)))))/1000</f>
        <v>1.08</v>
      </c>
      <c r="K6885" t="str">
        <v>+</v>
      </c>
      <c r="L6885">
        <f>IF(D6885=0,2*MAX(6*F6885,75),(D6885-1)*2*MAX(6*F6885,75))/1000</f>
        <v>0.15</v>
      </c>
      <c r="M6885" t="str">
        <v>=</v>
      </c>
      <c r="N6885">
        <f>J6885+L6885</f>
        <v>1.23</v>
      </c>
      <c r="T6885" t="str">
        <v>x</v>
      </c>
      <c r="U6885">
        <f>0.006165*F6885^2</f>
        <v>0.6165</v>
      </c>
      <c r="V6885" t="str">
        <v>x</v>
      </c>
      <c r="W6885">
        <f>IF(D6868&gt;4*G6866,ROUND(MAX(D6868/4,2*G6866)/H6885,0)+1,ROUND(D6868/H6885,0)+1)</f>
        <v>19</v>
      </c>
      <c r="X6885" t="str">
        <v>x</v>
      </c>
      <c r="Y6885">
        <f>D6871</f>
        <v>1</v>
      </c>
      <c r="Z6885" t="str">
        <v>=</v>
      </c>
      <c r="AA6885">
        <f>N6885*U6885*W6885*Y6885</f>
        <v>14.407605</v>
      </c>
    </row>
    <row r="6886">
      <c r="A6886" t="str">
        <f>A6865</f>
        <v>Lantai Atap</v>
      </c>
      <c r="B6886">
        <f>B6865</f>
        <v>22</v>
      </c>
      <c r="C6886" t="str">
        <v>Sengkang Lapangan</v>
      </c>
      <c r="D6886">
        <f>VLOOKUP(D6865,'Detail Balok'!$C$10:$AU$140,36,FALSE)</f>
        <v>0</v>
      </c>
      <c r="E6886" t="str">
        <v>D</v>
      </c>
      <c r="F6886">
        <f>VLOOKUP(D6865,'Detail Balok'!$C$10:$AU$140,38,FALSE)</f>
        <v>10</v>
      </c>
      <c r="G6886" t="str">
        <v>-</v>
      </c>
      <c r="H6886">
        <f>VLOOKUP(D6865,'Detail Balok'!$C$10:$AU$140,40,FALSE)</f>
        <v>200</v>
      </c>
      <c r="J6886">
        <f>(IF(D6886=0,(2*(D6866+G6866))-(F$5*8),IF(D6886=3,(2*(D6866+G6866))-(F$5*8)+(G6866-2*F$5),IF(D6886=4,(2*(D6866+G6866))-(F$5*8)+2*(G6866-2*F$5)))))/1000</f>
        <v>1.08</v>
      </c>
      <c r="K6886" t="str">
        <v>+</v>
      </c>
      <c r="L6886">
        <f>IF(D6886=0,2*MAX(6*F6886,75),(D6886-1)*2*MAX(6*F6886,75))/1000</f>
        <v>0.15</v>
      </c>
      <c r="M6886" t="str">
        <v>=</v>
      </c>
      <c r="N6886">
        <f>J6886+L6886</f>
        <v>1.23</v>
      </c>
      <c r="T6886" t="str">
        <v>x</v>
      </c>
      <c r="U6886">
        <f>0.006165*F6886^2</f>
        <v>0.6165</v>
      </c>
      <c r="V6886" t="str">
        <v>x</v>
      </c>
      <c r="W6886">
        <f>IF(D6868-MAX(D6868/4,2*G6866)*2&gt;0,ROUND((D6868-MAX(D6868/4,2*G6866)*2)/H6886,0),0)</f>
        <v>27</v>
      </c>
      <c r="X6886" t="str">
        <v>x</v>
      </c>
      <c r="Y6886">
        <f>D6871</f>
        <v>1</v>
      </c>
      <c r="Z6886" t="str">
        <v>=</v>
      </c>
      <c r="AA6886">
        <f>N6886*U6886*W6886*Y6886</f>
        <v>20.473965</v>
      </c>
    </row>
    <row r="6887">
      <c r="A6887" t="str">
        <f>A6865</f>
        <v>Lantai Atap</v>
      </c>
      <c r="B6887">
        <f>B6865</f>
        <v>22</v>
      </c>
      <c r="C6887" t="str">
        <v>Sengkang Tumpuan</v>
      </c>
      <c r="D6887">
        <f>VLOOKUP(D6865,'Detail Balok'!$C$10:$AU$140,41,FALSE)</f>
        <v>0</v>
      </c>
      <c r="E6887" t="str">
        <v>D</v>
      </c>
      <c r="F6887">
        <f>VLOOKUP(D6865,'Detail Balok'!$C$10:$AU$140,43,FALSE)</f>
        <v>10</v>
      </c>
      <c r="G6887" t="str">
        <v>-</v>
      </c>
      <c r="H6887">
        <f>VLOOKUP(D6865,'Detail Balok'!$C$10:$AU$140,45,FALSE)</f>
        <v>150</v>
      </c>
      <c r="J6887">
        <f>(IF(D6887=0,(2*(D6866+G6866))-(F$5*8),IF(D6887=3,(2*(D6866+G6866))-(F$5*8)+(G6866-2*F$5),IF(D6887=4,(2*(D6866+G6866))-(F$5*8)+2*(G6866-2*F$5)))))/1000</f>
        <v>1.08</v>
      </c>
      <c r="K6887" t="str">
        <v>+</v>
      </c>
      <c r="L6887">
        <f>IF(D6887=0,2*MAX(6*F6887,75),(D6887-1)*2*MAX(6*F6887,75))/1000</f>
        <v>0.15</v>
      </c>
      <c r="M6887" t="str">
        <v>=</v>
      </c>
      <c r="N6887">
        <f>J6887+L6887</f>
        <v>1.23</v>
      </c>
      <c r="T6887" t="str">
        <v>x</v>
      </c>
      <c r="U6887">
        <f>0.006165*F6887^2</f>
        <v>0.6165</v>
      </c>
      <c r="V6887" t="str">
        <v>x</v>
      </c>
      <c r="W6887">
        <f>IF(D6868&gt;4*G6866,ROUND(MAX(D6868/4,2*G6866)/H6887,0)+1,0)</f>
        <v>19</v>
      </c>
      <c r="X6887" t="str">
        <v>x</v>
      </c>
      <c r="Y6887">
        <f>D6871</f>
        <v>1</v>
      </c>
      <c r="Z6887" t="str">
        <v>=</v>
      </c>
      <c r="AA6887">
        <f>N6887*U6887*W6887*Y6887</f>
        <v>14.407605</v>
      </c>
    </row>
    <row r="6889">
      <c r="A6889" t="str">
        <f>A6865</f>
        <v>Lantai Atap</v>
      </c>
      <c r="B6889">
        <f>B6865</f>
        <v>22</v>
      </c>
      <c r="C6889" t="str">
        <v>Kait Horizontal Tump.</v>
      </c>
      <c r="D6889">
        <f>VLOOKUP(D6865,'Detail Balok'!$C$10:$BJ$140,46,FALSE)</f>
        <v>0</v>
      </c>
      <c r="E6889" t="str">
        <v>D</v>
      </c>
      <c r="F6889">
        <f>VLOOKUP(D6865,'Detail Balok'!$C$10:$BJ$140,48,FALSE)</f>
        <v>0</v>
      </c>
      <c r="G6889" t="str">
        <v>-</v>
      </c>
      <c r="H6889">
        <f>VLOOKUP(D6865,'Detail Balok'!$C$10:$BJ$140,50,FALSE)</f>
        <v>100</v>
      </c>
      <c r="J6889">
        <f>(D6866-2*F$5)/1000</f>
        <v>0.12</v>
      </c>
      <c r="K6889" t="str">
        <v>+</v>
      </c>
      <c r="L6889">
        <f>IF(D6889=0,2*MAX(6*F6889,75),(D6889-1)*2*MAX(6*F6889,75))/1000</f>
        <v>0.15</v>
      </c>
      <c r="M6889" t="str">
        <v>=</v>
      </c>
      <c r="N6889">
        <f>J6889+L6889</f>
        <v>0.27</v>
      </c>
      <c r="T6889" t="str">
        <v>x</v>
      </c>
      <c r="U6889">
        <f>0.006165*F6889^2</f>
        <v>0</v>
      </c>
      <c r="V6889" t="str">
        <v>x</v>
      </c>
      <c r="W6889">
        <f>W6885</f>
        <v>19</v>
      </c>
      <c r="X6889" t="str">
        <v>x</v>
      </c>
      <c r="Y6889">
        <f>D6875</f>
        <v>4</v>
      </c>
      <c r="Z6889" t="str">
        <v>=</v>
      </c>
      <c r="AA6889">
        <f>N6889*U6889*W6889*Y6889</f>
        <v>0</v>
      </c>
    </row>
    <row r="6890">
      <c r="A6890" t="str">
        <f>A6865</f>
        <v>Lantai Atap</v>
      </c>
      <c r="B6890">
        <f>B6865</f>
        <v>22</v>
      </c>
      <c r="C6890" t="str">
        <v>Kait Horizontal Lap.</v>
      </c>
      <c r="D6890">
        <f>VLOOKUP(D6865,'Detail Balok'!$C$10:$BJ$140,51,FALSE)</f>
        <v>0</v>
      </c>
      <c r="E6890" t="str">
        <v>D</v>
      </c>
      <c r="F6890">
        <f>VLOOKUP(D6865,'Detail Balok'!$C$10:$BJ$140,53,FALSE)</f>
        <v>0</v>
      </c>
      <c r="G6890" t="str">
        <v>-</v>
      </c>
      <c r="H6890">
        <f>VLOOKUP(D6865,'Detail Balok'!$C$10:$BJ$140,55,FALSE)</f>
        <v>100</v>
      </c>
      <c r="J6890">
        <f>(D6866-2*F$5)/1000</f>
        <v>0.12</v>
      </c>
      <c r="K6890" t="str">
        <v>+</v>
      </c>
      <c r="L6890">
        <f>IF(D6890=0,2*MAX(6*F6890,75),(D6890-1)*2*MAX(6*F6890,75))/1000</f>
        <v>0.15</v>
      </c>
      <c r="M6890" t="str">
        <v>=</v>
      </c>
      <c r="N6890">
        <f>J6890+L6890</f>
        <v>0.27</v>
      </c>
      <c r="T6890" t="str">
        <v>x</v>
      </c>
      <c r="U6890">
        <f>0.006165*F6890^2</f>
        <v>0</v>
      </c>
      <c r="V6890" t="str">
        <v>x</v>
      </c>
      <c r="W6890">
        <f>W6886</f>
        <v>27</v>
      </c>
      <c r="X6890" t="str">
        <v>x</v>
      </c>
      <c r="Y6890">
        <f>D6875</f>
        <v>4</v>
      </c>
      <c r="Z6890" t="str">
        <v>=</v>
      </c>
      <c r="AA6890">
        <f>N6890*U6890*W6890*Y6890</f>
        <v>0</v>
      </c>
    </row>
    <row r="6891">
      <c r="A6891" t="str">
        <f>A6865</f>
        <v>Lantai Atap</v>
      </c>
      <c r="B6891">
        <f>B6865</f>
        <v>22</v>
      </c>
      <c r="C6891" t="str">
        <v>Kait Horizontal Tump.</v>
      </c>
      <c r="D6891">
        <f>VLOOKUP(D6865,'Detail Balok'!$C$10:$BJ$140,56,FALSE)</f>
        <v>0</v>
      </c>
      <c r="E6891" t="str">
        <v>D</v>
      </c>
      <c r="F6891">
        <f>VLOOKUP(D6865,'Detail Balok'!$C$10:$BJ$140,58,FALSE)</f>
        <v>0</v>
      </c>
      <c r="G6891" t="str">
        <v>-</v>
      </c>
      <c r="H6891">
        <f>VLOOKUP(D6865,'Detail Balok'!$C$10:$BJ$140,60,FALSE)</f>
        <v>100</v>
      </c>
      <c r="J6891">
        <f>(D6866-2*F$5)/1000</f>
        <v>0.12</v>
      </c>
      <c r="K6891" t="str">
        <v>+</v>
      </c>
      <c r="L6891">
        <f>IF(D6891=0,2*MAX(6*F6891,75),(D6891-1)*2*MAX(6*F6891,75))/1000</f>
        <v>0.15</v>
      </c>
      <c r="M6891" t="str">
        <v>=</v>
      </c>
      <c r="N6891">
        <f>J6891+L6891</f>
        <v>0.27</v>
      </c>
      <c r="T6891" t="str">
        <v>x</v>
      </c>
      <c r="U6891">
        <f>0.006165*F6891^2</f>
        <v>0</v>
      </c>
      <c r="V6891" t="str">
        <v>x</v>
      </c>
      <c r="W6891">
        <f>W6887</f>
        <v>19</v>
      </c>
      <c r="X6891" t="str">
        <v>x</v>
      </c>
      <c r="Y6891">
        <f>D6875</f>
        <v>4</v>
      </c>
      <c r="Z6891" t="str">
        <v>=</v>
      </c>
      <c r="AA6891">
        <f>N6891*U6891*W6891*Y6891</f>
        <v>0</v>
      </c>
    </row>
    <row r="6895">
      <c r="A6895" t="str">
        <f>A6865</f>
        <v>Lantai Atap</v>
      </c>
      <c r="B6895">
        <f>B6865+1</f>
        <v>23</v>
      </c>
      <c r="C6895" t="str">
        <f>CONCATENATE(A6895," no. ",B6895)</f>
        <v>Lantai Atap no. 23</v>
      </c>
      <c r="D6895" t="str">
        <f>VLOOKUP(C6895,'Data Panjang Balok'!$C$9:$N$254,2,FALSE)</f>
        <v>B4-1</v>
      </c>
    </row>
    <row r="6896">
      <c r="C6896" t="str">
        <v>Dimensi</v>
      </c>
      <c r="D6896">
        <f>VLOOKUP(D6895,'Detail Balok'!$C$10:$AU$140,2,FALSE)</f>
        <v>130</v>
      </c>
      <c r="F6896" t="str">
        <v>x</v>
      </c>
      <c r="G6896">
        <f>VLOOKUP(D6895,'Detail Balok'!$C$10:$AU$140,3,FALSE)</f>
        <v>400</v>
      </c>
    </row>
    <row r="6897">
      <c r="C6897" t="str">
        <v>Panjang as ke as</v>
      </c>
      <c r="D6897">
        <f>VLOOKUP(C6895,'Data Panjang Balok'!$C$9:$N$254,4,FALSE)</f>
        <v>1950</v>
      </c>
    </row>
    <row r="6898">
      <c r="C6898" t="str">
        <v>Panjang netto</v>
      </c>
      <c r="D6898">
        <f>VLOOKUP(C6895,'Data Panjang Balok'!$C$9:$N$254,7,FALSE)</f>
        <v>1950</v>
      </c>
    </row>
    <row r="6899">
      <c r="C6899" t="str">
        <v>Kolom / balok kiri</v>
      </c>
      <c r="D6899">
        <f>VLOOKUP(C6895,'Data Panjang Balok'!$C$9:$N$254,9,FALSE)</f>
        <v>0</v>
      </c>
    </row>
    <row r="6900">
      <c r="C6900" t="str">
        <v>Kolom / balok kanan</v>
      </c>
      <c r="D6900">
        <f>VLOOKUP(C6895,'Data Panjang Balok'!$C$9:$N$254,10,FALSE)</f>
        <v>0</v>
      </c>
    </row>
    <row r="6901">
      <c r="C6901" t="str">
        <v>Jumlah</v>
      </c>
      <c r="D6901">
        <f>VLOOKUP(C6895,'Data Panjang Balok'!$C$9:$N$254,3,FALSE)</f>
        <v>1</v>
      </c>
    </row>
    <row r="6902">
      <c r="A6902" t="str">
        <f>A6895</f>
        <v>Lantai Atap</v>
      </c>
      <c r="B6902">
        <f>B6895</f>
        <v>23</v>
      </c>
      <c r="C6902" t="str">
        <v>Tul Atas Tumpuan</v>
      </c>
      <c r="D6902">
        <f>VLOOKUP(D6895,'Detail Balok'!$C$10:$AU$140,4,FALSE)</f>
        <v>2</v>
      </c>
      <c r="E6902" t="str">
        <v>D</v>
      </c>
      <c r="F6902">
        <f>VLOOKUP(D6895,'Detail Balok'!$C$10:$AU$140,6,FALSE)</f>
        <v>13</v>
      </c>
      <c r="I6902" t="str">
        <v>(</v>
      </c>
      <c r="J6902">
        <f>+D6897/4/1000</f>
        <v>0.4875</v>
      </c>
      <c r="K6902" t="str">
        <v>+</v>
      </c>
      <c r="L6902">
        <f>MAX(VLOOKUP(F6902,N$6:P$15,3,FALSE)/1000,2/3*D6899/1000)+F$16*F6902/1000</f>
        <v>0.156</v>
      </c>
      <c r="M6902" t="str">
        <v>=</v>
      </c>
      <c r="N6902">
        <f>J6902+L6902</f>
        <v>0.6435</v>
      </c>
      <c r="O6902" t="str">
        <v>+</v>
      </c>
      <c r="P6902">
        <f>D6902-D6903</f>
        <v>0</v>
      </c>
      <c r="Q6902" t="str">
        <v>x</v>
      </c>
      <c r="R6902">
        <f>IF(P6902&gt;0,$F$18*F6902/1000,0)</f>
        <v>0</v>
      </c>
      <c r="S6902" t="str">
        <v>)</v>
      </c>
      <c r="T6902" t="str">
        <v>x</v>
      </c>
      <c r="U6902">
        <f>0.006165*F6902^2</f>
        <v>1.041885</v>
      </c>
      <c r="X6902" t="str">
        <v>x</v>
      </c>
      <c r="Y6902">
        <f>D6901</f>
        <v>1</v>
      </c>
      <c r="Z6902" t="str">
        <v>=</v>
      </c>
      <c r="AA6902">
        <f>IF(AA6905=0,(D6902*N6902+P6902*R6902)*U6902*Y6902,0)</f>
        <v>0</v>
      </c>
    </row>
    <row r="6903">
      <c r="A6903" t="str">
        <f>A6895</f>
        <v>Lantai Atap</v>
      </c>
      <c r="B6903">
        <f>B6895</f>
        <v>23</v>
      </c>
      <c r="C6903" t="str">
        <v>Tul Atas Lapangan</v>
      </c>
      <c r="D6903">
        <f>VLOOKUP(D6895,'Detail Balok'!$C$10:$AU$140,7,FALSE)</f>
        <v>2</v>
      </c>
      <c r="E6903" t="str">
        <v>D</v>
      </c>
      <c r="F6903">
        <f>VLOOKUP(D6895,'Detail Balok'!$C$10:$AU$140,9,FALSE)</f>
        <v>13</v>
      </c>
      <c r="I6903" t="str">
        <v>(</v>
      </c>
      <c r="J6903">
        <f>+D6897/2/1000</f>
        <v>0.975</v>
      </c>
      <c r="K6903" t="str">
        <v>+</v>
      </c>
      <c r="M6903" t="str">
        <v>=</v>
      </c>
      <c r="N6903">
        <f>J6903+L6903</f>
        <v>0.975</v>
      </c>
      <c r="O6903" t="str">
        <v>+</v>
      </c>
      <c r="P6903">
        <f>MAX(D6903-D6902,D6903-D6904)</f>
        <v>0</v>
      </c>
      <c r="Q6903" t="str">
        <v>x</v>
      </c>
      <c r="R6903">
        <f>IF(P6903&gt;0,2*(1-2*$F$19-1/2)*D6898/1000,0)</f>
        <v>0</v>
      </c>
      <c r="S6903" t="str">
        <v>)</v>
      </c>
      <c r="T6903" t="str">
        <v>x</v>
      </c>
      <c r="U6903">
        <f>0.006165*F6903^2</f>
        <v>1.041885</v>
      </c>
      <c r="X6903" t="str">
        <v>x</v>
      </c>
      <c r="Y6903">
        <f>D6901</f>
        <v>1</v>
      </c>
      <c r="Z6903" t="str">
        <v>=</v>
      </c>
      <c r="AA6903">
        <f>IF(AA6905=0,(D6903*N6903+P6903*R6903)*U6903*Y6903,0)</f>
        <v>0</v>
      </c>
    </row>
    <row r="6904">
      <c r="A6904" t="str">
        <f>A6895</f>
        <v>Lantai Atap</v>
      </c>
      <c r="B6904">
        <f>B6895</f>
        <v>23</v>
      </c>
      <c r="C6904" t="str">
        <v>Tul Atas Tumpuan</v>
      </c>
      <c r="D6904">
        <f>VLOOKUP(D6895,'Detail Balok'!$C$10:$AU$140,10,FALSE)</f>
        <v>2</v>
      </c>
      <c r="E6904" t="str">
        <v>D</v>
      </c>
      <c r="F6904">
        <f>VLOOKUP(D6895,'Detail Balok'!$C$10:$AU$140,12,FALSE)</f>
        <v>13</v>
      </c>
      <c r="I6904" t="str">
        <v>(</v>
      </c>
      <c r="J6904">
        <f>+D6897/4/1000</f>
        <v>0.4875</v>
      </c>
      <c r="K6904" t="str">
        <v>+</v>
      </c>
      <c r="L6904">
        <f>MAX(VLOOKUP(F6904,N$6:P$15,3,FALSE)/1000,2/3*D6899/1000)+F$16*F6904/1000</f>
        <v>0.156</v>
      </c>
      <c r="M6904" t="str">
        <v>=</v>
      </c>
      <c r="N6904">
        <f>J6904+L6904</f>
        <v>0.6435</v>
      </c>
      <c r="O6904" t="str">
        <v>+</v>
      </c>
      <c r="P6904">
        <f>D6904-D6903</f>
        <v>0</v>
      </c>
      <c r="Q6904" t="str">
        <v>x</v>
      </c>
      <c r="R6904">
        <f>IF(P6904&gt;0,$F$18*F6904/1000,0)</f>
        <v>0</v>
      </c>
      <c r="S6904" t="str">
        <v>)</v>
      </c>
      <c r="T6904" t="str">
        <v>x</v>
      </c>
      <c r="U6904">
        <f>0.006165*F6904^2</f>
        <v>1.041885</v>
      </c>
      <c r="X6904" t="str">
        <v>x</v>
      </c>
      <c r="Y6904">
        <f>D6901</f>
        <v>1</v>
      </c>
      <c r="Z6904" t="str">
        <v>=</v>
      </c>
      <c r="AA6904">
        <f>IF(AA6905=0,(D6904*N6904+P6904*R6904)*U6904*Y6904,0)</f>
        <v>0</v>
      </c>
    </row>
    <row r="6905">
      <c r="A6905" t="str">
        <f>A6895</f>
        <v>Lantai Atap</v>
      </c>
      <c r="B6905">
        <f>B6895</f>
        <v>23</v>
      </c>
      <c r="D6905">
        <f>IF(AND(D6902=D6903,D6903=D6904,D6902=D6904),D6902,0)</f>
        <v>2</v>
      </c>
      <c r="E6905" t="str">
        <v>D</v>
      </c>
      <c r="F6905">
        <f>IF(AND(F6902=F6903,F6902=F6904,F6903=F6904),F6902,0)</f>
        <v>13</v>
      </c>
      <c r="L6905" t="str">
        <v>Total panjang per balok</v>
      </c>
      <c r="M6905" t="str">
        <v>=</v>
      </c>
      <c r="N6905">
        <f>IF(AND(D6902=D6903,D6902=D6904,D6903=D6904,F6902=F6903,F6902=F6904,F6903=F6904),SUM(N6902:N6904),0)</f>
        <v>2.262</v>
      </c>
      <c r="O6905" t="str">
        <v>+</v>
      </c>
      <c r="P6905">
        <f>IF(N6905&gt;12,ROUNDDOWN(N6905/12,0),0)</f>
        <v>0</v>
      </c>
      <c r="Q6905" t="str">
        <v>x</v>
      </c>
      <c r="R6905">
        <f>IF(P6905&gt;0,MAX(VLOOKUP(F6905,$D$6:$G$15,3,FALSE),600),0)/1000</f>
        <v>0</v>
      </c>
      <c r="T6905" t="str">
        <v>x</v>
      </c>
      <c r="U6905">
        <f>U6904</f>
        <v>1.041885</v>
      </c>
      <c r="V6905" t="str">
        <v>x</v>
      </c>
      <c r="W6905">
        <f>D6905</f>
        <v>2</v>
      </c>
      <c r="X6905" t="str">
        <v>x</v>
      </c>
      <c r="Y6905">
        <f>Y6904</f>
        <v>1</v>
      </c>
      <c r="Z6905" t="str">
        <v>=</v>
      </c>
      <c r="AA6905">
        <f>(N6905+P6905*R6905/1000)*U6905*W6905*Y6905</f>
        <v>4.71348774</v>
      </c>
    </row>
    <row r="6907">
      <c r="A6907" t="str">
        <f>A6895</f>
        <v>Lantai Atap</v>
      </c>
      <c r="B6907">
        <f>B6895</f>
        <v>23</v>
      </c>
      <c r="C6907" t="str">
        <v>Tul Peminggang</v>
      </c>
      <c r="D6907">
        <f>VLOOKUP(D6895,'Detail Balok'!$C$10:$AU$140,13,FALSE)</f>
        <v>0</v>
      </c>
      <c r="E6907" t="str">
        <v>D</v>
      </c>
      <c r="F6907">
        <f>VLOOKUP(D6895,'Detail Balok'!$C$10:$AU$140,15,FALSE)</f>
        <v>8</v>
      </c>
      <c r="J6907">
        <f>+D6897/1000</f>
        <v>1.95</v>
      </c>
      <c r="K6907" t="str">
        <v>+</v>
      </c>
      <c r="L6907">
        <f>2*$F$16*F6907/1000</f>
        <v>0.192</v>
      </c>
      <c r="M6907" t="str">
        <v>=</v>
      </c>
      <c r="N6907">
        <f>J6907+L6907</f>
        <v>2.142</v>
      </c>
      <c r="O6907" t="str">
        <v>+</v>
      </c>
      <c r="P6907">
        <f>IF(N6907&gt;12,ROUNDDOWN(N6907/12,0),0)</f>
        <v>0</v>
      </c>
      <c r="Q6907" t="str">
        <v>x</v>
      </c>
      <c r="R6907">
        <f>IF(P6907&gt;0,MAX(VLOOKUP(F6907,$D$6:$G$15,3,FALSE),600),0)/1000</f>
        <v>0</v>
      </c>
      <c r="T6907" t="str">
        <v>x</v>
      </c>
      <c r="U6907">
        <f>0.006165*F6907^2</f>
        <v>0.39456</v>
      </c>
      <c r="V6907" t="str">
        <v>x</v>
      </c>
      <c r="W6907">
        <f>+D6907</f>
        <v>0</v>
      </c>
      <c r="X6907" t="str">
        <v>x</v>
      </c>
      <c r="Y6907">
        <f>D6901</f>
        <v>1</v>
      </c>
      <c r="Z6907" t="str">
        <v>=</v>
      </c>
      <c r="AA6907">
        <f>(N6907+P6907*R6907/1000)*U6907*W6907*Y6907</f>
        <v>0</v>
      </c>
    </row>
    <row r="6910">
      <c r="A6910" t="str">
        <f>A6895</f>
        <v>Lantai Atap</v>
      </c>
      <c r="B6910">
        <f>B6895</f>
        <v>23</v>
      </c>
      <c r="C6910" t="str">
        <v>Tul Bawah Tumpuan</v>
      </c>
      <c r="D6910">
        <f>VLOOKUP(D6895,'Detail Balok'!$C$10:$AU$140,22,FALSE)</f>
        <v>2</v>
      </c>
      <c r="E6910" t="str">
        <v>D</v>
      </c>
      <c r="F6910">
        <f>VLOOKUP(D6895,'Detail Balok'!$C$10:$AU$140,24,FALSE)</f>
        <v>13</v>
      </c>
      <c r="I6910" t="str">
        <v>(</v>
      </c>
      <c r="J6910">
        <f>+J6902</f>
        <v>0.4875</v>
      </c>
      <c r="K6910" t="str">
        <v>+</v>
      </c>
      <c r="L6910">
        <f>MAX(VLOOKUP(F6910,N$6:P$15,3,FALSE)/1000,2/3*D6900/1000)+F$16*F6910/1000</f>
        <v>0.156</v>
      </c>
      <c r="M6910" t="str">
        <v>=</v>
      </c>
      <c r="N6910">
        <f>J6910+L6910</f>
        <v>0.6435</v>
      </c>
      <c r="O6910" t="str">
        <v>+</v>
      </c>
      <c r="P6910">
        <f>D6910-D6911</f>
        <v>0</v>
      </c>
      <c r="Q6910" t="str">
        <v>x</v>
      </c>
      <c r="R6910">
        <f>IF(P6910&gt;0,$F$18*F6910/1000,0)</f>
        <v>0</v>
      </c>
      <c r="S6910" t="str">
        <v>)</v>
      </c>
      <c r="T6910" t="str">
        <v>x</v>
      </c>
      <c r="U6910">
        <f>0.006165*F6910^2</f>
        <v>1.041885</v>
      </c>
      <c r="X6910" t="str">
        <v>x</v>
      </c>
      <c r="Y6910">
        <f>D6901</f>
        <v>1</v>
      </c>
      <c r="Z6910" t="str">
        <v>=</v>
      </c>
      <c r="AA6910">
        <f>IF(AA6913=0,(D6910*N6910+P6910*R6910)*U6910*Y6910,0)</f>
        <v>0</v>
      </c>
    </row>
    <row r="6911">
      <c r="A6911" t="str">
        <f>A6895</f>
        <v>Lantai Atap</v>
      </c>
      <c r="B6911">
        <f>B6895</f>
        <v>23</v>
      </c>
      <c r="C6911" t="str">
        <v>Tul Bawah Lapangan</v>
      </c>
      <c r="D6911">
        <f>VLOOKUP(D6895,'Detail Balok'!$C$10:$AU$140,25,FALSE)</f>
        <v>2</v>
      </c>
      <c r="E6911" t="str">
        <v>D</v>
      </c>
      <c r="F6911">
        <f>VLOOKUP(D6895,'Detail Balok'!$C$10:$AU$140,27,FALSE)</f>
        <v>13</v>
      </c>
      <c r="I6911" t="str">
        <v>(</v>
      </c>
      <c r="J6911">
        <f>+J6903</f>
        <v>0.975</v>
      </c>
      <c r="K6911" t="str">
        <v>+</v>
      </c>
      <c r="M6911" t="str">
        <v>=</v>
      </c>
      <c r="N6911">
        <f>J6911+L6911</f>
        <v>0.975</v>
      </c>
      <c r="O6911" t="str">
        <v>+</v>
      </c>
      <c r="P6911">
        <f>MAX(D6911-D6910,D6911-D6912)</f>
        <v>0</v>
      </c>
      <c r="Q6911" t="str">
        <v>x</v>
      </c>
      <c r="R6911">
        <f>IF(P6911&gt;0,2*(1-2*$F$19-1/2)*D6898/1000,0)</f>
        <v>0</v>
      </c>
      <c r="S6911" t="str">
        <v>)</v>
      </c>
      <c r="T6911" t="str">
        <v>x</v>
      </c>
      <c r="U6911">
        <f>0.006165*F6911^2</f>
        <v>1.041885</v>
      </c>
      <c r="X6911" t="str">
        <v>x</v>
      </c>
      <c r="Y6911">
        <f>D6901</f>
        <v>1</v>
      </c>
      <c r="Z6911" t="str">
        <v>=</v>
      </c>
      <c r="AA6911">
        <f>IF(AA6913=0,(D6911*N6911+P6911*R6911)*U6911*Y6911,0)</f>
        <v>0</v>
      </c>
    </row>
    <row r="6912">
      <c r="A6912" t="str">
        <f>A6895</f>
        <v>Lantai Atap</v>
      </c>
      <c r="B6912">
        <f>B6895</f>
        <v>23</v>
      </c>
      <c r="C6912" t="str">
        <v>Tul Bawah Tumpuan</v>
      </c>
      <c r="D6912">
        <f>VLOOKUP(D6895,'Detail Balok'!$C$10:$AU$140,28,FALSE)</f>
        <v>2</v>
      </c>
      <c r="E6912" t="str">
        <v>D</v>
      </c>
      <c r="F6912">
        <f>VLOOKUP(D6895,'Detail Balok'!$C$10:$AU$140,30,FALSE)</f>
        <v>13</v>
      </c>
      <c r="I6912" t="str">
        <v>(</v>
      </c>
      <c r="J6912">
        <f>+J6904</f>
        <v>0.4875</v>
      </c>
      <c r="K6912" t="str">
        <v>+</v>
      </c>
      <c r="L6912">
        <f>MAX(VLOOKUP(F6912,N$6:P$15,3,FALSE)/1000,2/3*D6900/1000)+F$16*F6912/1000</f>
        <v>0.156</v>
      </c>
      <c r="M6912" t="str">
        <v>=</v>
      </c>
      <c r="N6912">
        <f>J6912+L6912</f>
        <v>0.6435</v>
      </c>
      <c r="O6912" t="str">
        <v>+</v>
      </c>
      <c r="P6912">
        <f>D6912-D6911</f>
        <v>0</v>
      </c>
      <c r="Q6912" t="str">
        <v>x</v>
      </c>
      <c r="R6912">
        <f>IF(P6912&gt;0,$F$18*F6912/1000,0)</f>
        <v>0</v>
      </c>
      <c r="S6912" t="str">
        <v>)</v>
      </c>
      <c r="T6912" t="str">
        <v>x</v>
      </c>
      <c r="U6912">
        <f>0.006165*F6912^2</f>
        <v>1.041885</v>
      </c>
      <c r="X6912" t="str">
        <v>x</v>
      </c>
      <c r="Y6912">
        <f>D6901</f>
        <v>1</v>
      </c>
      <c r="Z6912" t="str">
        <v>=</v>
      </c>
      <c r="AA6912">
        <f>IF(AA6913=0,(D6912*N6912+P6912*R6912)*U6912*Y6912,0)</f>
        <v>0</v>
      </c>
    </row>
    <row r="6913">
      <c r="A6913" t="str">
        <f>A6895</f>
        <v>Lantai Atap</v>
      </c>
      <c r="B6913">
        <f>B6895</f>
        <v>23</v>
      </c>
      <c r="D6913">
        <f>IF(AND(D6910=D6911,D6911=D6912,D6910=D6912),D6910,0)</f>
        <v>2</v>
      </c>
      <c r="E6913" t="str">
        <v>D</v>
      </c>
      <c r="F6913">
        <f>IF(AND(F6910=F6911,F6910=F6912,F6911=F6912),F6910,0)</f>
        <v>13</v>
      </c>
      <c r="L6913" t="str">
        <v>Total panjang per balok</v>
      </c>
      <c r="M6913" t="str">
        <v>=</v>
      </c>
      <c r="N6913">
        <f>IF(AND(D6910=D6911,D6910=D6912,D6911=D6912,F6910=F6911,F6910=F6912,F6911=F6912),SUM(N6910:N6912),0)</f>
        <v>2.262</v>
      </c>
      <c r="O6913" t="str">
        <v>+</v>
      </c>
      <c r="P6913">
        <f>IF(N6913&gt;12,ROUNDDOWN(N6913/12,0),0)</f>
        <v>0</v>
      </c>
      <c r="Q6913" t="str">
        <v>x</v>
      </c>
      <c r="R6913">
        <f>IF(P6913&gt;0,MAX(VLOOKUP(F6913,$D$6:$G$15,3,FALSE),600),0)/1000</f>
        <v>0</v>
      </c>
      <c r="T6913" t="str">
        <v>x</v>
      </c>
      <c r="U6913">
        <f>U6912</f>
        <v>1.041885</v>
      </c>
      <c r="V6913" t="str">
        <v>x</v>
      </c>
      <c r="W6913">
        <f>D6913</f>
        <v>2</v>
      </c>
      <c r="X6913" t="str">
        <v>x</v>
      </c>
      <c r="Y6913">
        <f>Y6912</f>
        <v>1</v>
      </c>
      <c r="Z6913" t="str">
        <v>=</v>
      </c>
      <c r="AA6913">
        <f>(N6913+P6913*R6913/1000)*U6913*W6913*Y6913</f>
        <v>4.71348774</v>
      </c>
    </row>
    <row r="6915">
      <c r="A6915" t="str">
        <f>A6895</f>
        <v>Lantai Atap</v>
      </c>
      <c r="B6915">
        <f>B6895</f>
        <v>23</v>
      </c>
      <c r="C6915" t="str">
        <v>Sengkang Tumpuan</v>
      </c>
      <c r="D6915">
        <f>VLOOKUP(D6895,'Detail Balok'!$C$10:$AU$140,31,FALSE)</f>
        <v>0</v>
      </c>
      <c r="E6915" t="str">
        <v>D</v>
      </c>
      <c r="F6915">
        <f>VLOOKUP(D6895,'Detail Balok'!$C$10:$AU$140,33,FALSE)</f>
        <v>8</v>
      </c>
      <c r="G6915" t="str">
        <v>-</v>
      </c>
      <c r="H6915">
        <f>VLOOKUP(D6895,'Detail Balok'!$C$10:$AU$140,35,FALSE)</f>
        <v>150</v>
      </c>
      <c r="J6915">
        <f>(IF(D6915=0,(2*(D6896+G6896))-(F$5*8),IF(D6915=3,(2*(D6896+G6896))-(F$5*8)+(G6896-2*F$5),IF(D6915=4,(2*(D6896+G6896))-(F$5*8)+2*(G6896-2*F$5)))))/1000</f>
        <v>0.74</v>
      </c>
      <c r="K6915" t="str">
        <v>+</v>
      </c>
      <c r="L6915">
        <f>IF(D6915=0,2*MAX(6*F6915,75),(D6915-1)*2*MAX(6*F6915,75))/1000</f>
        <v>0.15</v>
      </c>
      <c r="M6915" t="str">
        <v>=</v>
      </c>
      <c r="N6915">
        <f>J6915+L6915</f>
        <v>0.89</v>
      </c>
      <c r="T6915" t="str">
        <v>x</v>
      </c>
      <c r="U6915">
        <f>0.006165*F6915^2</f>
        <v>0.39456</v>
      </c>
      <c r="V6915" t="str">
        <v>x</v>
      </c>
      <c r="W6915">
        <f>IF(D6898&gt;4*G6896,ROUND(MAX(D6898/4,2*G6896)/H6915,0)+1,ROUND(D6898/H6915,0)+1)</f>
        <v>6</v>
      </c>
      <c r="X6915" t="str">
        <v>x</v>
      </c>
      <c r="Y6915">
        <f>D6901</f>
        <v>1</v>
      </c>
      <c r="Z6915" t="str">
        <v>=</v>
      </c>
      <c r="AA6915">
        <f>N6915*U6915*W6915*Y6915</f>
        <v>2.1069504</v>
      </c>
    </row>
    <row r="6916">
      <c r="A6916" t="str">
        <f>A6895</f>
        <v>Lantai Atap</v>
      </c>
      <c r="B6916">
        <f>B6895</f>
        <v>23</v>
      </c>
      <c r="C6916" t="str">
        <v>Sengkang Lapangan</v>
      </c>
      <c r="D6916">
        <f>VLOOKUP(D6895,'Detail Balok'!$C$10:$AU$140,36,FALSE)</f>
        <v>0</v>
      </c>
      <c r="E6916" t="str">
        <v>D</v>
      </c>
      <c r="F6916">
        <f>VLOOKUP(D6895,'Detail Balok'!$C$10:$AU$140,38,FALSE)</f>
        <v>8</v>
      </c>
      <c r="G6916" t="str">
        <v>-</v>
      </c>
      <c r="H6916">
        <f>VLOOKUP(D6895,'Detail Balok'!$C$10:$AU$140,40,FALSE)</f>
        <v>200</v>
      </c>
      <c r="J6916">
        <f>(IF(D6916=0,(2*(D6896+G6896))-(F$5*8),IF(D6916=3,(2*(D6896+G6896))-(F$5*8)+(G6896-2*F$5),IF(D6916=4,(2*(D6896+G6896))-(F$5*8)+2*(G6896-2*F$5)))))/1000</f>
        <v>0.74</v>
      </c>
      <c r="K6916" t="str">
        <v>+</v>
      </c>
      <c r="L6916">
        <f>IF(D6916=0,2*MAX(6*F6916,75),(D6916-1)*2*MAX(6*F6916,75))/1000</f>
        <v>0.15</v>
      </c>
      <c r="M6916" t="str">
        <v>=</v>
      </c>
      <c r="N6916">
        <f>J6916+L6916</f>
        <v>0.89</v>
      </c>
      <c r="T6916" t="str">
        <v>x</v>
      </c>
      <c r="U6916">
        <f>0.006165*F6916^2</f>
        <v>0.39456</v>
      </c>
      <c r="V6916" t="str">
        <v>x</v>
      </c>
      <c r="W6916">
        <f>IF(D6898-MAX(D6898/4,2*G6896)*2&gt;0,ROUND((D6898-MAX(D6898/4,2*G6896)*2)/H6916,0),0)</f>
        <v>2</v>
      </c>
      <c r="X6916" t="str">
        <v>x</v>
      </c>
      <c r="Y6916">
        <f>D6901</f>
        <v>1</v>
      </c>
      <c r="Z6916" t="str">
        <v>=</v>
      </c>
      <c r="AA6916">
        <f>N6916*U6916*W6916*Y6916</f>
        <v>0.7023168000000001</v>
      </c>
    </row>
    <row r="6917">
      <c r="A6917" t="str">
        <f>A6895</f>
        <v>Lantai Atap</v>
      </c>
      <c r="B6917">
        <f>B6895</f>
        <v>23</v>
      </c>
      <c r="C6917" t="str">
        <v>Sengkang Tumpuan</v>
      </c>
      <c r="D6917">
        <f>VLOOKUP(D6895,'Detail Balok'!$C$10:$AU$140,41,FALSE)</f>
        <v>0</v>
      </c>
      <c r="E6917" t="str">
        <v>D</v>
      </c>
      <c r="F6917">
        <f>VLOOKUP(D6895,'Detail Balok'!$C$10:$AU$140,43,FALSE)</f>
        <v>8</v>
      </c>
      <c r="G6917" t="str">
        <v>-</v>
      </c>
      <c r="H6917">
        <f>VLOOKUP(D6895,'Detail Balok'!$C$10:$AU$140,45,FALSE)</f>
        <v>150</v>
      </c>
      <c r="J6917">
        <f>(IF(D6917=0,(2*(D6896+G6896))-(F$5*8),IF(D6917=3,(2*(D6896+G6896))-(F$5*8)+(G6896-2*F$5),IF(D6917=4,(2*(D6896+G6896))-(F$5*8)+2*(G6896-2*F$5)))))/1000</f>
        <v>0.74</v>
      </c>
      <c r="K6917" t="str">
        <v>+</v>
      </c>
      <c r="L6917">
        <f>IF(D6917=0,2*MAX(6*F6917,75),(D6917-1)*2*MAX(6*F6917,75))/1000</f>
        <v>0.15</v>
      </c>
      <c r="M6917" t="str">
        <v>=</v>
      </c>
      <c r="N6917">
        <f>J6917+L6917</f>
        <v>0.89</v>
      </c>
      <c r="T6917" t="str">
        <v>x</v>
      </c>
      <c r="U6917">
        <f>0.006165*F6917^2</f>
        <v>0.39456</v>
      </c>
      <c r="V6917" t="str">
        <v>x</v>
      </c>
      <c r="W6917">
        <f>IF(D6898&gt;4*G6896,ROUND(MAX(D6898/4,2*G6896)/H6917,0)+1,0)</f>
        <v>6</v>
      </c>
      <c r="X6917" t="str">
        <v>x</v>
      </c>
      <c r="Y6917">
        <f>D6901</f>
        <v>1</v>
      </c>
      <c r="Z6917" t="str">
        <v>=</v>
      </c>
      <c r="AA6917">
        <f>N6917*U6917*W6917*Y6917</f>
        <v>2.1069504</v>
      </c>
    </row>
    <row r="6919">
      <c r="A6919" t="str">
        <f>A6895</f>
        <v>Lantai Atap</v>
      </c>
      <c r="B6919">
        <f>B6895</f>
        <v>23</v>
      </c>
      <c r="C6919" t="str">
        <v>Kait Horizontal Tump.</v>
      </c>
      <c r="D6919">
        <f>VLOOKUP(D6895,'Detail Balok'!$C$10:$BJ$140,46,FALSE)</f>
        <v>0</v>
      </c>
      <c r="E6919" t="str">
        <v>D</v>
      </c>
      <c r="F6919">
        <f>VLOOKUP(D6895,'Detail Balok'!$C$10:$BJ$140,48,FALSE)</f>
        <v>0</v>
      </c>
      <c r="G6919" t="str">
        <v>-</v>
      </c>
      <c r="H6919">
        <f>VLOOKUP(D6895,'Detail Balok'!$C$10:$BJ$140,50,FALSE)</f>
        <v>100</v>
      </c>
      <c r="J6919">
        <f>(D6896-2*F$5)/1000</f>
        <v>0.05</v>
      </c>
      <c r="K6919" t="str">
        <v>+</v>
      </c>
      <c r="L6919">
        <f>IF(D6919=0,2*MAX(6*F6919,75),(D6919-1)*2*MAX(6*F6919,75))/1000</f>
        <v>0.15</v>
      </c>
      <c r="M6919" t="str">
        <v>=</v>
      </c>
      <c r="N6919">
        <f>J6919+L6919</f>
        <v>0.2</v>
      </c>
      <c r="T6919" t="str">
        <v>x</v>
      </c>
      <c r="U6919">
        <f>0.006165*F6919^2</f>
        <v>0</v>
      </c>
      <c r="V6919" t="str">
        <v>x</v>
      </c>
      <c r="W6919">
        <f>W6915</f>
        <v>6</v>
      </c>
      <c r="X6919" t="str">
        <v>x</v>
      </c>
      <c r="Y6919">
        <f>D6905</f>
        <v>2</v>
      </c>
      <c r="Z6919" t="str">
        <v>=</v>
      </c>
      <c r="AA6919">
        <f>N6919*U6919*W6919*Y6919</f>
        <v>0</v>
      </c>
    </row>
    <row r="6920">
      <c r="A6920" t="str">
        <f>A6895</f>
        <v>Lantai Atap</v>
      </c>
      <c r="B6920">
        <f>B6895</f>
        <v>23</v>
      </c>
      <c r="C6920" t="str">
        <v>Kait Horizontal Lap.</v>
      </c>
      <c r="D6920">
        <f>VLOOKUP(D6895,'Detail Balok'!$C$10:$BJ$140,51,FALSE)</f>
        <v>0</v>
      </c>
      <c r="E6920" t="str">
        <v>D</v>
      </c>
      <c r="F6920">
        <f>VLOOKUP(D6895,'Detail Balok'!$C$10:$BJ$140,53,FALSE)</f>
        <v>0</v>
      </c>
      <c r="G6920" t="str">
        <v>-</v>
      </c>
      <c r="H6920">
        <f>VLOOKUP(D6895,'Detail Balok'!$C$10:$BJ$140,55,FALSE)</f>
        <v>100</v>
      </c>
      <c r="J6920">
        <f>(D6896-2*F$5)/1000</f>
        <v>0.05</v>
      </c>
      <c r="K6920" t="str">
        <v>+</v>
      </c>
      <c r="L6920">
        <f>IF(D6920=0,2*MAX(6*F6920,75),(D6920-1)*2*MAX(6*F6920,75))/1000</f>
        <v>0.15</v>
      </c>
      <c r="M6920" t="str">
        <v>=</v>
      </c>
      <c r="N6920">
        <f>J6920+L6920</f>
        <v>0.2</v>
      </c>
      <c r="T6920" t="str">
        <v>x</v>
      </c>
      <c r="U6920">
        <f>0.006165*F6920^2</f>
        <v>0</v>
      </c>
      <c r="V6920" t="str">
        <v>x</v>
      </c>
      <c r="W6920">
        <f>W6916</f>
        <v>2</v>
      </c>
      <c r="X6920" t="str">
        <v>x</v>
      </c>
      <c r="Y6920">
        <f>D6905</f>
        <v>2</v>
      </c>
      <c r="Z6920" t="str">
        <v>=</v>
      </c>
      <c r="AA6920">
        <f>N6920*U6920*W6920*Y6920</f>
        <v>0</v>
      </c>
    </row>
    <row r="6921">
      <c r="A6921" t="str">
        <f>A6895</f>
        <v>Lantai Atap</v>
      </c>
      <c r="B6921">
        <f>B6895</f>
        <v>23</v>
      </c>
      <c r="C6921" t="str">
        <v>Kait Horizontal Tump.</v>
      </c>
      <c r="D6921">
        <f>VLOOKUP(D6895,'Detail Balok'!$C$10:$BJ$140,56,FALSE)</f>
        <v>0</v>
      </c>
      <c r="E6921" t="str">
        <v>D</v>
      </c>
      <c r="F6921">
        <f>VLOOKUP(D6895,'Detail Balok'!$C$10:$BJ$140,58,FALSE)</f>
        <v>0</v>
      </c>
      <c r="G6921" t="str">
        <v>-</v>
      </c>
      <c r="H6921">
        <f>VLOOKUP(D6895,'Detail Balok'!$C$10:$BJ$140,60,FALSE)</f>
        <v>100</v>
      </c>
      <c r="J6921">
        <f>(D6896-2*F$5)/1000</f>
        <v>0.05</v>
      </c>
      <c r="K6921" t="str">
        <v>+</v>
      </c>
      <c r="L6921">
        <f>IF(D6921=0,2*MAX(6*F6921,75),(D6921-1)*2*MAX(6*F6921,75))/1000</f>
        <v>0.15</v>
      </c>
      <c r="M6921" t="str">
        <v>=</v>
      </c>
      <c r="N6921">
        <f>J6921+L6921</f>
        <v>0.2</v>
      </c>
      <c r="T6921" t="str">
        <v>x</v>
      </c>
      <c r="U6921">
        <f>0.006165*F6921^2</f>
        <v>0</v>
      </c>
      <c r="V6921" t="str">
        <v>x</v>
      </c>
      <c r="W6921">
        <f>W6917</f>
        <v>6</v>
      </c>
      <c r="X6921" t="str">
        <v>x</v>
      </c>
      <c r="Y6921">
        <f>D6905</f>
        <v>2</v>
      </c>
      <c r="Z6921" t="str">
        <v>=</v>
      </c>
      <c r="AA6921">
        <f>N6921*U6921*W6921*Y6921</f>
        <v>0</v>
      </c>
    </row>
    <row r="6925">
      <c r="A6925" t="str">
        <f>A6895</f>
        <v>Lantai Atap</v>
      </c>
      <c r="B6925">
        <f>B6895+1</f>
        <v>24</v>
      </c>
      <c r="C6925" t="str">
        <f>CONCATENATE(A6925," no. ",B6925)</f>
        <v>Lantai Atap no. 24</v>
      </c>
      <c r="D6925" t="str">
        <f>VLOOKUP(C6925,'Data Panjang Balok'!$C$9:$N$254,2,FALSE)</f>
        <v>B4-1</v>
      </c>
    </row>
    <row r="6926">
      <c r="C6926" t="str">
        <v>Dimensi</v>
      </c>
      <c r="D6926">
        <f>VLOOKUP(D6925,'Detail Balok'!$C$10:$AU$140,2,FALSE)</f>
        <v>130</v>
      </c>
      <c r="F6926" t="str">
        <v>x</v>
      </c>
      <c r="G6926">
        <f>VLOOKUP(D6925,'Detail Balok'!$C$10:$AU$140,3,FALSE)</f>
        <v>400</v>
      </c>
    </row>
    <row r="6927">
      <c r="C6927" t="str">
        <v>Panjang as ke as</v>
      </c>
      <c r="D6927">
        <f>VLOOKUP(C6925,'Data Panjang Balok'!$C$9:$N$254,4,FALSE)</f>
        <v>1950</v>
      </c>
    </row>
    <row r="6928">
      <c r="C6928" t="str">
        <v>Panjang netto</v>
      </c>
      <c r="D6928">
        <f>VLOOKUP(C6925,'Data Panjang Balok'!$C$9:$N$254,7,FALSE)</f>
        <v>1950</v>
      </c>
    </row>
    <row r="6929">
      <c r="C6929" t="str">
        <v>Kolom / balok kiri</v>
      </c>
      <c r="D6929">
        <f>VLOOKUP(C6925,'Data Panjang Balok'!$C$9:$N$254,9,FALSE)</f>
        <v>0</v>
      </c>
    </row>
    <row r="6930">
      <c r="C6930" t="str">
        <v>Kolom / balok kanan</v>
      </c>
      <c r="D6930">
        <f>VLOOKUP(C6925,'Data Panjang Balok'!$C$9:$N$254,10,FALSE)</f>
        <v>0</v>
      </c>
    </row>
    <row r="6931">
      <c r="C6931" t="str">
        <v>Jumlah</v>
      </c>
      <c r="D6931">
        <f>VLOOKUP(C6925,'Data Panjang Balok'!$C$9:$N$254,3,FALSE)</f>
        <v>1</v>
      </c>
    </row>
    <row r="6932">
      <c r="A6932" t="str">
        <f>A6925</f>
        <v>Lantai Atap</v>
      </c>
      <c r="B6932">
        <f>B6925</f>
        <v>24</v>
      </c>
      <c r="C6932" t="str">
        <v>Tul Atas Tumpuan</v>
      </c>
      <c r="D6932">
        <f>VLOOKUP(D6925,'Detail Balok'!$C$10:$AU$140,4,FALSE)</f>
        <v>2</v>
      </c>
      <c r="E6932" t="str">
        <v>D</v>
      </c>
      <c r="F6932">
        <f>VLOOKUP(D6925,'Detail Balok'!$C$10:$AU$140,6,FALSE)</f>
        <v>13</v>
      </c>
      <c r="I6932" t="str">
        <v>(</v>
      </c>
      <c r="J6932">
        <f>+D6927/4/1000</f>
        <v>0.4875</v>
      </c>
      <c r="K6932" t="str">
        <v>+</v>
      </c>
      <c r="L6932">
        <f>MAX(VLOOKUP(F6932,N$6:P$15,3,FALSE)/1000,2/3*D6929/1000)+F$16*F6932/1000</f>
        <v>0.156</v>
      </c>
      <c r="M6932" t="str">
        <v>=</v>
      </c>
      <c r="N6932">
        <f>J6932+L6932</f>
        <v>0.6435</v>
      </c>
      <c r="O6932" t="str">
        <v>+</v>
      </c>
      <c r="P6932">
        <f>D6932-D6933</f>
        <v>0</v>
      </c>
      <c r="Q6932" t="str">
        <v>x</v>
      </c>
      <c r="R6932">
        <f>IF(P6932&gt;0,$F$18*F6932/1000,0)</f>
        <v>0</v>
      </c>
      <c r="S6932" t="str">
        <v>)</v>
      </c>
      <c r="T6932" t="str">
        <v>x</v>
      </c>
      <c r="U6932">
        <f>0.006165*F6932^2</f>
        <v>1.041885</v>
      </c>
      <c r="X6932" t="str">
        <v>x</v>
      </c>
      <c r="Y6932">
        <f>D6931</f>
        <v>1</v>
      </c>
      <c r="Z6932" t="str">
        <v>=</v>
      </c>
      <c r="AA6932">
        <f>IF(AA6935=0,(D6932*N6932+P6932*R6932)*U6932*Y6932,0)</f>
        <v>0</v>
      </c>
    </row>
    <row r="6933">
      <c r="A6933" t="str">
        <f>A6925</f>
        <v>Lantai Atap</v>
      </c>
      <c r="B6933">
        <f>B6925</f>
        <v>24</v>
      </c>
      <c r="C6933" t="str">
        <v>Tul Atas Lapangan</v>
      </c>
      <c r="D6933">
        <f>VLOOKUP(D6925,'Detail Balok'!$C$10:$AU$140,7,FALSE)</f>
        <v>2</v>
      </c>
      <c r="E6933" t="str">
        <v>D</v>
      </c>
      <c r="F6933">
        <f>VLOOKUP(D6925,'Detail Balok'!$C$10:$AU$140,9,FALSE)</f>
        <v>13</v>
      </c>
      <c r="I6933" t="str">
        <v>(</v>
      </c>
      <c r="J6933">
        <f>+D6927/2/1000</f>
        <v>0.975</v>
      </c>
      <c r="K6933" t="str">
        <v>+</v>
      </c>
      <c r="M6933" t="str">
        <v>=</v>
      </c>
      <c r="N6933">
        <f>J6933+L6933</f>
        <v>0.975</v>
      </c>
      <c r="O6933" t="str">
        <v>+</v>
      </c>
      <c r="P6933">
        <f>MAX(D6933-D6932,D6933-D6934)</f>
        <v>0</v>
      </c>
      <c r="Q6933" t="str">
        <v>x</v>
      </c>
      <c r="R6933">
        <f>IF(P6933&gt;0,2*(1-2*$F$19-1/2)*D6928/1000,0)</f>
        <v>0</v>
      </c>
      <c r="S6933" t="str">
        <v>)</v>
      </c>
      <c r="T6933" t="str">
        <v>x</v>
      </c>
      <c r="U6933">
        <f>0.006165*F6933^2</f>
        <v>1.041885</v>
      </c>
      <c r="X6933" t="str">
        <v>x</v>
      </c>
      <c r="Y6933">
        <f>D6931</f>
        <v>1</v>
      </c>
      <c r="Z6933" t="str">
        <v>=</v>
      </c>
      <c r="AA6933">
        <f>IF(AA6935=0,(D6933*N6933+P6933*R6933)*U6933*Y6933,0)</f>
        <v>0</v>
      </c>
    </row>
    <row r="6934">
      <c r="A6934" t="str">
        <f>A6925</f>
        <v>Lantai Atap</v>
      </c>
      <c r="B6934">
        <f>B6925</f>
        <v>24</v>
      </c>
      <c r="C6934" t="str">
        <v>Tul Atas Tumpuan</v>
      </c>
      <c r="D6934">
        <f>VLOOKUP(D6925,'Detail Balok'!$C$10:$AU$140,10,FALSE)</f>
        <v>2</v>
      </c>
      <c r="E6934" t="str">
        <v>D</v>
      </c>
      <c r="F6934">
        <f>VLOOKUP(D6925,'Detail Balok'!$C$10:$AU$140,12,FALSE)</f>
        <v>13</v>
      </c>
      <c r="I6934" t="str">
        <v>(</v>
      </c>
      <c r="J6934">
        <f>+D6927/4/1000</f>
        <v>0.4875</v>
      </c>
      <c r="K6934" t="str">
        <v>+</v>
      </c>
      <c r="L6934">
        <f>MAX(VLOOKUP(F6934,N$6:P$15,3,FALSE)/1000,2/3*D6929/1000)+F$16*F6934/1000</f>
        <v>0.156</v>
      </c>
      <c r="M6934" t="str">
        <v>=</v>
      </c>
      <c r="N6934">
        <f>J6934+L6934</f>
        <v>0.6435</v>
      </c>
      <c r="O6934" t="str">
        <v>+</v>
      </c>
      <c r="P6934">
        <f>D6934-D6933</f>
        <v>0</v>
      </c>
      <c r="Q6934" t="str">
        <v>x</v>
      </c>
      <c r="R6934">
        <f>IF(P6934&gt;0,$F$18*F6934/1000,0)</f>
        <v>0</v>
      </c>
      <c r="S6934" t="str">
        <v>)</v>
      </c>
      <c r="T6934" t="str">
        <v>x</v>
      </c>
      <c r="U6934">
        <f>0.006165*F6934^2</f>
        <v>1.041885</v>
      </c>
      <c r="X6934" t="str">
        <v>x</v>
      </c>
      <c r="Y6934">
        <f>D6931</f>
        <v>1</v>
      </c>
      <c r="Z6934" t="str">
        <v>=</v>
      </c>
      <c r="AA6934">
        <f>IF(AA6935=0,(D6934*N6934+P6934*R6934)*U6934*Y6934,0)</f>
        <v>0</v>
      </c>
    </row>
    <row r="6935">
      <c r="A6935" t="str">
        <f>A6925</f>
        <v>Lantai Atap</v>
      </c>
      <c r="B6935">
        <f>B6925</f>
        <v>24</v>
      </c>
      <c r="D6935">
        <f>IF(AND(D6932=D6933,D6933=D6934,D6932=D6934),D6932,0)</f>
        <v>2</v>
      </c>
      <c r="E6935" t="str">
        <v>D</v>
      </c>
      <c r="F6935">
        <f>IF(AND(F6932=F6933,F6932=F6934,F6933=F6934),F6932,0)</f>
        <v>13</v>
      </c>
      <c r="L6935" t="str">
        <v>Total panjang per balok</v>
      </c>
      <c r="M6935" t="str">
        <v>=</v>
      </c>
      <c r="N6935">
        <f>IF(AND(D6932=D6933,D6932=D6934,D6933=D6934,F6932=F6933,F6932=F6934,F6933=F6934),SUM(N6932:N6934),0)</f>
        <v>2.262</v>
      </c>
      <c r="O6935" t="str">
        <v>+</v>
      </c>
      <c r="P6935">
        <f>IF(N6935&gt;12,ROUNDDOWN(N6935/12,0),0)</f>
        <v>0</v>
      </c>
      <c r="Q6935" t="str">
        <v>x</v>
      </c>
      <c r="R6935">
        <f>IF(P6935&gt;0,MAX(VLOOKUP(F6935,$D$6:$G$15,3,FALSE),600),0)/1000</f>
        <v>0</v>
      </c>
      <c r="T6935" t="str">
        <v>x</v>
      </c>
      <c r="U6935">
        <f>U6934</f>
        <v>1.041885</v>
      </c>
      <c r="V6935" t="str">
        <v>x</v>
      </c>
      <c r="W6935">
        <f>D6935</f>
        <v>2</v>
      </c>
      <c r="X6935" t="str">
        <v>x</v>
      </c>
      <c r="Y6935">
        <f>Y6934</f>
        <v>1</v>
      </c>
      <c r="Z6935" t="str">
        <v>=</v>
      </c>
      <c r="AA6935">
        <f>(N6935+P6935*R6935/1000)*U6935*W6935*Y6935</f>
        <v>4.71348774</v>
      </c>
    </row>
    <row r="6937">
      <c r="A6937" t="str">
        <f>A6925</f>
        <v>Lantai Atap</v>
      </c>
      <c r="B6937">
        <f>B6925</f>
        <v>24</v>
      </c>
      <c r="C6937" t="str">
        <v>Tul Peminggang</v>
      </c>
      <c r="D6937">
        <f>VLOOKUP(D6925,'Detail Balok'!$C$10:$AU$140,13,FALSE)</f>
        <v>0</v>
      </c>
      <c r="E6937" t="str">
        <v>D</v>
      </c>
      <c r="F6937">
        <f>VLOOKUP(D6925,'Detail Balok'!$C$10:$AU$140,15,FALSE)</f>
        <v>8</v>
      </c>
      <c r="J6937">
        <f>+D6927/1000</f>
        <v>1.95</v>
      </c>
      <c r="K6937" t="str">
        <v>+</v>
      </c>
      <c r="L6937">
        <f>2*$F$16*F6937/1000</f>
        <v>0.192</v>
      </c>
      <c r="M6937" t="str">
        <v>=</v>
      </c>
      <c r="N6937">
        <f>J6937+L6937</f>
        <v>2.142</v>
      </c>
      <c r="O6937" t="str">
        <v>+</v>
      </c>
      <c r="P6937">
        <f>IF(N6937&gt;12,ROUNDDOWN(N6937/12,0),0)</f>
        <v>0</v>
      </c>
      <c r="Q6937" t="str">
        <v>x</v>
      </c>
      <c r="R6937">
        <f>IF(P6937&gt;0,MAX(VLOOKUP(F6937,$D$6:$G$15,3,FALSE),600),0)/1000</f>
        <v>0</v>
      </c>
      <c r="T6937" t="str">
        <v>x</v>
      </c>
      <c r="U6937">
        <f>0.006165*F6937^2</f>
        <v>0.39456</v>
      </c>
      <c r="V6937" t="str">
        <v>x</v>
      </c>
      <c r="W6937">
        <f>+D6937</f>
        <v>0</v>
      </c>
      <c r="X6937" t="str">
        <v>x</v>
      </c>
      <c r="Y6937">
        <f>D6931</f>
        <v>1</v>
      </c>
      <c r="Z6937" t="str">
        <v>=</v>
      </c>
      <c r="AA6937">
        <f>(N6937+P6937*R6937/1000)*U6937*W6937*Y6937</f>
        <v>0</v>
      </c>
    </row>
    <row r="6940">
      <c r="A6940" t="str">
        <f>A6925</f>
        <v>Lantai Atap</v>
      </c>
      <c r="B6940">
        <f>B6925</f>
        <v>24</v>
      </c>
      <c r="C6940" t="str">
        <v>Tul Bawah Tumpuan</v>
      </c>
      <c r="D6940">
        <f>VLOOKUP(D6925,'Detail Balok'!$C$10:$AU$140,22,FALSE)</f>
        <v>2</v>
      </c>
      <c r="E6940" t="str">
        <v>D</v>
      </c>
      <c r="F6940">
        <f>VLOOKUP(D6925,'Detail Balok'!$C$10:$AU$140,24,FALSE)</f>
        <v>13</v>
      </c>
      <c r="I6940" t="str">
        <v>(</v>
      </c>
      <c r="J6940">
        <f>+J6932</f>
        <v>0.4875</v>
      </c>
      <c r="K6940" t="str">
        <v>+</v>
      </c>
      <c r="L6940">
        <f>MAX(VLOOKUP(F6940,N$6:P$15,3,FALSE)/1000,2/3*D6930/1000)+F$16*F6940/1000</f>
        <v>0.156</v>
      </c>
      <c r="M6940" t="str">
        <v>=</v>
      </c>
      <c r="N6940">
        <f>J6940+L6940</f>
        <v>0.6435</v>
      </c>
      <c r="O6940" t="str">
        <v>+</v>
      </c>
      <c r="P6940">
        <f>D6940-D6941</f>
        <v>0</v>
      </c>
      <c r="Q6940" t="str">
        <v>x</v>
      </c>
      <c r="R6940">
        <f>IF(P6940&gt;0,$F$18*F6940/1000,0)</f>
        <v>0</v>
      </c>
      <c r="S6940" t="str">
        <v>)</v>
      </c>
      <c r="T6940" t="str">
        <v>x</v>
      </c>
      <c r="U6940">
        <f>0.006165*F6940^2</f>
        <v>1.041885</v>
      </c>
      <c r="X6940" t="str">
        <v>x</v>
      </c>
      <c r="Y6940">
        <f>D6931</f>
        <v>1</v>
      </c>
      <c r="Z6940" t="str">
        <v>=</v>
      </c>
      <c r="AA6940">
        <f>IF(AA6943=0,(D6940*N6940+P6940*R6940)*U6940*Y6940,0)</f>
        <v>0</v>
      </c>
    </row>
    <row r="6941">
      <c r="A6941" t="str">
        <f>A6925</f>
        <v>Lantai Atap</v>
      </c>
      <c r="B6941">
        <f>B6925</f>
        <v>24</v>
      </c>
      <c r="C6941" t="str">
        <v>Tul Bawah Lapangan</v>
      </c>
      <c r="D6941">
        <f>VLOOKUP(D6925,'Detail Balok'!$C$10:$AU$140,25,FALSE)</f>
        <v>2</v>
      </c>
      <c r="E6941" t="str">
        <v>D</v>
      </c>
      <c r="F6941">
        <f>VLOOKUP(D6925,'Detail Balok'!$C$10:$AU$140,27,FALSE)</f>
        <v>13</v>
      </c>
      <c r="I6941" t="str">
        <v>(</v>
      </c>
      <c r="J6941">
        <f>+J6933</f>
        <v>0.975</v>
      </c>
      <c r="K6941" t="str">
        <v>+</v>
      </c>
      <c r="M6941" t="str">
        <v>=</v>
      </c>
      <c r="N6941">
        <f>J6941+L6941</f>
        <v>0.975</v>
      </c>
      <c r="O6941" t="str">
        <v>+</v>
      </c>
      <c r="P6941">
        <f>MAX(D6941-D6940,D6941-D6942)</f>
        <v>0</v>
      </c>
      <c r="Q6941" t="str">
        <v>x</v>
      </c>
      <c r="R6941">
        <f>IF(P6941&gt;0,2*(1-2*$F$19-1/2)*D6928/1000,0)</f>
        <v>0</v>
      </c>
      <c r="S6941" t="str">
        <v>)</v>
      </c>
      <c r="T6941" t="str">
        <v>x</v>
      </c>
      <c r="U6941">
        <f>0.006165*F6941^2</f>
        <v>1.041885</v>
      </c>
      <c r="X6941" t="str">
        <v>x</v>
      </c>
      <c r="Y6941">
        <f>D6931</f>
        <v>1</v>
      </c>
      <c r="Z6941" t="str">
        <v>=</v>
      </c>
      <c r="AA6941">
        <f>IF(AA6943=0,(D6941*N6941+P6941*R6941)*U6941*Y6941,0)</f>
        <v>0</v>
      </c>
    </row>
    <row r="6942">
      <c r="A6942" t="str">
        <f>A6925</f>
        <v>Lantai Atap</v>
      </c>
      <c r="B6942">
        <f>B6925</f>
        <v>24</v>
      </c>
      <c r="C6942" t="str">
        <v>Tul Bawah Tumpuan</v>
      </c>
      <c r="D6942">
        <f>VLOOKUP(D6925,'Detail Balok'!$C$10:$AU$140,28,FALSE)</f>
        <v>2</v>
      </c>
      <c r="E6942" t="str">
        <v>D</v>
      </c>
      <c r="F6942">
        <f>VLOOKUP(D6925,'Detail Balok'!$C$10:$AU$140,30,FALSE)</f>
        <v>13</v>
      </c>
      <c r="I6942" t="str">
        <v>(</v>
      </c>
      <c r="J6942">
        <f>+J6934</f>
        <v>0.4875</v>
      </c>
      <c r="K6942" t="str">
        <v>+</v>
      </c>
      <c r="L6942">
        <f>MAX(VLOOKUP(F6942,N$6:P$15,3,FALSE)/1000,2/3*D6930/1000)+F$16*F6942/1000</f>
        <v>0.156</v>
      </c>
      <c r="M6942" t="str">
        <v>=</v>
      </c>
      <c r="N6942">
        <f>J6942+L6942</f>
        <v>0.6435</v>
      </c>
      <c r="O6942" t="str">
        <v>+</v>
      </c>
      <c r="P6942">
        <f>D6942-D6941</f>
        <v>0</v>
      </c>
      <c r="Q6942" t="str">
        <v>x</v>
      </c>
      <c r="R6942">
        <f>IF(P6942&gt;0,$F$18*F6942/1000,0)</f>
        <v>0</v>
      </c>
      <c r="S6942" t="str">
        <v>)</v>
      </c>
      <c r="T6942" t="str">
        <v>x</v>
      </c>
      <c r="U6942">
        <f>0.006165*F6942^2</f>
        <v>1.041885</v>
      </c>
      <c r="X6942" t="str">
        <v>x</v>
      </c>
      <c r="Y6942">
        <f>D6931</f>
        <v>1</v>
      </c>
      <c r="Z6942" t="str">
        <v>=</v>
      </c>
      <c r="AA6942">
        <f>IF(AA6943=0,(D6942*N6942+P6942*R6942)*U6942*Y6942,0)</f>
        <v>0</v>
      </c>
    </row>
    <row r="6943">
      <c r="A6943" t="str">
        <f>A6925</f>
        <v>Lantai Atap</v>
      </c>
      <c r="B6943">
        <f>B6925</f>
        <v>24</v>
      </c>
      <c r="D6943">
        <f>IF(AND(D6940=D6941,D6941=D6942,D6940=D6942),D6940,0)</f>
        <v>2</v>
      </c>
      <c r="E6943" t="str">
        <v>D</v>
      </c>
      <c r="F6943">
        <f>IF(AND(F6940=F6941,F6940=F6942,F6941=F6942),F6940,0)</f>
        <v>13</v>
      </c>
      <c r="L6943" t="str">
        <v>Total panjang per balok</v>
      </c>
      <c r="M6943" t="str">
        <v>=</v>
      </c>
      <c r="N6943">
        <f>IF(AND(D6940=D6941,D6940=D6942,D6941=D6942,F6940=F6941,F6940=F6942,F6941=F6942),SUM(N6940:N6942),0)</f>
        <v>2.262</v>
      </c>
      <c r="O6943" t="str">
        <v>+</v>
      </c>
      <c r="P6943">
        <f>IF(N6943&gt;12,ROUNDDOWN(N6943/12,0),0)</f>
        <v>0</v>
      </c>
      <c r="Q6943" t="str">
        <v>x</v>
      </c>
      <c r="R6943">
        <f>IF(P6943&gt;0,MAX(VLOOKUP(F6943,$D$6:$G$15,3,FALSE),600),0)/1000</f>
        <v>0</v>
      </c>
      <c r="T6943" t="str">
        <v>x</v>
      </c>
      <c r="U6943">
        <f>U6942</f>
        <v>1.041885</v>
      </c>
      <c r="V6943" t="str">
        <v>x</v>
      </c>
      <c r="W6943">
        <f>D6943</f>
        <v>2</v>
      </c>
      <c r="X6943" t="str">
        <v>x</v>
      </c>
      <c r="Y6943">
        <f>Y6942</f>
        <v>1</v>
      </c>
      <c r="Z6943" t="str">
        <v>=</v>
      </c>
      <c r="AA6943">
        <f>(N6943+P6943*R6943/1000)*U6943*W6943*Y6943</f>
        <v>4.71348774</v>
      </c>
    </row>
    <row r="6945">
      <c r="A6945" t="str">
        <f>A6925</f>
        <v>Lantai Atap</v>
      </c>
      <c r="B6945">
        <f>B6925</f>
        <v>24</v>
      </c>
      <c r="C6945" t="str">
        <v>Sengkang Tumpuan</v>
      </c>
      <c r="D6945">
        <f>VLOOKUP(D6925,'Detail Balok'!$C$10:$AU$140,31,FALSE)</f>
        <v>0</v>
      </c>
      <c r="E6945" t="str">
        <v>D</v>
      </c>
      <c r="F6945">
        <f>VLOOKUP(D6925,'Detail Balok'!$C$10:$AU$140,33,FALSE)</f>
        <v>8</v>
      </c>
      <c r="G6945" t="str">
        <v>-</v>
      </c>
      <c r="H6945">
        <f>VLOOKUP(D6925,'Detail Balok'!$C$10:$AU$140,35,FALSE)</f>
        <v>150</v>
      </c>
      <c r="J6945">
        <f>(IF(D6945=0,(2*(D6926+G6926))-(F$5*8),IF(D6945=3,(2*(D6926+G6926))-(F$5*8)+(G6926-2*F$5),IF(D6945=4,(2*(D6926+G6926))-(F$5*8)+2*(G6926-2*F$5)))))/1000</f>
        <v>0.74</v>
      </c>
      <c r="K6945" t="str">
        <v>+</v>
      </c>
      <c r="L6945">
        <f>IF(D6945=0,2*MAX(6*F6945,75),(D6945-1)*2*MAX(6*F6945,75))/1000</f>
        <v>0.15</v>
      </c>
      <c r="M6945" t="str">
        <v>=</v>
      </c>
      <c r="N6945">
        <f>J6945+L6945</f>
        <v>0.89</v>
      </c>
      <c r="T6945" t="str">
        <v>x</v>
      </c>
      <c r="U6945">
        <f>0.006165*F6945^2</f>
        <v>0.39456</v>
      </c>
      <c r="V6945" t="str">
        <v>x</v>
      </c>
      <c r="W6945">
        <f>IF(D6928&gt;4*G6926,ROUND(MAX(D6928/4,2*G6926)/H6945,0)+1,ROUND(D6928/H6945,0)+1)</f>
        <v>6</v>
      </c>
      <c r="X6945" t="str">
        <v>x</v>
      </c>
      <c r="Y6945">
        <f>D6931</f>
        <v>1</v>
      </c>
      <c r="Z6945" t="str">
        <v>=</v>
      </c>
      <c r="AA6945">
        <f>N6945*U6945*W6945*Y6945</f>
        <v>2.1069504</v>
      </c>
    </row>
    <row r="6946">
      <c r="A6946" t="str">
        <f>A6925</f>
        <v>Lantai Atap</v>
      </c>
      <c r="B6946">
        <f>B6925</f>
        <v>24</v>
      </c>
      <c r="C6946" t="str">
        <v>Sengkang Lapangan</v>
      </c>
      <c r="D6946">
        <f>VLOOKUP(D6925,'Detail Balok'!$C$10:$AU$140,36,FALSE)</f>
        <v>0</v>
      </c>
      <c r="E6946" t="str">
        <v>D</v>
      </c>
      <c r="F6946">
        <f>VLOOKUP(D6925,'Detail Balok'!$C$10:$AU$140,38,FALSE)</f>
        <v>8</v>
      </c>
      <c r="G6946" t="str">
        <v>-</v>
      </c>
      <c r="H6946">
        <f>VLOOKUP(D6925,'Detail Balok'!$C$10:$AU$140,40,FALSE)</f>
        <v>200</v>
      </c>
      <c r="J6946">
        <f>(IF(D6946=0,(2*(D6926+G6926))-(F$5*8),IF(D6946=3,(2*(D6926+G6926))-(F$5*8)+(G6926-2*F$5),IF(D6946=4,(2*(D6926+G6926))-(F$5*8)+2*(G6926-2*F$5)))))/1000</f>
        <v>0.74</v>
      </c>
      <c r="K6946" t="str">
        <v>+</v>
      </c>
      <c r="L6946">
        <f>IF(D6946=0,2*MAX(6*F6946,75),(D6946-1)*2*MAX(6*F6946,75))/1000</f>
        <v>0.15</v>
      </c>
      <c r="M6946" t="str">
        <v>=</v>
      </c>
      <c r="N6946">
        <f>J6946+L6946</f>
        <v>0.89</v>
      </c>
      <c r="T6946" t="str">
        <v>x</v>
      </c>
      <c r="U6946">
        <f>0.006165*F6946^2</f>
        <v>0.39456</v>
      </c>
      <c r="V6946" t="str">
        <v>x</v>
      </c>
      <c r="W6946">
        <f>IF(D6928-MAX(D6928/4,2*G6926)*2&gt;0,ROUND((D6928-MAX(D6928/4,2*G6926)*2)/H6946,0),0)</f>
        <v>2</v>
      </c>
      <c r="X6946" t="str">
        <v>x</v>
      </c>
      <c r="Y6946">
        <f>D6931</f>
        <v>1</v>
      </c>
      <c r="Z6946" t="str">
        <v>=</v>
      </c>
      <c r="AA6946">
        <f>N6946*U6946*W6946*Y6946</f>
        <v>0.7023168000000001</v>
      </c>
    </row>
    <row r="6947">
      <c r="A6947" t="str">
        <f>A6925</f>
        <v>Lantai Atap</v>
      </c>
      <c r="B6947">
        <f>B6925</f>
        <v>24</v>
      </c>
      <c r="C6947" t="str">
        <v>Sengkang Tumpuan</v>
      </c>
      <c r="D6947">
        <f>VLOOKUP(D6925,'Detail Balok'!$C$10:$AU$140,41,FALSE)</f>
        <v>0</v>
      </c>
      <c r="E6947" t="str">
        <v>D</v>
      </c>
      <c r="F6947">
        <f>VLOOKUP(D6925,'Detail Balok'!$C$10:$AU$140,43,FALSE)</f>
        <v>8</v>
      </c>
      <c r="G6947" t="str">
        <v>-</v>
      </c>
      <c r="H6947">
        <f>VLOOKUP(D6925,'Detail Balok'!$C$10:$AU$140,45,FALSE)</f>
        <v>150</v>
      </c>
      <c r="J6947">
        <f>(IF(D6947=0,(2*(D6926+G6926))-(F$5*8),IF(D6947=3,(2*(D6926+G6926))-(F$5*8)+(G6926-2*F$5),IF(D6947=4,(2*(D6926+G6926))-(F$5*8)+2*(G6926-2*F$5)))))/1000</f>
        <v>0.74</v>
      </c>
      <c r="K6947" t="str">
        <v>+</v>
      </c>
      <c r="L6947">
        <f>IF(D6947=0,2*MAX(6*F6947,75),(D6947-1)*2*MAX(6*F6947,75))/1000</f>
        <v>0.15</v>
      </c>
      <c r="M6947" t="str">
        <v>=</v>
      </c>
      <c r="N6947">
        <f>J6947+L6947</f>
        <v>0.89</v>
      </c>
      <c r="T6947" t="str">
        <v>x</v>
      </c>
      <c r="U6947">
        <f>0.006165*F6947^2</f>
        <v>0.39456</v>
      </c>
      <c r="V6947" t="str">
        <v>x</v>
      </c>
      <c r="W6947">
        <f>IF(D6928&gt;4*G6926,ROUND(MAX(D6928/4,2*G6926)/H6947,0)+1,0)</f>
        <v>6</v>
      </c>
      <c r="X6947" t="str">
        <v>x</v>
      </c>
      <c r="Y6947">
        <f>D6931</f>
        <v>1</v>
      </c>
      <c r="Z6947" t="str">
        <v>=</v>
      </c>
      <c r="AA6947">
        <f>N6947*U6947*W6947*Y6947</f>
        <v>2.1069504</v>
      </c>
    </row>
    <row r="6949">
      <c r="A6949" t="str">
        <f>A6925</f>
        <v>Lantai Atap</v>
      </c>
      <c r="B6949">
        <f>B6925</f>
        <v>24</v>
      </c>
      <c r="C6949" t="str">
        <v>Kait Horizontal Tump.</v>
      </c>
      <c r="D6949">
        <f>VLOOKUP(D6925,'Detail Balok'!$C$10:$BJ$140,46,FALSE)</f>
        <v>0</v>
      </c>
      <c r="E6949" t="str">
        <v>D</v>
      </c>
      <c r="F6949">
        <f>VLOOKUP(D6925,'Detail Balok'!$C$10:$BJ$140,48,FALSE)</f>
        <v>0</v>
      </c>
      <c r="G6949" t="str">
        <v>-</v>
      </c>
      <c r="H6949">
        <f>VLOOKUP(D6925,'Detail Balok'!$C$10:$BJ$140,50,FALSE)</f>
        <v>100</v>
      </c>
      <c r="J6949">
        <f>(D6926-2*F$5)/1000</f>
        <v>0.05</v>
      </c>
      <c r="K6949" t="str">
        <v>+</v>
      </c>
      <c r="L6949">
        <f>IF(D6949=0,2*MAX(6*F6949,75),(D6949-1)*2*MAX(6*F6949,75))/1000</f>
        <v>0.15</v>
      </c>
      <c r="M6949" t="str">
        <v>=</v>
      </c>
      <c r="N6949">
        <f>J6949+L6949</f>
        <v>0.2</v>
      </c>
      <c r="T6949" t="str">
        <v>x</v>
      </c>
      <c r="U6949">
        <f>0.006165*F6949^2</f>
        <v>0</v>
      </c>
      <c r="V6949" t="str">
        <v>x</v>
      </c>
      <c r="W6949">
        <f>W6945</f>
        <v>6</v>
      </c>
      <c r="X6949" t="str">
        <v>x</v>
      </c>
      <c r="Y6949">
        <f>D6935</f>
        <v>2</v>
      </c>
      <c r="Z6949" t="str">
        <v>=</v>
      </c>
      <c r="AA6949">
        <f>N6949*U6949*W6949*Y6949</f>
        <v>0</v>
      </c>
    </row>
    <row r="6950">
      <c r="A6950" t="str">
        <f>A6925</f>
        <v>Lantai Atap</v>
      </c>
      <c r="B6950">
        <f>B6925</f>
        <v>24</v>
      </c>
      <c r="C6950" t="str">
        <v>Kait Horizontal Lap.</v>
      </c>
      <c r="D6950">
        <f>VLOOKUP(D6925,'Detail Balok'!$C$10:$BJ$140,51,FALSE)</f>
        <v>0</v>
      </c>
      <c r="E6950" t="str">
        <v>D</v>
      </c>
      <c r="F6950">
        <f>VLOOKUP(D6925,'Detail Balok'!$C$10:$BJ$140,53,FALSE)</f>
        <v>0</v>
      </c>
      <c r="G6950" t="str">
        <v>-</v>
      </c>
      <c r="H6950">
        <f>VLOOKUP(D6925,'Detail Balok'!$C$10:$BJ$140,55,FALSE)</f>
        <v>100</v>
      </c>
      <c r="J6950">
        <f>(D6926-2*F$5)/1000</f>
        <v>0.05</v>
      </c>
      <c r="K6950" t="str">
        <v>+</v>
      </c>
      <c r="L6950">
        <f>IF(D6950=0,2*MAX(6*F6950,75),(D6950-1)*2*MAX(6*F6950,75))/1000</f>
        <v>0.15</v>
      </c>
      <c r="M6950" t="str">
        <v>=</v>
      </c>
      <c r="N6950">
        <f>J6950+L6950</f>
        <v>0.2</v>
      </c>
      <c r="T6950" t="str">
        <v>x</v>
      </c>
      <c r="U6950">
        <f>0.006165*F6950^2</f>
        <v>0</v>
      </c>
      <c r="V6950" t="str">
        <v>x</v>
      </c>
      <c r="W6950">
        <f>W6946</f>
        <v>2</v>
      </c>
      <c r="X6950" t="str">
        <v>x</v>
      </c>
      <c r="Y6950">
        <f>D6935</f>
        <v>2</v>
      </c>
      <c r="Z6950" t="str">
        <v>=</v>
      </c>
      <c r="AA6950">
        <f>N6950*U6950*W6950*Y6950</f>
        <v>0</v>
      </c>
    </row>
    <row r="6951">
      <c r="A6951" t="str">
        <f>A6925</f>
        <v>Lantai Atap</v>
      </c>
      <c r="B6951">
        <f>B6925</f>
        <v>24</v>
      </c>
      <c r="C6951" t="str">
        <v>Kait Horizontal Tump.</v>
      </c>
      <c r="D6951">
        <f>VLOOKUP(D6925,'Detail Balok'!$C$10:$BJ$140,56,FALSE)</f>
        <v>0</v>
      </c>
      <c r="E6951" t="str">
        <v>D</v>
      </c>
      <c r="F6951">
        <f>VLOOKUP(D6925,'Detail Balok'!$C$10:$BJ$140,58,FALSE)</f>
        <v>0</v>
      </c>
      <c r="G6951" t="str">
        <v>-</v>
      </c>
      <c r="H6951">
        <f>VLOOKUP(D6925,'Detail Balok'!$C$10:$BJ$140,60,FALSE)</f>
        <v>100</v>
      </c>
      <c r="J6951">
        <f>(D6926-2*F$5)/1000</f>
        <v>0.05</v>
      </c>
      <c r="K6951" t="str">
        <v>+</v>
      </c>
      <c r="L6951">
        <f>IF(D6951=0,2*MAX(6*F6951,75),(D6951-1)*2*MAX(6*F6951,75))/1000</f>
        <v>0.15</v>
      </c>
      <c r="M6951" t="str">
        <v>=</v>
      </c>
      <c r="N6951">
        <f>J6951+L6951</f>
        <v>0.2</v>
      </c>
      <c r="T6951" t="str">
        <v>x</v>
      </c>
      <c r="U6951">
        <f>0.006165*F6951^2</f>
        <v>0</v>
      </c>
      <c r="V6951" t="str">
        <v>x</v>
      </c>
      <c r="W6951">
        <f>W6947</f>
        <v>6</v>
      </c>
      <c r="X6951" t="str">
        <v>x</v>
      </c>
      <c r="Y6951">
        <f>D6935</f>
        <v>2</v>
      </c>
      <c r="Z6951" t="str">
        <v>=</v>
      </c>
      <c r="AA6951">
        <f>N6951*U6951*W6951*Y6951</f>
        <v>0</v>
      </c>
    </row>
    <row r="6955">
      <c r="A6955" t="str">
        <f>A6925</f>
        <v>Lantai Atap</v>
      </c>
      <c r="B6955">
        <f>B6925+1</f>
        <v>25</v>
      </c>
      <c r="C6955" t="str">
        <f>CONCATENATE(A6955," no. ",B6955)</f>
        <v>Lantai Atap no. 25</v>
      </c>
      <c r="D6955" t="str">
        <f>VLOOKUP(C6955,'Data Panjang Balok'!$C$9:$N$254,2,FALSE)</f>
        <v>B4-1</v>
      </c>
    </row>
    <row r="6956">
      <c r="C6956" t="str">
        <v>Dimensi</v>
      </c>
      <c r="D6956">
        <f>VLOOKUP(D6955,'Detail Balok'!$C$10:$AU$140,2,FALSE)</f>
        <v>130</v>
      </c>
      <c r="F6956" t="str">
        <v>x</v>
      </c>
      <c r="G6956">
        <f>VLOOKUP(D6955,'Detail Balok'!$C$10:$AU$140,3,FALSE)</f>
        <v>400</v>
      </c>
    </row>
    <row r="6957">
      <c r="C6957" t="str">
        <v>Panjang as ke as</v>
      </c>
      <c r="D6957">
        <f>VLOOKUP(C6955,'Data Panjang Balok'!$C$9:$N$254,4,FALSE)</f>
        <v>2600</v>
      </c>
    </row>
    <row r="6958">
      <c r="C6958" t="str">
        <v>Panjang netto</v>
      </c>
      <c r="D6958">
        <f>VLOOKUP(C6955,'Data Panjang Balok'!$C$9:$N$254,7,FALSE)</f>
        <v>2600</v>
      </c>
    </row>
    <row r="6959">
      <c r="C6959" t="str">
        <v>Kolom / balok kiri</v>
      </c>
      <c r="D6959">
        <f>VLOOKUP(C6955,'Data Panjang Balok'!$C$9:$N$254,9,FALSE)</f>
        <v>0</v>
      </c>
    </row>
    <row r="6960">
      <c r="C6960" t="str">
        <v>Kolom / balok kanan</v>
      </c>
      <c r="D6960">
        <f>VLOOKUP(C6955,'Data Panjang Balok'!$C$9:$N$254,10,FALSE)</f>
        <v>0</v>
      </c>
    </row>
    <row r="6961">
      <c r="C6961" t="str">
        <v>Jumlah</v>
      </c>
      <c r="D6961">
        <f>VLOOKUP(C6955,'Data Panjang Balok'!$C$9:$N$254,3,FALSE)</f>
        <v>1</v>
      </c>
    </row>
    <row r="6962">
      <c r="A6962" t="str">
        <f>A6955</f>
        <v>Lantai Atap</v>
      </c>
      <c r="B6962">
        <f>B6955</f>
        <v>25</v>
      </c>
      <c r="C6962" t="str">
        <v>Tul Atas Tumpuan</v>
      </c>
      <c r="D6962">
        <f>VLOOKUP(D6955,'Detail Balok'!$C$10:$AU$140,4,FALSE)</f>
        <v>2</v>
      </c>
      <c r="E6962" t="str">
        <v>D</v>
      </c>
      <c r="F6962">
        <f>VLOOKUP(D6955,'Detail Balok'!$C$10:$AU$140,6,FALSE)</f>
        <v>13</v>
      </c>
      <c r="I6962" t="str">
        <v>(</v>
      </c>
      <c r="J6962">
        <f>+D6957/4/1000</f>
        <v>0.65</v>
      </c>
      <c r="K6962" t="str">
        <v>+</v>
      </c>
      <c r="L6962">
        <f>MAX(VLOOKUP(F6962,N$6:P$15,3,FALSE)/1000,2/3*D6959/1000)+F$16*F6962/1000</f>
        <v>0.156</v>
      </c>
      <c r="M6962" t="str">
        <v>=</v>
      </c>
      <c r="N6962">
        <f>J6962+L6962</f>
        <v>0.806</v>
      </c>
      <c r="O6962" t="str">
        <v>+</v>
      </c>
      <c r="P6962">
        <f>D6962-D6963</f>
        <v>0</v>
      </c>
      <c r="Q6962" t="str">
        <v>x</v>
      </c>
      <c r="R6962">
        <f>IF(P6962&gt;0,$F$18*F6962/1000,0)</f>
        <v>0</v>
      </c>
      <c r="S6962" t="str">
        <v>)</v>
      </c>
      <c r="T6962" t="str">
        <v>x</v>
      </c>
      <c r="U6962">
        <f>0.006165*F6962^2</f>
        <v>1.041885</v>
      </c>
      <c r="X6962" t="str">
        <v>x</v>
      </c>
      <c r="Y6962">
        <f>D6961</f>
        <v>1</v>
      </c>
      <c r="Z6962" t="str">
        <v>=</v>
      </c>
      <c r="AA6962">
        <f>IF(AA6965=0,(D6962*N6962+P6962*R6962)*U6962*Y6962,0)</f>
        <v>0</v>
      </c>
    </row>
    <row r="6963">
      <c r="A6963" t="str">
        <f>A6955</f>
        <v>Lantai Atap</v>
      </c>
      <c r="B6963">
        <f>B6955</f>
        <v>25</v>
      </c>
      <c r="C6963" t="str">
        <v>Tul Atas Lapangan</v>
      </c>
      <c r="D6963">
        <f>VLOOKUP(D6955,'Detail Balok'!$C$10:$AU$140,7,FALSE)</f>
        <v>2</v>
      </c>
      <c r="E6963" t="str">
        <v>D</v>
      </c>
      <c r="F6963">
        <f>VLOOKUP(D6955,'Detail Balok'!$C$10:$AU$140,9,FALSE)</f>
        <v>13</v>
      </c>
      <c r="I6963" t="str">
        <v>(</v>
      </c>
      <c r="J6963">
        <f>+D6957/2/1000</f>
        <v>1.3</v>
      </c>
      <c r="K6963" t="str">
        <v>+</v>
      </c>
      <c r="M6963" t="str">
        <v>=</v>
      </c>
      <c r="N6963">
        <f>J6963+L6963</f>
        <v>1.3</v>
      </c>
      <c r="O6963" t="str">
        <v>+</v>
      </c>
      <c r="P6963">
        <f>MAX(D6963-D6962,D6963-D6964)</f>
        <v>0</v>
      </c>
      <c r="Q6963" t="str">
        <v>x</v>
      </c>
      <c r="R6963">
        <f>IF(P6963&gt;0,2*(1-2*$F$19-1/2)*D6958/1000,0)</f>
        <v>0</v>
      </c>
      <c r="S6963" t="str">
        <v>)</v>
      </c>
      <c r="T6963" t="str">
        <v>x</v>
      </c>
      <c r="U6963">
        <f>0.006165*F6963^2</f>
        <v>1.041885</v>
      </c>
      <c r="X6963" t="str">
        <v>x</v>
      </c>
      <c r="Y6963">
        <f>D6961</f>
        <v>1</v>
      </c>
      <c r="Z6963" t="str">
        <v>=</v>
      </c>
      <c r="AA6963">
        <f>IF(AA6965=0,(D6963*N6963+P6963*R6963)*U6963*Y6963,0)</f>
        <v>0</v>
      </c>
    </row>
    <row r="6964">
      <c r="A6964" t="str">
        <f>A6955</f>
        <v>Lantai Atap</v>
      </c>
      <c r="B6964">
        <f>B6955</f>
        <v>25</v>
      </c>
      <c r="C6964" t="str">
        <v>Tul Atas Tumpuan</v>
      </c>
      <c r="D6964">
        <f>VLOOKUP(D6955,'Detail Balok'!$C$10:$AU$140,10,FALSE)</f>
        <v>2</v>
      </c>
      <c r="E6964" t="str">
        <v>D</v>
      </c>
      <c r="F6964">
        <f>VLOOKUP(D6955,'Detail Balok'!$C$10:$AU$140,12,FALSE)</f>
        <v>13</v>
      </c>
      <c r="I6964" t="str">
        <v>(</v>
      </c>
      <c r="J6964">
        <f>+D6957/4/1000</f>
        <v>0.65</v>
      </c>
      <c r="K6964" t="str">
        <v>+</v>
      </c>
      <c r="L6964">
        <f>MAX(VLOOKUP(F6964,N$6:P$15,3,FALSE)/1000,2/3*D6959/1000)+F$16*F6964/1000</f>
        <v>0.156</v>
      </c>
      <c r="M6964" t="str">
        <v>=</v>
      </c>
      <c r="N6964">
        <f>J6964+L6964</f>
        <v>0.806</v>
      </c>
      <c r="O6964" t="str">
        <v>+</v>
      </c>
      <c r="P6964">
        <f>D6964-D6963</f>
        <v>0</v>
      </c>
      <c r="Q6964" t="str">
        <v>x</v>
      </c>
      <c r="R6964">
        <f>IF(P6964&gt;0,$F$18*F6964/1000,0)</f>
        <v>0</v>
      </c>
      <c r="S6964" t="str">
        <v>)</v>
      </c>
      <c r="T6964" t="str">
        <v>x</v>
      </c>
      <c r="U6964">
        <f>0.006165*F6964^2</f>
        <v>1.041885</v>
      </c>
      <c r="X6964" t="str">
        <v>x</v>
      </c>
      <c r="Y6964">
        <f>D6961</f>
        <v>1</v>
      </c>
      <c r="Z6964" t="str">
        <v>=</v>
      </c>
      <c r="AA6964">
        <f>IF(AA6965=0,(D6964*N6964+P6964*R6964)*U6964*Y6964,0)</f>
        <v>0</v>
      </c>
    </row>
    <row r="6965">
      <c r="A6965" t="str">
        <f>A6955</f>
        <v>Lantai Atap</v>
      </c>
      <c r="B6965">
        <f>B6955</f>
        <v>25</v>
      </c>
      <c r="D6965">
        <f>IF(AND(D6962=D6963,D6963=D6964,D6962=D6964),D6962,0)</f>
        <v>2</v>
      </c>
      <c r="E6965" t="str">
        <v>D</v>
      </c>
      <c r="F6965">
        <f>IF(AND(F6962=F6963,F6962=F6964,F6963=F6964),F6962,0)</f>
        <v>13</v>
      </c>
      <c r="L6965" t="str">
        <v>Total panjang per balok</v>
      </c>
      <c r="M6965" t="str">
        <v>=</v>
      </c>
      <c r="N6965">
        <f>IF(AND(D6962=D6963,D6962=D6964,D6963=D6964,F6962=F6963,F6962=F6964,F6963=F6964),SUM(N6962:N6964),0)</f>
        <v>2.912</v>
      </c>
      <c r="O6965" t="str">
        <v>+</v>
      </c>
      <c r="P6965">
        <f>IF(N6965&gt;12,ROUNDDOWN(N6965/12,0),0)</f>
        <v>0</v>
      </c>
      <c r="Q6965" t="str">
        <v>x</v>
      </c>
      <c r="R6965">
        <f>IF(P6965&gt;0,MAX(VLOOKUP(F6965,$D$6:$G$15,3,FALSE),600),0)/1000</f>
        <v>0</v>
      </c>
      <c r="T6965" t="str">
        <v>x</v>
      </c>
      <c r="U6965">
        <f>U6964</f>
        <v>1.041885</v>
      </c>
      <c r="V6965" t="str">
        <v>x</v>
      </c>
      <c r="W6965">
        <f>D6965</f>
        <v>2</v>
      </c>
      <c r="X6965" t="str">
        <v>x</v>
      </c>
      <c r="Y6965">
        <f>Y6964</f>
        <v>1</v>
      </c>
      <c r="Z6965" t="str">
        <v>=</v>
      </c>
      <c r="AA6965">
        <f>(N6965+P6965*R6965/1000)*U6965*W6965*Y6965</f>
        <v>6.067938239999999</v>
      </c>
    </row>
    <row r="6967">
      <c r="A6967" t="str">
        <f>A6955</f>
        <v>Lantai Atap</v>
      </c>
      <c r="B6967">
        <f>B6955</f>
        <v>25</v>
      </c>
      <c r="C6967" t="str">
        <v>Tul Peminggang</v>
      </c>
      <c r="D6967">
        <f>VLOOKUP(D6955,'Detail Balok'!$C$10:$AU$140,13,FALSE)</f>
        <v>0</v>
      </c>
      <c r="E6967" t="str">
        <v>D</v>
      </c>
      <c r="F6967">
        <f>VLOOKUP(D6955,'Detail Balok'!$C$10:$AU$140,15,FALSE)</f>
        <v>8</v>
      </c>
      <c r="J6967">
        <f>+D6957/1000</f>
        <v>2.6</v>
      </c>
      <c r="K6967" t="str">
        <v>+</v>
      </c>
      <c r="L6967">
        <f>2*$F$16*F6967/1000</f>
        <v>0.192</v>
      </c>
      <c r="M6967" t="str">
        <v>=</v>
      </c>
      <c r="N6967">
        <f>J6967+L6967</f>
        <v>2.7920000000000003</v>
      </c>
      <c r="O6967" t="str">
        <v>+</v>
      </c>
      <c r="P6967">
        <f>IF(N6967&gt;12,ROUNDDOWN(N6967/12,0),0)</f>
        <v>0</v>
      </c>
      <c r="Q6967" t="str">
        <v>x</v>
      </c>
      <c r="R6967">
        <f>IF(P6967&gt;0,MAX(VLOOKUP(F6967,$D$6:$G$15,3,FALSE),600),0)/1000</f>
        <v>0</v>
      </c>
      <c r="T6967" t="str">
        <v>x</v>
      </c>
      <c r="U6967">
        <f>0.006165*F6967^2</f>
        <v>0.39456</v>
      </c>
      <c r="V6967" t="str">
        <v>x</v>
      </c>
      <c r="W6967">
        <f>+D6967</f>
        <v>0</v>
      </c>
      <c r="X6967" t="str">
        <v>x</v>
      </c>
      <c r="Y6967">
        <f>D6961</f>
        <v>1</v>
      </c>
      <c r="Z6967" t="str">
        <v>=</v>
      </c>
      <c r="AA6967">
        <f>(N6967+P6967*R6967/1000)*U6967*W6967*Y6967</f>
        <v>0</v>
      </c>
    </row>
    <row r="6970">
      <c r="A6970" t="str">
        <f>A6955</f>
        <v>Lantai Atap</v>
      </c>
      <c r="B6970">
        <f>B6955</f>
        <v>25</v>
      </c>
      <c r="C6970" t="str">
        <v>Tul Bawah Tumpuan</v>
      </c>
      <c r="D6970">
        <f>VLOOKUP(D6955,'Detail Balok'!$C$10:$AU$140,22,FALSE)</f>
        <v>2</v>
      </c>
      <c r="E6970" t="str">
        <v>D</v>
      </c>
      <c r="F6970">
        <f>VLOOKUP(D6955,'Detail Balok'!$C$10:$AU$140,24,FALSE)</f>
        <v>13</v>
      </c>
      <c r="I6970" t="str">
        <v>(</v>
      </c>
      <c r="J6970">
        <f>+J6962</f>
        <v>0.65</v>
      </c>
      <c r="K6970" t="str">
        <v>+</v>
      </c>
      <c r="L6970">
        <f>MAX(VLOOKUP(F6970,N$6:P$15,3,FALSE)/1000,2/3*D6960/1000)+F$16*F6970/1000</f>
        <v>0.156</v>
      </c>
      <c r="M6970" t="str">
        <v>=</v>
      </c>
      <c r="N6970">
        <f>J6970+L6970</f>
        <v>0.806</v>
      </c>
      <c r="O6970" t="str">
        <v>+</v>
      </c>
      <c r="P6970">
        <f>D6970-D6971</f>
        <v>0</v>
      </c>
      <c r="Q6970" t="str">
        <v>x</v>
      </c>
      <c r="R6970">
        <f>IF(P6970&gt;0,$F$18*F6970/1000,0)</f>
        <v>0</v>
      </c>
      <c r="S6970" t="str">
        <v>)</v>
      </c>
      <c r="T6970" t="str">
        <v>x</v>
      </c>
      <c r="U6970">
        <f>0.006165*F6970^2</f>
        <v>1.041885</v>
      </c>
      <c r="X6970" t="str">
        <v>x</v>
      </c>
      <c r="Y6970">
        <f>D6961</f>
        <v>1</v>
      </c>
      <c r="Z6970" t="str">
        <v>=</v>
      </c>
      <c r="AA6970">
        <f>IF(AA6973=0,(D6970*N6970+P6970*R6970)*U6970*Y6970,0)</f>
        <v>0</v>
      </c>
    </row>
    <row r="6971">
      <c r="A6971" t="str">
        <f>A6955</f>
        <v>Lantai Atap</v>
      </c>
      <c r="B6971">
        <f>B6955</f>
        <v>25</v>
      </c>
      <c r="C6971" t="str">
        <v>Tul Bawah Lapangan</v>
      </c>
      <c r="D6971">
        <f>VLOOKUP(D6955,'Detail Balok'!$C$10:$AU$140,25,FALSE)</f>
        <v>2</v>
      </c>
      <c r="E6971" t="str">
        <v>D</v>
      </c>
      <c r="F6971">
        <f>VLOOKUP(D6955,'Detail Balok'!$C$10:$AU$140,27,FALSE)</f>
        <v>13</v>
      </c>
      <c r="I6971" t="str">
        <v>(</v>
      </c>
      <c r="J6971">
        <f>+J6963</f>
        <v>1.3</v>
      </c>
      <c r="K6971" t="str">
        <v>+</v>
      </c>
      <c r="M6971" t="str">
        <v>=</v>
      </c>
      <c r="N6971">
        <f>J6971+L6971</f>
        <v>1.3</v>
      </c>
      <c r="O6971" t="str">
        <v>+</v>
      </c>
      <c r="P6971">
        <f>MAX(D6971-D6970,D6971-D6972)</f>
        <v>0</v>
      </c>
      <c r="Q6971" t="str">
        <v>x</v>
      </c>
      <c r="R6971">
        <f>IF(P6971&gt;0,2*(1-2*$F$19-1/2)*D6958/1000,0)</f>
        <v>0</v>
      </c>
      <c r="S6971" t="str">
        <v>)</v>
      </c>
      <c r="T6971" t="str">
        <v>x</v>
      </c>
      <c r="U6971">
        <f>0.006165*F6971^2</f>
        <v>1.041885</v>
      </c>
      <c r="X6971" t="str">
        <v>x</v>
      </c>
      <c r="Y6971">
        <f>D6961</f>
        <v>1</v>
      </c>
      <c r="Z6971" t="str">
        <v>=</v>
      </c>
      <c r="AA6971">
        <f>IF(AA6973=0,(D6971*N6971+P6971*R6971)*U6971*Y6971,0)</f>
        <v>0</v>
      </c>
    </row>
    <row r="6972">
      <c r="A6972" t="str">
        <f>A6955</f>
        <v>Lantai Atap</v>
      </c>
      <c r="B6972">
        <f>B6955</f>
        <v>25</v>
      </c>
      <c r="C6972" t="str">
        <v>Tul Bawah Tumpuan</v>
      </c>
      <c r="D6972">
        <f>VLOOKUP(D6955,'Detail Balok'!$C$10:$AU$140,28,FALSE)</f>
        <v>2</v>
      </c>
      <c r="E6972" t="str">
        <v>D</v>
      </c>
      <c r="F6972">
        <f>VLOOKUP(D6955,'Detail Balok'!$C$10:$AU$140,30,FALSE)</f>
        <v>13</v>
      </c>
      <c r="I6972" t="str">
        <v>(</v>
      </c>
      <c r="J6972">
        <f>+J6964</f>
        <v>0.65</v>
      </c>
      <c r="K6972" t="str">
        <v>+</v>
      </c>
      <c r="L6972">
        <f>MAX(VLOOKUP(F6972,N$6:P$15,3,FALSE)/1000,2/3*D6960/1000)+F$16*F6972/1000</f>
        <v>0.156</v>
      </c>
      <c r="M6972" t="str">
        <v>=</v>
      </c>
      <c r="N6972">
        <f>J6972+L6972</f>
        <v>0.806</v>
      </c>
      <c r="O6972" t="str">
        <v>+</v>
      </c>
      <c r="P6972">
        <f>D6972-D6971</f>
        <v>0</v>
      </c>
      <c r="Q6972" t="str">
        <v>x</v>
      </c>
      <c r="R6972">
        <f>IF(P6972&gt;0,$F$18*F6972/1000,0)</f>
        <v>0</v>
      </c>
      <c r="S6972" t="str">
        <v>)</v>
      </c>
      <c r="T6972" t="str">
        <v>x</v>
      </c>
      <c r="U6972">
        <f>0.006165*F6972^2</f>
        <v>1.041885</v>
      </c>
      <c r="X6972" t="str">
        <v>x</v>
      </c>
      <c r="Y6972">
        <f>D6961</f>
        <v>1</v>
      </c>
      <c r="Z6972" t="str">
        <v>=</v>
      </c>
      <c r="AA6972">
        <f>IF(AA6973=0,(D6972*N6972+P6972*R6972)*U6972*Y6972,0)</f>
        <v>0</v>
      </c>
    </row>
    <row r="6973">
      <c r="A6973" t="str">
        <f>A6955</f>
        <v>Lantai Atap</v>
      </c>
      <c r="B6973">
        <f>B6955</f>
        <v>25</v>
      </c>
      <c r="D6973">
        <f>IF(AND(D6970=D6971,D6971=D6972,D6970=D6972),D6970,0)</f>
        <v>2</v>
      </c>
      <c r="E6973" t="str">
        <v>D</v>
      </c>
      <c r="F6973">
        <f>IF(AND(F6970=F6971,F6970=F6972,F6971=F6972),F6970,0)</f>
        <v>13</v>
      </c>
      <c r="L6973" t="str">
        <v>Total panjang per balok</v>
      </c>
      <c r="M6973" t="str">
        <v>=</v>
      </c>
      <c r="N6973">
        <f>IF(AND(D6970=D6971,D6970=D6972,D6971=D6972,F6970=F6971,F6970=F6972,F6971=F6972),SUM(N6970:N6972),0)</f>
        <v>2.912</v>
      </c>
      <c r="O6973" t="str">
        <v>+</v>
      </c>
      <c r="P6973">
        <f>IF(N6973&gt;12,ROUNDDOWN(N6973/12,0),0)</f>
        <v>0</v>
      </c>
      <c r="Q6973" t="str">
        <v>x</v>
      </c>
      <c r="R6973">
        <f>IF(P6973&gt;0,MAX(VLOOKUP(F6973,$D$6:$G$15,3,FALSE),600),0)/1000</f>
        <v>0</v>
      </c>
      <c r="T6973" t="str">
        <v>x</v>
      </c>
      <c r="U6973">
        <f>U6972</f>
        <v>1.041885</v>
      </c>
      <c r="V6973" t="str">
        <v>x</v>
      </c>
      <c r="W6973">
        <f>D6973</f>
        <v>2</v>
      </c>
      <c r="X6973" t="str">
        <v>x</v>
      </c>
      <c r="Y6973">
        <f>Y6972</f>
        <v>1</v>
      </c>
      <c r="Z6973" t="str">
        <v>=</v>
      </c>
      <c r="AA6973">
        <f>(N6973+P6973*R6973/1000)*U6973*W6973*Y6973</f>
        <v>6.067938239999999</v>
      </c>
    </row>
    <row r="6975">
      <c r="A6975" t="str">
        <f>A6955</f>
        <v>Lantai Atap</v>
      </c>
      <c r="B6975">
        <f>B6955</f>
        <v>25</v>
      </c>
      <c r="C6975" t="str">
        <v>Sengkang Tumpuan</v>
      </c>
      <c r="D6975">
        <f>VLOOKUP(D6955,'Detail Balok'!$C$10:$AU$140,31,FALSE)</f>
        <v>0</v>
      </c>
      <c r="E6975" t="str">
        <v>D</v>
      </c>
      <c r="F6975">
        <f>VLOOKUP(D6955,'Detail Balok'!$C$10:$AU$140,33,FALSE)</f>
        <v>8</v>
      </c>
      <c r="G6975" t="str">
        <v>-</v>
      </c>
      <c r="H6975">
        <f>VLOOKUP(D6955,'Detail Balok'!$C$10:$AU$140,35,FALSE)</f>
        <v>150</v>
      </c>
      <c r="J6975">
        <f>(IF(D6975=0,(2*(D6956+G6956))-(F$5*8),IF(D6975=3,(2*(D6956+G6956))-(F$5*8)+(G6956-2*F$5),IF(D6975=4,(2*(D6956+G6956))-(F$5*8)+2*(G6956-2*F$5)))))/1000</f>
        <v>0.74</v>
      </c>
      <c r="K6975" t="str">
        <v>+</v>
      </c>
      <c r="L6975">
        <f>IF(D6975=0,2*MAX(6*F6975,75),(D6975-1)*2*MAX(6*F6975,75))/1000</f>
        <v>0.15</v>
      </c>
      <c r="M6975" t="str">
        <v>=</v>
      </c>
      <c r="N6975">
        <f>J6975+L6975</f>
        <v>0.89</v>
      </c>
      <c r="T6975" t="str">
        <v>x</v>
      </c>
      <c r="U6975">
        <f>0.006165*F6975^2</f>
        <v>0.39456</v>
      </c>
      <c r="V6975" t="str">
        <v>x</v>
      </c>
      <c r="W6975">
        <f>IF(D6958&gt;4*G6956,ROUND(MAX(D6958/4,2*G6956)/H6975,0)+1,ROUND(D6958/H6975,0)+1)</f>
        <v>6</v>
      </c>
      <c r="X6975" t="str">
        <v>x</v>
      </c>
      <c r="Y6975">
        <f>D6961</f>
        <v>1</v>
      </c>
      <c r="Z6975" t="str">
        <v>=</v>
      </c>
      <c r="AA6975">
        <f>N6975*U6975*W6975*Y6975</f>
        <v>2.1069504</v>
      </c>
    </row>
    <row r="6976">
      <c r="A6976" t="str">
        <f>A6955</f>
        <v>Lantai Atap</v>
      </c>
      <c r="B6976">
        <f>B6955</f>
        <v>25</v>
      </c>
      <c r="C6976" t="str">
        <v>Sengkang Lapangan</v>
      </c>
      <c r="D6976">
        <f>VLOOKUP(D6955,'Detail Balok'!$C$10:$AU$140,36,FALSE)</f>
        <v>0</v>
      </c>
      <c r="E6976" t="str">
        <v>D</v>
      </c>
      <c r="F6976">
        <f>VLOOKUP(D6955,'Detail Balok'!$C$10:$AU$140,38,FALSE)</f>
        <v>8</v>
      </c>
      <c r="G6976" t="str">
        <v>-</v>
      </c>
      <c r="H6976">
        <f>VLOOKUP(D6955,'Detail Balok'!$C$10:$AU$140,40,FALSE)</f>
        <v>200</v>
      </c>
      <c r="J6976">
        <f>(IF(D6976=0,(2*(D6956+G6956))-(F$5*8),IF(D6976=3,(2*(D6956+G6956))-(F$5*8)+(G6956-2*F$5),IF(D6976=4,(2*(D6956+G6956))-(F$5*8)+2*(G6956-2*F$5)))))/1000</f>
        <v>0.74</v>
      </c>
      <c r="K6976" t="str">
        <v>+</v>
      </c>
      <c r="L6976">
        <f>IF(D6976=0,2*MAX(6*F6976,75),(D6976-1)*2*MAX(6*F6976,75))/1000</f>
        <v>0.15</v>
      </c>
      <c r="M6976" t="str">
        <v>=</v>
      </c>
      <c r="N6976">
        <f>J6976+L6976</f>
        <v>0.89</v>
      </c>
      <c r="T6976" t="str">
        <v>x</v>
      </c>
      <c r="U6976">
        <f>0.006165*F6976^2</f>
        <v>0.39456</v>
      </c>
      <c r="V6976" t="str">
        <v>x</v>
      </c>
      <c r="W6976">
        <f>IF(D6958-MAX(D6958/4,2*G6956)*2&gt;0,ROUND((D6958-MAX(D6958/4,2*G6956)*2)/H6976,0),0)</f>
        <v>5</v>
      </c>
      <c r="X6976" t="str">
        <v>x</v>
      </c>
      <c r="Y6976">
        <f>D6961</f>
        <v>1</v>
      </c>
      <c r="Z6976" t="str">
        <v>=</v>
      </c>
      <c r="AA6976">
        <f>N6976*U6976*W6976*Y6976</f>
        <v>1.7557920000000002</v>
      </c>
    </row>
    <row r="6977">
      <c r="A6977" t="str">
        <f>A6955</f>
        <v>Lantai Atap</v>
      </c>
      <c r="B6977">
        <f>B6955</f>
        <v>25</v>
      </c>
      <c r="C6977" t="str">
        <v>Sengkang Tumpuan</v>
      </c>
      <c r="D6977">
        <f>VLOOKUP(D6955,'Detail Balok'!$C$10:$AU$140,41,FALSE)</f>
        <v>0</v>
      </c>
      <c r="E6977" t="str">
        <v>D</v>
      </c>
      <c r="F6977">
        <f>VLOOKUP(D6955,'Detail Balok'!$C$10:$AU$140,43,FALSE)</f>
        <v>8</v>
      </c>
      <c r="G6977" t="str">
        <v>-</v>
      </c>
      <c r="H6977">
        <f>VLOOKUP(D6955,'Detail Balok'!$C$10:$AU$140,45,FALSE)</f>
        <v>150</v>
      </c>
      <c r="J6977">
        <f>(IF(D6977=0,(2*(D6956+G6956))-(F$5*8),IF(D6977=3,(2*(D6956+G6956))-(F$5*8)+(G6956-2*F$5),IF(D6977=4,(2*(D6956+G6956))-(F$5*8)+2*(G6956-2*F$5)))))/1000</f>
        <v>0.74</v>
      </c>
      <c r="K6977" t="str">
        <v>+</v>
      </c>
      <c r="L6977">
        <f>IF(D6977=0,2*MAX(6*F6977,75),(D6977-1)*2*MAX(6*F6977,75))/1000</f>
        <v>0.15</v>
      </c>
      <c r="M6977" t="str">
        <v>=</v>
      </c>
      <c r="N6977">
        <f>J6977+L6977</f>
        <v>0.89</v>
      </c>
      <c r="T6977" t="str">
        <v>x</v>
      </c>
      <c r="U6977">
        <f>0.006165*F6977^2</f>
        <v>0.39456</v>
      </c>
      <c r="V6977" t="str">
        <v>x</v>
      </c>
      <c r="W6977">
        <f>IF(D6958&gt;4*G6956,ROUND(MAX(D6958/4,2*G6956)/H6977,0)+1,0)</f>
        <v>6</v>
      </c>
      <c r="X6977" t="str">
        <v>x</v>
      </c>
      <c r="Y6977">
        <f>D6961</f>
        <v>1</v>
      </c>
      <c r="Z6977" t="str">
        <v>=</v>
      </c>
      <c r="AA6977">
        <f>N6977*U6977*W6977*Y6977</f>
        <v>2.1069504</v>
      </c>
    </row>
    <row r="6979">
      <c r="A6979" t="str">
        <f>A6955</f>
        <v>Lantai Atap</v>
      </c>
      <c r="B6979">
        <f>B6955</f>
        <v>25</v>
      </c>
      <c r="C6979" t="str">
        <v>Kait Horizontal Tump.</v>
      </c>
      <c r="D6979">
        <f>VLOOKUP(D6955,'Detail Balok'!$C$10:$BJ$140,46,FALSE)</f>
        <v>0</v>
      </c>
      <c r="E6979" t="str">
        <v>D</v>
      </c>
      <c r="F6979">
        <f>VLOOKUP(D6955,'Detail Balok'!$C$10:$BJ$140,48,FALSE)</f>
        <v>0</v>
      </c>
      <c r="G6979" t="str">
        <v>-</v>
      </c>
      <c r="H6979">
        <f>VLOOKUP(D6955,'Detail Balok'!$C$10:$BJ$140,50,FALSE)</f>
        <v>100</v>
      </c>
      <c r="J6979">
        <f>(D6956-2*F$5)/1000</f>
        <v>0.05</v>
      </c>
      <c r="K6979" t="str">
        <v>+</v>
      </c>
      <c r="L6979">
        <f>IF(D6979=0,2*MAX(6*F6979,75),(D6979-1)*2*MAX(6*F6979,75))/1000</f>
        <v>0.15</v>
      </c>
      <c r="M6979" t="str">
        <v>=</v>
      </c>
      <c r="N6979">
        <f>J6979+L6979</f>
        <v>0.2</v>
      </c>
      <c r="T6979" t="str">
        <v>x</v>
      </c>
      <c r="U6979">
        <f>0.006165*F6979^2</f>
        <v>0</v>
      </c>
      <c r="V6979" t="str">
        <v>x</v>
      </c>
      <c r="W6979">
        <f>W6975</f>
        <v>6</v>
      </c>
      <c r="X6979" t="str">
        <v>x</v>
      </c>
      <c r="Y6979">
        <f>D6965</f>
        <v>2</v>
      </c>
      <c r="Z6979" t="str">
        <v>=</v>
      </c>
      <c r="AA6979">
        <f>N6979*U6979*W6979*Y6979</f>
        <v>0</v>
      </c>
    </row>
    <row r="6980">
      <c r="A6980" t="str">
        <f>A6955</f>
        <v>Lantai Atap</v>
      </c>
      <c r="B6980">
        <f>B6955</f>
        <v>25</v>
      </c>
      <c r="C6980" t="str">
        <v>Kait Horizontal Lap.</v>
      </c>
      <c r="D6980">
        <f>VLOOKUP(D6955,'Detail Balok'!$C$10:$BJ$140,51,FALSE)</f>
        <v>0</v>
      </c>
      <c r="E6980" t="str">
        <v>D</v>
      </c>
      <c r="F6980">
        <f>VLOOKUP(D6955,'Detail Balok'!$C$10:$BJ$140,53,FALSE)</f>
        <v>0</v>
      </c>
      <c r="G6980" t="str">
        <v>-</v>
      </c>
      <c r="H6980">
        <f>VLOOKUP(D6955,'Detail Balok'!$C$10:$BJ$140,55,FALSE)</f>
        <v>100</v>
      </c>
      <c r="J6980">
        <f>(D6956-2*F$5)/1000</f>
        <v>0.05</v>
      </c>
      <c r="K6980" t="str">
        <v>+</v>
      </c>
      <c r="L6980">
        <f>IF(D6980=0,2*MAX(6*F6980,75),(D6980-1)*2*MAX(6*F6980,75))/1000</f>
        <v>0.15</v>
      </c>
      <c r="M6980" t="str">
        <v>=</v>
      </c>
      <c r="N6980">
        <f>J6980+L6980</f>
        <v>0.2</v>
      </c>
      <c r="T6980" t="str">
        <v>x</v>
      </c>
      <c r="U6980">
        <f>0.006165*F6980^2</f>
        <v>0</v>
      </c>
      <c r="V6980" t="str">
        <v>x</v>
      </c>
      <c r="W6980">
        <f>W6976</f>
        <v>5</v>
      </c>
      <c r="X6980" t="str">
        <v>x</v>
      </c>
      <c r="Y6980">
        <f>D6965</f>
        <v>2</v>
      </c>
      <c r="Z6980" t="str">
        <v>=</v>
      </c>
      <c r="AA6980">
        <f>N6980*U6980*W6980*Y6980</f>
        <v>0</v>
      </c>
    </row>
    <row r="6981">
      <c r="A6981" t="str">
        <f>A6955</f>
        <v>Lantai Atap</v>
      </c>
      <c r="B6981">
        <f>B6955</f>
        <v>25</v>
      </c>
      <c r="C6981" t="str">
        <v>Kait Horizontal Tump.</v>
      </c>
      <c r="D6981">
        <f>VLOOKUP(D6955,'Detail Balok'!$C$10:$BJ$140,56,FALSE)</f>
        <v>0</v>
      </c>
      <c r="E6981" t="str">
        <v>D</v>
      </c>
      <c r="F6981">
        <f>VLOOKUP(D6955,'Detail Balok'!$C$10:$BJ$140,58,FALSE)</f>
        <v>0</v>
      </c>
      <c r="G6981" t="str">
        <v>-</v>
      </c>
      <c r="H6981">
        <f>VLOOKUP(D6955,'Detail Balok'!$C$10:$BJ$140,60,FALSE)</f>
        <v>100</v>
      </c>
      <c r="J6981">
        <f>(D6956-2*F$5)/1000</f>
        <v>0.05</v>
      </c>
      <c r="K6981" t="str">
        <v>+</v>
      </c>
      <c r="L6981">
        <f>IF(D6981=0,2*MAX(6*F6981,75),(D6981-1)*2*MAX(6*F6981,75))/1000</f>
        <v>0.15</v>
      </c>
      <c r="M6981" t="str">
        <v>=</v>
      </c>
      <c r="N6981">
        <f>J6981+L6981</f>
        <v>0.2</v>
      </c>
      <c r="T6981" t="str">
        <v>x</v>
      </c>
      <c r="U6981">
        <f>0.006165*F6981^2</f>
        <v>0</v>
      </c>
      <c r="V6981" t="str">
        <v>x</v>
      </c>
      <c r="W6981">
        <f>W6977</f>
        <v>6</v>
      </c>
      <c r="X6981" t="str">
        <v>x</v>
      </c>
      <c r="Y6981">
        <f>D6965</f>
        <v>2</v>
      </c>
      <c r="Z6981" t="str">
        <v>=</v>
      </c>
      <c r="AA6981">
        <f>N6981*U6981*W6981*Y6981</f>
        <v>0</v>
      </c>
    </row>
    <row r="6985">
      <c r="A6985" t="str">
        <f>A6955</f>
        <v>Lantai Atap</v>
      </c>
      <c r="B6985">
        <f>B6955+1</f>
        <v>26</v>
      </c>
      <c r="C6985" t="str">
        <f>CONCATENATE(A6985," no. ",B6985)</f>
        <v>Lantai Atap no. 26</v>
      </c>
      <c r="D6985" t="str">
        <f>VLOOKUP(C6985,'Data Panjang Balok'!$C$9:$N$254,2,FALSE)</f>
        <v>B4-1</v>
      </c>
    </row>
    <row r="6986">
      <c r="C6986" t="str">
        <v>Dimensi</v>
      </c>
      <c r="D6986">
        <f>VLOOKUP(D6985,'Detail Balok'!$C$10:$AU$140,2,FALSE)</f>
        <v>130</v>
      </c>
      <c r="F6986" t="str">
        <v>x</v>
      </c>
      <c r="G6986">
        <f>VLOOKUP(D6985,'Detail Balok'!$C$10:$AU$140,3,FALSE)</f>
        <v>400</v>
      </c>
    </row>
    <row r="6987">
      <c r="C6987" t="str">
        <v>Panjang as ke as</v>
      </c>
      <c r="D6987">
        <f>VLOOKUP(C6985,'Data Panjang Balok'!$C$9:$N$254,4,FALSE)</f>
        <v>2600</v>
      </c>
    </row>
    <row r="6988">
      <c r="C6988" t="str">
        <v>Panjang netto</v>
      </c>
      <c r="D6988">
        <f>VLOOKUP(C6985,'Data Panjang Balok'!$C$9:$N$254,7,FALSE)</f>
        <v>2600</v>
      </c>
    </row>
    <row r="6989">
      <c r="C6989" t="str">
        <v>Kolom / balok kiri</v>
      </c>
      <c r="D6989">
        <f>VLOOKUP(C6985,'Data Panjang Balok'!$C$9:$N$254,9,FALSE)</f>
        <v>0</v>
      </c>
    </row>
    <row r="6990">
      <c r="C6990" t="str">
        <v>Kolom / balok kanan</v>
      </c>
      <c r="D6990">
        <f>VLOOKUP(C6985,'Data Panjang Balok'!$C$9:$N$254,10,FALSE)</f>
        <v>0</v>
      </c>
    </row>
    <row r="6991">
      <c r="C6991" t="str">
        <v>Jumlah</v>
      </c>
      <c r="D6991">
        <f>VLOOKUP(C6985,'Data Panjang Balok'!$C$9:$N$254,3,FALSE)</f>
        <v>1</v>
      </c>
    </row>
    <row r="6992">
      <c r="A6992" t="str">
        <f>A6985</f>
        <v>Lantai Atap</v>
      </c>
      <c r="B6992">
        <f>B6985</f>
        <v>26</v>
      </c>
      <c r="C6992" t="str">
        <v>Tul Atas Tumpuan</v>
      </c>
      <c r="D6992">
        <f>VLOOKUP(D6985,'Detail Balok'!$C$10:$AU$140,4,FALSE)</f>
        <v>2</v>
      </c>
      <c r="E6992" t="str">
        <v>D</v>
      </c>
      <c r="F6992">
        <f>VLOOKUP(D6985,'Detail Balok'!$C$10:$AU$140,6,FALSE)</f>
        <v>13</v>
      </c>
      <c r="I6992" t="str">
        <v>(</v>
      </c>
      <c r="J6992">
        <f>+D6987/4/1000</f>
        <v>0.65</v>
      </c>
      <c r="K6992" t="str">
        <v>+</v>
      </c>
      <c r="L6992">
        <f>MAX(VLOOKUP(F6992,N$6:P$15,3,FALSE)/1000,2/3*D6989/1000)+F$16*F6992/1000</f>
        <v>0.156</v>
      </c>
      <c r="M6992" t="str">
        <v>=</v>
      </c>
      <c r="N6992">
        <f>J6992+L6992</f>
        <v>0.806</v>
      </c>
      <c r="O6992" t="str">
        <v>+</v>
      </c>
      <c r="P6992">
        <f>D6992-D6993</f>
        <v>0</v>
      </c>
      <c r="Q6992" t="str">
        <v>x</v>
      </c>
      <c r="R6992">
        <f>IF(P6992&gt;0,$F$18*F6992/1000,0)</f>
        <v>0</v>
      </c>
      <c r="S6992" t="str">
        <v>)</v>
      </c>
      <c r="T6992" t="str">
        <v>x</v>
      </c>
      <c r="U6992">
        <f>0.006165*F6992^2</f>
        <v>1.041885</v>
      </c>
      <c r="X6992" t="str">
        <v>x</v>
      </c>
      <c r="Y6992">
        <f>D6991</f>
        <v>1</v>
      </c>
      <c r="Z6992" t="str">
        <v>=</v>
      </c>
      <c r="AA6992">
        <f>IF(AA6995=0,(D6992*N6992+P6992*R6992)*U6992*Y6992,0)</f>
        <v>0</v>
      </c>
    </row>
    <row r="6993">
      <c r="A6993" t="str">
        <f>A6985</f>
        <v>Lantai Atap</v>
      </c>
      <c r="B6993">
        <f>B6985</f>
        <v>26</v>
      </c>
      <c r="C6993" t="str">
        <v>Tul Atas Lapangan</v>
      </c>
      <c r="D6993">
        <f>VLOOKUP(D6985,'Detail Balok'!$C$10:$AU$140,7,FALSE)</f>
        <v>2</v>
      </c>
      <c r="E6993" t="str">
        <v>D</v>
      </c>
      <c r="F6993">
        <f>VLOOKUP(D6985,'Detail Balok'!$C$10:$AU$140,9,FALSE)</f>
        <v>13</v>
      </c>
      <c r="I6993" t="str">
        <v>(</v>
      </c>
      <c r="J6993">
        <f>+D6987/2/1000</f>
        <v>1.3</v>
      </c>
      <c r="K6993" t="str">
        <v>+</v>
      </c>
      <c r="M6993" t="str">
        <v>=</v>
      </c>
      <c r="N6993">
        <f>J6993+L6993</f>
        <v>1.3</v>
      </c>
      <c r="O6993" t="str">
        <v>+</v>
      </c>
      <c r="P6993">
        <f>MAX(D6993-D6992,D6993-D6994)</f>
        <v>0</v>
      </c>
      <c r="Q6993" t="str">
        <v>x</v>
      </c>
      <c r="R6993">
        <f>IF(P6993&gt;0,2*(1-2*$F$19-1/2)*D6988/1000,0)</f>
        <v>0</v>
      </c>
      <c r="S6993" t="str">
        <v>)</v>
      </c>
      <c r="T6993" t="str">
        <v>x</v>
      </c>
      <c r="U6993">
        <f>0.006165*F6993^2</f>
        <v>1.041885</v>
      </c>
      <c r="X6993" t="str">
        <v>x</v>
      </c>
      <c r="Y6993">
        <f>D6991</f>
        <v>1</v>
      </c>
      <c r="Z6993" t="str">
        <v>=</v>
      </c>
      <c r="AA6993">
        <f>IF(AA6995=0,(D6993*N6993+P6993*R6993)*U6993*Y6993,0)</f>
        <v>0</v>
      </c>
    </row>
    <row r="6994">
      <c r="A6994" t="str">
        <f>A6985</f>
        <v>Lantai Atap</v>
      </c>
      <c r="B6994">
        <f>B6985</f>
        <v>26</v>
      </c>
      <c r="C6994" t="str">
        <v>Tul Atas Tumpuan</v>
      </c>
      <c r="D6994">
        <f>VLOOKUP(D6985,'Detail Balok'!$C$10:$AU$140,10,FALSE)</f>
        <v>2</v>
      </c>
      <c r="E6994" t="str">
        <v>D</v>
      </c>
      <c r="F6994">
        <f>VLOOKUP(D6985,'Detail Balok'!$C$10:$AU$140,12,FALSE)</f>
        <v>13</v>
      </c>
      <c r="I6994" t="str">
        <v>(</v>
      </c>
      <c r="J6994">
        <f>+D6987/4/1000</f>
        <v>0.65</v>
      </c>
      <c r="K6994" t="str">
        <v>+</v>
      </c>
      <c r="L6994">
        <f>MAX(VLOOKUP(F6994,N$6:P$15,3,FALSE)/1000,2/3*D6989/1000)+F$16*F6994/1000</f>
        <v>0.156</v>
      </c>
      <c r="M6994" t="str">
        <v>=</v>
      </c>
      <c r="N6994">
        <f>J6994+L6994</f>
        <v>0.806</v>
      </c>
      <c r="O6994" t="str">
        <v>+</v>
      </c>
      <c r="P6994">
        <f>D6994-D6993</f>
        <v>0</v>
      </c>
      <c r="Q6994" t="str">
        <v>x</v>
      </c>
      <c r="R6994">
        <f>IF(P6994&gt;0,$F$18*F6994/1000,0)</f>
        <v>0</v>
      </c>
      <c r="S6994" t="str">
        <v>)</v>
      </c>
      <c r="T6994" t="str">
        <v>x</v>
      </c>
      <c r="U6994">
        <f>0.006165*F6994^2</f>
        <v>1.041885</v>
      </c>
      <c r="X6994" t="str">
        <v>x</v>
      </c>
      <c r="Y6994">
        <f>D6991</f>
        <v>1</v>
      </c>
      <c r="Z6994" t="str">
        <v>=</v>
      </c>
      <c r="AA6994">
        <f>IF(AA6995=0,(D6994*N6994+P6994*R6994)*U6994*Y6994,0)</f>
        <v>0</v>
      </c>
    </row>
    <row r="6995">
      <c r="A6995" t="str">
        <f>A6985</f>
        <v>Lantai Atap</v>
      </c>
      <c r="B6995">
        <f>B6985</f>
        <v>26</v>
      </c>
      <c r="D6995">
        <f>IF(AND(D6992=D6993,D6993=D6994,D6992=D6994),D6992,0)</f>
        <v>2</v>
      </c>
      <c r="E6995" t="str">
        <v>D</v>
      </c>
      <c r="F6995">
        <f>IF(AND(F6992=F6993,F6992=F6994,F6993=F6994),F6992,0)</f>
        <v>13</v>
      </c>
      <c r="L6995" t="str">
        <v>Total panjang per balok</v>
      </c>
      <c r="M6995" t="str">
        <v>=</v>
      </c>
      <c r="N6995">
        <f>IF(AND(D6992=D6993,D6992=D6994,D6993=D6994,F6992=F6993,F6992=F6994,F6993=F6994),SUM(N6992:N6994),0)</f>
        <v>2.912</v>
      </c>
      <c r="O6995" t="str">
        <v>+</v>
      </c>
      <c r="P6995">
        <f>IF(N6995&gt;12,ROUNDDOWN(N6995/12,0),0)</f>
        <v>0</v>
      </c>
      <c r="Q6995" t="str">
        <v>x</v>
      </c>
      <c r="R6995">
        <f>IF(P6995&gt;0,MAX(VLOOKUP(F6995,$D$6:$G$15,3,FALSE),600),0)/1000</f>
        <v>0</v>
      </c>
      <c r="T6995" t="str">
        <v>x</v>
      </c>
      <c r="U6995">
        <f>U6994</f>
        <v>1.041885</v>
      </c>
      <c r="V6995" t="str">
        <v>x</v>
      </c>
      <c r="W6995">
        <f>D6995</f>
        <v>2</v>
      </c>
      <c r="X6995" t="str">
        <v>x</v>
      </c>
      <c r="Y6995">
        <f>Y6994</f>
        <v>1</v>
      </c>
      <c r="Z6995" t="str">
        <v>=</v>
      </c>
      <c r="AA6995">
        <f>(N6995+P6995*R6995/1000)*U6995*W6995*Y6995</f>
        <v>6.067938239999999</v>
      </c>
    </row>
    <row r="6997">
      <c r="A6997" t="str">
        <f>A6985</f>
        <v>Lantai Atap</v>
      </c>
      <c r="B6997">
        <f>B6985</f>
        <v>26</v>
      </c>
      <c r="C6997" t="str">
        <v>Tul Peminggang</v>
      </c>
      <c r="D6997">
        <f>VLOOKUP(D6985,'Detail Balok'!$C$10:$AU$140,13,FALSE)</f>
        <v>0</v>
      </c>
      <c r="E6997" t="str">
        <v>D</v>
      </c>
      <c r="F6997">
        <f>VLOOKUP(D6985,'Detail Balok'!$C$10:$AU$140,15,FALSE)</f>
        <v>8</v>
      </c>
      <c r="J6997">
        <f>+D6987/1000</f>
        <v>2.6</v>
      </c>
      <c r="K6997" t="str">
        <v>+</v>
      </c>
      <c r="L6997">
        <f>2*$F$16*F6997/1000</f>
        <v>0.192</v>
      </c>
      <c r="M6997" t="str">
        <v>=</v>
      </c>
      <c r="N6997">
        <f>J6997+L6997</f>
        <v>2.7920000000000003</v>
      </c>
      <c r="O6997" t="str">
        <v>+</v>
      </c>
      <c r="P6997">
        <f>IF(N6997&gt;12,ROUNDDOWN(N6997/12,0),0)</f>
        <v>0</v>
      </c>
      <c r="Q6997" t="str">
        <v>x</v>
      </c>
      <c r="R6997">
        <f>IF(P6997&gt;0,MAX(VLOOKUP(F6997,$D$6:$G$15,3,FALSE),600),0)/1000</f>
        <v>0</v>
      </c>
      <c r="T6997" t="str">
        <v>x</v>
      </c>
      <c r="U6997">
        <f>0.006165*F6997^2</f>
        <v>0.39456</v>
      </c>
      <c r="V6997" t="str">
        <v>x</v>
      </c>
      <c r="W6997">
        <f>+D6997</f>
        <v>0</v>
      </c>
      <c r="X6997" t="str">
        <v>x</v>
      </c>
      <c r="Y6997">
        <f>D6991</f>
        <v>1</v>
      </c>
      <c r="Z6997" t="str">
        <v>=</v>
      </c>
      <c r="AA6997">
        <f>(N6997+P6997*R6997/1000)*U6997*W6997*Y6997</f>
        <v>0</v>
      </c>
    </row>
    <row r="7000">
      <c r="A7000" t="str">
        <f>A6985</f>
        <v>Lantai Atap</v>
      </c>
      <c r="B7000">
        <f>B6985</f>
        <v>26</v>
      </c>
      <c r="C7000" t="str">
        <v>Tul Bawah Tumpuan</v>
      </c>
      <c r="D7000">
        <f>VLOOKUP(D6985,'Detail Balok'!$C$10:$AU$140,22,FALSE)</f>
        <v>2</v>
      </c>
      <c r="E7000" t="str">
        <v>D</v>
      </c>
      <c r="F7000">
        <f>VLOOKUP(D6985,'Detail Balok'!$C$10:$AU$140,24,FALSE)</f>
        <v>13</v>
      </c>
      <c r="I7000" t="str">
        <v>(</v>
      </c>
      <c r="J7000">
        <f>+J6992</f>
        <v>0.65</v>
      </c>
      <c r="K7000" t="str">
        <v>+</v>
      </c>
      <c r="L7000">
        <f>MAX(VLOOKUP(F7000,N$6:P$15,3,FALSE)/1000,2/3*D6990/1000)+F$16*F7000/1000</f>
        <v>0.156</v>
      </c>
      <c r="M7000" t="str">
        <v>=</v>
      </c>
      <c r="N7000">
        <f>J7000+L7000</f>
        <v>0.806</v>
      </c>
      <c r="O7000" t="str">
        <v>+</v>
      </c>
      <c r="P7000">
        <f>D7000-D7001</f>
        <v>0</v>
      </c>
      <c r="Q7000" t="str">
        <v>x</v>
      </c>
      <c r="R7000">
        <f>IF(P7000&gt;0,$F$18*F7000/1000,0)</f>
        <v>0</v>
      </c>
      <c r="S7000" t="str">
        <v>)</v>
      </c>
      <c r="T7000" t="str">
        <v>x</v>
      </c>
      <c r="U7000">
        <f>0.006165*F7000^2</f>
        <v>1.041885</v>
      </c>
      <c r="X7000" t="str">
        <v>x</v>
      </c>
      <c r="Y7000">
        <f>D6991</f>
        <v>1</v>
      </c>
      <c r="Z7000" t="str">
        <v>=</v>
      </c>
      <c r="AA7000">
        <f>IF(AA7003=0,(D7000*N7000+P7000*R7000)*U7000*Y7000,0)</f>
        <v>0</v>
      </c>
    </row>
    <row r="7001">
      <c r="A7001" t="str">
        <f>A6985</f>
        <v>Lantai Atap</v>
      </c>
      <c r="B7001">
        <f>B6985</f>
        <v>26</v>
      </c>
      <c r="C7001" t="str">
        <v>Tul Bawah Lapangan</v>
      </c>
      <c r="D7001">
        <f>VLOOKUP(D6985,'Detail Balok'!$C$10:$AU$140,25,FALSE)</f>
        <v>2</v>
      </c>
      <c r="E7001" t="str">
        <v>D</v>
      </c>
      <c r="F7001">
        <f>VLOOKUP(D6985,'Detail Balok'!$C$10:$AU$140,27,FALSE)</f>
        <v>13</v>
      </c>
      <c r="I7001" t="str">
        <v>(</v>
      </c>
      <c r="J7001">
        <f>+J6993</f>
        <v>1.3</v>
      </c>
      <c r="K7001" t="str">
        <v>+</v>
      </c>
      <c r="M7001" t="str">
        <v>=</v>
      </c>
      <c r="N7001">
        <f>J7001+L7001</f>
        <v>1.3</v>
      </c>
      <c r="O7001" t="str">
        <v>+</v>
      </c>
      <c r="P7001">
        <f>MAX(D7001-D7000,D7001-D7002)</f>
        <v>0</v>
      </c>
      <c r="Q7001" t="str">
        <v>x</v>
      </c>
      <c r="R7001">
        <f>IF(P7001&gt;0,2*(1-2*$F$19-1/2)*D6988/1000,0)</f>
        <v>0</v>
      </c>
      <c r="S7001" t="str">
        <v>)</v>
      </c>
      <c r="T7001" t="str">
        <v>x</v>
      </c>
      <c r="U7001">
        <f>0.006165*F7001^2</f>
        <v>1.041885</v>
      </c>
      <c r="X7001" t="str">
        <v>x</v>
      </c>
      <c r="Y7001">
        <f>D6991</f>
        <v>1</v>
      </c>
      <c r="Z7001" t="str">
        <v>=</v>
      </c>
      <c r="AA7001">
        <f>IF(AA7003=0,(D7001*N7001+P7001*R7001)*U7001*Y7001,0)</f>
        <v>0</v>
      </c>
    </row>
    <row r="7002">
      <c r="A7002" t="str">
        <f>A6985</f>
        <v>Lantai Atap</v>
      </c>
      <c r="B7002">
        <f>B6985</f>
        <v>26</v>
      </c>
      <c r="C7002" t="str">
        <v>Tul Bawah Tumpuan</v>
      </c>
      <c r="D7002">
        <f>VLOOKUP(D6985,'Detail Balok'!$C$10:$AU$140,28,FALSE)</f>
        <v>2</v>
      </c>
      <c r="E7002" t="str">
        <v>D</v>
      </c>
      <c r="F7002">
        <f>VLOOKUP(D6985,'Detail Balok'!$C$10:$AU$140,30,FALSE)</f>
        <v>13</v>
      </c>
      <c r="I7002" t="str">
        <v>(</v>
      </c>
      <c r="J7002">
        <f>+J6994</f>
        <v>0.65</v>
      </c>
      <c r="K7002" t="str">
        <v>+</v>
      </c>
      <c r="L7002">
        <f>MAX(VLOOKUP(F7002,N$6:P$15,3,FALSE)/1000,2/3*D6990/1000)+F$16*F7002/1000</f>
        <v>0.156</v>
      </c>
      <c r="M7002" t="str">
        <v>=</v>
      </c>
      <c r="N7002">
        <f>J7002+L7002</f>
        <v>0.806</v>
      </c>
      <c r="O7002" t="str">
        <v>+</v>
      </c>
      <c r="P7002">
        <f>D7002-D7001</f>
        <v>0</v>
      </c>
      <c r="Q7002" t="str">
        <v>x</v>
      </c>
      <c r="R7002">
        <f>IF(P7002&gt;0,$F$18*F7002/1000,0)</f>
        <v>0</v>
      </c>
      <c r="S7002" t="str">
        <v>)</v>
      </c>
      <c r="T7002" t="str">
        <v>x</v>
      </c>
      <c r="U7002">
        <f>0.006165*F7002^2</f>
        <v>1.041885</v>
      </c>
      <c r="X7002" t="str">
        <v>x</v>
      </c>
      <c r="Y7002">
        <f>D6991</f>
        <v>1</v>
      </c>
      <c r="Z7002" t="str">
        <v>=</v>
      </c>
      <c r="AA7002">
        <f>IF(AA7003=0,(D7002*N7002+P7002*R7002)*U7002*Y7002,0)</f>
        <v>0</v>
      </c>
    </row>
    <row r="7003">
      <c r="A7003" t="str">
        <f>A6985</f>
        <v>Lantai Atap</v>
      </c>
      <c r="B7003">
        <f>B6985</f>
        <v>26</v>
      </c>
      <c r="D7003">
        <f>IF(AND(D7000=D7001,D7001=D7002,D7000=D7002),D7000,0)</f>
        <v>2</v>
      </c>
      <c r="E7003" t="str">
        <v>D</v>
      </c>
      <c r="F7003">
        <f>IF(AND(F7000=F7001,F7000=F7002,F7001=F7002),F7000,0)</f>
        <v>13</v>
      </c>
      <c r="L7003" t="str">
        <v>Total panjang per balok</v>
      </c>
      <c r="M7003" t="str">
        <v>=</v>
      </c>
      <c r="N7003">
        <f>IF(AND(D7000=D7001,D7000=D7002,D7001=D7002,F7000=F7001,F7000=F7002,F7001=F7002),SUM(N7000:N7002),0)</f>
        <v>2.912</v>
      </c>
      <c r="O7003" t="str">
        <v>+</v>
      </c>
      <c r="P7003">
        <f>IF(N7003&gt;12,ROUNDDOWN(N7003/12,0),0)</f>
        <v>0</v>
      </c>
      <c r="Q7003" t="str">
        <v>x</v>
      </c>
      <c r="R7003">
        <f>IF(P7003&gt;0,MAX(VLOOKUP(F7003,$D$6:$G$15,3,FALSE),600),0)/1000</f>
        <v>0</v>
      </c>
      <c r="T7003" t="str">
        <v>x</v>
      </c>
      <c r="U7003">
        <f>U7002</f>
        <v>1.041885</v>
      </c>
      <c r="V7003" t="str">
        <v>x</v>
      </c>
      <c r="W7003">
        <f>D7003</f>
        <v>2</v>
      </c>
      <c r="X7003" t="str">
        <v>x</v>
      </c>
      <c r="Y7003">
        <f>Y7002</f>
        <v>1</v>
      </c>
      <c r="Z7003" t="str">
        <v>=</v>
      </c>
      <c r="AA7003">
        <f>(N7003+P7003*R7003/1000)*U7003*W7003*Y7003</f>
        <v>6.067938239999999</v>
      </c>
    </row>
    <row r="7005">
      <c r="A7005" t="str">
        <f>A6985</f>
        <v>Lantai Atap</v>
      </c>
      <c r="B7005">
        <f>B6985</f>
        <v>26</v>
      </c>
      <c r="C7005" t="str">
        <v>Sengkang Tumpuan</v>
      </c>
      <c r="D7005">
        <f>VLOOKUP(D6985,'Detail Balok'!$C$10:$AU$140,31,FALSE)</f>
        <v>0</v>
      </c>
      <c r="E7005" t="str">
        <v>D</v>
      </c>
      <c r="F7005">
        <f>VLOOKUP(D6985,'Detail Balok'!$C$10:$AU$140,33,FALSE)</f>
        <v>8</v>
      </c>
      <c r="G7005" t="str">
        <v>-</v>
      </c>
      <c r="H7005">
        <f>VLOOKUP(D6985,'Detail Balok'!$C$10:$AU$140,35,FALSE)</f>
        <v>150</v>
      </c>
      <c r="J7005">
        <f>(IF(D7005=0,(2*(D6986+G6986))-(F$5*8),IF(D7005=3,(2*(D6986+G6986))-(F$5*8)+(G6986-2*F$5),IF(D7005=4,(2*(D6986+G6986))-(F$5*8)+2*(G6986-2*F$5)))))/1000</f>
        <v>0.74</v>
      </c>
      <c r="K7005" t="str">
        <v>+</v>
      </c>
      <c r="L7005">
        <f>IF(D7005=0,2*MAX(6*F7005,75),(D7005-1)*2*MAX(6*F7005,75))/1000</f>
        <v>0.15</v>
      </c>
      <c r="M7005" t="str">
        <v>=</v>
      </c>
      <c r="N7005">
        <f>J7005+L7005</f>
        <v>0.89</v>
      </c>
      <c r="T7005" t="str">
        <v>x</v>
      </c>
      <c r="U7005">
        <f>0.006165*F7005^2</f>
        <v>0.39456</v>
      </c>
      <c r="V7005" t="str">
        <v>x</v>
      </c>
      <c r="W7005">
        <f>IF(D6988&gt;4*G6986,ROUND(MAX(D6988/4,2*G6986)/H7005,0)+1,ROUND(D6988/H7005,0)+1)</f>
        <v>6</v>
      </c>
      <c r="X7005" t="str">
        <v>x</v>
      </c>
      <c r="Y7005">
        <f>D6991</f>
        <v>1</v>
      </c>
      <c r="Z7005" t="str">
        <v>=</v>
      </c>
      <c r="AA7005">
        <f>N7005*U7005*W7005*Y7005</f>
        <v>2.1069504</v>
      </c>
    </row>
    <row r="7006">
      <c r="A7006" t="str">
        <f>A6985</f>
        <v>Lantai Atap</v>
      </c>
      <c r="B7006">
        <f>B6985</f>
        <v>26</v>
      </c>
      <c r="C7006" t="str">
        <v>Sengkang Lapangan</v>
      </c>
      <c r="D7006">
        <f>VLOOKUP(D6985,'Detail Balok'!$C$10:$AU$140,36,FALSE)</f>
        <v>0</v>
      </c>
      <c r="E7006" t="str">
        <v>D</v>
      </c>
      <c r="F7006">
        <f>VLOOKUP(D6985,'Detail Balok'!$C$10:$AU$140,38,FALSE)</f>
        <v>8</v>
      </c>
      <c r="G7006" t="str">
        <v>-</v>
      </c>
      <c r="H7006">
        <f>VLOOKUP(D6985,'Detail Balok'!$C$10:$AU$140,40,FALSE)</f>
        <v>200</v>
      </c>
      <c r="J7006">
        <f>(IF(D7006=0,(2*(D6986+G6986))-(F$5*8),IF(D7006=3,(2*(D6986+G6986))-(F$5*8)+(G6986-2*F$5),IF(D7006=4,(2*(D6986+G6986))-(F$5*8)+2*(G6986-2*F$5)))))/1000</f>
        <v>0.74</v>
      </c>
      <c r="K7006" t="str">
        <v>+</v>
      </c>
      <c r="L7006">
        <f>IF(D7006=0,2*MAX(6*F7006,75),(D7006-1)*2*MAX(6*F7006,75))/1000</f>
        <v>0.15</v>
      </c>
      <c r="M7006" t="str">
        <v>=</v>
      </c>
      <c r="N7006">
        <f>J7006+L7006</f>
        <v>0.89</v>
      </c>
      <c r="T7006" t="str">
        <v>x</v>
      </c>
      <c r="U7006">
        <f>0.006165*F7006^2</f>
        <v>0.39456</v>
      </c>
      <c r="V7006" t="str">
        <v>x</v>
      </c>
      <c r="W7006">
        <f>IF(D6988-MAX(D6988/4,2*G6986)*2&gt;0,ROUND((D6988-MAX(D6988/4,2*G6986)*2)/H7006,0),0)</f>
        <v>5</v>
      </c>
      <c r="X7006" t="str">
        <v>x</v>
      </c>
      <c r="Y7006">
        <f>D6991</f>
        <v>1</v>
      </c>
      <c r="Z7006" t="str">
        <v>=</v>
      </c>
      <c r="AA7006">
        <f>N7006*U7006*W7006*Y7006</f>
        <v>1.7557920000000002</v>
      </c>
    </row>
    <row r="7007">
      <c r="A7007" t="str">
        <f>A6985</f>
        <v>Lantai Atap</v>
      </c>
      <c r="B7007">
        <f>B6985</f>
        <v>26</v>
      </c>
      <c r="C7007" t="str">
        <v>Sengkang Tumpuan</v>
      </c>
      <c r="D7007">
        <f>VLOOKUP(D6985,'Detail Balok'!$C$10:$AU$140,41,FALSE)</f>
        <v>0</v>
      </c>
      <c r="E7007" t="str">
        <v>D</v>
      </c>
      <c r="F7007">
        <f>VLOOKUP(D6985,'Detail Balok'!$C$10:$AU$140,43,FALSE)</f>
        <v>8</v>
      </c>
      <c r="G7007" t="str">
        <v>-</v>
      </c>
      <c r="H7007">
        <f>VLOOKUP(D6985,'Detail Balok'!$C$10:$AU$140,45,FALSE)</f>
        <v>150</v>
      </c>
      <c r="J7007">
        <f>(IF(D7007=0,(2*(D6986+G6986))-(F$5*8),IF(D7007=3,(2*(D6986+G6986))-(F$5*8)+(G6986-2*F$5),IF(D7007=4,(2*(D6986+G6986))-(F$5*8)+2*(G6986-2*F$5)))))/1000</f>
        <v>0.74</v>
      </c>
      <c r="K7007" t="str">
        <v>+</v>
      </c>
      <c r="L7007">
        <f>IF(D7007=0,2*MAX(6*F7007,75),(D7007-1)*2*MAX(6*F7007,75))/1000</f>
        <v>0.15</v>
      </c>
      <c r="M7007" t="str">
        <v>=</v>
      </c>
      <c r="N7007">
        <f>J7007+L7007</f>
        <v>0.89</v>
      </c>
      <c r="T7007" t="str">
        <v>x</v>
      </c>
      <c r="U7007">
        <f>0.006165*F7007^2</f>
        <v>0.39456</v>
      </c>
      <c r="V7007" t="str">
        <v>x</v>
      </c>
      <c r="W7007">
        <f>IF(D6988&gt;4*G6986,ROUND(MAX(D6988/4,2*G6986)/H7007,0)+1,0)</f>
        <v>6</v>
      </c>
      <c r="X7007" t="str">
        <v>x</v>
      </c>
      <c r="Y7007">
        <f>D6991</f>
        <v>1</v>
      </c>
      <c r="Z7007" t="str">
        <v>=</v>
      </c>
      <c r="AA7007">
        <f>N7007*U7007*W7007*Y7007</f>
        <v>2.1069504</v>
      </c>
    </row>
    <row r="7009">
      <c r="A7009" t="str">
        <f>A6985</f>
        <v>Lantai Atap</v>
      </c>
      <c r="B7009">
        <f>B6985</f>
        <v>26</v>
      </c>
      <c r="C7009" t="str">
        <v>Kait Horizontal Tump.</v>
      </c>
      <c r="D7009">
        <f>VLOOKUP(D6985,'Detail Balok'!$C$10:$BJ$140,46,FALSE)</f>
        <v>0</v>
      </c>
      <c r="E7009" t="str">
        <v>D</v>
      </c>
      <c r="F7009">
        <f>VLOOKUP(D6985,'Detail Balok'!$C$10:$BJ$140,48,FALSE)</f>
        <v>0</v>
      </c>
      <c r="G7009" t="str">
        <v>-</v>
      </c>
      <c r="H7009">
        <f>VLOOKUP(D6985,'Detail Balok'!$C$10:$BJ$140,50,FALSE)</f>
        <v>100</v>
      </c>
      <c r="J7009">
        <f>(D6986-2*F$5)/1000</f>
        <v>0.05</v>
      </c>
      <c r="K7009" t="str">
        <v>+</v>
      </c>
      <c r="L7009">
        <f>IF(D7009=0,2*MAX(6*F7009,75),(D7009-1)*2*MAX(6*F7009,75))/1000</f>
        <v>0.15</v>
      </c>
      <c r="M7009" t="str">
        <v>=</v>
      </c>
      <c r="N7009">
        <f>J7009+L7009</f>
        <v>0.2</v>
      </c>
      <c r="T7009" t="str">
        <v>x</v>
      </c>
      <c r="U7009">
        <f>0.006165*F7009^2</f>
        <v>0</v>
      </c>
      <c r="V7009" t="str">
        <v>x</v>
      </c>
      <c r="W7009">
        <f>W7005</f>
        <v>6</v>
      </c>
      <c r="X7009" t="str">
        <v>x</v>
      </c>
      <c r="Y7009">
        <f>D6995</f>
        <v>2</v>
      </c>
      <c r="Z7009" t="str">
        <v>=</v>
      </c>
      <c r="AA7009">
        <f>N7009*U7009*W7009*Y7009</f>
        <v>0</v>
      </c>
    </row>
    <row r="7010">
      <c r="A7010" t="str">
        <f>A6985</f>
        <v>Lantai Atap</v>
      </c>
      <c r="B7010">
        <f>B6985</f>
        <v>26</v>
      </c>
      <c r="C7010" t="str">
        <v>Kait Horizontal Lap.</v>
      </c>
      <c r="D7010">
        <f>VLOOKUP(D6985,'Detail Balok'!$C$10:$BJ$140,51,FALSE)</f>
        <v>0</v>
      </c>
      <c r="E7010" t="str">
        <v>D</v>
      </c>
      <c r="F7010">
        <f>VLOOKUP(D6985,'Detail Balok'!$C$10:$BJ$140,53,FALSE)</f>
        <v>0</v>
      </c>
      <c r="G7010" t="str">
        <v>-</v>
      </c>
      <c r="H7010">
        <f>VLOOKUP(D6985,'Detail Balok'!$C$10:$BJ$140,55,FALSE)</f>
        <v>100</v>
      </c>
      <c r="J7010">
        <f>(D6986-2*F$5)/1000</f>
        <v>0.05</v>
      </c>
      <c r="K7010" t="str">
        <v>+</v>
      </c>
      <c r="L7010">
        <f>IF(D7010=0,2*MAX(6*F7010,75),(D7010-1)*2*MAX(6*F7010,75))/1000</f>
        <v>0.15</v>
      </c>
      <c r="M7010" t="str">
        <v>=</v>
      </c>
      <c r="N7010">
        <f>J7010+L7010</f>
        <v>0.2</v>
      </c>
      <c r="T7010" t="str">
        <v>x</v>
      </c>
      <c r="U7010">
        <f>0.006165*F7010^2</f>
        <v>0</v>
      </c>
      <c r="V7010" t="str">
        <v>x</v>
      </c>
      <c r="W7010">
        <f>W7006</f>
        <v>5</v>
      </c>
      <c r="X7010" t="str">
        <v>x</v>
      </c>
      <c r="Y7010">
        <f>D6995</f>
        <v>2</v>
      </c>
      <c r="Z7010" t="str">
        <v>=</v>
      </c>
      <c r="AA7010">
        <f>N7010*U7010*W7010*Y7010</f>
        <v>0</v>
      </c>
    </row>
    <row r="7011">
      <c r="A7011" t="str">
        <f>A6985</f>
        <v>Lantai Atap</v>
      </c>
      <c r="B7011">
        <f>B6985</f>
        <v>26</v>
      </c>
      <c r="C7011" t="str">
        <v>Kait Horizontal Tump.</v>
      </c>
      <c r="D7011">
        <f>VLOOKUP(D6985,'Detail Balok'!$C$10:$BJ$140,56,FALSE)</f>
        <v>0</v>
      </c>
      <c r="E7011" t="str">
        <v>D</v>
      </c>
      <c r="F7011">
        <f>VLOOKUP(D6985,'Detail Balok'!$C$10:$BJ$140,58,FALSE)</f>
        <v>0</v>
      </c>
      <c r="G7011" t="str">
        <v>-</v>
      </c>
      <c r="H7011">
        <f>VLOOKUP(D6985,'Detail Balok'!$C$10:$BJ$140,60,FALSE)</f>
        <v>100</v>
      </c>
      <c r="J7011">
        <f>(D6986-2*F$5)/1000</f>
        <v>0.05</v>
      </c>
      <c r="K7011" t="str">
        <v>+</v>
      </c>
      <c r="L7011">
        <f>IF(D7011=0,2*MAX(6*F7011,75),(D7011-1)*2*MAX(6*F7011,75))/1000</f>
        <v>0.15</v>
      </c>
      <c r="M7011" t="str">
        <v>=</v>
      </c>
      <c r="N7011">
        <f>J7011+L7011</f>
        <v>0.2</v>
      </c>
      <c r="T7011" t="str">
        <v>x</v>
      </c>
      <c r="U7011">
        <f>0.006165*F7011^2</f>
        <v>0</v>
      </c>
      <c r="V7011" t="str">
        <v>x</v>
      </c>
      <c r="W7011">
        <f>W7007</f>
        <v>6</v>
      </c>
      <c r="X7011" t="str">
        <v>x</v>
      </c>
      <c r="Y7011">
        <f>D6995</f>
        <v>2</v>
      </c>
      <c r="Z7011" t="str">
        <v>=</v>
      </c>
      <c r="AA7011">
        <f>N7011*U7011*W7011*Y7011</f>
        <v>0</v>
      </c>
    </row>
    <row r="7015">
      <c r="A7015" t="str">
        <f>A6985</f>
        <v>Lantai Atap</v>
      </c>
      <c r="B7015">
        <f>B6985+1</f>
        <v>27</v>
      </c>
      <c r="C7015" t="str">
        <f>CONCATENATE(A7015," no. ",B7015)</f>
        <v>Lantai Atap no. 27</v>
      </c>
      <c r="D7015" t="str">
        <f>VLOOKUP(C7015,'Data Panjang Balok'!$C$9:$N$254,2,FALSE)</f>
        <v>B24-1</v>
      </c>
    </row>
    <row r="7016">
      <c r="C7016" t="str">
        <v>Dimensi</v>
      </c>
      <c r="D7016">
        <f>VLOOKUP(D7015,'Detail Balok'!$C$10:$AU$140,2,FALSE)</f>
        <v>200</v>
      </c>
      <c r="F7016" t="str">
        <v>x</v>
      </c>
      <c r="G7016">
        <f>VLOOKUP(D7015,'Detail Balok'!$C$10:$AU$140,3,FALSE)</f>
        <v>400</v>
      </c>
    </row>
    <row r="7017">
      <c r="C7017" t="str">
        <v>Panjang as ke as</v>
      </c>
      <c r="D7017">
        <f>VLOOKUP(C7015,'Data Panjang Balok'!$C$9:$N$254,4,FALSE)</f>
        <v>4555</v>
      </c>
    </row>
    <row r="7018">
      <c r="C7018" t="str">
        <v>Panjang netto</v>
      </c>
      <c r="D7018">
        <f>VLOOKUP(C7015,'Data Panjang Balok'!$C$9:$N$254,7,FALSE)</f>
        <v>4555</v>
      </c>
    </row>
    <row r="7019">
      <c r="C7019" t="str">
        <v>Kolom / balok kiri</v>
      </c>
      <c r="D7019">
        <f>VLOOKUP(C7015,'Data Panjang Balok'!$C$9:$N$254,9,FALSE)</f>
        <v>0</v>
      </c>
    </row>
    <row r="7020">
      <c r="C7020" t="str">
        <v>Kolom / balok kanan</v>
      </c>
      <c r="D7020">
        <f>VLOOKUP(C7015,'Data Panjang Balok'!$C$9:$N$254,10,FALSE)</f>
        <v>0</v>
      </c>
    </row>
    <row r="7021">
      <c r="C7021" t="str">
        <v>Jumlah</v>
      </c>
      <c r="D7021">
        <f>VLOOKUP(C7015,'Data Panjang Balok'!$C$9:$N$254,3,FALSE)</f>
        <v>1</v>
      </c>
    </row>
    <row r="7022">
      <c r="A7022" t="str">
        <f>A7015</f>
        <v>Lantai Atap</v>
      </c>
      <c r="B7022">
        <f>B7015</f>
        <v>27</v>
      </c>
      <c r="C7022" t="str">
        <v>Tul Atas Tumpuan</v>
      </c>
      <c r="D7022">
        <f>VLOOKUP(D7015,'Detail Balok'!$C$10:$AU$140,4,FALSE)</f>
        <v>3</v>
      </c>
      <c r="E7022" t="str">
        <v>D</v>
      </c>
      <c r="F7022">
        <f>VLOOKUP(D7015,'Detail Balok'!$C$10:$AU$140,6,FALSE)</f>
        <v>13</v>
      </c>
      <c r="I7022" t="str">
        <v>(</v>
      </c>
      <c r="J7022">
        <f>+D7017/4/1000</f>
        <v>1.13875</v>
      </c>
      <c r="K7022" t="str">
        <v>+</v>
      </c>
      <c r="L7022">
        <f>MAX(VLOOKUP(F7022,N$6:P$15,3,FALSE)/1000,2/3*D7019/1000)+F$16*F7022/1000</f>
        <v>0.156</v>
      </c>
      <c r="M7022" t="str">
        <v>=</v>
      </c>
      <c r="N7022">
        <f>J7022+L7022</f>
        <v>1.2947499999999998</v>
      </c>
      <c r="O7022" t="str">
        <v>+</v>
      </c>
      <c r="P7022">
        <f>D7022-D7023</f>
        <v>0</v>
      </c>
      <c r="Q7022" t="str">
        <v>x</v>
      </c>
      <c r="R7022">
        <f>IF(P7022&gt;0,$F$18*F7022/1000,0)</f>
        <v>0</v>
      </c>
      <c r="S7022" t="str">
        <v>)</v>
      </c>
      <c r="T7022" t="str">
        <v>x</v>
      </c>
      <c r="U7022">
        <f>0.006165*F7022^2</f>
        <v>1.041885</v>
      </c>
      <c r="X7022" t="str">
        <v>x</v>
      </c>
      <c r="Y7022">
        <f>D7021</f>
        <v>1</v>
      </c>
      <c r="Z7022" t="str">
        <v>=</v>
      </c>
      <c r="AA7022">
        <f>IF(AA7025=0,(D7022*N7022+P7022*R7022)*U7022*Y7022,0)</f>
        <v>0</v>
      </c>
    </row>
    <row r="7023">
      <c r="A7023" t="str">
        <f>A7015</f>
        <v>Lantai Atap</v>
      </c>
      <c r="B7023">
        <f>B7015</f>
        <v>27</v>
      </c>
      <c r="C7023" t="str">
        <v>Tul Atas Lapangan</v>
      </c>
      <c r="D7023">
        <f>VLOOKUP(D7015,'Detail Balok'!$C$10:$AU$140,7,FALSE)</f>
        <v>3</v>
      </c>
      <c r="E7023" t="str">
        <v>D</v>
      </c>
      <c r="F7023">
        <f>VLOOKUP(D7015,'Detail Balok'!$C$10:$AU$140,9,FALSE)</f>
        <v>13</v>
      </c>
      <c r="I7023" t="str">
        <v>(</v>
      </c>
      <c r="J7023">
        <f>+D7017/2/1000</f>
        <v>2.2775</v>
      </c>
      <c r="K7023" t="str">
        <v>+</v>
      </c>
      <c r="M7023" t="str">
        <v>=</v>
      </c>
      <c r="N7023">
        <f>J7023+L7023</f>
        <v>2.2775</v>
      </c>
      <c r="O7023" t="str">
        <v>+</v>
      </c>
      <c r="P7023">
        <f>MAX(D7023-D7022,D7023-D7024)</f>
        <v>0</v>
      </c>
      <c r="Q7023" t="str">
        <v>x</v>
      </c>
      <c r="R7023">
        <f>IF(P7023&gt;0,2*(1-2*$F$19-1/2)*D7018/1000,0)</f>
        <v>0</v>
      </c>
      <c r="S7023" t="str">
        <v>)</v>
      </c>
      <c r="T7023" t="str">
        <v>x</v>
      </c>
      <c r="U7023">
        <f>0.006165*F7023^2</f>
        <v>1.041885</v>
      </c>
      <c r="X7023" t="str">
        <v>x</v>
      </c>
      <c r="Y7023">
        <f>D7021</f>
        <v>1</v>
      </c>
      <c r="Z7023" t="str">
        <v>=</v>
      </c>
      <c r="AA7023">
        <f>IF(AA7025=0,(D7023*N7023+P7023*R7023)*U7023*Y7023,0)</f>
        <v>0</v>
      </c>
    </row>
    <row r="7024">
      <c r="A7024" t="str">
        <f>A7015</f>
        <v>Lantai Atap</v>
      </c>
      <c r="B7024">
        <f>B7015</f>
        <v>27</v>
      </c>
      <c r="C7024" t="str">
        <v>Tul Atas Tumpuan</v>
      </c>
      <c r="D7024">
        <f>VLOOKUP(D7015,'Detail Balok'!$C$10:$AU$140,10,FALSE)</f>
        <v>3</v>
      </c>
      <c r="E7024" t="str">
        <v>D</v>
      </c>
      <c r="F7024">
        <f>VLOOKUP(D7015,'Detail Balok'!$C$10:$AU$140,12,FALSE)</f>
        <v>13</v>
      </c>
      <c r="I7024" t="str">
        <v>(</v>
      </c>
      <c r="J7024">
        <f>+D7017/4/1000</f>
        <v>1.13875</v>
      </c>
      <c r="K7024" t="str">
        <v>+</v>
      </c>
      <c r="L7024">
        <f>MAX(VLOOKUP(F7024,N$6:P$15,3,FALSE)/1000,2/3*D7019/1000)+F$16*F7024/1000</f>
        <v>0.156</v>
      </c>
      <c r="M7024" t="str">
        <v>=</v>
      </c>
      <c r="N7024">
        <f>J7024+L7024</f>
        <v>1.2947499999999998</v>
      </c>
      <c r="O7024" t="str">
        <v>+</v>
      </c>
      <c r="P7024">
        <f>D7024-D7023</f>
        <v>0</v>
      </c>
      <c r="Q7024" t="str">
        <v>x</v>
      </c>
      <c r="R7024">
        <f>IF(P7024&gt;0,$F$18*F7024/1000,0)</f>
        <v>0</v>
      </c>
      <c r="S7024" t="str">
        <v>)</v>
      </c>
      <c r="T7024" t="str">
        <v>x</v>
      </c>
      <c r="U7024">
        <f>0.006165*F7024^2</f>
        <v>1.041885</v>
      </c>
      <c r="X7024" t="str">
        <v>x</v>
      </c>
      <c r="Y7024">
        <f>D7021</f>
        <v>1</v>
      </c>
      <c r="Z7024" t="str">
        <v>=</v>
      </c>
      <c r="AA7024">
        <f>IF(AA7025=0,(D7024*N7024+P7024*R7024)*U7024*Y7024,0)</f>
        <v>0</v>
      </c>
    </row>
    <row r="7025">
      <c r="A7025" t="str">
        <f>A7015</f>
        <v>Lantai Atap</v>
      </c>
      <c r="B7025">
        <f>B7015</f>
        <v>27</v>
      </c>
      <c r="D7025">
        <f>IF(AND(D7022=D7023,D7023=D7024,D7022=D7024),D7022,0)</f>
        <v>3</v>
      </c>
      <c r="E7025" t="str">
        <v>D</v>
      </c>
      <c r="F7025">
        <f>IF(AND(F7022=F7023,F7022=F7024,F7023=F7024),F7022,0)</f>
        <v>13</v>
      </c>
      <c r="L7025" t="str">
        <v>Total panjang per balok</v>
      </c>
      <c r="M7025" t="str">
        <v>=</v>
      </c>
      <c r="N7025">
        <f>IF(AND(D7022=D7023,D7022=D7024,D7023=D7024,F7022=F7023,F7022=F7024,F7023=F7024),SUM(N7022:N7024),0)</f>
        <v>4.866999999999999</v>
      </c>
      <c r="O7025" t="str">
        <v>+</v>
      </c>
      <c r="P7025">
        <f>IF(N7025&gt;12,ROUNDDOWN(N7025/12,0),0)</f>
        <v>0</v>
      </c>
      <c r="Q7025" t="str">
        <v>x</v>
      </c>
      <c r="R7025">
        <f>IF(P7025&gt;0,MAX(VLOOKUP(F7025,$D$6:$G$15,3,FALSE),600),0)/1000</f>
        <v>0</v>
      </c>
      <c r="T7025" t="str">
        <v>x</v>
      </c>
      <c r="U7025">
        <f>U7024</f>
        <v>1.041885</v>
      </c>
      <c r="V7025" t="str">
        <v>x</v>
      </c>
      <c r="W7025">
        <f>D7025</f>
        <v>3</v>
      </c>
      <c r="X7025" t="str">
        <v>x</v>
      </c>
      <c r="Y7025">
        <f>Y7024</f>
        <v>1</v>
      </c>
      <c r="Z7025" t="str">
        <v>=</v>
      </c>
      <c r="AA7025">
        <f>(N7025+P7025*R7025/1000)*U7025*W7025*Y7025</f>
        <v>15.212562884999995</v>
      </c>
    </row>
    <row r="7027">
      <c r="A7027" t="str">
        <f>A7015</f>
        <v>Lantai Atap</v>
      </c>
      <c r="B7027">
        <f>B7015</f>
        <v>27</v>
      </c>
      <c r="C7027" t="str">
        <v>Tul Peminggang</v>
      </c>
      <c r="D7027">
        <f>VLOOKUP(D7015,'Detail Balok'!$C$10:$AU$140,13,FALSE)</f>
        <v>0</v>
      </c>
      <c r="E7027" t="str">
        <v>D</v>
      </c>
      <c r="F7027">
        <f>VLOOKUP(D7015,'Detail Balok'!$C$10:$AU$140,15,FALSE)</f>
        <v>8</v>
      </c>
      <c r="J7027">
        <f>+D7017/1000</f>
        <v>4.555</v>
      </c>
      <c r="K7027" t="str">
        <v>+</v>
      </c>
      <c r="L7027">
        <f>2*$F$16*F7027/1000</f>
        <v>0.192</v>
      </c>
      <c r="M7027" t="str">
        <v>=</v>
      </c>
      <c r="N7027">
        <f>J7027+L7027</f>
        <v>4.747</v>
      </c>
      <c r="O7027" t="str">
        <v>+</v>
      </c>
      <c r="P7027">
        <f>IF(N7027&gt;12,ROUNDDOWN(N7027/12,0),0)</f>
        <v>0</v>
      </c>
      <c r="Q7027" t="str">
        <v>x</v>
      </c>
      <c r="R7027">
        <f>IF(P7027&gt;0,MAX(VLOOKUP(F7027,$D$6:$G$15,3,FALSE),600),0)/1000</f>
        <v>0</v>
      </c>
      <c r="T7027" t="str">
        <v>x</v>
      </c>
      <c r="U7027">
        <f>0.006165*F7027^2</f>
        <v>0.39456</v>
      </c>
      <c r="V7027" t="str">
        <v>x</v>
      </c>
      <c r="W7027">
        <f>+D7027</f>
        <v>0</v>
      </c>
      <c r="X7027" t="str">
        <v>x</v>
      </c>
      <c r="Y7027">
        <f>D7021</f>
        <v>1</v>
      </c>
      <c r="Z7027" t="str">
        <v>=</v>
      </c>
      <c r="AA7027">
        <f>(N7027+P7027*R7027/1000)*U7027*W7027*Y7027</f>
        <v>0</v>
      </c>
    </row>
    <row r="7030">
      <c r="A7030" t="str">
        <f>A7015</f>
        <v>Lantai Atap</v>
      </c>
      <c r="B7030">
        <f>B7015</f>
        <v>27</v>
      </c>
      <c r="C7030" t="str">
        <v>Tul Bawah Tumpuan</v>
      </c>
      <c r="D7030">
        <f>VLOOKUP(D7015,'Detail Balok'!$C$10:$AU$140,22,FALSE)</f>
        <v>3</v>
      </c>
      <c r="E7030" t="str">
        <v>D</v>
      </c>
      <c r="F7030">
        <f>VLOOKUP(D7015,'Detail Balok'!$C$10:$AU$140,24,FALSE)</f>
        <v>13</v>
      </c>
      <c r="I7030" t="str">
        <v>(</v>
      </c>
      <c r="J7030">
        <f>+J7022</f>
        <v>1.13875</v>
      </c>
      <c r="K7030" t="str">
        <v>+</v>
      </c>
      <c r="L7030">
        <f>MAX(VLOOKUP(F7030,N$6:P$15,3,FALSE)/1000,2/3*D7020/1000)+F$16*F7030/1000</f>
        <v>0.156</v>
      </c>
      <c r="M7030" t="str">
        <v>=</v>
      </c>
      <c r="N7030">
        <f>J7030+L7030</f>
        <v>1.2947499999999998</v>
      </c>
      <c r="O7030" t="str">
        <v>+</v>
      </c>
      <c r="P7030">
        <f>D7030-D7031</f>
        <v>0</v>
      </c>
      <c r="Q7030" t="str">
        <v>x</v>
      </c>
      <c r="R7030">
        <f>IF(P7030&gt;0,$F$18*F7030/1000,0)</f>
        <v>0</v>
      </c>
      <c r="S7030" t="str">
        <v>)</v>
      </c>
      <c r="T7030" t="str">
        <v>x</v>
      </c>
      <c r="U7030">
        <f>0.006165*F7030^2</f>
        <v>1.041885</v>
      </c>
      <c r="X7030" t="str">
        <v>x</v>
      </c>
      <c r="Y7030">
        <f>D7021</f>
        <v>1</v>
      </c>
      <c r="Z7030" t="str">
        <v>=</v>
      </c>
      <c r="AA7030">
        <f>IF(AA7033=0,(D7030*N7030+P7030*R7030)*U7030*Y7030,0)</f>
        <v>0</v>
      </c>
    </row>
    <row r="7031">
      <c r="A7031" t="str">
        <f>A7015</f>
        <v>Lantai Atap</v>
      </c>
      <c r="B7031">
        <f>B7015</f>
        <v>27</v>
      </c>
      <c r="C7031" t="str">
        <v>Tul Bawah Lapangan</v>
      </c>
      <c r="D7031">
        <f>VLOOKUP(D7015,'Detail Balok'!$C$10:$AU$140,25,FALSE)</f>
        <v>3</v>
      </c>
      <c r="E7031" t="str">
        <v>D</v>
      </c>
      <c r="F7031">
        <f>VLOOKUP(D7015,'Detail Balok'!$C$10:$AU$140,27,FALSE)</f>
        <v>13</v>
      </c>
      <c r="I7031" t="str">
        <v>(</v>
      </c>
      <c r="J7031">
        <f>+J7023</f>
        <v>2.2775</v>
      </c>
      <c r="K7031" t="str">
        <v>+</v>
      </c>
      <c r="M7031" t="str">
        <v>=</v>
      </c>
      <c r="N7031">
        <f>J7031+L7031</f>
        <v>2.2775</v>
      </c>
      <c r="O7031" t="str">
        <v>+</v>
      </c>
      <c r="P7031">
        <f>MAX(D7031-D7030,D7031-D7032)</f>
        <v>0</v>
      </c>
      <c r="Q7031" t="str">
        <v>x</v>
      </c>
      <c r="R7031">
        <f>IF(P7031&gt;0,2*(1-2*$F$19-1/2)*D7018/1000,0)</f>
        <v>0</v>
      </c>
      <c r="S7031" t="str">
        <v>)</v>
      </c>
      <c r="T7031" t="str">
        <v>x</v>
      </c>
      <c r="U7031">
        <f>0.006165*F7031^2</f>
        <v>1.041885</v>
      </c>
      <c r="X7031" t="str">
        <v>x</v>
      </c>
      <c r="Y7031">
        <f>D7021</f>
        <v>1</v>
      </c>
      <c r="Z7031" t="str">
        <v>=</v>
      </c>
      <c r="AA7031">
        <f>IF(AA7033=0,(D7031*N7031+P7031*R7031)*U7031*Y7031,0)</f>
        <v>0</v>
      </c>
    </row>
    <row r="7032">
      <c r="A7032" t="str">
        <f>A7015</f>
        <v>Lantai Atap</v>
      </c>
      <c r="B7032">
        <f>B7015</f>
        <v>27</v>
      </c>
      <c r="C7032" t="str">
        <v>Tul Bawah Tumpuan</v>
      </c>
      <c r="D7032">
        <f>VLOOKUP(D7015,'Detail Balok'!$C$10:$AU$140,28,FALSE)</f>
        <v>3</v>
      </c>
      <c r="E7032" t="str">
        <v>D</v>
      </c>
      <c r="F7032">
        <f>VLOOKUP(D7015,'Detail Balok'!$C$10:$AU$140,30,FALSE)</f>
        <v>13</v>
      </c>
      <c r="I7032" t="str">
        <v>(</v>
      </c>
      <c r="J7032">
        <f>+J7024</f>
        <v>1.13875</v>
      </c>
      <c r="K7032" t="str">
        <v>+</v>
      </c>
      <c r="L7032">
        <f>MAX(VLOOKUP(F7032,N$6:P$15,3,FALSE)/1000,2/3*D7020/1000)+F$16*F7032/1000</f>
        <v>0.156</v>
      </c>
      <c r="M7032" t="str">
        <v>=</v>
      </c>
      <c r="N7032">
        <f>J7032+L7032</f>
        <v>1.2947499999999998</v>
      </c>
      <c r="O7032" t="str">
        <v>+</v>
      </c>
      <c r="P7032">
        <f>D7032-D7031</f>
        <v>0</v>
      </c>
      <c r="Q7032" t="str">
        <v>x</v>
      </c>
      <c r="R7032">
        <f>IF(P7032&gt;0,$F$18*F7032/1000,0)</f>
        <v>0</v>
      </c>
      <c r="S7032" t="str">
        <v>)</v>
      </c>
      <c r="T7032" t="str">
        <v>x</v>
      </c>
      <c r="U7032">
        <f>0.006165*F7032^2</f>
        <v>1.041885</v>
      </c>
      <c r="X7032" t="str">
        <v>x</v>
      </c>
      <c r="Y7032">
        <f>D7021</f>
        <v>1</v>
      </c>
      <c r="Z7032" t="str">
        <v>=</v>
      </c>
      <c r="AA7032">
        <f>IF(AA7033=0,(D7032*N7032+P7032*R7032)*U7032*Y7032,0)</f>
        <v>0</v>
      </c>
    </row>
    <row r="7033">
      <c r="A7033" t="str">
        <f>A7015</f>
        <v>Lantai Atap</v>
      </c>
      <c r="B7033">
        <f>B7015</f>
        <v>27</v>
      </c>
      <c r="D7033">
        <f>IF(AND(D7030=D7031,D7031=D7032,D7030=D7032),D7030,0)</f>
        <v>3</v>
      </c>
      <c r="E7033" t="str">
        <v>D</v>
      </c>
      <c r="F7033">
        <f>IF(AND(F7030=F7031,F7030=F7032,F7031=F7032),F7030,0)</f>
        <v>13</v>
      </c>
      <c r="L7033" t="str">
        <v>Total panjang per balok</v>
      </c>
      <c r="M7033" t="str">
        <v>=</v>
      </c>
      <c r="N7033">
        <f>IF(AND(D7030=D7031,D7030=D7032,D7031=D7032,F7030=F7031,F7030=F7032,F7031=F7032),SUM(N7030:N7032),0)</f>
        <v>4.866999999999999</v>
      </c>
      <c r="O7033" t="str">
        <v>+</v>
      </c>
      <c r="P7033">
        <f>IF(N7033&gt;12,ROUNDDOWN(N7033/12,0),0)</f>
        <v>0</v>
      </c>
      <c r="Q7033" t="str">
        <v>x</v>
      </c>
      <c r="R7033">
        <f>IF(P7033&gt;0,MAX(VLOOKUP(F7033,$D$6:$G$15,3,FALSE),600),0)/1000</f>
        <v>0</v>
      </c>
      <c r="T7033" t="str">
        <v>x</v>
      </c>
      <c r="U7033">
        <f>U7032</f>
        <v>1.041885</v>
      </c>
      <c r="V7033" t="str">
        <v>x</v>
      </c>
      <c r="W7033">
        <f>D7033</f>
        <v>3</v>
      </c>
      <c r="X7033" t="str">
        <v>x</v>
      </c>
      <c r="Y7033">
        <f>Y7032</f>
        <v>1</v>
      </c>
      <c r="Z7033" t="str">
        <v>=</v>
      </c>
      <c r="AA7033">
        <f>(N7033+P7033*R7033/1000)*U7033*W7033*Y7033</f>
        <v>15.212562884999995</v>
      </c>
    </row>
    <row r="7035">
      <c r="A7035" t="str">
        <f>A7015</f>
        <v>Lantai Atap</v>
      </c>
      <c r="B7035">
        <f>B7015</f>
        <v>27</v>
      </c>
      <c r="C7035" t="str">
        <v>Sengkang Tumpuan</v>
      </c>
      <c r="D7035">
        <f>VLOOKUP(D7015,'Detail Balok'!$C$10:$AU$140,31,FALSE)</f>
        <v>0</v>
      </c>
      <c r="E7035" t="str">
        <v>D</v>
      </c>
      <c r="F7035">
        <f>VLOOKUP(D7015,'Detail Balok'!$C$10:$AU$140,33,FALSE)</f>
        <v>10</v>
      </c>
      <c r="G7035" t="str">
        <v>-</v>
      </c>
      <c r="H7035">
        <f>VLOOKUP(D7015,'Detail Balok'!$C$10:$AU$140,35,FALSE)</f>
        <v>100</v>
      </c>
      <c r="J7035">
        <f>(IF(D7035=0,(2*(D7016+G7016))-(F$5*8),IF(D7035=3,(2*(D7016+G7016))-(F$5*8)+(G7016-2*F$5),IF(D7035=4,(2*(D7016+G7016))-(F$5*8)+2*(G7016-2*F$5)))))/1000</f>
        <v>0.88</v>
      </c>
      <c r="K7035" t="str">
        <v>+</v>
      </c>
      <c r="L7035">
        <f>IF(D7035=0,2*MAX(6*F7035,75),(D7035-1)*2*MAX(6*F7035,75))/1000</f>
        <v>0.15</v>
      </c>
      <c r="M7035" t="str">
        <v>=</v>
      </c>
      <c r="N7035">
        <f>J7035+L7035</f>
        <v>1.03</v>
      </c>
      <c r="T7035" t="str">
        <v>x</v>
      </c>
      <c r="U7035">
        <f>0.006165*F7035^2</f>
        <v>0.6165</v>
      </c>
      <c r="V7035" t="str">
        <v>x</v>
      </c>
      <c r="W7035">
        <f>IF(D7018&gt;4*G7016,ROUND(MAX(D7018/4,2*G7016)/H7035,0)+1,ROUND(D7018/H7035,0)+1)</f>
        <v>12</v>
      </c>
      <c r="X7035" t="str">
        <v>x</v>
      </c>
      <c r="Y7035">
        <f>D7021</f>
        <v>1</v>
      </c>
      <c r="Z7035" t="str">
        <v>=</v>
      </c>
      <c r="AA7035">
        <f>N7035*U7035*W7035*Y7035</f>
        <v>7.6199400000000015</v>
      </c>
    </row>
    <row r="7036">
      <c r="A7036" t="str">
        <f>A7015</f>
        <v>Lantai Atap</v>
      </c>
      <c r="B7036">
        <f>B7015</f>
        <v>27</v>
      </c>
      <c r="C7036" t="str">
        <v>Sengkang Lapangan</v>
      </c>
      <c r="D7036">
        <f>VLOOKUP(D7015,'Detail Balok'!$C$10:$AU$140,36,FALSE)</f>
        <v>0</v>
      </c>
      <c r="E7036" t="str">
        <v>D</v>
      </c>
      <c r="F7036">
        <f>VLOOKUP(D7015,'Detail Balok'!$C$10:$AU$140,38,FALSE)</f>
        <v>10</v>
      </c>
      <c r="G7036" t="str">
        <v>-</v>
      </c>
      <c r="H7036">
        <f>VLOOKUP(D7015,'Detail Balok'!$C$10:$AU$140,40,FALSE)</f>
        <v>200</v>
      </c>
      <c r="J7036">
        <f>(IF(D7036=0,(2*(D7016+G7016))-(F$5*8),IF(D7036=3,(2*(D7016+G7016))-(F$5*8)+(G7016-2*F$5),IF(D7036=4,(2*(D7016+G7016))-(F$5*8)+2*(G7016-2*F$5)))))/1000</f>
        <v>0.88</v>
      </c>
      <c r="K7036" t="str">
        <v>+</v>
      </c>
      <c r="L7036">
        <f>IF(D7036=0,2*MAX(6*F7036,75),(D7036-1)*2*MAX(6*F7036,75))/1000</f>
        <v>0.15</v>
      </c>
      <c r="M7036" t="str">
        <v>=</v>
      </c>
      <c r="N7036">
        <f>J7036+L7036</f>
        <v>1.03</v>
      </c>
      <c r="T7036" t="str">
        <v>x</v>
      </c>
      <c r="U7036">
        <f>0.006165*F7036^2</f>
        <v>0.6165</v>
      </c>
      <c r="V7036" t="str">
        <v>x</v>
      </c>
      <c r="W7036">
        <f>IF(D7018-MAX(D7018/4,2*G7016)*2&gt;0,ROUND((D7018-MAX(D7018/4,2*G7016)*2)/H7036,0),0)</f>
        <v>11</v>
      </c>
      <c r="X7036" t="str">
        <v>x</v>
      </c>
      <c r="Y7036">
        <f>D7021</f>
        <v>1</v>
      </c>
      <c r="Z7036" t="str">
        <v>=</v>
      </c>
      <c r="AA7036">
        <f>N7036*U7036*W7036*Y7036</f>
        <v>6.984945000000001</v>
      </c>
    </row>
    <row r="7037">
      <c r="A7037" t="str">
        <f>A7015</f>
        <v>Lantai Atap</v>
      </c>
      <c r="B7037">
        <f>B7015</f>
        <v>27</v>
      </c>
      <c r="C7037" t="str">
        <v>Sengkang Tumpuan</v>
      </c>
      <c r="D7037">
        <f>VLOOKUP(D7015,'Detail Balok'!$C$10:$AU$140,41,FALSE)</f>
        <v>0</v>
      </c>
      <c r="E7037" t="str">
        <v>D</v>
      </c>
      <c r="F7037">
        <f>VLOOKUP(D7015,'Detail Balok'!$C$10:$AU$140,43,FALSE)</f>
        <v>10</v>
      </c>
      <c r="G7037" t="str">
        <v>-</v>
      </c>
      <c r="H7037">
        <f>VLOOKUP(D7015,'Detail Balok'!$C$10:$AU$140,45,FALSE)</f>
        <v>100</v>
      </c>
      <c r="J7037">
        <f>(IF(D7037=0,(2*(D7016+G7016))-(F$5*8),IF(D7037=3,(2*(D7016+G7016))-(F$5*8)+(G7016-2*F$5),IF(D7037=4,(2*(D7016+G7016))-(F$5*8)+2*(G7016-2*F$5)))))/1000</f>
        <v>0.88</v>
      </c>
      <c r="K7037" t="str">
        <v>+</v>
      </c>
      <c r="L7037">
        <f>IF(D7037=0,2*MAX(6*F7037,75),(D7037-1)*2*MAX(6*F7037,75))/1000</f>
        <v>0.15</v>
      </c>
      <c r="M7037" t="str">
        <v>=</v>
      </c>
      <c r="N7037">
        <f>J7037+L7037</f>
        <v>1.03</v>
      </c>
      <c r="T7037" t="str">
        <v>x</v>
      </c>
      <c r="U7037">
        <f>0.006165*F7037^2</f>
        <v>0.6165</v>
      </c>
      <c r="V7037" t="str">
        <v>x</v>
      </c>
      <c r="W7037">
        <f>IF(D7018&gt;4*G7016,ROUND(MAX(D7018/4,2*G7016)/H7037,0)+1,0)</f>
        <v>12</v>
      </c>
      <c r="X7037" t="str">
        <v>x</v>
      </c>
      <c r="Y7037">
        <f>D7021</f>
        <v>1</v>
      </c>
      <c r="Z7037" t="str">
        <v>=</v>
      </c>
      <c r="AA7037">
        <f>N7037*U7037*W7037*Y7037</f>
        <v>7.6199400000000015</v>
      </c>
    </row>
    <row r="7039">
      <c r="A7039" t="str">
        <f>A7015</f>
        <v>Lantai Atap</v>
      </c>
      <c r="B7039">
        <f>B7015</f>
        <v>27</v>
      </c>
      <c r="C7039" t="str">
        <v>Kait Horizontal Tump.</v>
      </c>
      <c r="D7039">
        <f>VLOOKUP(D7015,'Detail Balok'!$C$10:$BJ$140,46,FALSE)</f>
        <v>0</v>
      </c>
      <c r="E7039" t="str">
        <v>D</v>
      </c>
      <c r="F7039">
        <f>VLOOKUP(D7015,'Detail Balok'!$C$10:$BJ$140,48,FALSE)</f>
        <v>0</v>
      </c>
      <c r="G7039" t="str">
        <v>-</v>
      </c>
      <c r="H7039">
        <f>VLOOKUP(D7015,'Detail Balok'!$C$10:$BJ$140,50,FALSE)</f>
        <v>100</v>
      </c>
      <c r="J7039">
        <f>(D7016-2*F$5)/1000</f>
        <v>0.12</v>
      </c>
      <c r="K7039" t="str">
        <v>+</v>
      </c>
      <c r="L7039">
        <f>IF(D7039=0,2*MAX(6*F7039,75),(D7039-1)*2*MAX(6*F7039,75))/1000</f>
        <v>0.15</v>
      </c>
      <c r="M7039" t="str">
        <v>=</v>
      </c>
      <c r="N7039">
        <f>J7039+L7039</f>
        <v>0.27</v>
      </c>
      <c r="T7039" t="str">
        <v>x</v>
      </c>
      <c r="U7039">
        <f>0.006165*F7039^2</f>
        <v>0</v>
      </c>
      <c r="V7039" t="str">
        <v>x</v>
      </c>
      <c r="W7039">
        <f>W7035</f>
        <v>12</v>
      </c>
      <c r="X7039" t="str">
        <v>x</v>
      </c>
      <c r="Y7039">
        <f>D7025</f>
        <v>3</v>
      </c>
      <c r="Z7039" t="str">
        <v>=</v>
      </c>
      <c r="AA7039">
        <f>N7039*U7039*W7039*Y7039</f>
        <v>0</v>
      </c>
    </row>
    <row r="7040">
      <c r="A7040" t="str">
        <f>A7015</f>
        <v>Lantai Atap</v>
      </c>
      <c r="B7040">
        <f>B7015</f>
        <v>27</v>
      </c>
      <c r="C7040" t="str">
        <v>Kait Horizontal Lap.</v>
      </c>
      <c r="D7040">
        <f>VLOOKUP(D7015,'Detail Balok'!$C$10:$BJ$140,51,FALSE)</f>
        <v>0</v>
      </c>
      <c r="E7040" t="str">
        <v>D</v>
      </c>
      <c r="F7040">
        <f>VLOOKUP(D7015,'Detail Balok'!$C$10:$BJ$140,53,FALSE)</f>
        <v>0</v>
      </c>
      <c r="G7040" t="str">
        <v>-</v>
      </c>
      <c r="H7040">
        <f>VLOOKUP(D7015,'Detail Balok'!$C$10:$BJ$140,55,FALSE)</f>
        <v>100</v>
      </c>
      <c r="J7040">
        <f>(D7016-2*F$5)/1000</f>
        <v>0.12</v>
      </c>
      <c r="K7040" t="str">
        <v>+</v>
      </c>
      <c r="L7040">
        <f>IF(D7040=0,2*MAX(6*F7040,75),(D7040-1)*2*MAX(6*F7040,75))/1000</f>
        <v>0.15</v>
      </c>
      <c r="M7040" t="str">
        <v>=</v>
      </c>
      <c r="N7040">
        <f>J7040+L7040</f>
        <v>0.27</v>
      </c>
      <c r="T7040" t="str">
        <v>x</v>
      </c>
      <c r="U7040">
        <f>0.006165*F7040^2</f>
        <v>0</v>
      </c>
      <c r="V7040" t="str">
        <v>x</v>
      </c>
      <c r="W7040">
        <f>W7036</f>
        <v>11</v>
      </c>
      <c r="X7040" t="str">
        <v>x</v>
      </c>
      <c r="Y7040">
        <f>D7025</f>
        <v>3</v>
      </c>
      <c r="Z7040" t="str">
        <v>=</v>
      </c>
      <c r="AA7040">
        <f>N7040*U7040*W7040*Y7040</f>
        <v>0</v>
      </c>
    </row>
    <row r="7041">
      <c r="A7041" t="str">
        <f>A7015</f>
        <v>Lantai Atap</v>
      </c>
      <c r="B7041">
        <f>B7015</f>
        <v>27</v>
      </c>
      <c r="C7041" t="str">
        <v>Kait Horizontal Tump.</v>
      </c>
      <c r="D7041">
        <f>VLOOKUP(D7015,'Detail Balok'!$C$10:$BJ$140,56,FALSE)</f>
        <v>0</v>
      </c>
      <c r="E7041" t="str">
        <v>D</v>
      </c>
      <c r="F7041">
        <f>VLOOKUP(D7015,'Detail Balok'!$C$10:$BJ$140,58,FALSE)</f>
        <v>0</v>
      </c>
      <c r="G7041" t="str">
        <v>-</v>
      </c>
      <c r="H7041">
        <f>VLOOKUP(D7015,'Detail Balok'!$C$10:$BJ$140,60,FALSE)</f>
        <v>100</v>
      </c>
      <c r="J7041">
        <f>(D7016-2*F$5)/1000</f>
        <v>0.12</v>
      </c>
      <c r="K7041" t="str">
        <v>+</v>
      </c>
      <c r="L7041">
        <f>IF(D7041=0,2*MAX(6*F7041,75),(D7041-1)*2*MAX(6*F7041,75))/1000</f>
        <v>0.15</v>
      </c>
      <c r="M7041" t="str">
        <v>=</v>
      </c>
      <c r="N7041">
        <f>J7041+L7041</f>
        <v>0.27</v>
      </c>
      <c r="T7041" t="str">
        <v>x</v>
      </c>
      <c r="U7041">
        <f>0.006165*F7041^2</f>
        <v>0</v>
      </c>
      <c r="V7041" t="str">
        <v>x</v>
      </c>
      <c r="W7041">
        <f>W7037</f>
        <v>12</v>
      </c>
      <c r="X7041" t="str">
        <v>x</v>
      </c>
      <c r="Y7041">
        <f>D7025</f>
        <v>3</v>
      </c>
      <c r="Z7041" t="str">
        <v>=</v>
      </c>
      <c r="AA7041">
        <f>N7041*U7041*W7041*Y7041</f>
        <v>0</v>
      </c>
    </row>
    <row r="7045">
      <c r="A7045" t="str">
        <f>A7015</f>
        <v>Lantai Atap</v>
      </c>
      <c r="B7045" t="str">
        <v>27A</v>
      </c>
      <c r="C7045" t="str">
        <f>CONCATENATE(A7045," no. ",B7045)</f>
        <v>Lantai Atap no. 27A</v>
      </c>
      <c r="D7045" t="str">
        <f>VLOOKUP(C7045,'Data Panjang Balok'!$C$9:$N$254,2,FALSE)</f>
        <v>B24-1</v>
      </c>
    </row>
    <row r="7046">
      <c r="C7046" t="str">
        <v>Dimensi</v>
      </c>
      <c r="D7046">
        <f>VLOOKUP(D7045,'Detail Balok'!$C$10:$AU$140,2,FALSE)</f>
        <v>200</v>
      </c>
      <c r="F7046" t="str">
        <v>x</v>
      </c>
      <c r="G7046">
        <f>VLOOKUP(D7045,'Detail Balok'!$C$10:$AU$140,3,FALSE)</f>
        <v>400</v>
      </c>
    </row>
    <row r="7047">
      <c r="C7047" t="str">
        <v>Panjang as ke as</v>
      </c>
      <c r="D7047">
        <f>VLOOKUP(C7045,'Data Panjang Balok'!$C$9:$N$254,4,FALSE)</f>
        <v>705</v>
      </c>
    </row>
    <row r="7048">
      <c r="C7048" t="str">
        <v>Panjang netto</v>
      </c>
      <c r="D7048">
        <f>VLOOKUP(C7045,'Data Panjang Balok'!$C$9:$N$254,7,FALSE)</f>
        <v>705</v>
      </c>
    </row>
    <row r="7049">
      <c r="C7049" t="str">
        <v>Kolom / balok kiri</v>
      </c>
      <c r="D7049">
        <f>VLOOKUP(C7045,'Data Panjang Balok'!$C$9:$N$254,9,FALSE)</f>
        <v>0</v>
      </c>
    </row>
    <row r="7050">
      <c r="C7050" t="str">
        <v>Kolom / balok kanan</v>
      </c>
      <c r="D7050">
        <f>VLOOKUP(C7045,'Data Panjang Balok'!$C$9:$N$254,10,FALSE)</f>
        <v>0</v>
      </c>
    </row>
    <row r="7051">
      <c r="C7051" t="str">
        <v>Jumlah</v>
      </c>
      <c r="D7051">
        <f>VLOOKUP(C7045,'Data Panjang Balok'!$C$9:$N$254,3,FALSE)</f>
        <v>1</v>
      </c>
    </row>
    <row r="7052">
      <c r="A7052" t="str">
        <f>A7045</f>
        <v>Lantai Atap</v>
      </c>
      <c r="B7052" t="str">
        <f>B7045</f>
        <v>27A</v>
      </c>
      <c r="C7052" t="str">
        <v>Tul Atas Tumpuan</v>
      </c>
      <c r="D7052">
        <f>VLOOKUP(D7045,'Detail Balok'!$C$10:$AU$140,4,FALSE)</f>
        <v>3</v>
      </c>
      <c r="E7052" t="str">
        <v>D</v>
      </c>
      <c r="F7052">
        <f>VLOOKUP(D7045,'Detail Balok'!$C$10:$AU$140,6,FALSE)</f>
        <v>13</v>
      </c>
      <c r="I7052" t="str">
        <v>(</v>
      </c>
      <c r="J7052">
        <f>+D7047/4/1000</f>
        <v>0.17625</v>
      </c>
      <c r="K7052" t="str">
        <v>+</v>
      </c>
      <c r="L7052">
        <f>MAX(VLOOKUP(F7052,N$6:P$15,3,FALSE)/1000,2/3*D7049/1000)+F$16*F7052/1000</f>
        <v>0.156</v>
      </c>
      <c r="M7052" t="str">
        <v>=</v>
      </c>
      <c r="N7052">
        <f>J7052+L7052</f>
        <v>0.33225</v>
      </c>
      <c r="O7052" t="str">
        <v>+</v>
      </c>
      <c r="P7052">
        <f>D7052-D7053</f>
        <v>0</v>
      </c>
      <c r="Q7052" t="str">
        <v>x</v>
      </c>
      <c r="R7052">
        <f>IF(P7052&gt;0,$F$18*F7052/1000,0)</f>
        <v>0</v>
      </c>
      <c r="S7052" t="str">
        <v>)</v>
      </c>
      <c r="T7052" t="str">
        <v>x</v>
      </c>
      <c r="U7052">
        <f>0.006165*F7052^2</f>
        <v>1.041885</v>
      </c>
      <c r="X7052" t="str">
        <v>x</v>
      </c>
      <c r="Y7052">
        <f>D7051</f>
        <v>1</v>
      </c>
      <c r="Z7052" t="str">
        <v>=</v>
      </c>
      <c r="AA7052">
        <f>IF(AA7055=0,(D7052*N7052+P7052*R7052)*U7052*Y7052,0)</f>
        <v>0</v>
      </c>
    </row>
    <row r="7053">
      <c r="A7053" t="str">
        <f>A7045</f>
        <v>Lantai Atap</v>
      </c>
      <c r="B7053" t="str">
        <f>B7045</f>
        <v>27A</v>
      </c>
      <c r="C7053" t="str">
        <v>Tul Atas Lapangan</v>
      </c>
      <c r="D7053">
        <f>VLOOKUP(D7045,'Detail Balok'!$C$10:$AU$140,7,FALSE)</f>
        <v>3</v>
      </c>
      <c r="E7053" t="str">
        <v>D</v>
      </c>
      <c r="F7053">
        <f>VLOOKUP(D7045,'Detail Balok'!$C$10:$AU$140,9,FALSE)</f>
        <v>13</v>
      </c>
      <c r="I7053" t="str">
        <v>(</v>
      </c>
      <c r="J7053">
        <f>+D7047/2/1000</f>
        <v>0.3525</v>
      </c>
      <c r="K7053" t="str">
        <v>+</v>
      </c>
      <c r="M7053" t="str">
        <v>=</v>
      </c>
      <c r="N7053">
        <f>J7053+L7053</f>
        <v>0.3525</v>
      </c>
      <c r="O7053" t="str">
        <v>+</v>
      </c>
      <c r="P7053">
        <f>MAX(D7053-D7052,D7053-D7054)</f>
        <v>0</v>
      </c>
      <c r="Q7053" t="str">
        <v>x</v>
      </c>
      <c r="R7053">
        <f>IF(P7053&gt;0,2*(1-2*$F$19-1/2)*D7048/1000,0)</f>
        <v>0</v>
      </c>
      <c r="S7053" t="str">
        <v>)</v>
      </c>
      <c r="T7053" t="str">
        <v>x</v>
      </c>
      <c r="U7053">
        <f>0.006165*F7053^2</f>
        <v>1.041885</v>
      </c>
      <c r="X7053" t="str">
        <v>x</v>
      </c>
      <c r="Y7053">
        <f>D7051</f>
        <v>1</v>
      </c>
      <c r="Z7053" t="str">
        <v>=</v>
      </c>
      <c r="AA7053">
        <f>IF(AA7055=0,(D7053*N7053+P7053*R7053)*U7053*Y7053,0)</f>
        <v>0</v>
      </c>
    </row>
    <row r="7054">
      <c r="A7054" t="str">
        <f>A7045</f>
        <v>Lantai Atap</v>
      </c>
      <c r="B7054" t="str">
        <f>B7045</f>
        <v>27A</v>
      </c>
      <c r="C7054" t="str">
        <v>Tul Atas Tumpuan</v>
      </c>
      <c r="D7054">
        <f>VLOOKUP(D7045,'Detail Balok'!$C$10:$AU$140,10,FALSE)</f>
        <v>3</v>
      </c>
      <c r="E7054" t="str">
        <v>D</v>
      </c>
      <c r="F7054">
        <f>VLOOKUP(D7045,'Detail Balok'!$C$10:$AU$140,12,FALSE)</f>
        <v>13</v>
      </c>
      <c r="I7054" t="str">
        <v>(</v>
      </c>
      <c r="J7054">
        <f>+D7047/4/1000</f>
        <v>0.17625</v>
      </c>
      <c r="K7054" t="str">
        <v>+</v>
      </c>
      <c r="L7054">
        <f>MAX(VLOOKUP(F7054,N$6:P$15,3,FALSE)/1000,2/3*D7049/1000)+F$16*F7054/1000</f>
        <v>0.156</v>
      </c>
      <c r="M7054" t="str">
        <v>=</v>
      </c>
      <c r="N7054">
        <f>J7054+L7054</f>
        <v>0.33225</v>
      </c>
      <c r="O7054" t="str">
        <v>+</v>
      </c>
      <c r="P7054">
        <f>D7054-D7053</f>
        <v>0</v>
      </c>
      <c r="Q7054" t="str">
        <v>x</v>
      </c>
      <c r="R7054">
        <f>IF(P7054&gt;0,$F$18*F7054/1000,0)</f>
        <v>0</v>
      </c>
      <c r="S7054" t="str">
        <v>)</v>
      </c>
      <c r="T7054" t="str">
        <v>x</v>
      </c>
      <c r="U7054">
        <f>0.006165*F7054^2</f>
        <v>1.041885</v>
      </c>
      <c r="X7054" t="str">
        <v>x</v>
      </c>
      <c r="Y7054">
        <f>D7051</f>
        <v>1</v>
      </c>
      <c r="Z7054" t="str">
        <v>=</v>
      </c>
      <c r="AA7054">
        <f>IF(AA7055=0,(D7054*N7054+P7054*R7054)*U7054*Y7054,0)</f>
        <v>0</v>
      </c>
    </row>
    <row r="7055">
      <c r="A7055" t="str">
        <f>A7045</f>
        <v>Lantai Atap</v>
      </c>
      <c r="B7055" t="str">
        <f>B7045</f>
        <v>27A</v>
      </c>
      <c r="D7055">
        <f>IF(AND(D7052=D7053,D7053=D7054,D7052=D7054),D7052,0)</f>
        <v>3</v>
      </c>
      <c r="E7055" t="str">
        <v>D</v>
      </c>
      <c r="F7055">
        <f>IF(AND(F7052=F7053,F7052=F7054,F7053=F7054),F7052,0)</f>
        <v>13</v>
      </c>
      <c r="L7055" t="str">
        <v>Total panjang per balok</v>
      </c>
      <c r="M7055" t="str">
        <v>=</v>
      </c>
      <c r="N7055">
        <f>IF(AND(D7052=D7053,D7052=D7054,D7053=D7054,F7052=F7053,F7052=F7054,F7053=F7054),SUM(N7052:N7054),0)</f>
        <v>1.017</v>
      </c>
      <c r="O7055" t="str">
        <v>+</v>
      </c>
      <c r="P7055">
        <f>IF(N7055&gt;12,ROUNDDOWN(N7055/12,0),0)</f>
        <v>0</v>
      </c>
      <c r="Q7055" t="str">
        <v>x</v>
      </c>
      <c r="R7055">
        <f>IF(P7055&gt;0,MAX(VLOOKUP(F7055,$D$6:$G$15,3,FALSE),600),0)/1000</f>
        <v>0</v>
      </c>
      <c r="T7055" t="str">
        <v>x</v>
      </c>
      <c r="U7055">
        <f>U7054</f>
        <v>1.041885</v>
      </c>
      <c r="V7055" t="str">
        <v>x</v>
      </c>
      <c r="W7055">
        <f>D7055</f>
        <v>3</v>
      </c>
      <c r="X7055" t="str">
        <v>x</v>
      </c>
      <c r="Y7055">
        <f>Y7054</f>
        <v>1</v>
      </c>
      <c r="Z7055" t="str">
        <v>=</v>
      </c>
      <c r="AA7055">
        <f>(N7055+P7055*R7055/1000)*U7055*W7055*Y7055</f>
        <v>3.1787911349999995</v>
      </c>
    </row>
    <row r="7057">
      <c r="A7057" t="str">
        <f>A7045</f>
        <v>Lantai Atap</v>
      </c>
      <c r="B7057" t="str">
        <f>B7045</f>
        <v>27A</v>
      </c>
      <c r="C7057" t="str">
        <v>Tul Peminggang</v>
      </c>
      <c r="D7057">
        <f>VLOOKUP(D7045,'Detail Balok'!$C$10:$AU$140,13,FALSE)</f>
        <v>0</v>
      </c>
      <c r="E7057" t="str">
        <v>D</v>
      </c>
      <c r="F7057">
        <f>VLOOKUP(D7045,'Detail Balok'!$C$10:$AU$140,15,FALSE)</f>
        <v>8</v>
      </c>
      <c r="J7057">
        <f>+D7047/1000</f>
        <v>0.705</v>
      </c>
      <c r="K7057" t="str">
        <v>+</v>
      </c>
      <c r="L7057">
        <f>2*$F$16*F7057/1000</f>
        <v>0.192</v>
      </c>
      <c r="M7057" t="str">
        <v>=</v>
      </c>
      <c r="N7057">
        <f>J7057+L7057</f>
        <v>0.897</v>
      </c>
      <c r="O7057" t="str">
        <v>+</v>
      </c>
      <c r="P7057">
        <f>IF(N7057&gt;12,ROUNDDOWN(N7057/12,0),0)</f>
        <v>0</v>
      </c>
      <c r="Q7057" t="str">
        <v>x</v>
      </c>
      <c r="R7057">
        <f>IF(P7057&gt;0,MAX(VLOOKUP(F7057,$D$6:$G$15,3,FALSE),600),0)/1000</f>
        <v>0</v>
      </c>
      <c r="T7057" t="str">
        <v>x</v>
      </c>
      <c r="U7057">
        <f>0.006165*F7057^2</f>
        <v>0.39456</v>
      </c>
      <c r="V7057" t="str">
        <v>x</v>
      </c>
      <c r="W7057">
        <f>+D7057</f>
        <v>0</v>
      </c>
      <c r="X7057" t="str">
        <v>x</v>
      </c>
      <c r="Y7057">
        <f>D7051</f>
        <v>1</v>
      </c>
      <c r="Z7057" t="str">
        <v>=</v>
      </c>
      <c r="AA7057">
        <f>(N7057+P7057*R7057/1000)*U7057*W7057*Y7057</f>
        <v>0</v>
      </c>
    </row>
    <row r="7060">
      <c r="A7060" t="str">
        <f>A7045</f>
        <v>Lantai Atap</v>
      </c>
      <c r="B7060" t="str">
        <f>B7045</f>
        <v>27A</v>
      </c>
      <c r="C7060" t="str">
        <v>Tul Bawah Tumpuan</v>
      </c>
      <c r="D7060">
        <f>VLOOKUP(D7045,'Detail Balok'!$C$10:$AU$140,22,FALSE)</f>
        <v>3</v>
      </c>
      <c r="E7060" t="str">
        <v>D</v>
      </c>
      <c r="F7060">
        <f>VLOOKUP(D7045,'Detail Balok'!$C$10:$AU$140,24,FALSE)</f>
        <v>13</v>
      </c>
      <c r="I7060" t="str">
        <v>(</v>
      </c>
      <c r="J7060">
        <f>+J7052</f>
        <v>0.17625</v>
      </c>
      <c r="K7060" t="str">
        <v>+</v>
      </c>
      <c r="L7060">
        <f>MAX(VLOOKUP(F7060,N$6:P$15,3,FALSE)/1000,2/3*D7050/1000)+F$16*F7060/1000</f>
        <v>0.156</v>
      </c>
      <c r="M7060" t="str">
        <v>=</v>
      </c>
      <c r="N7060">
        <f>J7060+L7060</f>
        <v>0.33225</v>
      </c>
      <c r="O7060" t="str">
        <v>+</v>
      </c>
      <c r="P7060">
        <f>D7060-D7061</f>
        <v>0</v>
      </c>
      <c r="Q7060" t="str">
        <v>x</v>
      </c>
      <c r="R7060">
        <f>IF(P7060&gt;0,$F$18*F7060/1000,0)</f>
        <v>0</v>
      </c>
      <c r="S7060" t="str">
        <v>)</v>
      </c>
      <c r="T7060" t="str">
        <v>x</v>
      </c>
      <c r="U7060">
        <f>0.006165*F7060^2</f>
        <v>1.041885</v>
      </c>
      <c r="X7060" t="str">
        <v>x</v>
      </c>
      <c r="Y7060">
        <f>D7051</f>
        <v>1</v>
      </c>
      <c r="Z7060" t="str">
        <v>=</v>
      </c>
      <c r="AA7060">
        <f>IF(AA7063=0,(D7060*N7060+P7060*R7060)*U7060*Y7060,0)</f>
        <v>0</v>
      </c>
    </row>
    <row r="7061">
      <c r="A7061" t="str">
        <f>A7045</f>
        <v>Lantai Atap</v>
      </c>
      <c r="B7061" t="str">
        <f>B7045</f>
        <v>27A</v>
      </c>
      <c r="C7061" t="str">
        <v>Tul Bawah Lapangan</v>
      </c>
      <c r="D7061">
        <f>VLOOKUP(D7045,'Detail Balok'!$C$10:$AU$140,25,FALSE)</f>
        <v>3</v>
      </c>
      <c r="E7061" t="str">
        <v>D</v>
      </c>
      <c r="F7061">
        <f>VLOOKUP(D7045,'Detail Balok'!$C$10:$AU$140,27,FALSE)</f>
        <v>13</v>
      </c>
      <c r="I7061" t="str">
        <v>(</v>
      </c>
      <c r="J7061">
        <f>+J7053</f>
        <v>0.3525</v>
      </c>
      <c r="K7061" t="str">
        <v>+</v>
      </c>
      <c r="M7061" t="str">
        <v>=</v>
      </c>
      <c r="N7061">
        <f>J7061+L7061</f>
        <v>0.3525</v>
      </c>
      <c r="O7061" t="str">
        <v>+</v>
      </c>
      <c r="P7061">
        <f>MAX(D7061-D7060,D7061-D7062)</f>
        <v>0</v>
      </c>
      <c r="Q7061" t="str">
        <v>x</v>
      </c>
      <c r="R7061">
        <f>IF(P7061&gt;0,2*(1-2*$F$19-1/2)*D7048/1000,0)</f>
        <v>0</v>
      </c>
      <c r="S7061" t="str">
        <v>)</v>
      </c>
      <c r="T7061" t="str">
        <v>x</v>
      </c>
      <c r="U7061">
        <f>0.006165*F7061^2</f>
        <v>1.041885</v>
      </c>
      <c r="X7061" t="str">
        <v>x</v>
      </c>
      <c r="Y7061">
        <f>D7051</f>
        <v>1</v>
      </c>
      <c r="Z7061" t="str">
        <v>=</v>
      </c>
      <c r="AA7061">
        <f>IF(AA7063=0,(D7061*N7061+P7061*R7061)*U7061*Y7061,0)</f>
        <v>0</v>
      </c>
    </row>
    <row r="7062">
      <c r="A7062" t="str">
        <f>A7045</f>
        <v>Lantai Atap</v>
      </c>
      <c r="B7062" t="str">
        <f>B7045</f>
        <v>27A</v>
      </c>
      <c r="C7062" t="str">
        <v>Tul Bawah Tumpuan</v>
      </c>
      <c r="D7062">
        <f>VLOOKUP(D7045,'Detail Balok'!$C$10:$AU$140,28,FALSE)</f>
        <v>3</v>
      </c>
      <c r="E7062" t="str">
        <v>D</v>
      </c>
      <c r="F7062">
        <f>VLOOKUP(D7045,'Detail Balok'!$C$10:$AU$140,30,FALSE)</f>
        <v>13</v>
      </c>
      <c r="I7062" t="str">
        <v>(</v>
      </c>
      <c r="J7062">
        <f>+J7054</f>
        <v>0.17625</v>
      </c>
      <c r="K7062" t="str">
        <v>+</v>
      </c>
      <c r="L7062">
        <f>MAX(VLOOKUP(F7062,N$6:P$15,3,FALSE)/1000,2/3*D7050/1000)+F$16*F7062/1000</f>
        <v>0.156</v>
      </c>
      <c r="M7062" t="str">
        <v>=</v>
      </c>
      <c r="N7062">
        <f>J7062+L7062</f>
        <v>0.33225</v>
      </c>
      <c r="O7062" t="str">
        <v>+</v>
      </c>
      <c r="P7062">
        <f>D7062-D7061</f>
        <v>0</v>
      </c>
      <c r="Q7062" t="str">
        <v>x</v>
      </c>
      <c r="R7062">
        <f>IF(P7062&gt;0,$F$18*F7062/1000,0)</f>
        <v>0</v>
      </c>
      <c r="S7062" t="str">
        <v>)</v>
      </c>
      <c r="T7062" t="str">
        <v>x</v>
      </c>
      <c r="U7062">
        <f>0.006165*F7062^2</f>
        <v>1.041885</v>
      </c>
      <c r="X7062" t="str">
        <v>x</v>
      </c>
      <c r="Y7062">
        <f>D7051</f>
        <v>1</v>
      </c>
      <c r="Z7062" t="str">
        <v>=</v>
      </c>
      <c r="AA7062">
        <f>IF(AA7063=0,(D7062*N7062+P7062*R7062)*U7062*Y7062,0)</f>
        <v>0</v>
      </c>
    </row>
    <row r="7063">
      <c r="A7063" t="str">
        <f>A7045</f>
        <v>Lantai Atap</v>
      </c>
      <c r="B7063" t="str">
        <f>B7045</f>
        <v>27A</v>
      </c>
      <c r="D7063">
        <f>IF(AND(D7060=D7061,D7061=D7062,D7060=D7062),D7060,0)</f>
        <v>3</v>
      </c>
      <c r="E7063" t="str">
        <v>D</v>
      </c>
      <c r="F7063">
        <f>IF(AND(F7060=F7061,F7060=F7062,F7061=F7062),F7060,0)</f>
        <v>13</v>
      </c>
      <c r="L7063" t="str">
        <v>Total panjang per balok</v>
      </c>
      <c r="M7063" t="str">
        <v>=</v>
      </c>
      <c r="N7063">
        <f>IF(AND(D7060=D7061,D7060=D7062,D7061=D7062,F7060=F7061,F7060=F7062,F7061=F7062),SUM(N7060:N7062),0)</f>
        <v>1.017</v>
      </c>
      <c r="O7063" t="str">
        <v>+</v>
      </c>
      <c r="P7063">
        <f>IF(N7063&gt;12,ROUNDDOWN(N7063/12,0),0)</f>
        <v>0</v>
      </c>
      <c r="Q7063" t="str">
        <v>x</v>
      </c>
      <c r="R7063">
        <f>IF(P7063&gt;0,MAX(VLOOKUP(F7063,$D$6:$G$15,3,FALSE),600),0)/1000</f>
        <v>0</v>
      </c>
      <c r="T7063" t="str">
        <v>x</v>
      </c>
      <c r="U7063">
        <f>U7062</f>
        <v>1.041885</v>
      </c>
      <c r="V7063" t="str">
        <v>x</v>
      </c>
      <c r="W7063">
        <f>D7063</f>
        <v>3</v>
      </c>
      <c r="X7063" t="str">
        <v>x</v>
      </c>
      <c r="Y7063">
        <f>Y7062</f>
        <v>1</v>
      </c>
      <c r="Z7063" t="str">
        <v>=</v>
      </c>
      <c r="AA7063">
        <f>(N7063+P7063*R7063/1000)*U7063*W7063*Y7063</f>
        <v>3.1787911349999995</v>
      </c>
    </row>
    <row r="7065">
      <c r="A7065" t="str">
        <f>A7045</f>
        <v>Lantai Atap</v>
      </c>
      <c r="B7065" t="str">
        <f>B7045</f>
        <v>27A</v>
      </c>
      <c r="C7065" t="str">
        <v>Sengkang Tumpuan</v>
      </c>
      <c r="D7065">
        <f>VLOOKUP(D7045,'Detail Balok'!$C$10:$AU$140,31,FALSE)</f>
        <v>0</v>
      </c>
      <c r="E7065" t="str">
        <v>D</v>
      </c>
      <c r="F7065">
        <f>VLOOKUP(D7045,'Detail Balok'!$C$10:$AU$140,33,FALSE)</f>
        <v>10</v>
      </c>
      <c r="G7065" t="str">
        <v>-</v>
      </c>
      <c r="H7065">
        <f>VLOOKUP(D7045,'Detail Balok'!$C$10:$AU$140,35,FALSE)</f>
        <v>100</v>
      </c>
      <c r="J7065">
        <f>(IF(D7065=0,(2*(D7046+G7046))-(F$5*8),IF(D7065=3,(2*(D7046+G7046))-(F$5*8)+(G7046-2*F$5),IF(D7065=4,(2*(D7046+G7046))-(F$5*8)+2*(G7046-2*F$5)))))/1000</f>
        <v>0.88</v>
      </c>
      <c r="K7065" t="str">
        <v>+</v>
      </c>
      <c r="L7065">
        <f>IF(D7065=0,2*MAX(6*F7065,75),(D7065-1)*2*MAX(6*F7065,75))/1000</f>
        <v>0.15</v>
      </c>
      <c r="M7065" t="str">
        <v>=</v>
      </c>
      <c r="N7065">
        <f>J7065+L7065</f>
        <v>1.03</v>
      </c>
      <c r="T7065" t="str">
        <v>x</v>
      </c>
      <c r="U7065">
        <f>0.006165*F7065^2</f>
        <v>0.6165</v>
      </c>
      <c r="V7065" t="str">
        <v>x</v>
      </c>
      <c r="W7065">
        <f>IF(D7048&gt;4*G7046,ROUND(MAX(D7048/4,2*G7046)/H7065,0)+1,ROUND(D7048/H7065,0)+1)</f>
        <v>8</v>
      </c>
      <c r="X7065" t="str">
        <v>x</v>
      </c>
      <c r="Y7065">
        <f>D7051</f>
        <v>1</v>
      </c>
      <c r="Z7065" t="str">
        <v>=</v>
      </c>
      <c r="AA7065">
        <f>N7065*U7065*W7065*Y7065</f>
        <v>5.079960000000001</v>
      </c>
    </row>
    <row r="7066">
      <c r="A7066" t="str">
        <f>A7045</f>
        <v>Lantai Atap</v>
      </c>
      <c r="B7066" t="str">
        <f>B7045</f>
        <v>27A</v>
      </c>
      <c r="C7066" t="str">
        <v>Sengkang Lapangan</v>
      </c>
      <c r="D7066">
        <f>VLOOKUP(D7045,'Detail Balok'!$C$10:$AU$140,36,FALSE)</f>
        <v>0</v>
      </c>
      <c r="E7066" t="str">
        <v>D</v>
      </c>
      <c r="F7066">
        <f>VLOOKUP(D7045,'Detail Balok'!$C$10:$AU$140,38,FALSE)</f>
        <v>10</v>
      </c>
      <c r="G7066" t="str">
        <v>-</v>
      </c>
      <c r="H7066">
        <f>VLOOKUP(D7045,'Detail Balok'!$C$10:$AU$140,40,FALSE)</f>
        <v>200</v>
      </c>
      <c r="J7066">
        <f>(IF(D7066=0,(2*(D7046+G7046))-(F$5*8),IF(D7066=3,(2*(D7046+G7046))-(F$5*8)+(G7046-2*F$5),IF(D7066=4,(2*(D7046+G7046))-(F$5*8)+2*(G7046-2*F$5)))))/1000</f>
        <v>0.88</v>
      </c>
      <c r="K7066" t="str">
        <v>+</v>
      </c>
      <c r="L7066">
        <f>IF(D7066=0,2*MAX(6*F7066,75),(D7066-1)*2*MAX(6*F7066,75))/1000</f>
        <v>0.15</v>
      </c>
      <c r="M7066" t="str">
        <v>=</v>
      </c>
      <c r="N7066">
        <f>J7066+L7066</f>
        <v>1.03</v>
      </c>
      <c r="T7066" t="str">
        <v>x</v>
      </c>
      <c r="U7066">
        <f>0.006165*F7066^2</f>
        <v>0.6165</v>
      </c>
      <c r="V7066" t="str">
        <v>x</v>
      </c>
      <c r="W7066">
        <f>IF(D7048-MAX(D7048/4,2*G7046)*2&gt;0,ROUND((D7048-MAX(D7048/4,2*G7046)*2)/H7066,0),0)</f>
        <v>0</v>
      </c>
      <c r="X7066" t="str">
        <v>x</v>
      </c>
      <c r="Y7066">
        <f>D7051</f>
        <v>1</v>
      </c>
      <c r="Z7066" t="str">
        <v>=</v>
      </c>
      <c r="AA7066">
        <f>N7066*U7066*W7066*Y7066</f>
        <v>0</v>
      </c>
    </row>
    <row r="7067">
      <c r="A7067" t="str">
        <f>A7045</f>
        <v>Lantai Atap</v>
      </c>
      <c r="B7067" t="str">
        <f>B7045</f>
        <v>27A</v>
      </c>
      <c r="C7067" t="str">
        <v>Sengkang Tumpuan</v>
      </c>
      <c r="D7067">
        <f>VLOOKUP(D7045,'Detail Balok'!$C$10:$AU$140,41,FALSE)</f>
        <v>0</v>
      </c>
      <c r="E7067" t="str">
        <v>D</v>
      </c>
      <c r="F7067">
        <f>VLOOKUP(D7045,'Detail Balok'!$C$10:$AU$140,43,FALSE)</f>
        <v>10</v>
      </c>
      <c r="G7067" t="str">
        <v>-</v>
      </c>
      <c r="H7067">
        <f>VLOOKUP(D7045,'Detail Balok'!$C$10:$AU$140,45,FALSE)</f>
        <v>100</v>
      </c>
      <c r="J7067">
        <f>(IF(D7067=0,(2*(D7046+G7046))-(F$5*8),IF(D7067=3,(2*(D7046+G7046))-(F$5*8)+(G7046-2*F$5),IF(D7067=4,(2*(D7046+G7046))-(F$5*8)+2*(G7046-2*F$5)))))/1000</f>
        <v>0.88</v>
      </c>
      <c r="K7067" t="str">
        <v>+</v>
      </c>
      <c r="L7067">
        <f>IF(D7067=0,2*MAX(6*F7067,75),(D7067-1)*2*MAX(6*F7067,75))/1000</f>
        <v>0.15</v>
      </c>
      <c r="M7067" t="str">
        <v>=</v>
      </c>
      <c r="N7067">
        <f>J7067+L7067</f>
        <v>1.03</v>
      </c>
      <c r="T7067" t="str">
        <v>x</v>
      </c>
      <c r="U7067">
        <f>0.006165*F7067^2</f>
        <v>0.6165</v>
      </c>
      <c r="V7067" t="str">
        <v>x</v>
      </c>
      <c r="W7067">
        <f>IF(D7048&gt;4*G7046,ROUND(MAX(D7048/4,2*G7046)/H7067,0)+1,0)</f>
        <v>0</v>
      </c>
      <c r="X7067" t="str">
        <v>x</v>
      </c>
      <c r="Y7067">
        <f>D7051</f>
        <v>1</v>
      </c>
      <c r="Z7067" t="str">
        <v>=</v>
      </c>
      <c r="AA7067">
        <f>N7067*U7067*W7067*Y7067</f>
        <v>0</v>
      </c>
    </row>
    <row r="7069">
      <c r="A7069" t="str">
        <f>A7045</f>
        <v>Lantai Atap</v>
      </c>
      <c r="B7069" t="str">
        <f>B7045</f>
        <v>27A</v>
      </c>
      <c r="C7069" t="str">
        <v>Kait Horizontal Tump.</v>
      </c>
      <c r="D7069">
        <f>VLOOKUP(D7045,'Detail Balok'!$C$10:$BJ$140,46,FALSE)</f>
        <v>0</v>
      </c>
      <c r="E7069" t="str">
        <v>D</v>
      </c>
      <c r="F7069">
        <f>VLOOKUP(D7045,'Detail Balok'!$C$10:$BJ$140,48,FALSE)</f>
        <v>0</v>
      </c>
      <c r="G7069" t="str">
        <v>-</v>
      </c>
      <c r="H7069">
        <f>VLOOKUP(D7045,'Detail Balok'!$C$10:$BJ$140,50,FALSE)</f>
        <v>100</v>
      </c>
      <c r="J7069">
        <f>(D7046-2*F$5)/1000</f>
        <v>0.12</v>
      </c>
      <c r="K7069" t="str">
        <v>+</v>
      </c>
      <c r="L7069">
        <f>IF(D7069=0,2*MAX(6*F7069,75),(D7069-1)*2*MAX(6*F7069,75))/1000</f>
        <v>0.15</v>
      </c>
      <c r="M7069" t="str">
        <v>=</v>
      </c>
      <c r="N7069">
        <f>J7069+L7069</f>
        <v>0.27</v>
      </c>
      <c r="T7069" t="str">
        <v>x</v>
      </c>
      <c r="U7069">
        <f>0.006165*F7069^2</f>
        <v>0</v>
      </c>
      <c r="V7069" t="str">
        <v>x</v>
      </c>
      <c r="W7069">
        <f>W7065</f>
        <v>8</v>
      </c>
      <c r="X7069" t="str">
        <v>x</v>
      </c>
      <c r="Y7069">
        <f>D7055</f>
        <v>3</v>
      </c>
      <c r="Z7069" t="str">
        <v>=</v>
      </c>
      <c r="AA7069">
        <f>N7069*U7069*W7069*Y7069</f>
        <v>0</v>
      </c>
    </row>
    <row r="7070">
      <c r="A7070" t="str">
        <f>A7045</f>
        <v>Lantai Atap</v>
      </c>
      <c r="B7070" t="str">
        <f>B7045</f>
        <v>27A</v>
      </c>
      <c r="C7070" t="str">
        <v>Kait Horizontal Lap.</v>
      </c>
      <c r="D7070">
        <f>VLOOKUP(D7045,'Detail Balok'!$C$10:$BJ$140,51,FALSE)</f>
        <v>0</v>
      </c>
      <c r="E7070" t="str">
        <v>D</v>
      </c>
      <c r="F7070">
        <f>VLOOKUP(D7045,'Detail Balok'!$C$10:$BJ$140,53,FALSE)</f>
        <v>0</v>
      </c>
      <c r="G7070" t="str">
        <v>-</v>
      </c>
      <c r="H7070">
        <f>VLOOKUP(D7045,'Detail Balok'!$C$10:$BJ$140,55,FALSE)</f>
        <v>100</v>
      </c>
      <c r="J7070">
        <f>(D7046-2*F$5)/1000</f>
        <v>0.12</v>
      </c>
      <c r="K7070" t="str">
        <v>+</v>
      </c>
      <c r="L7070">
        <f>IF(D7070=0,2*MAX(6*F7070,75),(D7070-1)*2*MAX(6*F7070,75))/1000</f>
        <v>0.15</v>
      </c>
      <c r="M7070" t="str">
        <v>=</v>
      </c>
      <c r="N7070">
        <f>J7070+L7070</f>
        <v>0.27</v>
      </c>
      <c r="T7070" t="str">
        <v>x</v>
      </c>
      <c r="U7070">
        <f>0.006165*F7070^2</f>
        <v>0</v>
      </c>
      <c r="V7070" t="str">
        <v>x</v>
      </c>
      <c r="W7070">
        <f>W7066</f>
        <v>0</v>
      </c>
      <c r="X7070" t="str">
        <v>x</v>
      </c>
      <c r="Y7070">
        <f>D7055</f>
        <v>3</v>
      </c>
      <c r="Z7070" t="str">
        <v>=</v>
      </c>
      <c r="AA7070">
        <f>N7070*U7070*W7070*Y7070</f>
        <v>0</v>
      </c>
    </row>
    <row r="7071">
      <c r="A7071" t="str">
        <f>A7045</f>
        <v>Lantai Atap</v>
      </c>
      <c r="B7071" t="str">
        <f>B7045</f>
        <v>27A</v>
      </c>
      <c r="C7071" t="str">
        <v>Kait Horizontal Tump.</v>
      </c>
      <c r="D7071">
        <f>VLOOKUP(D7045,'Detail Balok'!$C$10:$BJ$140,56,FALSE)</f>
        <v>0</v>
      </c>
      <c r="E7071" t="str">
        <v>D</v>
      </c>
      <c r="F7071">
        <f>VLOOKUP(D7045,'Detail Balok'!$C$10:$BJ$140,58,FALSE)</f>
        <v>0</v>
      </c>
      <c r="G7071" t="str">
        <v>-</v>
      </c>
      <c r="H7071">
        <f>VLOOKUP(D7045,'Detail Balok'!$C$10:$BJ$140,60,FALSE)</f>
        <v>100</v>
      </c>
      <c r="J7071">
        <f>(D7046-2*F$5)/1000</f>
        <v>0.12</v>
      </c>
      <c r="K7071" t="str">
        <v>+</v>
      </c>
      <c r="L7071">
        <f>IF(D7071=0,2*MAX(6*F7071,75),(D7071-1)*2*MAX(6*F7071,75))/1000</f>
        <v>0.15</v>
      </c>
      <c r="M7071" t="str">
        <v>=</v>
      </c>
      <c r="N7071">
        <f>J7071+L7071</f>
        <v>0.27</v>
      </c>
      <c r="T7071" t="str">
        <v>x</v>
      </c>
      <c r="U7071">
        <f>0.006165*F7071^2</f>
        <v>0</v>
      </c>
      <c r="V7071" t="str">
        <v>x</v>
      </c>
      <c r="W7071">
        <f>W7067</f>
        <v>0</v>
      </c>
      <c r="X7071" t="str">
        <v>x</v>
      </c>
      <c r="Y7071">
        <f>D7055</f>
        <v>3</v>
      </c>
      <c r="Z7071" t="str">
        <v>=</v>
      </c>
      <c r="AA7071">
        <f>N7071*U7071*W7071*Y7071</f>
        <v>0</v>
      </c>
    </row>
    <row r="7075">
      <c r="A7075" t="str">
        <f>A7015</f>
        <v>Lantai Atap</v>
      </c>
      <c r="B7075">
        <f>B7015+1</f>
        <v>28</v>
      </c>
      <c r="C7075" t="str">
        <f>CONCATENATE(A7075," no. ",B7075)</f>
        <v>Lantai Atap no. 28</v>
      </c>
      <c r="D7075" t="str">
        <f>VLOOKUP(C7075,'Data Panjang Balok'!$C$9:$N$254,2,FALSE)</f>
        <v>B24-1</v>
      </c>
    </row>
    <row r="7076">
      <c r="C7076" t="str">
        <v>Dimensi</v>
      </c>
      <c r="D7076">
        <f>VLOOKUP(D7075,'Detail Balok'!$C$10:$AU$140,2,FALSE)</f>
        <v>200</v>
      </c>
      <c r="F7076" t="str">
        <v>x</v>
      </c>
      <c r="G7076">
        <f>VLOOKUP(D7075,'Detail Balok'!$C$10:$AU$140,3,FALSE)</f>
        <v>400</v>
      </c>
    </row>
    <row r="7077">
      <c r="C7077" t="str">
        <v>Panjang as ke as</v>
      </c>
      <c r="D7077">
        <f>VLOOKUP(C7075,'Data Panjang Balok'!$C$9:$N$254,4,FALSE)</f>
        <v>5905</v>
      </c>
    </row>
    <row r="7078">
      <c r="C7078" t="str">
        <v>Panjang netto</v>
      </c>
      <c r="D7078">
        <f>VLOOKUP(C7075,'Data Panjang Balok'!$C$9:$N$254,7,FALSE)</f>
        <v>5905</v>
      </c>
    </row>
    <row r="7079">
      <c r="C7079" t="str">
        <v>Kolom / balok kiri</v>
      </c>
      <c r="D7079">
        <f>VLOOKUP(C7075,'Data Panjang Balok'!$C$9:$N$254,9,FALSE)</f>
        <v>0</v>
      </c>
    </row>
    <row r="7080">
      <c r="C7080" t="str">
        <v>Kolom / balok kanan</v>
      </c>
      <c r="D7080">
        <f>VLOOKUP(C7075,'Data Panjang Balok'!$C$9:$N$254,10,FALSE)</f>
        <v>0</v>
      </c>
    </row>
    <row r="7081">
      <c r="C7081" t="str">
        <v>Jumlah</v>
      </c>
      <c r="D7081">
        <f>VLOOKUP(C7075,'Data Panjang Balok'!$C$9:$N$254,3,FALSE)</f>
        <v>1</v>
      </c>
    </row>
    <row r="7082">
      <c r="A7082" t="str">
        <f>A7075</f>
        <v>Lantai Atap</v>
      </c>
      <c r="B7082">
        <f>B7075</f>
        <v>28</v>
      </c>
      <c r="C7082" t="str">
        <v>Tul Atas Tumpuan</v>
      </c>
      <c r="D7082">
        <f>VLOOKUP(D7075,'Detail Balok'!$C$10:$AU$140,4,FALSE)</f>
        <v>3</v>
      </c>
      <c r="E7082" t="str">
        <v>D</v>
      </c>
      <c r="F7082">
        <f>VLOOKUP(D7075,'Detail Balok'!$C$10:$AU$140,6,FALSE)</f>
        <v>13</v>
      </c>
      <c r="I7082" t="str">
        <v>(</v>
      </c>
      <c r="J7082">
        <f>+D7077/4/1000</f>
        <v>1.47625</v>
      </c>
      <c r="K7082" t="str">
        <v>+</v>
      </c>
      <c r="L7082">
        <f>MAX(VLOOKUP(F7082,N$6:P$15,3,FALSE)/1000,2/3*D7079/1000)+F$16*F7082/1000</f>
        <v>0.156</v>
      </c>
      <c r="M7082" t="str">
        <v>=</v>
      </c>
      <c r="N7082">
        <f>J7082+L7082</f>
        <v>1.63225</v>
      </c>
      <c r="O7082" t="str">
        <v>+</v>
      </c>
      <c r="P7082">
        <f>D7082-D7083</f>
        <v>0</v>
      </c>
      <c r="Q7082" t="str">
        <v>x</v>
      </c>
      <c r="R7082">
        <f>IF(P7082&gt;0,$F$18*F7082/1000,0)</f>
        <v>0</v>
      </c>
      <c r="S7082" t="str">
        <v>)</v>
      </c>
      <c r="T7082" t="str">
        <v>x</v>
      </c>
      <c r="U7082">
        <f>0.006165*F7082^2</f>
        <v>1.041885</v>
      </c>
      <c r="X7082" t="str">
        <v>x</v>
      </c>
      <c r="Y7082">
        <f>D7081</f>
        <v>1</v>
      </c>
      <c r="Z7082" t="str">
        <v>=</v>
      </c>
      <c r="AA7082">
        <f>IF(AA7085=0,(D7082*N7082+P7082*R7082)*U7082*Y7082,0)</f>
        <v>0</v>
      </c>
    </row>
    <row r="7083">
      <c r="A7083" t="str">
        <f>A7075</f>
        <v>Lantai Atap</v>
      </c>
      <c r="B7083">
        <f>B7075</f>
        <v>28</v>
      </c>
      <c r="C7083" t="str">
        <v>Tul Atas Lapangan</v>
      </c>
      <c r="D7083">
        <f>VLOOKUP(D7075,'Detail Balok'!$C$10:$AU$140,7,FALSE)</f>
        <v>3</v>
      </c>
      <c r="E7083" t="str">
        <v>D</v>
      </c>
      <c r="F7083">
        <f>VLOOKUP(D7075,'Detail Balok'!$C$10:$AU$140,9,FALSE)</f>
        <v>13</v>
      </c>
      <c r="I7083" t="str">
        <v>(</v>
      </c>
      <c r="J7083">
        <f>+D7077/2/1000</f>
        <v>2.9525</v>
      </c>
      <c r="K7083" t="str">
        <v>+</v>
      </c>
      <c r="M7083" t="str">
        <v>=</v>
      </c>
      <c r="N7083">
        <f>J7083+L7083</f>
        <v>2.9525</v>
      </c>
      <c r="O7083" t="str">
        <v>+</v>
      </c>
      <c r="P7083">
        <f>MAX(D7083-D7082,D7083-D7084)</f>
        <v>0</v>
      </c>
      <c r="Q7083" t="str">
        <v>x</v>
      </c>
      <c r="R7083">
        <f>IF(P7083&gt;0,2*(1-2*$F$19-1/2)*D7078/1000,0)</f>
        <v>0</v>
      </c>
      <c r="S7083" t="str">
        <v>)</v>
      </c>
      <c r="T7083" t="str">
        <v>x</v>
      </c>
      <c r="U7083">
        <f>0.006165*F7083^2</f>
        <v>1.041885</v>
      </c>
      <c r="X7083" t="str">
        <v>x</v>
      </c>
      <c r="Y7083">
        <f>D7081</f>
        <v>1</v>
      </c>
      <c r="Z7083" t="str">
        <v>=</v>
      </c>
      <c r="AA7083">
        <f>IF(AA7085=0,(D7083*N7083+P7083*R7083)*U7083*Y7083,0)</f>
        <v>0</v>
      </c>
    </row>
    <row r="7084">
      <c r="A7084" t="str">
        <f>A7075</f>
        <v>Lantai Atap</v>
      </c>
      <c r="B7084">
        <f>B7075</f>
        <v>28</v>
      </c>
      <c r="C7084" t="str">
        <v>Tul Atas Tumpuan</v>
      </c>
      <c r="D7084">
        <f>VLOOKUP(D7075,'Detail Balok'!$C$10:$AU$140,10,FALSE)</f>
        <v>3</v>
      </c>
      <c r="E7084" t="str">
        <v>D</v>
      </c>
      <c r="F7084">
        <f>VLOOKUP(D7075,'Detail Balok'!$C$10:$AU$140,12,FALSE)</f>
        <v>13</v>
      </c>
      <c r="I7084" t="str">
        <v>(</v>
      </c>
      <c r="J7084">
        <f>+D7077/4/1000</f>
        <v>1.47625</v>
      </c>
      <c r="K7084" t="str">
        <v>+</v>
      </c>
      <c r="L7084">
        <f>MAX(VLOOKUP(F7084,N$6:P$15,3,FALSE)/1000,2/3*D7079/1000)+F$16*F7084/1000</f>
        <v>0.156</v>
      </c>
      <c r="M7084" t="str">
        <v>=</v>
      </c>
      <c r="N7084">
        <f>J7084+L7084</f>
        <v>1.63225</v>
      </c>
      <c r="O7084" t="str">
        <v>+</v>
      </c>
      <c r="P7084">
        <f>D7084-D7083</f>
        <v>0</v>
      </c>
      <c r="Q7084" t="str">
        <v>x</v>
      </c>
      <c r="R7084">
        <f>IF(P7084&gt;0,$F$18*F7084/1000,0)</f>
        <v>0</v>
      </c>
      <c r="S7084" t="str">
        <v>)</v>
      </c>
      <c r="T7084" t="str">
        <v>x</v>
      </c>
      <c r="U7084">
        <f>0.006165*F7084^2</f>
        <v>1.041885</v>
      </c>
      <c r="X7084" t="str">
        <v>x</v>
      </c>
      <c r="Y7084">
        <f>D7081</f>
        <v>1</v>
      </c>
      <c r="Z7084" t="str">
        <v>=</v>
      </c>
      <c r="AA7084">
        <f>IF(AA7085=0,(D7084*N7084+P7084*R7084)*U7084*Y7084,0)</f>
        <v>0</v>
      </c>
    </row>
    <row r="7085">
      <c r="A7085" t="str">
        <f>A7075</f>
        <v>Lantai Atap</v>
      </c>
      <c r="B7085">
        <f>B7075</f>
        <v>28</v>
      </c>
      <c r="D7085">
        <f>IF(AND(D7082=D7083,D7083=D7084,D7082=D7084),D7082,0)</f>
        <v>3</v>
      </c>
      <c r="E7085" t="str">
        <v>D</v>
      </c>
      <c r="F7085">
        <f>IF(AND(F7082=F7083,F7082=F7084,F7083=F7084),F7082,0)</f>
        <v>13</v>
      </c>
      <c r="L7085" t="str">
        <v>Total panjang per balok</v>
      </c>
      <c r="M7085" t="str">
        <v>=</v>
      </c>
      <c r="N7085">
        <f>IF(AND(D7082=D7083,D7082=D7084,D7083=D7084,F7082=F7083,F7082=F7084,F7083=F7084),SUM(N7082:N7084),0)</f>
        <v>6.217</v>
      </c>
      <c r="O7085" t="str">
        <v>+</v>
      </c>
      <c r="P7085">
        <f>IF(N7085&gt;12,ROUNDDOWN(N7085/12,0),0)</f>
        <v>0</v>
      </c>
      <c r="Q7085" t="str">
        <v>x</v>
      </c>
      <c r="R7085">
        <f>IF(P7085&gt;0,MAX(VLOOKUP(F7085,$D$6:$G$15,3,FALSE),600),0)/1000</f>
        <v>0</v>
      </c>
      <c r="T7085" t="str">
        <v>x</v>
      </c>
      <c r="U7085">
        <f>U7084</f>
        <v>1.041885</v>
      </c>
      <c r="V7085" t="str">
        <v>x</v>
      </c>
      <c r="W7085">
        <f>D7085</f>
        <v>3</v>
      </c>
      <c r="X7085" t="str">
        <v>x</v>
      </c>
      <c r="Y7085">
        <f>Y7084</f>
        <v>1</v>
      </c>
      <c r="Z7085" t="str">
        <v>=</v>
      </c>
      <c r="AA7085">
        <f>(N7085+P7085*R7085/1000)*U7085*W7085*Y7085</f>
        <v>19.432197135</v>
      </c>
    </row>
    <row r="7087">
      <c r="A7087" t="str">
        <f>A7075</f>
        <v>Lantai Atap</v>
      </c>
      <c r="B7087">
        <f>B7075</f>
        <v>28</v>
      </c>
      <c r="C7087" t="str">
        <v>Tul Peminggang</v>
      </c>
      <c r="D7087">
        <f>VLOOKUP(D7075,'Detail Balok'!$C$10:$AU$140,13,FALSE)</f>
        <v>0</v>
      </c>
      <c r="E7087" t="str">
        <v>D</v>
      </c>
      <c r="F7087">
        <f>VLOOKUP(D7075,'Detail Balok'!$C$10:$AU$140,15,FALSE)</f>
        <v>8</v>
      </c>
      <c r="J7087">
        <f>+D7077/1000</f>
        <v>5.905</v>
      </c>
      <c r="K7087" t="str">
        <v>+</v>
      </c>
      <c r="L7087">
        <f>2*$F$16*F7087/1000</f>
        <v>0.192</v>
      </c>
      <c r="M7087" t="str">
        <v>=</v>
      </c>
      <c r="N7087">
        <f>J7087+L7087</f>
        <v>6.097</v>
      </c>
      <c r="O7087" t="str">
        <v>+</v>
      </c>
      <c r="P7087">
        <f>IF(N7087&gt;12,ROUNDDOWN(N7087/12,0),0)</f>
        <v>0</v>
      </c>
      <c r="Q7087" t="str">
        <v>x</v>
      </c>
      <c r="R7087">
        <f>IF(P7087&gt;0,MAX(VLOOKUP(F7087,$D$6:$G$15,3,FALSE),600),0)/1000</f>
        <v>0</v>
      </c>
      <c r="T7087" t="str">
        <v>x</v>
      </c>
      <c r="U7087">
        <f>0.006165*F7087^2</f>
        <v>0.39456</v>
      </c>
      <c r="V7087" t="str">
        <v>x</v>
      </c>
      <c r="W7087">
        <f>+D7087</f>
        <v>0</v>
      </c>
      <c r="X7087" t="str">
        <v>x</v>
      </c>
      <c r="Y7087">
        <f>D7081</f>
        <v>1</v>
      </c>
      <c r="Z7087" t="str">
        <v>=</v>
      </c>
      <c r="AA7087">
        <f>(N7087+P7087*R7087/1000)*U7087*W7087*Y7087</f>
        <v>0</v>
      </c>
    </row>
    <row r="7090">
      <c r="A7090" t="str">
        <f>A7075</f>
        <v>Lantai Atap</v>
      </c>
      <c r="B7090">
        <f>B7075</f>
        <v>28</v>
      </c>
      <c r="C7090" t="str">
        <v>Tul Bawah Tumpuan</v>
      </c>
      <c r="D7090">
        <f>VLOOKUP(D7075,'Detail Balok'!$C$10:$AU$140,22,FALSE)</f>
        <v>3</v>
      </c>
      <c r="E7090" t="str">
        <v>D</v>
      </c>
      <c r="F7090">
        <f>VLOOKUP(D7075,'Detail Balok'!$C$10:$AU$140,24,FALSE)</f>
        <v>13</v>
      </c>
      <c r="I7090" t="str">
        <v>(</v>
      </c>
      <c r="J7090">
        <f>+J7082</f>
        <v>1.47625</v>
      </c>
      <c r="K7090" t="str">
        <v>+</v>
      </c>
      <c r="L7090">
        <f>MAX(VLOOKUP(F7090,N$6:P$15,3,FALSE)/1000,2/3*D7080/1000)+F$16*F7090/1000</f>
        <v>0.156</v>
      </c>
      <c r="M7090" t="str">
        <v>=</v>
      </c>
      <c r="N7090">
        <f>J7090+L7090</f>
        <v>1.63225</v>
      </c>
      <c r="O7090" t="str">
        <v>+</v>
      </c>
      <c r="P7090">
        <f>D7090-D7091</f>
        <v>0</v>
      </c>
      <c r="Q7090" t="str">
        <v>x</v>
      </c>
      <c r="R7090">
        <f>IF(P7090&gt;0,$F$18*F7090/1000,0)</f>
        <v>0</v>
      </c>
      <c r="S7090" t="str">
        <v>)</v>
      </c>
      <c r="T7090" t="str">
        <v>x</v>
      </c>
      <c r="U7090">
        <f>0.006165*F7090^2</f>
        <v>1.041885</v>
      </c>
      <c r="X7090" t="str">
        <v>x</v>
      </c>
      <c r="Y7090">
        <f>D7081</f>
        <v>1</v>
      </c>
      <c r="Z7090" t="str">
        <v>=</v>
      </c>
      <c r="AA7090">
        <f>IF(AA7093=0,(D7090*N7090+P7090*R7090)*U7090*Y7090,0)</f>
        <v>0</v>
      </c>
    </row>
    <row r="7091">
      <c r="A7091" t="str">
        <f>A7075</f>
        <v>Lantai Atap</v>
      </c>
      <c r="B7091">
        <f>B7075</f>
        <v>28</v>
      </c>
      <c r="C7091" t="str">
        <v>Tul Bawah Lapangan</v>
      </c>
      <c r="D7091">
        <f>VLOOKUP(D7075,'Detail Balok'!$C$10:$AU$140,25,FALSE)</f>
        <v>3</v>
      </c>
      <c r="E7091" t="str">
        <v>D</v>
      </c>
      <c r="F7091">
        <f>VLOOKUP(D7075,'Detail Balok'!$C$10:$AU$140,27,FALSE)</f>
        <v>13</v>
      </c>
      <c r="I7091" t="str">
        <v>(</v>
      </c>
      <c r="J7091">
        <f>+J7083</f>
        <v>2.9525</v>
      </c>
      <c r="K7091" t="str">
        <v>+</v>
      </c>
      <c r="M7091" t="str">
        <v>=</v>
      </c>
      <c r="N7091">
        <f>J7091+L7091</f>
        <v>2.9525</v>
      </c>
      <c r="O7091" t="str">
        <v>+</v>
      </c>
      <c r="P7091">
        <f>MAX(D7091-D7090,D7091-D7092)</f>
        <v>0</v>
      </c>
      <c r="Q7091" t="str">
        <v>x</v>
      </c>
      <c r="R7091">
        <f>IF(P7091&gt;0,2*(1-2*$F$19-1/2)*D7078/1000,0)</f>
        <v>0</v>
      </c>
      <c r="S7091" t="str">
        <v>)</v>
      </c>
      <c r="T7091" t="str">
        <v>x</v>
      </c>
      <c r="U7091">
        <f>0.006165*F7091^2</f>
        <v>1.041885</v>
      </c>
      <c r="X7091" t="str">
        <v>x</v>
      </c>
      <c r="Y7091">
        <f>D7081</f>
        <v>1</v>
      </c>
      <c r="Z7091" t="str">
        <v>=</v>
      </c>
      <c r="AA7091">
        <f>IF(AA7093=0,(D7091*N7091+P7091*R7091)*U7091*Y7091,0)</f>
        <v>0</v>
      </c>
    </row>
    <row r="7092">
      <c r="A7092" t="str">
        <f>A7075</f>
        <v>Lantai Atap</v>
      </c>
      <c r="B7092">
        <f>B7075</f>
        <v>28</v>
      </c>
      <c r="C7092" t="str">
        <v>Tul Bawah Tumpuan</v>
      </c>
      <c r="D7092">
        <f>VLOOKUP(D7075,'Detail Balok'!$C$10:$AU$140,28,FALSE)</f>
        <v>3</v>
      </c>
      <c r="E7092" t="str">
        <v>D</v>
      </c>
      <c r="F7092">
        <f>VLOOKUP(D7075,'Detail Balok'!$C$10:$AU$140,30,FALSE)</f>
        <v>13</v>
      </c>
      <c r="I7092" t="str">
        <v>(</v>
      </c>
      <c r="J7092">
        <f>+J7084</f>
        <v>1.47625</v>
      </c>
      <c r="K7092" t="str">
        <v>+</v>
      </c>
      <c r="L7092">
        <f>MAX(VLOOKUP(F7092,N$6:P$15,3,FALSE)/1000,2/3*D7080/1000)+F$16*F7092/1000</f>
        <v>0.156</v>
      </c>
      <c r="M7092" t="str">
        <v>=</v>
      </c>
      <c r="N7092">
        <f>J7092+L7092</f>
        <v>1.63225</v>
      </c>
      <c r="O7092" t="str">
        <v>+</v>
      </c>
      <c r="P7092">
        <f>D7092-D7091</f>
        <v>0</v>
      </c>
      <c r="Q7092" t="str">
        <v>x</v>
      </c>
      <c r="R7092">
        <f>IF(P7092&gt;0,$F$18*F7092/1000,0)</f>
        <v>0</v>
      </c>
      <c r="S7092" t="str">
        <v>)</v>
      </c>
      <c r="T7092" t="str">
        <v>x</v>
      </c>
      <c r="U7092">
        <f>0.006165*F7092^2</f>
        <v>1.041885</v>
      </c>
      <c r="X7092" t="str">
        <v>x</v>
      </c>
      <c r="Y7092">
        <f>D7081</f>
        <v>1</v>
      </c>
      <c r="Z7092" t="str">
        <v>=</v>
      </c>
      <c r="AA7092">
        <f>IF(AA7093=0,(D7092*N7092+P7092*R7092)*U7092*Y7092,0)</f>
        <v>0</v>
      </c>
    </row>
    <row r="7093">
      <c r="A7093" t="str">
        <f>A7075</f>
        <v>Lantai Atap</v>
      </c>
      <c r="B7093">
        <f>B7075</f>
        <v>28</v>
      </c>
      <c r="D7093">
        <f>IF(AND(D7090=D7091,D7091=D7092,D7090=D7092),D7090,0)</f>
        <v>3</v>
      </c>
      <c r="E7093" t="str">
        <v>D</v>
      </c>
      <c r="F7093">
        <f>IF(AND(F7090=F7091,F7090=F7092,F7091=F7092),F7090,0)</f>
        <v>13</v>
      </c>
      <c r="L7093" t="str">
        <v>Total panjang per balok</v>
      </c>
      <c r="M7093" t="str">
        <v>=</v>
      </c>
      <c r="N7093">
        <f>IF(AND(D7090=D7091,D7090=D7092,D7091=D7092,F7090=F7091,F7090=F7092,F7091=F7092),SUM(N7090:N7092),0)</f>
        <v>6.217</v>
      </c>
      <c r="O7093" t="str">
        <v>+</v>
      </c>
      <c r="P7093">
        <f>IF(N7093&gt;12,ROUNDDOWN(N7093/12,0),0)</f>
        <v>0</v>
      </c>
      <c r="Q7093" t="str">
        <v>x</v>
      </c>
      <c r="R7093">
        <f>IF(P7093&gt;0,MAX(VLOOKUP(F7093,$D$6:$G$15,3,FALSE),600),0)/1000</f>
        <v>0</v>
      </c>
      <c r="T7093" t="str">
        <v>x</v>
      </c>
      <c r="U7093">
        <f>U7092</f>
        <v>1.041885</v>
      </c>
      <c r="V7093" t="str">
        <v>x</v>
      </c>
      <c r="W7093">
        <f>D7093</f>
        <v>3</v>
      </c>
      <c r="X7093" t="str">
        <v>x</v>
      </c>
      <c r="Y7093">
        <f>Y7092</f>
        <v>1</v>
      </c>
      <c r="Z7093" t="str">
        <v>=</v>
      </c>
      <c r="AA7093">
        <f>(N7093+P7093*R7093/1000)*U7093*W7093*Y7093</f>
        <v>19.432197135</v>
      </c>
    </row>
    <row r="7095">
      <c r="A7095" t="str">
        <f>A7075</f>
        <v>Lantai Atap</v>
      </c>
      <c r="B7095">
        <f>B7075</f>
        <v>28</v>
      </c>
      <c r="C7095" t="str">
        <v>Sengkang Tumpuan</v>
      </c>
      <c r="D7095">
        <f>VLOOKUP(D7075,'Detail Balok'!$C$10:$AU$140,31,FALSE)</f>
        <v>0</v>
      </c>
      <c r="E7095" t="str">
        <v>D</v>
      </c>
      <c r="F7095">
        <f>VLOOKUP(D7075,'Detail Balok'!$C$10:$AU$140,33,FALSE)</f>
        <v>10</v>
      </c>
      <c r="G7095" t="str">
        <v>-</v>
      </c>
      <c r="H7095">
        <f>VLOOKUP(D7075,'Detail Balok'!$C$10:$AU$140,35,FALSE)</f>
        <v>100</v>
      </c>
      <c r="J7095">
        <f>(IF(D7095=0,(2*(D7076+G7076))-(F$5*8),IF(D7095=3,(2*(D7076+G7076))-(F$5*8)+(G7076-2*F$5),IF(D7095=4,(2*(D7076+G7076))-(F$5*8)+2*(G7076-2*F$5)))))/1000</f>
        <v>0.88</v>
      </c>
      <c r="K7095" t="str">
        <v>+</v>
      </c>
      <c r="L7095">
        <f>IF(D7095=0,2*MAX(6*F7095,75),(D7095-1)*2*MAX(6*F7095,75))/1000</f>
        <v>0.15</v>
      </c>
      <c r="M7095" t="str">
        <v>=</v>
      </c>
      <c r="N7095">
        <f>J7095+L7095</f>
        <v>1.03</v>
      </c>
      <c r="T7095" t="str">
        <v>x</v>
      </c>
      <c r="U7095">
        <f>0.006165*F7095^2</f>
        <v>0.6165</v>
      </c>
      <c r="V7095" t="str">
        <v>x</v>
      </c>
      <c r="W7095">
        <f>IF(D7078&gt;4*G7076,ROUND(MAX(D7078/4,2*G7076)/H7095,0)+1,ROUND(D7078/H7095,0)+1)</f>
        <v>16</v>
      </c>
      <c r="X7095" t="str">
        <v>x</v>
      </c>
      <c r="Y7095">
        <f>D7081</f>
        <v>1</v>
      </c>
      <c r="Z7095" t="str">
        <v>=</v>
      </c>
      <c r="AA7095">
        <f>N7095*U7095*W7095*Y7095</f>
        <v>10.159920000000001</v>
      </c>
    </row>
    <row r="7096">
      <c r="A7096" t="str">
        <f>A7075</f>
        <v>Lantai Atap</v>
      </c>
      <c r="B7096">
        <f>B7075</f>
        <v>28</v>
      </c>
      <c r="C7096" t="str">
        <v>Sengkang Lapangan</v>
      </c>
      <c r="D7096">
        <f>VLOOKUP(D7075,'Detail Balok'!$C$10:$AU$140,36,FALSE)</f>
        <v>0</v>
      </c>
      <c r="E7096" t="str">
        <v>D</v>
      </c>
      <c r="F7096">
        <f>VLOOKUP(D7075,'Detail Balok'!$C$10:$AU$140,38,FALSE)</f>
        <v>10</v>
      </c>
      <c r="G7096" t="str">
        <v>-</v>
      </c>
      <c r="H7096">
        <f>VLOOKUP(D7075,'Detail Balok'!$C$10:$AU$140,40,FALSE)</f>
        <v>200</v>
      </c>
      <c r="J7096">
        <f>(IF(D7096=0,(2*(D7076+G7076))-(F$5*8),IF(D7096=3,(2*(D7076+G7076))-(F$5*8)+(G7076-2*F$5),IF(D7096=4,(2*(D7076+G7076))-(F$5*8)+2*(G7076-2*F$5)))))/1000</f>
        <v>0.88</v>
      </c>
      <c r="K7096" t="str">
        <v>+</v>
      </c>
      <c r="L7096">
        <f>IF(D7096=0,2*MAX(6*F7096,75),(D7096-1)*2*MAX(6*F7096,75))/1000</f>
        <v>0.15</v>
      </c>
      <c r="M7096" t="str">
        <v>=</v>
      </c>
      <c r="N7096">
        <f>J7096+L7096</f>
        <v>1.03</v>
      </c>
      <c r="T7096" t="str">
        <v>x</v>
      </c>
      <c r="U7096">
        <f>0.006165*F7096^2</f>
        <v>0.6165</v>
      </c>
      <c r="V7096" t="str">
        <v>x</v>
      </c>
      <c r="W7096">
        <f>IF(D7078-MAX(D7078/4,2*G7076)*2&gt;0,ROUND((D7078-MAX(D7078/4,2*G7076)*2)/H7096,0),0)</f>
        <v>15</v>
      </c>
      <c r="X7096" t="str">
        <v>x</v>
      </c>
      <c r="Y7096">
        <f>D7081</f>
        <v>1</v>
      </c>
      <c r="Z7096" t="str">
        <v>=</v>
      </c>
      <c r="AA7096">
        <f>N7096*U7096*W7096*Y7096</f>
        <v>9.524925000000001</v>
      </c>
    </row>
    <row r="7097">
      <c r="A7097" t="str">
        <f>A7075</f>
        <v>Lantai Atap</v>
      </c>
      <c r="B7097">
        <f>B7075</f>
        <v>28</v>
      </c>
      <c r="C7097" t="str">
        <v>Sengkang Tumpuan</v>
      </c>
      <c r="D7097">
        <f>VLOOKUP(D7075,'Detail Balok'!$C$10:$AU$140,41,FALSE)</f>
        <v>0</v>
      </c>
      <c r="E7097" t="str">
        <v>D</v>
      </c>
      <c r="F7097">
        <f>VLOOKUP(D7075,'Detail Balok'!$C$10:$AU$140,43,FALSE)</f>
        <v>10</v>
      </c>
      <c r="G7097" t="str">
        <v>-</v>
      </c>
      <c r="H7097">
        <f>VLOOKUP(D7075,'Detail Balok'!$C$10:$AU$140,45,FALSE)</f>
        <v>100</v>
      </c>
      <c r="J7097">
        <f>(IF(D7097=0,(2*(D7076+G7076))-(F$5*8),IF(D7097=3,(2*(D7076+G7076))-(F$5*8)+(G7076-2*F$5),IF(D7097=4,(2*(D7076+G7076))-(F$5*8)+2*(G7076-2*F$5)))))/1000</f>
        <v>0.88</v>
      </c>
      <c r="K7097" t="str">
        <v>+</v>
      </c>
      <c r="L7097">
        <f>IF(D7097=0,2*MAX(6*F7097,75),(D7097-1)*2*MAX(6*F7097,75))/1000</f>
        <v>0.15</v>
      </c>
      <c r="M7097" t="str">
        <v>=</v>
      </c>
      <c r="N7097">
        <f>J7097+L7097</f>
        <v>1.03</v>
      </c>
      <c r="T7097" t="str">
        <v>x</v>
      </c>
      <c r="U7097">
        <f>0.006165*F7097^2</f>
        <v>0.6165</v>
      </c>
      <c r="V7097" t="str">
        <v>x</v>
      </c>
      <c r="W7097">
        <f>IF(D7078&gt;4*G7076,ROUND(MAX(D7078/4,2*G7076)/H7097,0)+1,0)</f>
        <v>16</v>
      </c>
      <c r="X7097" t="str">
        <v>x</v>
      </c>
      <c r="Y7097">
        <f>D7081</f>
        <v>1</v>
      </c>
      <c r="Z7097" t="str">
        <v>=</v>
      </c>
      <c r="AA7097">
        <f>N7097*U7097*W7097*Y7097</f>
        <v>10.159920000000001</v>
      </c>
    </row>
    <row r="7099">
      <c r="A7099" t="str">
        <f>A7075</f>
        <v>Lantai Atap</v>
      </c>
      <c r="B7099">
        <f>B7075</f>
        <v>28</v>
      </c>
      <c r="C7099" t="str">
        <v>Kait Horizontal Tump.</v>
      </c>
      <c r="D7099">
        <f>VLOOKUP(D7075,'Detail Balok'!$C$10:$BJ$140,46,FALSE)</f>
        <v>0</v>
      </c>
      <c r="E7099" t="str">
        <v>D</v>
      </c>
      <c r="F7099">
        <f>VLOOKUP(D7075,'Detail Balok'!$C$10:$BJ$140,48,FALSE)</f>
        <v>0</v>
      </c>
      <c r="G7099" t="str">
        <v>-</v>
      </c>
      <c r="H7099">
        <f>VLOOKUP(D7075,'Detail Balok'!$C$10:$BJ$140,50,FALSE)</f>
        <v>100</v>
      </c>
      <c r="J7099">
        <f>(D7076-2*F$5)/1000</f>
        <v>0.12</v>
      </c>
      <c r="K7099" t="str">
        <v>+</v>
      </c>
      <c r="L7099">
        <f>IF(D7099=0,2*MAX(6*F7099,75),(D7099-1)*2*MAX(6*F7099,75))/1000</f>
        <v>0.15</v>
      </c>
      <c r="M7099" t="str">
        <v>=</v>
      </c>
      <c r="N7099">
        <f>J7099+L7099</f>
        <v>0.27</v>
      </c>
      <c r="T7099" t="str">
        <v>x</v>
      </c>
      <c r="U7099">
        <f>0.006165*F7099^2</f>
        <v>0</v>
      </c>
      <c r="V7099" t="str">
        <v>x</v>
      </c>
      <c r="W7099">
        <f>W7095</f>
        <v>16</v>
      </c>
      <c r="X7099" t="str">
        <v>x</v>
      </c>
      <c r="Y7099">
        <f>D7085</f>
        <v>3</v>
      </c>
      <c r="Z7099" t="str">
        <v>=</v>
      </c>
      <c r="AA7099">
        <f>N7099*U7099*W7099*Y7099</f>
        <v>0</v>
      </c>
    </row>
    <row r="7100">
      <c r="A7100" t="str">
        <f>A7075</f>
        <v>Lantai Atap</v>
      </c>
      <c r="B7100">
        <f>B7075</f>
        <v>28</v>
      </c>
      <c r="C7100" t="str">
        <v>Kait Horizontal Lap.</v>
      </c>
      <c r="D7100">
        <f>VLOOKUP(D7075,'Detail Balok'!$C$10:$BJ$140,51,FALSE)</f>
        <v>0</v>
      </c>
      <c r="E7100" t="str">
        <v>D</v>
      </c>
      <c r="F7100">
        <f>VLOOKUP(D7075,'Detail Balok'!$C$10:$BJ$140,53,FALSE)</f>
        <v>0</v>
      </c>
      <c r="G7100" t="str">
        <v>-</v>
      </c>
      <c r="H7100">
        <f>VLOOKUP(D7075,'Detail Balok'!$C$10:$BJ$140,55,FALSE)</f>
        <v>100</v>
      </c>
      <c r="J7100">
        <f>(D7076-2*F$5)/1000</f>
        <v>0.12</v>
      </c>
      <c r="K7100" t="str">
        <v>+</v>
      </c>
      <c r="L7100">
        <f>IF(D7100=0,2*MAX(6*F7100,75),(D7100-1)*2*MAX(6*F7100,75))/1000</f>
        <v>0.15</v>
      </c>
      <c r="M7100" t="str">
        <v>=</v>
      </c>
      <c r="N7100">
        <f>J7100+L7100</f>
        <v>0.27</v>
      </c>
      <c r="T7100" t="str">
        <v>x</v>
      </c>
      <c r="U7100">
        <f>0.006165*F7100^2</f>
        <v>0</v>
      </c>
      <c r="V7100" t="str">
        <v>x</v>
      </c>
      <c r="W7100">
        <f>W7096</f>
        <v>15</v>
      </c>
      <c r="X7100" t="str">
        <v>x</v>
      </c>
      <c r="Y7100">
        <f>D7085</f>
        <v>3</v>
      </c>
      <c r="Z7100" t="str">
        <v>=</v>
      </c>
      <c r="AA7100">
        <f>N7100*U7100*W7100*Y7100</f>
        <v>0</v>
      </c>
    </row>
    <row r="7101">
      <c r="A7101" t="str">
        <f>A7075</f>
        <v>Lantai Atap</v>
      </c>
      <c r="B7101">
        <f>B7075</f>
        <v>28</v>
      </c>
      <c r="C7101" t="str">
        <v>Kait Horizontal Tump.</v>
      </c>
      <c r="D7101">
        <f>VLOOKUP(D7075,'Detail Balok'!$C$10:$BJ$140,56,FALSE)</f>
        <v>0</v>
      </c>
      <c r="E7101" t="str">
        <v>D</v>
      </c>
      <c r="F7101">
        <f>VLOOKUP(D7075,'Detail Balok'!$C$10:$BJ$140,58,FALSE)</f>
        <v>0</v>
      </c>
      <c r="G7101" t="str">
        <v>-</v>
      </c>
      <c r="H7101">
        <f>VLOOKUP(D7075,'Detail Balok'!$C$10:$BJ$140,60,FALSE)</f>
        <v>100</v>
      </c>
      <c r="J7101">
        <f>(D7076-2*F$5)/1000</f>
        <v>0.12</v>
      </c>
      <c r="K7101" t="str">
        <v>+</v>
      </c>
      <c r="L7101">
        <f>IF(D7101=0,2*MAX(6*F7101,75),(D7101-1)*2*MAX(6*F7101,75))/1000</f>
        <v>0.15</v>
      </c>
      <c r="M7101" t="str">
        <v>=</v>
      </c>
      <c r="N7101">
        <f>J7101+L7101</f>
        <v>0.27</v>
      </c>
      <c r="T7101" t="str">
        <v>x</v>
      </c>
      <c r="U7101">
        <f>0.006165*F7101^2</f>
        <v>0</v>
      </c>
      <c r="V7101" t="str">
        <v>x</v>
      </c>
      <c r="W7101">
        <f>W7097</f>
        <v>16</v>
      </c>
      <c r="X7101" t="str">
        <v>x</v>
      </c>
      <c r="Y7101">
        <f>D7085</f>
        <v>3</v>
      </c>
      <c r="Z7101" t="str">
        <v>=</v>
      </c>
      <c r="AA7101">
        <f>N7101*U7101*W7101*Y7101</f>
        <v>0</v>
      </c>
    </row>
    <row r="7105">
      <c r="A7105" t="str">
        <f>A7075</f>
        <v>Lantai Atap</v>
      </c>
      <c r="B7105">
        <f>B7075+1</f>
        <v>29</v>
      </c>
      <c r="C7105" t="str">
        <f>CONCATENATE(A7105," no. ",B7105)</f>
        <v>Lantai Atap no. 29</v>
      </c>
      <c r="D7105" t="str">
        <f>VLOOKUP(C7105,'Data Panjang Balok'!$C$9:$N$254,2,FALSE)</f>
        <v>B24-1</v>
      </c>
    </row>
    <row r="7106">
      <c r="C7106" t="str">
        <v>Dimensi</v>
      </c>
      <c r="D7106">
        <f>VLOOKUP(D7105,'Detail Balok'!$C$10:$AU$140,2,FALSE)</f>
        <v>200</v>
      </c>
      <c r="F7106" t="str">
        <v>x</v>
      </c>
      <c r="G7106">
        <f>VLOOKUP(D7105,'Detail Balok'!$C$10:$AU$140,3,FALSE)</f>
        <v>400</v>
      </c>
    </row>
    <row r="7107">
      <c r="C7107" t="str">
        <v>Panjang as ke as</v>
      </c>
      <c r="D7107">
        <f>VLOOKUP(C7105,'Data Panjang Balok'!$C$9:$N$254,4,FALSE)</f>
        <v>4635</v>
      </c>
    </row>
    <row r="7108">
      <c r="C7108" t="str">
        <v>Panjang netto</v>
      </c>
      <c r="D7108">
        <f>VLOOKUP(C7105,'Data Panjang Balok'!$C$9:$N$254,7,FALSE)</f>
        <v>4635</v>
      </c>
    </row>
    <row r="7109">
      <c r="C7109" t="str">
        <v>Kolom / balok kiri</v>
      </c>
      <c r="D7109">
        <f>VLOOKUP(C7105,'Data Panjang Balok'!$C$9:$N$254,9,FALSE)</f>
        <v>0</v>
      </c>
    </row>
    <row r="7110">
      <c r="C7110" t="str">
        <v>Kolom / balok kanan</v>
      </c>
      <c r="D7110">
        <f>VLOOKUP(C7105,'Data Panjang Balok'!$C$9:$N$254,10,FALSE)</f>
        <v>0</v>
      </c>
    </row>
    <row r="7111">
      <c r="C7111" t="str">
        <v>Jumlah</v>
      </c>
      <c r="D7111">
        <f>VLOOKUP(C7105,'Data Panjang Balok'!$C$9:$N$254,3,FALSE)</f>
        <v>1</v>
      </c>
    </row>
    <row r="7112">
      <c r="A7112" t="str">
        <f>A7105</f>
        <v>Lantai Atap</v>
      </c>
      <c r="B7112">
        <f>B7105</f>
        <v>29</v>
      </c>
      <c r="C7112" t="str">
        <v>Tul Atas Tumpuan</v>
      </c>
      <c r="D7112">
        <f>VLOOKUP(D7105,'Detail Balok'!$C$10:$AU$140,4,FALSE)</f>
        <v>3</v>
      </c>
      <c r="E7112" t="str">
        <v>D</v>
      </c>
      <c r="F7112">
        <f>VLOOKUP(D7105,'Detail Balok'!$C$10:$AU$140,6,FALSE)</f>
        <v>13</v>
      </c>
      <c r="I7112" t="str">
        <v>(</v>
      </c>
      <c r="J7112">
        <f>+D7107/4/1000</f>
        <v>1.15875</v>
      </c>
      <c r="K7112" t="str">
        <v>+</v>
      </c>
      <c r="L7112">
        <f>MAX(VLOOKUP(F7112,N$6:P$15,3,FALSE)/1000,2/3*D7109/1000)+F$16*F7112/1000</f>
        <v>0.156</v>
      </c>
      <c r="M7112" t="str">
        <v>=</v>
      </c>
      <c r="N7112">
        <f>J7112+L7112</f>
        <v>1.3147499999999999</v>
      </c>
      <c r="O7112" t="str">
        <v>+</v>
      </c>
      <c r="P7112">
        <f>D7112-D7113</f>
        <v>0</v>
      </c>
      <c r="Q7112" t="str">
        <v>x</v>
      </c>
      <c r="R7112">
        <f>IF(P7112&gt;0,$F$18*F7112/1000,0)</f>
        <v>0</v>
      </c>
      <c r="S7112" t="str">
        <v>)</v>
      </c>
      <c r="T7112" t="str">
        <v>x</v>
      </c>
      <c r="U7112">
        <f>0.006165*F7112^2</f>
        <v>1.041885</v>
      </c>
      <c r="X7112" t="str">
        <v>x</v>
      </c>
      <c r="Y7112">
        <f>D7111</f>
        <v>1</v>
      </c>
      <c r="Z7112" t="str">
        <v>=</v>
      </c>
      <c r="AA7112">
        <f>IF(AA7115=0,(D7112*N7112+P7112*R7112)*U7112*Y7112,0)</f>
        <v>0</v>
      </c>
    </row>
    <row r="7113">
      <c r="A7113" t="str">
        <f>A7105</f>
        <v>Lantai Atap</v>
      </c>
      <c r="B7113">
        <f>B7105</f>
        <v>29</v>
      </c>
      <c r="C7113" t="str">
        <v>Tul Atas Lapangan</v>
      </c>
      <c r="D7113">
        <f>VLOOKUP(D7105,'Detail Balok'!$C$10:$AU$140,7,FALSE)</f>
        <v>3</v>
      </c>
      <c r="E7113" t="str">
        <v>D</v>
      </c>
      <c r="F7113">
        <f>VLOOKUP(D7105,'Detail Balok'!$C$10:$AU$140,9,FALSE)</f>
        <v>13</v>
      </c>
      <c r="I7113" t="str">
        <v>(</v>
      </c>
      <c r="J7113">
        <f>+D7107/2/1000</f>
        <v>2.3175</v>
      </c>
      <c r="K7113" t="str">
        <v>+</v>
      </c>
      <c r="M7113" t="str">
        <v>=</v>
      </c>
      <c r="N7113">
        <f>J7113+L7113</f>
        <v>2.3175</v>
      </c>
      <c r="O7113" t="str">
        <v>+</v>
      </c>
      <c r="P7113">
        <f>MAX(D7113-D7112,D7113-D7114)</f>
        <v>0</v>
      </c>
      <c r="Q7113" t="str">
        <v>x</v>
      </c>
      <c r="R7113">
        <f>IF(P7113&gt;0,2*(1-2*$F$19-1/2)*D7108/1000,0)</f>
        <v>0</v>
      </c>
      <c r="S7113" t="str">
        <v>)</v>
      </c>
      <c r="T7113" t="str">
        <v>x</v>
      </c>
      <c r="U7113">
        <f>0.006165*F7113^2</f>
        <v>1.041885</v>
      </c>
      <c r="X7113" t="str">
        <v>x</v>
      </c>
      <c r="Y7113">
        <f>D7111</f>
        <v>1</v>
      </c>
      <c r="Z7113" t="str">
        <v>=</v>
      </c>
      <c r="AA7113">
        <f>IF(AA7115=0,(D7113*N7113+P7113*R7113)*U7113*Y7113,0)</f>
        <v>0</v>
      </c>
    </row>
    <row r="7114">
      <c r="A7114" t="str">
        <f>A7105</f>
        <v>Lantai Atap</v>
      </c>
      <c r="B7114">
        <f>B7105</f>
        <v>29</v>
      </c>
      <c r="C7114" t="str">
        <v>Tul Atas Tumpuan</v>
      </c>
      <c r="D7114">
        <f>VLOOKUP(D7105,'Detail Balok'!$C$10:$AU$140,10,FALSE)</f>
        <v>3</v>
      </c>
      <c r="E7114" t="str">
        <v>D</v>
      </c>
      <c r="F7114">
        <f>VLOOKUP(D7105,'Detail Balok'!$C$10:$AU$140,12,FALSE)</f>
        <v>13</v>
      </c>
      <c r="I7114" t="str">
        <v>(</v>
      </c>
      <c r="J7114">
        <f>+D7107/4/1000</f>
        <v>1.15875</v>
      </c>
      <c r="K7114" t="str">
        <v>+</v>
      </c>
      <c r="L7114">
        <f>MAX(VLOOKUP(F7114,N$6:P$15,3,FALSE)/1000,2/3*D7109/1000)+F$16*F7114/1000</f>
        <v>0.156</v>
      </c>
      <c r="M7114" t="str">
        <v>=</v>
      </c>
      <c r="N7114">
        <f>J7114+L7114</f>
        <v>1.3147499999999999</v>
      </c>
      <c r="O7114" t="str">
        <v>+</v>
      </c>
      <c r="P7114">
        <f>D7114-D7113</f>
        <v>0</v>
      </c>
      <c r="Q7114" t="str">
        <v>x</v>
      </c>
      <c r="R7114">
        <f>IF(P7114&gt;0,$F$18*F7114/1000,0)</f>
        <v>0</v>
      </c>
      <c r="S7114" t="str">
        <v>)</v>
      </c>
      <c r="T7114" t="str">
        <v>x</v>
      </c>
      <c r="U7114">
        <f>0.006165*F7114^2</f>
        <v>1.041885</v>
      </c>
      <c r="X7114" t="str">
        <v>x</v>
      </c>
      <c r="Y7114">
        <f>D7111</f>
        <v>1</v>
      </c>
      <c r="Z7114" t="str">
        <v>=</v>
      </c>
      <c r="AA7114">
        <f>IF(AA7115=0,(D7114*N7114+P7114*R7114)*U7114*Y7114,0)</f>
        <v>0</v>
      </c>
    </row>
    <row r="7115">
      <c r="A7115" t="str">
        <f>A7105</f>
        <v>Lantai Atap</v>
      </c>
      <c r="B7115">
        <f>B7105</f>
        <v>29</v>
      </c>
      <c r="D7115">
        <f>IF(AND(D7112=D7113,D7113=D7114,D7112=D7114),D7112,0)</f>
        <v>3</v>
      </c>
      <c r="E7115" t="str">
        <v>D</v>
      </c>
      <c r="F7115">
        <f>IF(AND(F7112=F7113,F7112=F7114,F7113=F7114),F7112,0)</f>
        <v>13</v>
      </c>
      <c r="L7115" t="str">
        <v>Total panjang per balok</v>
      </c>
      <c r="M7115" t="str">
        <v>=</v>
      </c>
      <c r="N7115">
        <f>IF(AND(D7112=D7113,D7112=D7114,D7113=D7114,F7112=F7113,F7112=F7114,F7113=F7114),SUM(N7112:N7114),0)</f>
        <v>4.947</v>
      </c>
      <c r="O7115" t="str">
        <v>+</v>
      </c>
      <c r="P7115">
        <f>IF(N7115&gt;12,ROUNDDOWN(N7115/12,0),0)</f>
        <v>0</v>
      </c>
      <c r="Q7115" t="str">
        <v>x</v>
      </c>
      <c r="R7115">
        <f>IF(P7115&gt;0,MAX(VLOOKUP(F7115,$D$6:$G$15,3,FALSE),600),0)/1000</f>
        <v>0</v>
      </c>
      <c r="T7115" t="str">
        <v>x</v>
      </c>
      <c r="U7115">
        <f>U7114</f>
        <v>1.041885</v>
      </c>
      <c r="V7115" t="str">
        <v>x</v>
      </c>
      <c r="W7115">
        <f>D7115</f>
        <v>3</v>
      </c>
      <c r="X7115" t="str">
        <v>x</v>
      </c>
      <c r="Y7115">
        <f>Y7114</f>
        <v>1</v>
      </c>
      <c r="Z7115" t="str">
        <v>=</v>
      </c>
      <c r="AA7115">
        <f>(N7115+P7115*R7115/1000)*U7115*W7115*Y7115</f>
        <v>15.462615285</v>
      </c>
    </row>
    <row r="7117">
      <c r="A7117" t="str">
        <f>A7105</f>
        <v>Lantai Atap</v>
      </c>
      <c r="B7117">
        <f>B7105</f>
        <v>29</v>
      </c>
      <c r="C7117" t="str">
        <v>Tul Peminggang</v>
      </c>
      <c r="D7117">
        <f>VLOOKUP(D7105,'Detail Balok'!$C$10:$AU$140,13,FALSE)</f>
        <v>0</v>
      </c>
      <c r="E7117" t="str">
        <v>D</v>
      </c>
      <c r="F7117">
        <f>VLOOKUP(D7105,'Detail Balok'!$C$10:$AU$140,15,FALSE)</f>
        <v>8</v>
      </c>
      <c r="J7117">
        <f>+D7107/1000</f>
        <v>4.635</v>
      </c>
      <c r="K7117" t="str">
        <v>+</v>
      </c>
      <c r="L7117">
        <f>2*$F$16*F7117/1000</f>
        <v>0.192</v>
      </c>
      <c r="M7117" t="str">
        <v>=</v>
      </c>
      <c r="N7117">
        <f>J7117+L7117</f>
        <v>4.827</v>
      </c>
      <c r="O7117" t="str">
        <v>+</v>
      </c>
      <c r="P7117">
        <f>IF(N7117&gt;12,ROUNDDOWN(N7117/12,0),0)</f>
        <v>0</v>
      </c>
      <c r="Q7117" t="str">
        <v>x</v>
      </c>
      <c r="R7117">
        <f>IF(P7117&gt;0,MAX(VLOOKUP(F7117,$D$6:$G$15,3,FALSE),600),0)/1000</f>
        <v>0</v>
      </c>
      <c r="T7117" t="str">
        <v>x</v>
      </c>
      <c r="U7117">
        <f>0.006165*F7117^2</f>
        <v>0.39456</v>
      </c>
      <c r="V7117" t="str">
        <v>x</v>
      </c>
      <c r="W7117">
        <f>+D7117</f>
        <v>0</v>
      </c>
      <c r="X7117" t="str">
        <v>x</v>
      </c>
      <c r="Y7117">
        <f>D7111</f>
        <v>1</v>
      </c>
      <c r="Z7117" t="str">
        <v>=</v>
      </c>
      <c r="AA7117">
        <f>(N7117+P7117*R7117/1000)*U7117*W7117*Y7117</f>
        <v>0</v>
      </c>
    </row>
    <row r="7120">
      <c r="A7120" t="str">
        <f>A7105</f>
        <v>Lantai Atap</v>
      </c>
      <c r="B7120">
        <f>B7105</f>
        <v>29</v>
      </c>
      <c r="C7120" t="str">
        <v>Tul Bawah Tumpuan</v>
      </c>
      <c r="D7120">
        <f>VLOOKUP(D7105,'Detail Balok'!$C$10:$AU$140,22,FALSE)</f>
        <v>3</v>
      </c>
      <c r="E7120" t="str">
        <v>D</v>
      </c>
      <c r="F7120">
        <f>VLOOKUP(D7105,'Detail Balok'!$C$10:$AU$140,24,FALSE)</f>
        <v>13</v>
      </c>
      <c r="I7120" t="str">
        <v>(</v>
      </c>
      <c r="J7120">
        <f>+J7112</f>
        <v>1.15875</v>
      </c>
      <c r="K7120" t="str">
        <v>+</v>
      </c>
      <c r="L7120">
        <f>MAX(VLOOKUP(F7120,N$6:P$15,3,FALSE)/1000,2/3*D7110/1000)+F$16*F7120/1000</f>
        <v>0.156</v>
      </c>
      <c r="M7120" t="str">
        <v>=</v>
      </c>
      <c r="N7120">
        <f>J7120+L7120</f>
        <v>1.3147499999999999</v>
      </c>
      <c r="O7120" t="str">
        <v>+</v>
      </c>
      <c r="P7120">
        <f>D7120-D7121</f>
        <v>0</v>
      </c>
      <c r="Q7120" t="str">
        <v>x</v>
      </c>
      <c r="R7120">
        <f>IF(P7120&gt;0,$F$18*F7120/1000,0)</f>
        <v>0</v>
      </c>
      <c r="S7120" t="str">
        <v>)</v>
      </c>
      <c r="T7120" t="str">
        <v>x</v>
      </c>
      <c r="U7120">
        <f>0.006165*F7120^2</f>
        <v>1.041885</v>
      </c>
      <c r="X7120" t="str">
        <v>x</v>
      </c>
      <c r="Y7120">
        <f>D7111</f>
        <v>1</v>
      </c>
      <c r="Z7120" t="str">
        <v>=</v>
      </c>
      <c r="AA7120">
        <f>IF(AA7123=0,(D7120*N7120+P7120*R7120)*U7120*Y7120,0)</f>
        <v>0</v>
      </c>
    </row>
    <row r="7121">
      <c r="A7121" t="str">
        <f>A7105</f>
        <v>Lantai Atap</v>
      </c>
      <c r="B7121">
        <f>B7105</f>
        <v>29</v>
      </c>
      <c r="C7121" t="str">
        <v>Tul Bawah Lapangan</v>
      </c>
      <c r="D7121">
        <f>VLOOKUP(D7105,'Detail Balok'!$C$10:$AU$140,25,FALSE)</f>
        <v>3</v>
      </c>
      <c r="E7121" t="str">
        <v>D</v>
      </c>
      <c r="F7121">
        <f>VLOOKUP(D7105,'Detail Balok'!$C$10:$AU$140,27,FALSE)</f>
        <v>13</v>
      </c>
      <c r="I7121" t="str">
        <v>(</v>
      </c>
      <c r="J7121">
        <f>+J7113</f>
        <v>2.3175</v>
      </c>
      <c r="K7121" t="str">
        <v>+</v>
      </c>
      <c r="M7121" t="str">
        <v>=</v>
      </c>
      <c r="N7121">
        <f>J7121+L7121</f>
        <v>2.3175</v>
      </c>
      <c r="O7121" t="str">
        <v>+</v>
      </c>
      <c r="P7121">
        <f>MAX(D7121-D7120,D7121-D7122)</f>
        <v>0</v>
      </c>
      <c r="Q7121" t="str">
        <v>x</v>
      </c>
      <c r="R7121">
        <f>IF(P7121&gt;0,2*(1-2*$F$19-1/2)*D7108/1000,0)</f>
        <v>0</v>
      </c>
      <c r="S7121" t="str">
        <v>)</v>
      </c>
      <c r="T7121" t="str">
        <v>x</v>
      </c>
      <c r="U7121">
        <f>0.006165*F7121^2</f>
        <v>1.041885</v>
      </c>
      <c r="X7121" t="str">
        <v>x</v>
      </c>
      <c r="Y7121">
        <f>D7111</f>
        <v>1</v>
      </c>
      <c r="Z7121" t="str">
        <v>=</v>
      </c>
      <c r="AA7121">
        <f>IF(AA7123=0,(D7121*N7121+P7121*R7121)*U7121*Y7121,0)</f>
        <v>0</v>
      </c>
    </row>
    <row r="7122">
      <c r="A7122" t="str">
        <f>A7105</f>
        <v>Lantai Atap</v>
      </c>
      <c r="B7122">
        <f>B7105</f>
        <v>29</v>
      </c>
      <c r="C7122" t="str">
        <v>Tul Bawah Tumpuan</v>
      </c>
      <c r="D7122">
        <f>VLOOKUP(D7105,'Detail Balok'!$C$10:$AU$140,28,FALSE)</f>
        <v>3</v>
      </c>
      <c r="E7122" t="str">
        <v>D</v>
      </c>
      <c r="F7122">
        <f>VLOOKUP(D7105,'Detail Balok'!$C$10:$AU$140,30,FALSE)</f>
        <v>13</v>
      </c>
      <c r="I7122" t="str">
        <v>(</v>
      </c>
      <c r="J7122">
        <f>+J7114</f>
        <v>1.15875</v>
      </c>
      <c r="K7122" t="str">
        <v>+</v>
      </c>
      <c r="L7122">
        <f>MAX(VLOOKUP(F7122,N$6:P$15,3,FALSE)/1000,2/3*D7110/1000)+F$16*F7122/1000</f>
        <v>0.156</v>
      </c>
      <c r="M7122" t="str">
        <v>=</v>
      </c>
      <c r="N7122">
        <f>J7122+L7122</f>
        <v>1.3147499999999999</v>
      </c>
      <c r="O7122" t="str">
        <v>+</v>
      </c>
      <c r="P7122">
        <f>D7122-D7121</f>
        <v>0</v>
      </c>
      <c r="Q7122" t="str">
        <v>x</v>
      </c>
      <c r="R7122">
        <f>IF(P7122&gt;0,$F$18*F7122/1000,0)</f>
        <v>0</v>
      </c>
      <c r="S7122" t="str">
        <v>)</v>
      </c>
      <c r="T7122" t="str">
        <v>x</v>
      </c>
      <c r="U7122">
        <f>0.006165*F7122^2</f>
        <v>1.041885</v>
      </c>
      <c r="X7122" t="str">
        <v>x</v>
      </c>
      <c r="Y7122">
        <f>D7111</f>
        <v>1</v>
      </c>
      <c r="Z7122" t="str">
        <v>=</v>
      </c>
      <c r="AA7122">
        <f>IF(AA7123=0,(D7122*N7122+P7122*R7122)*U7122*Y7122,0)</f>
        <v>0</v>
      </c>
    </row>
    <row r="7123">
      <c r="A7123" t="str">
        <f>A7105</f>
        <v>Lantai Atap</v>
      </c>
      <c r="B7123">
        <f>B7105</f>
        <v>29</v>
      </c>
      <c r="D7123">
        <f>IF(AND(D7120=D7121,D7121=D7122,D7120=D7122),D7120,0)</f>
        <v>3</v>
      </c>
      <c r="E7123" t="str">
        <v>D</v>
      </c>
      <c r="F7123">
        <f>IF(AND(F7120=F7121,F7120=F7122,F7121=F7122),F7120,0)</f>
        <v>13</v>
      </c>
      <c r="L7123" t="str">
        <v>Total panjang per balok</v>
      </c>
      <c r="M7123" t="str">
        <v>=</v>
      </c>
      <c r="N7123">
        <f>IF(AND(D7120=D7121,D7120=D7122,D7121=D7122,F7120=F7121,F7120=F7122,F7121=F7122),SUM(N7120:N7122),0)</f>
        <v>4.947</v>
      </c>
      <c r="O7123" t="str">
        <v>+</v>
      </c>
      <c r="P7123">
        <f>IF(N7123&gt;12,ROUNDDOWN(N7123/12,0),0)</f>
        <v>0</v>
      </c>
      <c r="Q7123" t="str">
        <v>x</v>
      </c>
      <c r="R7123">
        <f>IF(P7123&gt;0,MAX(VLOOKUP(F7123,$D$6:$G$15,3,FALSE),600),0)/1000</f>
        <v>0</v>
      </c>
      <c r="T7123" t="str">
        <v>x</v>
      </c>
      <c r="U7123">
        <f>U7122</f>
        <v>1.041885</v>
      </c>
      <c r="V7123" t="str">
        <v>x</v>
      </c>
      <c r="W7123">
        <f>D7123</f>
        <v>3</v>
      </c>
      <c r="X7123" t="str">
        <v>x</v>
      </c>
      <c r="Y7123">
        <f>Y7122</f>
        <v>1</v>
      </c>
      <c r="Z7123" t="str">
        <v>=</v>
      </c>
      <c r="AA7123">
        <f>(N7123+P7123*R7123/1000)*U7123*W7123*Y7123</f>
        <v>15.462615285</v>
      </c>
    </row>
    <row r="7125">
      <c r="A7125" t="str">
        <f>A7105</f>
        <v>Lantai Atap</v>
      </c>
      <c r="B7125">
        <f>B7105</f>
        <v>29</v>
      </c>
      <c r="C7125" t="str">
        <v>Sengkang Tumpuan</v>
      </c>
      <c r="D7125">
        <f>VLOOKUP(D7105,'Detail Balok'!$C$10:$AU$140,31,FALSE)</f>
        <v>0</v>
      </c>
      <c r="E7125" t="str">
        <v>D</v>
      </c>
      <c r="F7125">
        <f>VLOOKUP(D7105,'Detail Balok'!$C$10:$AU$140,33,FALSE)</f>
        <v>10</v>
      </c>
      <c r="G7125" t="str">
        <v>-</v>
      </c>
      <c r="H7125">
        <f>VLOOKUP(D7105,'Detail Balok'!$C$10:$AU$140,35,FALSE)</f>
        <v>100</v>
      </c>
      <c r="J7125">
        <f>(IF(D7125=0,(2*(D7106+G7106))-(F$5*8),IF(D7125=3,(2*(D7106+G7106))-(F$5*8)+(G7106-2*F$5),IF(D7125=4,(2*(D7106+G7106))-(F$5*8)+2*(G7106-2*F$5)))))/1000</f>
        <v>0.88</v>
      </c>
      <c r="K7125" t="str">
        <v>+</v>
      </c>
      <c r="L7125">
        <f>IF(D7125=0,2*MAX(6*F7125,75),(D7125-1)*2*MAX(6*F7125,75))/1000</f>
        <v>0.15</v>
      </c>
      <c r="M7125" t="str">
        <v>=</v>
      </c>
      <c r="N7125">
        <f>J7125+L7125</f>
        <v>1.03</v>
      </c>
      <c r="T7125" t="str">
        <v>x</v>
      </c>
      <c r="U7125">
        <f>0.006165*F7125^2</f>
        <v>0.6165</v>
      </c>
      <c r="V7125" t="str">
        <v>x</v>
      </c>
      <c r="W7125">
        <f>IF(D7108&gt;4*G7106,ROUND(MAX(D7108/4,2*G7106)/H7125,0)+1,ROUND(D7108/H7125,0)+1)</f>
        <v>13</v>
      </c>
      <c r="X7125" t="str">
        <v>x</v>
      </c>
      <c r="Y7125">
        <f>D7111</f>
        <v>1</v>
      </c>
      <c r="Z7125" t="str">
        <v>=</v>
      </c>
      <c r="AA7125">
        <f>N7125*U7125*W7125*Y7125</f>
        <v>8.254935000000001</v>
      </c>
    </row>
    <row r="7126">
      <c r="A7126" t="str">
        <f>A7105</f>
        <v>Lantai Atap</v>
      </c>
      <c r="B7126">
        <f>B7105</f>
        <v>29</v>
      </c>
      <c r="C7126" t="str">
        <v>Sengkang Lapangan</v>
      </c>
      <c r="D7126">
        <f>VLOOKUP(D7105,'Detail Balok'!$C$10:$AU$140,36,FALSE)</f>
        <v>0</v>
      </c>
      <c r="E7126" t="str">
        <v>D</v>
      </c>
      <c r="F7126">
        <f>VLOOKUP(D7105,'Detail Balok'!$C$10:$AU$140,38,FALSE)</f>
        <v>10</v>
      </c>
      <c r="G7126" t="str">
        <v>-</v>
      </c>
      <c r="H7126">
        <f>VLOOKUP(D7105,'Detail Balok'!$C$10:$AU$140,40,FALSE)</f>
        <v>200</v>
      </c>
      <c r="J7126">
        <f>(IF(D7126=0,(2*(D7106+G7106))-(F$5*8),IF(D7126=3,(2*(D7106+G7106))-(F$5*8)+(G7106-2*F$5),IF(D7126=4,(2*(D7106+G7106))-(F$5*8)+2*(G7106-2*F$5)))))/1000</f>
        <v>0.88</v>
      </c>
      <c r="K7126" t="str">
        <v>+</v>
      </c>
      <c r="L7126">
        <f>IF(D7126=0,2*MAX(6*F7126,75),(D7126-1)*2*MAX(6*F7126,75))/1000</f>
        <v>0.15</v>
      </c>
      <c r="M7126" t="str">
        <v>=</v>
      </c>
      <c r="N7126">
        <f>J7126+L7126</f>
        <v>1.03</v>
      </c>
      <c r="T7126" t="str">
        <v>x</v>
      </c>
      <c r="U7126">
        <f>0.006165*F7126^2</f>
        <v>0.6165</v>
      </c>
      <c r="V7126" t="str">
        <v>x</v>
      </c>
      <c r="W7126">
        <f>IF(D7108-MAX(D7108/4,2*G7106)*2&gt;0,ROUND((D7108-MAX(D7108/4,2*G7106)*2)/H7126,0),0)</f>
        <v>12</v>
      </c>
      <c r="X7126" t="str">
        <v>x</v>
      </c>
      <c r="Y7126">
        <f>D7111</f>
        <v>1</v>
      </c>
      <c r="Z7126" t="str">
        <v>=</v>
      </c>
      <c r="AA7126">
        <f>N7126*U7126*W7126*Y7126</f>
        <v>7.6199400000000015</v>
      </c>
    </row>
    <row r="7127">
      <c r="A7127" t="str">
        <f>A7105</f>
        <v>Lantai Atap</v>
      </c>
      <c r="B7127">
        <f>B7105</f>
        <v>29</v>
      </c>
      <c r="C7127" t="str">
        <v>Sengkang Tumpuan</v>
      </c>
      <c r="D7127">
        <f>VLOOKUP(D7105,'Detail Balok'!$C$10:$AU$140,41,FALSE)</f>
        <v>0</v>
      </c>
      <c r="E7127" t="str">
        <v>D</v>
      </c>
      <c r="F7127">
        <f>VLOOKUP(D7105,'Detail Balok'!$C$10:$AU$140,43,FALSE)</f>
        <v>10</v>
      </c>
      <c r="G7127" t="str">
        <v>-</v>
      </c>
      <c r="H7127">
        <f>VLOOKUP(D7105,'Detail Balok'!$C$10:$AU$140,45,FALSE)</f>
        <v>100</v>
      </c>
      <c r="J7127">
        <f>(IF(D7127=0,(2*(D7106+G7106))-(F$5*8),IF(D7127=3,(2*(D7106+G7106))-(F$5*8)+(G7106-2*F$5),IF(D7127=4,(2*(D7106+G7106))-(F$5*8)+2*(G7106-2*F$5)))))/1000</f>
        <v>0.88</v>
      </c>
      <c r="K7127" t="str">
        <v>+</v>
      </c>
      <c r="L7127">
        <f>IF(D7127=0,2*MAX(6*F7127,75),(D7127-1)*2*MAX(6*F7127,75))/1000</f>
        <v>0.15</v>
      </c>
      <c r="M7127" t="str">
        <v>=</v>
      </c>
      <c r="N7127">
        <f>J7127+L7127</f>
        <v>1.03</v>
      </c>
      <c r="T7127" t="str">
        <v>x</v>
      </c>
      <c r="U7127">
        <f>0.006165*F7127^2</f>
        <v>0.6165</v>
      </c>
      <c r="V7127" t="str">
        <v>x</v>
      </c>
      <c r="W7127">
        <f>IF(D7108&gt;4*G7106,ROUND(MAX(D7108/4,2*G7106)/H7127,0)+1,0)</f>
        <v>13</v>
      </c>
      <c r="X7127" t="str">
        <v>x</v>
      </c>
      <c r="Y7127">
        <f>D7111</f>
        <v>1</v>
      </c>
      <c r="Z7127" t="str">
        <v>=</v>
      </c>
      <c r="AA7127">
        <f>N7127*U7127*W7127*Y7127</f>
        <v>8.254935000000001</v>
      </c>
    </row>
    <row r="7129">
      <c r="A7129" t="str">
        <f>A7105</f>
        <v>Lantai Atap</v>
      </c>
      <c r="B7129">
        <f>B7105</f>
        <v>29</v>
      </c>
      <c r="C7129" t="str">
        <v>Kait Horizontal Tump.</v>
      </c>
      <c r="D7129">
        <f>VLOOKUP(D7105,'Detail Balok'!$C$10:$BJ$140,46,FALSE)</f>
        <v>0</v>
      </c>
      <c r="E7129" t="str">
        <v>D</v>
      </c>
      <c r="F7129">
        <f>VLOOKUP(D7105,'Detail Balok'!$C$10:$BJ$140,48,FALSE)</f>
        <v>0</v>
      </c>
      <c r="G7129" t="str">
        <v>-</v>
      </c>
      <c r="H7129">
        <f>VLOOKUP(D7105,'Detail Balok'!$C$10:$BJ$140,50,FALSE)</f>
        <v>100</v>
      </c>
      <c r="J7129">
        <f>(D7106-2*F$5)/1000</f>
        <v>0.12</v>
      </c>
      <c r="K7129" t="str">
        <v>+</v>
      </c>
      <c r="L7129">
        <f>IF(D7129=0,2*MAX(6*F7129,75),(D7129-1)*2*MAX(6*F7129,75))/1000</f>
        <v>0.15</v>
      </c>
      <c r="M7129" t="str">
        <v>=</v>
      </c>
      <c r="N7129">
        <f>J7129+L7129</f>
        <v>0.27</v>
      </c>
      <c r="T7129" t="str">
        <v>x</v>
      </c>
      <c r="U7129">
        <f>0.006165*F7129^2</f>
        <v>0</v>
      </c>
      <c r="V7129" t="str">
        <v>x</v>
      </c>
      <c r="W7129">
        <f>W7125</f>
        <v>13</v>
      </c>
      <c r="X7129" t="str">
        <v>x</v>
      </c>
      <c r="Y7129">
        <f>D7115</f>
        <v>3</v>
      </c>
      <c r="Z7129" t="str">
        <v>=</v>
      </c>
      <c r="AA7129">
        <f>N7129*U7129*W7129*Y7129</f>
        <v>0</v>
      </c>
    </row>
    <row r="7130">
      <c r="A7130" t="str">
        <f>A7105</f>
        <v>Lantai Atap</v>
      </c>
      <c r="B7130">
        <f>B7105</f>
        <v>29</v>
      </c>
      <c r="C7130" t="str">
        <v>Kait Horizontal Lap.</v>
      </c>
      <c r="D7130">
        <f>VLOOKUP(D7105,'Detail Balok'!$C$10:$BJ$140,51,FALSE)</f>
        <v>0</v>
      </c>
      <c r="E7130" t="str">
        <v>D</v>
      </c>
      <c r="F7130">
        <f>VLOOKUP(D7105,'Detail Balok'!$C$10:$BJ$140,53,FALSE)</f>
        <v>0</v>
      </c>
      <c r="G7130" t="str">
        <v>-</v>
      </c>
      <c r="H7130">
        <f>VLOOKUP(D7105,'Detail Balok'!$C$10:$BJ$140,55,FALSE)</f>
        <v>100</v>
      </c>
      <c r="J7130">
        <f>(D7106-2*F$5)/1000</f>
        <v>0.12</v>
      </c>
      <c r="K7130" t="str">
        <v>+</v>
      </c>
      <c r="L7130">
        <f>IF(D7130=0,2*MAX(6*F7130,75),(D7130-1)*2*MAX(6*F7130,75))/1000</f>
        <v>0.15</v>
      </c>
      <c r="M7130" t="str">
        <v>=</v>
      </c>
      <c r="N7130">
        <f>J7130+L7130</f>
        <v>0.27</v>
      </c>
      <c r="T7130" t="str">
        <v>x</v>
      </c>
      <c r="U7130">
        <f>0.006165*F7130^2</f>
        <v>0</v>
      </c>
      <c r="V7130" t="str">
        <v>x</v>
      </c>
      <c r="W7130">
        <f>W7126</f>
        <v>12</v>
      </c>
      <c r="X7130" t="str">
        <v>x</v>
      </c>
      <c r="Y7130">
        <f>D7115</f>
        <v>3</v>
      </c>
      <c r="Z7130" t="str">
        <v>=</v>
      </c>
      <c r="AA7130">
        <f>N7130*U7130*W7130*Y7130</f>
        <v>0</v>
      </c>
    </row>
    <row r="7131">
      <c r="A7131" t="str">
        <f>A7105</f>
        <v>Lantai Atap</v>
      </c>
      <c r="B7131">
        <f>B7105</f>
        <v>29</v>
      </c>
      <c r="C7131" t="str">
        <v>Kait Horizontal Tump.</v>
      </c>
      <c r="D7131">
        <f>VLOOKUP(D7105,'Detail Balok'!$C$10:$BJ$140,56,FALSE)</f>
        <v>0</v>
      </c>
      <c r="E7131" t="str">
        <v>D</v>
      </c>
      <c r="F7131">
        <f>VLOOKUP(D7105,'Detail Balok'!$C$10:$BJ$140,58,FALSE)</f>
        <v>0</v>
      </c>
      <c r="G7131" t="str">
        <v>-</v>
      </c>
      <c r="H7131">
        <f>VLOOKUP(D7105,'Detail Balok'!$C$10:$BJ$140,60,FALSE)</f>
        <v>100</v>
      </c>
      <c r="J7131">
        <f>(D7106-2*F$5)/1000</f>
        <v>0.12</v>
      </c>
      <c r="K7131" t="str">
        <v>+</v>
      </c>
      <c r="L7131">
        <f>IF(D7131=0,2*MAX(6*F7131,75),(D7131-1)*2*MAX(6*F7131,75))/1000</f>
        <v>0.15</v>
      </c>
      <c r="M7131" t="str">
        <v>=</v>
      </c>
      <c r="N7131">
        <f>J7131+L7131</f>
        <v>0.27</v>
      </c>
      <c r="T7131" t="str">
        <v>x</v>
      </c>
      <c r="U7131">
        <f>0.006165*F7131^2</f>
        <v>0</v>
      </c>
      <c r="V7131" t="str">
        <v>x</v>
      </c>
      <c r="W7131">
        <f>W7127</f>
        <v>13</v>
      </c>
      <c r="X7131" t="str">
        <v>x</v>
      </c>
      <c r="Y7131">
        <f>D7115</f>
        <v>3</v>
      </c>
      <c r="Z7131" t="str">
        <v>=</v>
      </c>
      <c r="AA7131">
        <f>N7131*U7131*W7131*Y7131</f>
        <v>0</v>
      </c>
    </row>
    <row r="7135">
      <c r="A7135" t="str">
        <f>A7105</f>
        <v>Lantai Atap</v>
      </c>
      <c r="B7135">
        <f>B7105+1</f>
        <v>30</v>
      </c>
      <c r="C7135" t="str">
        <f>CONCATENATE(A7135," no. ",B7135)</f>
        <v>Lantai Atap no. 30</v>
      </c>
      <c r="D7135" t="str">
        <f>VLOOKUP(C7135,'Data Panjang Balok'!$C$9:$N$254,2,FALSE)</f>
        <v>B24-1</v>
      </c>
    </row>
    <row r="7136">
      <c r="C7136" t="str">
        <v>Dimensi</v>
      </c>
      <c r="D7136">
        <f>VLOOKUP(D7135,'Detail Balok'!$C$10:$AU$140,2,FALSE)</f>
        <v>200</v>
      </c>
      <c r="F7136" t="str">
        <v>x</v>
      </c>
      <c r="G7136">
        <f>VLOOKUP(D7135,'Detail Balok'!$C$10:$AU$140,3,FALSE)</f>
        <v>400</v>
      </c>
    </row>
    <row r="7137">
      <c r="C7137" t="str">
        <v>Panjang as ke as</v>
      </c>
      <c r="D7137">
        <f>VLOOKUP(C7135,'Data Panjang Balok'!$C$9:$N$254,4,FALSE)</f>
        <v>4635</v>
      </c>
    </row>
    <row r="7138">
      <c r="C7138" t="str">
        <v>Panjang netto</v>
      </c>
      <c r="D7138">
        <f>VLOOKUP(C7135,'Data Panjang Balok'!$C$9:$N$254,7,FALSE)</f>
        <v>4635</v>
      </c>
    </row>
    <row r="7139">
      <c r="C7139" t="str">
        <v>Kolom / balok kiri</v>
      </c>
      <c r="D7139">
        <f>VLOOKUP(C7135,'Data Panjang Balok'!$C$9:$N$254,9,FALSE)</f>
        <v>0</v>
      </c>
    </row>
    <row r="7140">
      <c r="C7140" t="str">
        <v>Kolom / balok kanan</v>
      </c>
      <c r="D7140">
        <f>VLOOKUP(C7135,'Data Panjang Balok'!$C$9:$N$254,10,FALSE)</f>
        <v>0</v>
      </c>
    </row>
    <row r="7141">
      <c r="C7141" t="str">
        <v>Jumlah</v>
      </c>
      <c r="D7141">
        <f>VLOOKUP(C7135,'Data Panjang Balok'!$C$9:$N$254,3,FALSE)</f>
        <v>1</v>
      </c>
    </row>
    <row r="7142">
      <c r="A7142" t="str">
        <f>A7135</f>
        <v>Lantai Atap</v>
      </c>
      <c r="B7142">
        <f>B7135</f>
        <v>30</v>
      </c>
      <c r="C7142" t="str">
        <v>Tul Atas Tumpuan</v>
      </c>
      <c r="D7142">
        <f>VLOOKUP(D7135,'Detail Balok'!$C$10:$AU$140,4,FALSE)</f>
        <v>3</v>
      </c>
      <c r="E7142" t="str">
        <v>D</v>
      </c>
      <c r="F7142">
        <f>VLOOKUP(D7135,'Detail Balok'!$C$10:$AU$140,6,FALSE)</f>
        <v>13</v>
      </c>
      <c r="I7142" t="str">
        <v>(</v>
      </c>
      <c r="J7142">
        <f>+D7137/4/1000</f>
        <v>1.15875</v>
      </c>
      <c r="K7142" t="str">
        <v>+</v>
      </c>
      <c r="L7142">
        <f>MAX(VLOOKUP(F7142,N$6:P$15,3,FALSE)/1000,2/3*D7139/1000)+F$16*F7142/1000</f>
        <v>0.156</v>
      </c>
      <c r="M7142" t="str">
        <v>=</v>
      </c>
      <c r="N7142">
        <f>J7142+L7142</f>
        <v>1.3147499999999999</v>
      </c>
      <c r="O7142" t="str">
        <v>+</v>
      </c>
      <c r="P7142">
        <f>D7142-D7143</f>
        <v>0</v>
      </c>
      <c r="Q7142" t="str">
        <v>x</v>
      </c>
      <c r="R7142">
        <f>IF(P7142&gt;0,$F$18*F7142/1000,0)</f>
        <v>0</v>
      </c>
      <c r="S7142" t="str">
        <v>)</v>
      </c>
      <c r="T7142" t="str">
        <v>x</v>
      </c>
      <c r="U7142">
        <f>0.006165*F7142^2</f>
        <v>1.041885</v>
      </c>
      <c r="X7142" t="str">
        <v>x</v>
      </c>
      <c r="Y7142">
        <f>D7141</f>
        <v>1</v>
      </c>
      <c r="Z7142" t="str">
        <v>=</v>
      </c>
      <c r="AA7142">
        <f>IF(AA7145=0,(D7142*N7142+P7142*R7142)*U7142*Y7142,0)</f>
        <v>0</v>
      </c>
    </row>
    <row r="7143">
      <c r="A7143" t="str">
        <f>A7135</f>
        <v>Lantai Atap</v>
      </c>
      <c r="B7143">
        <f>B7135</f>
        <v>30</v>
      </c>
      <c r="C7143" t="str">
        <v>Tul Atas Lapangan</v>
      </c>
      <c r="D7143">
        <f>VLOOKUP(D7135,'Detail Balok'!$C$10:$AU$140,7,FALSE)</f>
        <v>3</v>
      </c>
      <c r="E7143" t="str">
        <v>D</v>
      </c>
      <c r="F7143">
        <f>VLOOKUP(D7135,'Detail Balok'!$C$10:$AU$140,9,FALSE)</f>
        <v>13</v>
      </c>
      <c r="I7143" t="str">
        <v>(</v>
      </c>
      <c r="J7143">
        <f>+D7137/2/1000</f>
        <v>2.3175</v>
      </c>
      <c r="K7143" t="str">
        <v>+</v>
      </c>
      <c r="M7143" t="str">
        <v>=</v>
      </c>
      <c r="N7143">
        <f>J7143+L7143</f>
        <v>2.3175</v>
      </c>
      <c r="O7143" t="str">
        <v>+</v>
      </c>
      <c r="P7143">
        <f>MAX(D7143-D7142,D7143-D7144)</f>
        <v>0</v>
      </c>
      <c r="Q7143" t="str">
        <v>x</v>
      </c>
      <c r="R7143">
        <f>IF(P7143&gt;0,2*(1-2*$F$19-1/2)*D7138/1000,0)</f>
        <v>0</v>
      </c>
      <c r="S7143" t="str">
        <v>)</v>
      </c>
      <c r="T7143" t="str">
        <v>x</v>
      </c>
      <c r="U7143">
        <f>0.006165*F7143^2</f>
        <v>1.041885</v>
      </c>
      <c r="X7143" t="str">
        <v>x</v>
      </c>
      <c r="Y7143">
        <f>D7141</f>
        <v>1</v>
      </c>
      <c r="Z7143" t="str">
        <v>=</v>
      </c>
      <c r="AA7143">
        <f>IF(AA7145=0,(D7143*N7143+P7143*R7143)*U7143*Y7143,0)</f>
        <v>0</v>
      </c>
    </row>
    <row r="7144">
      <c r="A7144" t="str">
        <f>A7135</f>
        <v>Lantai Atap</v>
      </c>
      <c r="B7144">
        <f>B7135</f>
        <v>30</v>
      </c>
      <c r="C7144" t="str">
        <v>Tul Atas Tumpuan</v>
      </c>
      <c r="D7144">
        <f>VLOOKUP(D7135,'Detail Balok'!$C$10:$AU$140,10,FALSE)</f>
        <v>3</v>
      </c>
      <c r="E7144" t="str">
        <v>D</v>
      </c>
      <c r="F7144">
        <f>VLOOKUP(D7135,'Detail Balok'!$C$10:$AU$140,12,FALSE)</f>
        <v>13</v>
      </c>
      <c r="I7144" t="str">
        <v>(</v>
      </c>
      <c r="J7144">
        <f>+D7137/4/1000</f>
        <v>1.15875</v>
      </c>
      <c r="K7144" t="str">
        <v>+</v>
      </c>
      <c r="L7144">
        <f>MAX(VLOOKUP(F7144,N$6:P$15,3,FALSE)/1000,2/3*D7139/1000)+F$16*F7144/1000</f>
        <v>0.156</v>
      </c>
      <c r="M7144" t="str">
        <v>=</v>
      </c>
      <c r="N7144">
        <f>J7144+L7144</f>
        <v>1.3147499999999999</v>
      </c>
      <c r="O7144" t="str">
        <v>+</v>
      </c>
      <c r="P7144">
        <f>D7144-D7143</f>
        <v>0</v>
      </c>
      <c r="Q7144" t="str">
        <v>x</v>
      </c>
      <c r="R7144">
        <f>IF(P7144&gt;0,$F$18*F7144/1000,0)</f>
        <v>0</v>
      </c>
      <c r="S7144" t="str">
        <v>)</v>
      </c>
      <c r="T7144" t="str">
        <v>x</v>
      </c>
      <c r="U7144">
        <f>0.006165*F7144^2</f>
        <v>1.041885</v>
      </c>
      <c r="X7144" t="str">
        <v>x</v>
      </c>
      <c r="Y7144">
        <f>D7141</f>
        <v>1</v>
      </c>
      <c r="Z7144" t="str">
        <v>=</v>
      </c>
      <c r="AA7144">
        <f>IF(AA7145=0,(D7144*N7144+P7144*R7144)*U7144*Y7144,0)</f>
        <v>0</v>
      </c>
    </row>
    <row r="7145">
      <c r="A7145" t="str">
        <f>A7135</f>
        <v>Lantai Atap</v>
      </c>
      <c r="B7145">
        <f>B7135</f>
        <v>30</v>
      </c>
      <c r="D7145">
        <f>IF(AND(D7142=D7143,D7143=D7144,D7142=D7144),D7142,0)</f>
        <v>3</v>
      </c>
      <c r="E7145" t="str">
        <v>D</v>
      </c>
      <c r="F7145">
        <f>IF(AND(F7142=F7143,F7142=F7144,F7143=F7144),F7142,0)</f>
        <v>13</v>
      </c>
      <c r="L7145" t="str">
        <v>Total panjang per balok</v>
      </c>
      <c r="M7145" t="str">
        <v>=</v>
      </c>
      <c r="N7145">
        <f>IF(AND(D7142=D7143,D7142=D7144,D7143=D7144,F7142=F7143,F7142=F7144,F7143=F7144),SUM(N7142:N7144),0)</f>
        <v>4.947</v>
      </c>
      <c r="O7145" t="str">
        <v>+</v>
      </c>
      <c r="P7145">
        <f>IF(N7145&gt;12,ROUNDDOWN(N7145/12,0),0)</f>
        <v>0</v>
      </c>
      <c r="Q7145" t="str">
        <v>x</v>
      </c>
      <c r="R7145">
        <f>IF(P7145&gt;0,MAX(VLOOKUP(F7145,$D$6:$G$15,3,FALSE),600),0)/1000</f>
        <v>0</v>
      </c>
      <c r="T7145" t="str">
        <v>x</v>
      </c>
      <c r="U7145">
        <f>U7144</f>
        <v>1.041885</v>
      </c>
      <c r="V7145" t="str">
        <v>x</v>
      </c>
      <c r="W7145">
        <f>D7145</f>
        <v>3</v>
      </c>
      <c r="X7145" t="str">
        <v>x</v>
      </c>
      <c r="Y7145">
        <f>Y7144</f>
        <v>1</v>
      </c>
      <c r="Z7145" t="str">
        <v>=</v>
      </c>
      <c r="AA7145">
        <f>(N7145+P7145*R7145/1000)*U7145*W7145*Y7145</f>
        <v>15.462615285</v>
      </c>
    </row>
    <row r="7147">
      <c r="A7147" t="str">
        <f>A7135</f>
        <v>Lantai Atap</v>
      </c>
      <c r="B7147">
        <f>B7135</f>
        <v>30</v>
      </c>
      <c r="C7147" t="str">
        <v>Tul Peminggang</v>
      </c>
      <c r="D7147">
        <f>VLOOKUP(D7135,'Detail Balok'!$C$10:$AU$140,13,FALSE)</f>
        <v>0</v>
      </c>
      <c r="E7147" t="str">
        <v>D</v>
      </c>
      <c r="F7147">
        <f>VLOOKUP(D7135,'Detail Balok'!$C$10:$AU$140,15,FALSE)</f>
        <v>8</v>
      </c>
      <c r="J7147">
        <f>+D7137/1000</f>
        <v>4.635</v>
      </c>
      <c r="K7147" t="str">
        <v>+</v>
      </c>
      <c r="L7147">
        <f>2*$F$16*F7147/1000</f>
        <v>0.192</v>
      </c>
      <c r="M7147" t="str">
        <v>=</v>
      </c>
      <c r="N7147">
        <f>J7147+L7147</f>
        <v>4.827</v>
      </c>
      <c r="O7147" t="str">
        <v>+</v>
      </c>
      <c r="P7147">
        <f>IF(N7147&gt;12,ROUNDDOWN(N7147/12,0),0)</f>
        <v>0</v>
      </c>
      <c r="Q7147" t="str">
        <v>x</v>
      </c>
      <c r="R7147">
        <f>IF(P7147&gt;0,MAX(VLOOKUP(F7147,$D$6:$G$15,3,FALSE),600),0)/1000</f>
        <v>0</v>
      </c>
      <c r="T7147" t="str">
        <v>x</v>
      </c>
      <c r="U7147">
        <f>0.006165*F7147^2</f>
        <v>0.39456</v>
      </c>
      <c r="V7147" t="str">
        <v>x</v>
      </c>
      <c r="W7147">
        <f>+D7147</f>
        <v>0</v>
      </c>
      <c r="X7147" t="str">
        <v>x</v>
      </c>
      <c r="Y7147">
        <f>D7141</f>
        <v>1</v>
      </c>
      <c r="Z7147" t="str">
        <v>=</v>
      </c>
      <c r="AA7147">
        <f>(N7147+P7147*R7147/1000)*U7147*W7147*Y7147</f>
        <v>0</v>
      </c>
    </row>
    <row r="7150">
      <c r="A7150" t="str">
        <f>A7135</f>
        <v>Lantai Atap</v>
      </c>
      <c r="B7150">
        <f>B7135</f>
        <v>30</v>
      </c>
      <c r="C7150" t="str">
        <v>Tul Bawah Tumpuan</v>
      </c>
      <c r="D7150">
        <f>VLOOKUP(D7135,'Detail Balok'!$C$10:$AU$140,22,FALSE)</f>
        <v>3</v>
      </c>
      <c r="E7150" t="str">
        <v>D</v>
      </c>
      <c r="F7150">
        <f>VLOOKUP(D7135,'Detail Balok'!$C$10:$AU$140,24,FALSE)</f>
        <v>13</v>
      </c>
      <c r="I7150" t="str">
        <v>(</v>
      </c>
      <c r="J7150">
        <f>+J7142</f>
        <v>1.15875</v>
      </c>
      <c r="K7150" t="str">
        <v>+</v>
      </c>
      <c r="L7150">
        <f>MAX(VLOOKUP(F7150,N$6:P$15,3,FALSE)/1000,2/3*D7140/1000)+F$16*F7150/1000</f>
        <v>0.156</v>
      </c>
      <c r="M7150" t="str">
        <v>=</v>
      </c>
      <c r="N7150">
        <f>J7150+L7150</f>
        <v>1.3147499999999999</v>
      </c>
      <c r="O7150" t="str">
        <v>+</v>
      </c>
      <c r="P7150">
        <f>D7150-D7151</f>
        <v>0</v>
      </c>
      <c r="Q7150" t="str">
        <v>x</v>
      </c>
      <c r="R7150">
        <f>IF(P7150&gt;0,$F$18*F7150/1000,0)</f>
        <v>0</v>
      </c>
      <c r="S7150" t="str">
        <v>)</v>
      </c>
      <c r="T7150" t="str">
        <v>x</v>
      </c>
      <c r="U7150">
        <f>0.006165*F7150^2</f>
        <v>1.041885</v>
      </c>
      <c r="X7150" t="str">
        <v>x</v>
      </c>
      <c r="Y7150">
        <f>D7141</f>
        <v>1</v>
      </c>
      <c r="Z7150" t="str">
        <v>=</v>
      </c>
      <c r="AA7150">
        <f>IF(AA7153=0,(D7150*N7150+P7150*R7150)*U7150*Y7150,0)</f>
        <v>0</v>
      </c>
    </row>
    <row r="7151">
      <c r="A7151" t="str">
        <f>A7135</f>
        <v>Lantai Atap</v>
      </c>
      <c r="B7151">
        <f>B7135</f>
        <v>30</v>
      </c>
      <c r="C7151" t="str">
        <v>Tul Bawah Lapangan</v>
      </c>
      <c r="D7151">
        <f>VLOOKUP(D7135,'Detail Balok'!$C$10:$AU$140,25,FALSE)</f>
        <v>3</v>
      </c>
      <c r="E7151" t="str">
        <v>D</v>
      </c>
      <c r="F7151">
        <f>VLOOKUP(D7135,'Detail Balok'!$C$10:$AU$140,27,FALSE)</f>
        <v>13</v>
      </c>
      <c r="I7151" t="str">
        <v>(</v>
      </c>
      <c r="J7151">
        <f>+J7143</f>
        <v>2.3175</v>
      </c>
      <c r="K7151" t="str">
        <v>+</v>
      </c>
      <c r="M7151" t="str">
        <v>=</v>
      </c>
      <c r="N7151">
        <f>J7151+L7151</f>
        <v>2.3175</v>
      </c>
      <c r="O7151" t="str">
        <v>+</v>
      </c>
      <c r="P7151">
        <f>MAX(D7151-D7150,D7151-D7152)</f>
        <v>0</v>
      </c>
      <c r="Q7151" t="str">
        <v>x</v>
      </c>
      <c r="R7151">
        <f>IF(P7151&gt;0,2*(1-2*$F$19-1/2)*D7138/1000,0)</f>
        <v>0</v>
      </c>
      <c r="S7151" t="str">
        <v>)</v>
      </c>
      <c r="T7151" t="str">
        <v>x</v>
      </c>
      <c r="U7151">
        <f>0.006165*F7151^2</f>
        <v>1.041885</v>
      </c>
      <c r="X7151" t="str">
        <v>x</v>
      </c>
      <c r="Y7151">
        <f>D7141</f>
        <v>1</v>
      </c>
      <c r="Z7151" t="str">
        <v>=</v>
      </c>
      <c r="AA7151">
        <f>IF(AA7153=0,(D7151*N7151+P7151*R7151)*U7151*Y7151,0)</f>
        <v>0</v>
      </c>
    </row>
    <row r="7152">
      <c r="A7152" t="str">
        <f>A7135</f>
        <v>Lantai Atap</v>
      </c>
      <c r="B7152">
        <f>B7135</f>
        <v>30</v>
      </c>
      <c r="C7152" t="str">
        <v>Tul Bawah Tumpuan</v>
      </c>
      <c r="D7152">
        <f>VLOOKUP(D7135,'Detail Balok'!$C$10:$AU$140,28,FALSE)</f>
        <v>3</v>
      </c>
      <c r="E7152" t="str">
        <v>D</v>
      </c>
      <c r="F7152">
        <f>VLOOKUP(D7135,'Detail Balok'!$C$10:$AU$140,30,FALSE)</f>
        <v>13</v>
      </c>
      <c r="I7152" t="str">
        <v>(</v>
      </c>
      <c r="J7152">
        <f>+J7144</f>
        <v>1.15875</v>
      </c>
      <c r="K7152" t="str">
        <v>+</v>
      </c>
      <c r="L7152">
        <f>MAX(VLOOKUP(F7152,N$6:P$15,3,FALSE)/1000,2/3*D7140/1000)+F$16*F7152/1000</f>
        <v>0.156</v>
      </c>
      <c r="M7152" t="str">
        <v>=</v>
      </c>
      <c r="N7152">
        <f>J7152+L7152</f>
        <v>1.3147499999999999</v>
      </c>
      <c r="O7152" t="str">
        <v>+</v>
      </c>
      <c r="P7152">
        <f>D7152-D7151</f>
        <v>0</v>
      </c>
      <c r="Q7152" t="str">
        <v>x</v>
      </c>
      <c r="R7152">
        <f>IF(P7152&gt;0,$F$18*F7152/1000,0)</f>
        <v>0</v>
      </c>
      <c r="S7152" t="str">
        <v>)</v>
      </c>
      <c r="T7152" t="str">
        <v>x</v>
      </c>
      <c r="U7152">
        <f>0.006165*F7152^2</f>
        <v>1.041885</v>
      </c>
      <c r="X7152" t="str">
        <v>x</v>
      </c>
      <c r="Y7152">
        <f>D7141</f>
        <v>1</v>
      </c>
      <c r="Z7152" t="str">
        <v>=</v>
      </c>
      <c r="AA7152">
        <f>IF(AA7153=0,(D7152*N7152+P7152*R7152)*U7152*Y7152,0)</f>
        <v>0</v>
      </c>
    </row>
    <row r="7153">
      <c r="A7153" t="str">
        <f>A7135</f>
        <v>Lantai Atap</v>
      </c>
      <c r="B7153">
        <f>B7135</f>
        <v>30</v>
      </c>
      <c r="D7153">
        <f>IF(AND(D7150=D7151,D7151=D7152,D7150=D7152),D7150,0)</f>
        <v>3</v>
      </c>
      <c r="E7153" t="str">
        <v>D</v>
      </c>
      <c r="F7153">
        <f>IF(AND(F7150=F7151,F7150=F7152,F7151=F7152),F7150,0)</f>
        <v>13</v>
      </c>
      <c r="L7153" t="str">
        <v>Total panjang per balok</v>
      </c>
      <c r="M7153" t="str">
        <v>=</v>
      </c>
      <c r="N7153">
        <f>IF(AND(D7150=D7151,D7150=D7152,D7151=D7152,F7150=F7151,F7150=F7152,F7151=F7152),SUM(N7150:N7152),0)</f>
        <v>4.947</v>
      </c>
      <c r="O7153" t="str">
        <v>+</v>
      </c>
      <c r="P7153">
        <f>IF(N7153&gt;12,ROUNDDOWN(N7153/12,0),0)</f>
        <v>0</v>
      </c>
      <c r="Q7153" t="str">
        <v>x</v>
      </c>
      <c r="R7153">
        <f>IF(P7153&gt;0,MAX(VLOOKUP(F7153,$D$6:$G$15,3,FALSE),600),0)/1000</f>
        <v>0</v>
      </c>
      <c r="T7153" t="str">
        <v>x</v>
      </c>
      <c r="U7153">
        <f>U7152</f>
        <v>1.041885</v>
      </c>
      <c r="V7153" t="str">
        <v>x</v>
      </c>
      <c r="W7153">
        <f>D7153</f>
        <v>3</v>
      </c>
      <c r="X7153" t="str">
        <v>x</v>
      </c>
      <c r="Y7153">
        <f>Y7152</f>
        <v>1</v>
      </c>
      <c r="Z7153" t="str">
        <v>=</v>
      </c>
      <c r="AA7153">
        <f>(N7153+P7153*R7153/1000)*U7153*W7153*Y7153</f>
        <v>15.462615285</v>
      </c>
    </row>
    <row r="7155">
      <c r="A7155" t="str">
        <f>A7135</f>
        <v>Lantai Atap</v>
      </c>
      <c r="B7155">
        <f>B7135</f>
        <v>30</v>
      </c>
      <c r="C7155" t="str">
        <v>Sengkang Tumpuan</v>
      </c>
      <c r="D7155">
        <f>VLOOKUP(D7135,'Detail Balok'!$C$10:$AU$140,31,FALSE)</f>
        <v>0</v>
      </c>
      <c r="E7155" t="str">
        <v>D</v>
      </c>
      <c r="F7155">
        <f>VLOOKUP(D7135,'Detail Balok'!$C$10:$AU$140,33,FALSE)</f>
        <v>10</v>
      </c>
      <c r="G7155" t="str">
        <v>-</v>
      </c>
      <c r="H7155">
        <f>VLOOKUP(D7135,'Detail Balok'!$C$10:$AU$140,35,FALSE)</f>
        <v>100</v>
      </c>
      <c r="J7155">
        <f>(IF(D7155=0,(2*(D7136+G7136))-(F$5*8),IF(D7155=3,(2*(D7136+G7136))-(F$5*8)+(G7136-2*F$5),IF(D7155=4,(2*(D7136+G7136))-(F$5*8)+2*(G7136-2*F$5)))))/1000</f>
        <v>0.88</v>
      </c>
      <c r="K7155" t="str">
        <v>+</v>
      </c>
      <c r="L7155">
        <f>IF(D7155=0,2*MAX(6*F7155,75),(D7155-1)*2*MAX(6*F7155,75))/1000</f>
        <v>0.15</v>
      </c>
      <c r="M7155" t="str">
        <v>=</v>
      </c>
      <c r="N7155">
        <f>J7155+L7155</f>
        <v>1.03</v>
      </c>
      <c r="T7155" t="str">
        <v>x</v>
      </c>
      <c r="U7155">
        <f>0.006165*F7155^2</f>
        <v>0.6165</v>
      </c>
      <c r="V7155" t="str">
        <v>x</v>
      </c>
      <c r="W7155">
        <f>IF(D7138&gt;4*G7136,ROUND(MAX(D7138/4,2*G7136)/H7155,0)+1,ROUND(D7138/H7155,0)+1)</f>
        <v>13</v>
      </c>
      <c r="X7155" t="str">
        <v>x</v>
      </c>
      <c r="Y7155">
        <f>D7141</f>
        <v>1</v>
      </c>
      <c r="Z7155" t="str">
        <v>=</v>
      </c>
      <c r="AA7155">
        <f>N7155*U7155*W7155*Y7155</f>
        <v>8.254935000000001</v>
      </c>
    </row>
    <row r="7156">
      <c r="A7156" t="str">
        <f>A7135</f>
        <v>Lantai Atap</v>
      </c>
      <c r="B7156">
        <f>B7135</f>
        <v>30</v>
      </c>
      <c r="C7156" t="str">
        <v>Sengkang Lapangan</v>
      </c>
      <c r="D7156">
        <f>VLOOKUP(D7135,'Detail Balok'!$C$10:$AU$140,36,FALSE)</f>
        <v>0</v>
      </c>
      <c r="E7156" t="str">
        <v>D</v>
      </c>
      <c r="F7156">
        <f>VLOOKUP(D7135,'Detail Balok'!$C$10:$AU$140,38,FALSE)</f>
        <v>10</v>
      </c>
      <c r="G7156" t="str">
        <v>-</v>
      </c>
      <c r="H7156">
        <f>VLOOKUP(D7135,'Detail Balok'!$C$10:$AU$140,40,FALSE)</f>
        <v>200</v>
      </c>
      <c r="J7156">
        <f>(IF(D7156=0,(2*(D7136+G7136))-(F$5*8),IF(D7156=3,(2*(D7136+G7136))-(F$5*8)+(G7136-2*F$5),IF(D7156=4,(2*(D7136+G7136))-(F$5*8)+2*(G7136-2*F$5)))))/1000</f>
        <v>0.88</v>
      </c>
      <c r="K7156" t="str">
        <v>+</v>
      </c>
      <c r="L7156">
        <f>IF(D7156=0,2*MAX(6*F7156,75),(D7156-1)*2*MAX(6*F7156,75))/1000</f>
        <v>0.15</v>
      </c>
      <c r="M7156" t="str">
        <v>=</v>
      </c>
      <c r="N7156">
        <f>J7156+L7156</f>
        <v>1.03</v>
      </c>
      <c r="T7156" t="str">
        <v>x</v>
      </c>
      <c r="U7156">
        <f>0.006165*F7156^2</f>
        <v>0.6165</v>
      </c>
      <c r="V7156" t="str">
        <v>x</v>
      </c>
      <c r="W7156">
        <f>IF(D7138-MAX(D7138/4,2*G7136)*2&gt;0,ROUND((D7138-MAX(D7138/4,2*G7136)*2)/H7156,0),0)</f>
        <v>12</v>
      </c>
      <c r="X7156" t="str">
        <v>x</v>
      </c>
      <c r="Y7156">
        <f>D7141</f>
        <v>1</v>
      </c>
      <c r="Z7156" t="str">
        <v>=</v>
      </c>
      <c r="AA7156">
        <f>N7156*U7156*W7156*Y7156</f>
        <v>7.6199400000000015</v>
      </c>
    </row>
    <row r="7157">
      <c r="A7157" t="str">
        <f>A7135</f>
        <v>Lantai Atap</v>
      </c>
      <c r="B7157">
        <f>B7135</f>
        <v>30</v>
      </c>
      <c r="C7157" t="str">
        <v>Sengkang Tumpuan</v>
      </c>
      <c r="D7157">
        <f>VLOOKUP(D7135,'Detail Balok'!$C$10:$AU$140,41,FALSE)</f>
        <v>0</v>
      </c>
      <c r="E7157" t="str">
        <v>D</v>
      </c>
      <c r="F7157">
        <f>VLOOKUP(D7135,'Detail Balok'!$C$10:$AU$140,43,FALSE)</f>
        <v>10</v>
      </c>
      <c r="G7157" t="str">
        <v>-</v>
      </c>
      <c r="H7157">
        <f>VLOOKUP(D7135,'Detail Balok'!$C$10:$AU$140,45,FALSE)</f>
        <v>100</v>
      </c>
      <c r="J7157">
        <f>(IF(D7157=0,(2*(D7136+G7136))-(F$5*8),IF(D7157=3,(2*(D7136+G7136))-(F$5*8)+(G7136-2*F$5),IF(D7157=4,(2*(D7136+G7136))-(F$5*8)+2*(G7136-2*F$5)))))/1000</f>
        <v>0.88</v>
      </c>
      <c r="K7157" t="str">
        <v>+</v>
      </c>
      <c r="L7157">
        <f>IF(D7157=0,2*MAX(6*F7157,75),(D7157-1)*2*MAX(6*F7157,75))/1000</f>
        <v>0.15</v>
      </c>
      <c r="M7157" t="str">
        <v>=</v>
      </c>
      <c r="N7157">
        <f>J7157+L7157</f>
        <v>1.03</v>
      </c>
      <c r="T7157" t="str">
        <v>x</v>
      </c>
      <c r="U7157">
        <f>0.006165*F7157^2</f>
        <v>0.6165</v>
      </c>
      <c r="V7157" t="str">
        <v>x</v>
      </c>
      <c r="W7157">
        <f>IF(D7138&gt;4*G7136,ROUND(MAX(D7138/4,2*G7136)/H7157,0)+1,0)</f>
        <v>13</v>
      </c>
      <c r="X7157" t="str">
        <v>x</v>
      </c>
      <c r="Y7157">
        <f>D7141</f>
        <v>1</v>
      </c>
      <c r="Z7157" t="str">
        <v>=</v>
      </c>
      <c r="AA7157">
        <f>N7157*U7157*W7157*Y7157</f>
        <v>8.254935000000001</v>
      </c>
    </row>
    <row r="7159">
      <c r="A7159" t="str">
        <f>A7135</f>
        <v>Lantai Atap</v>
      </c>
      <c r="B7159">
        <f>B7135</f>
        <v>30</v>
      </c>
      <c r="C7159" t="str">
        <v>Kait Horizontal Tump.</v>
      </c>
      <c r="D7159">
        <f>VLOOKUP(D7135,'Detail Balok'!$C$10:$BJ$140,46,FALSE)</f>
        <v>0</v>
      </c>
      <c r="E7159" t="str">
        <v>D</v>
      </c>
      <c r="F7159">
        <f>VLOOKUP(D7135,'Detail Balok'!$C$10:$BJ$140,48,FALSE)</f>
        <v>0</v>
      </c>
      <c r="G7159" t="str">
        <v>-</v>
      </c>
      <c r="H7159">
        <f>VLOOKUP(D7135,'Detail Balok'!$C$10:$BJ$140,50,FALSE)</f>
        <v>100</v>
      </c>
      <c r="J7159">
        <f>(D7136-2*F$5)/1000</f>
        <v>0.12</v>
      </c>
      <c r="K7159" t="str">
        <v>+</v>
      </c>
      <c r="L7159">
        <f>IF(D7159=0,2*MAX(6*F7159,75),(D7159-1)*2*MAX(6*F7159,75))/1000</f>
        <v>0.15</v>
      </c>
      <c r="M7159" t="str">
        <v>=</v>
      </c>
      <c r="N7159">
        <f>J7159+L7159</f>
        <v>0.27</v>
      </c>
      <c r="T7159" t="str">
        <v>x</v>
      </c>
      <c r="U7159">
        <f>0.006165*F7159^2</f>
        <v>0</v>
      </c>
      <c r="V7159" t="str">
        <v>x</v>
      </c>
      <c r="W7159">
        <f>W7155</f>
        <v>13</v>
      </c>
      <c r="X7159" t="str">
        <v>x</v>
      </c>
      <c r="Y7159">
        <f>D7145</f>
        <v>3</v>
      </c>
      <c r="Z7159" t="str">
        <v>=</v>
      </c>
      <c r="AA7159">
        <f>N7159*U7159*W7159*Y7159</f>
        <v>0</v>
      </c>
    </row>
    <row r="7160">
      <c r="A7160" t="str">
        <f>A7135</f>
        <v>Lantai Atap</v>
      </c>
      <c r="B7160">
        <f>B7135</f>
        <v>30</v>
      </c>
      <c r="C7160" t="str">
        <v>Kait Horizontal Lap.</v>
      </c>
      <c r="D7160">
        <f>VLOOKUP(D7135,'Detail Balok'!$C$10:$BJ$140,51,FALSE)</f>
        <v>0</v>
      </c>
      <c r="E7160" t="str">
        <v>D</v>
      </c>
      <c r="F7160">
        <f>VLOOKUP(D7135,'Detail Balok'!$C$10:$BJ$140,53,FALSE)</f>
        <v>0</v>
      </c>
      <c r="G7160" t="str">
        <v>-</v>
      </c>
      <c r="H7160">
        <f>VLOOKUP(D7135,'Detail Balok'!$C$10:$BJ$140,55,FALSE)</f>
        <v>100</v>
      </c>
      <c r="J7160">
        <f>(D7136-2*F$5)/1000</f>
        <v>0.12</v>
      </c>
      <c r="K7160" t="str">
        <v>+</v>
      </c>
      <c r="L7160">
        <f>IF(D7160=0,2*MAX(6*F7160,75),(D7160-1)*2*MAX(6*F7160,75))/1000</f>
        <v>0.15</v>
      </c>
      <c r="M7160" t="str">
        <v>=</v>
      </c>
      <c r="N7160">
        <f>J7160+L7160</f>
        <v>0.27</v>
      </c>
      <c r="T7160" t="str">
        <v>x</v>
      </c>
      <c r="U7160">
        <f>0.006165*F7160^2</f>
        <v>0</v>
      </c>
      <c r="V7160" t="str">
        <v>x</v>
      </c>
      <c r="W7160">
        <f>W7156</f>
        <v>12</v>
      </c>
      <c r="X7160" t="str">
        <v>x</v>
      </c>
      <c r="Y7160">
        <f>D7145</f>
        <v>3</v>
      </c>
      <c r="Z7160" t="str">
        <v>=</v>
      </c>
      <c r="AA7160">
        <f>N7160*U7160*W7160*Y7160</f>
        <v>0</v>
      </c>
    </row>
    <row r="7161">
      <c r="A7161" t="str">
        <f>A7135</f>
        <v>Lantai Atap</v>
      </c>
      <c r="B7161">
        <f>B7135</f>
        <v>30</v>
      </c>
      <c r="C7161" t="str">
        <v>Kait Horizontal Tump.</v>
      </c>
      <c r="D7161">
        <f>VLOOKUP(D7135,'Detail Balok'!$C$10:$BJ$140,56,FALSE)</f>
        <v>0</v>
      </c>
      <c r="E7161" t="str">
        <v>D</v>
      </c>
      <c r="F7161">
        <f>VLOOKUP(D7135,'Detail Balok'!$C$10:$BJ$140,58,FALSE)</f>
        <v>0</v>
      </c>
      <c r="G7161" t="str">
        <v>-</v>
      </c>
      <c r="H7161">
        <f>VLOOKUP(D7135,'Detail Balok'!$C$10:$BJ$140,60,FALSE)</f>
        <v>100</v>
      </c>
      <c r="J7161">
        <f>(D7136-2*F$5)/1000</f>
        <v>0.12</v>
      </c>
      <c r="K7161" t="str">
        <v>+</v>
      </c>
      <c r="L7161">
        <f>IF(D7161=0,2*MAX(6*F7161,75),(D7161-1)*2*MAX(6*F7161,75))/1000</f>
        <v>0.15</v>
      </c>
      <c r="M7161" t="str">
        <v>=</v>
      </c>
      <c r="N7161">
        <f>J7161+L7161</f>
        <v>0.27</v>
      </c>
      <c r="T7161" t="str">
        <v>x</v>
      </c>
      <c r="U7161">
        <f>0.006165*F7161^2</f>
        <v>0</v>
      </c>
      <c r="V7161" t="str">
        <v>x</v>
      </c>
      <c r="W7161">
        <f>W7157</f>
        <v>13</v>
      </c>
      <c r="X7161" t="str">
        <v>x</v>
      </c>
      <c r="Y7161">
        <f>D7145</f>
        <v>3</v>
      </c>
      <c r="Z7161" t="str">
        <v>=</v>
      </c>
      <c r="AA7161">
        <f>N7161*U7161*W7161*Y7161</f>
        <v>0</v>
      </c>
    </row>
    <row r="7165">
      <c r="A7165" t="str">
        <f>A7135</f>
        <v>Lantai Atap</v>
      </c>
      <c r="B7165">
        <f>B7135+1</f>
        <v>31</v>
      </c>
      <c r="C7165" t="str">
        <f>CONCATENATE(A7165," no. ",B7165)</f>
        <v>Lantai Atap no. 31</v>
      </c>
      <c r="D7165" t="str">
        <f>VLOOKUP(C7165,'Data Panjang Balok'!$C$9:$N$254,2,FALSE)</f>
        <v>B24-1</v>
      </c>
    </row>
    <row r="7166">
      <c r="C7166" t="str">
        <v>Dimensi</v>
      </c>
      <c r="D7166">
        <f>VLOOKUP(D7165,'Detail Balok'!$C$10:$AU$140,2,FALSE)</f>
        <v>200</v>
      </c>
      <c r="F7166" t="str">
        <v>x</v>
      </c>
      <c r="G7166">
        <f>VLOOKUP(D7165,'Detail Balok'!$C$10:$AU$140,3,FALSE)</f>
        <v>400</v>
      </c>
    </row>
    <row r="7167">
      <c r="C7167" t="str">
        <v>Panjang as ke as</v>
      </c>
      <c r="D7167">
        <f>VLOOKUP(C7165,'Data Panjang Balok'!$C$9:$N$254,4,FALSE)</f>
        <v>5905</v>
      </c>
    </row>
    <row r="7168">
      <c r="C7168" t="str">
        <v>Panjang netto</v>
      </c>
      <c r="D7168">
        <f>VLOOKUP(C7165,'Data Panjang Balok'!$C$9:$N$254,7,FALSE)</f>
        <v>5905</v>
      </c>
    </row>
    <row r="7169">
      <c r="C7169" t="str">
        <v>Kolom / balok kiri</v>
      </c>
      <c r="D7169">
        <f>VLOOKUP(C7165,'Data Panjang Balok'!$C$9:$N$254,9,FALSE)</f>
        <v>0</v>
      </c>
    </row>
    <row r="7170">
      <c r="C7170" t="str">
        <v>Kolom / balok kanan</v>
      </c>
      <c r="D7170">
        <f>VLOOKUP(C7165,'Data Panjang Balok'!$C$9:$N$254,10,FALSE)</f>
        <v>0</v>
      </c>
    </row>
    <row r="7171">
      <c r="C7171" t="str">
        <v>Jumlah</v>
      </c>
      <c r="D7171">
        <f>VLOOKUP(C7165,'Data Panjang Balok'!$C$9:$N$254,3,FALSE)</f>
        <v>1</v>
      </c>
    </row>
    <row r="7172">
      <c r="A7172" t="str">
        <f>A7165</f>
        <v>Lantai Atap</v>
      </c>
      <c r="B7172">
        <f>B7165</f>
        <v>31</v>
      </c>
      <c r="C7172" t="str">
        <v>Tul Atas Tumpuan</v>
      </c>
      <c r="D7172">
        <f>VLOOKUP(D7165,'Detail Balok'!$C$10:$AU$140,4,FALSE)</f>
        <v>3</v>
      </c>
      <c r="E7172" t="str">
        <v>D</v>
      </c>
      <c r="F7172">
        <f>VLOOKUP(D7165,'Detail Balok'!$C$10:$AU$140,6,FALSE)</f>
        <v>13</v>
      </c>
      <c r="I7172" t="str">
        <v>(</v>
      </c>
      <c r="J7172">
        <f>+D7167/4/1000</f>
        <v>1.47625</v>
      </c>
      <c r="K7172" t="str">
        <v>+</v>
      </c>
      <c r="L7172">
        <f>MAX(VLOOKUP(F7172,N$6:P$15,3,FALSE)/1000,2/3*D7169/1000)+F$16*F7172/1000</f>
        <v>0.156</v>
      </c>
      <c r="M7172" t="str">
        <v>=</v>
      </c>
      <c r="N7172">
        <f>J7172+L7172</f>
        <v>1.63225</v>
      </c>
      <c r="O7172" t="str">
        <v>+</v>
      </c>
      <c r="P7172">
        <f>D7172-D7173</f>
        <v>0</v>
      </c>
      <c r="Q7172" t="str">
        <v>x</v>
      </c>
      <c r="R7172">
        <f>IF(P7172&gt;0,$F$18*F7172/1000,0)</f>
        <v>0</v>
      </c>
      <c r="S7172" t="str">
        <v>)</v>
      </c>
      <c r="T7172" t="str">
        <v>x</v>
      </c>
      <c r="U7172">
        <f>0.006165*F7172^2</f>
        <v>1.041885</v>
      </c>
      <c r="X7172" t="str">
        <v>x</v>
      </c>
      <c r="Y7172">
        <f>D7171</f>
        <v>1</v>
      </c>
      <c r="Z7172" t="str">
        <v>=</v>
      </c>
      <c r="AA7172">
        <f>IF(AA7175=0,(D7172*N7172+P7172*R7172)*U7172*Y7172,0)</f>
        <v>0</v>
      </c>
    </row>
    <row r="7173">
      <c r="A7173" t="str">
        <f>A7165</f>
        <v>Lantai Atap</v>
      </c>
      <c r="B7173">
        <f>B7165</f>
        <v>31</v>
      </c>
      <c r="C7173" t="str">
        <v>Tul Atas Lapangan</v>
      </c>
      <c r="D7173">
        <f>VLOOKUP(D7165,'Detail Balok'!$C$10:$AU$140,7,FALSE)</f>
        <v>3</v>
      </c>
      <c r="E7173" t="str">
        <v>D</v>
      </c>
      <c r="F7173">
        <f>VLOOKUP(D7165,'Detail Balok'!$C$10:$AU$140,9,FALSE)</f>
        <v>13</v>
      </c>
      <c r="I7173" t="str">
        <v>(</v>
      </c>
      <c r="J7173">
        <f>+D7167/2/1000</f>
        <v>2.9525</v>
      </c>
      <c r="K7173" t="str">
        <v>+</v>
      </c>
      <c r="M7173" t="str">
        <v>=</v>
      </c>
      <c r="N7173">
        <f>J7173+L7173</f>
        <v>2.9525</v>
      </c>
      <c r="O7173" t="str">
        <v>+</v>
      </c>
      <c r="P7173">
        <f>MAX(D7173-D7172,D7173-D7174)</f>
        <v>0</v>
      </c>
      <c r="Q7173" t="str">
        <v>x</v>
      </c>
      <c r="R7173">
        <f>IF(P7173&gt;0,2*(1-2*$F$19-1/2)*D7168/1000,0)</f>
        <v>0</v>
      </c>
      <c r="S7173" t="str">
        <v>)</v>
      </c>
      <c r="T7173" t="str">
        <v>x</v>
      </c>
      <c r="U7173">
        <f>0.006165*F7173^2</f>
        <v>1.041885</v>
      </c>
      <c r="X7173" t="str">
        <v>x</v>
      </c>
      <c r="Y7173">
        <f>D7171</f>
        <v>1</v>
      </c>
      <c r="Z7173" t="str">
        <v>=</v>
      </c>
      <c r="AA7173">
        <f>IF(AA7175=0,(D7173*N7173+P7173*R7173)*U7173*Y7173,0)</f>
        <v>0</v>
      </c>
    </row>
    <row r="7174">
      <c r="A7174" t="str">
        <f>A7165</f>
        <v>Lantai Atap</v>
      </c>
      <c r="B7174">
        <f>B7165</f>
        <v>31</v>
      </c>
      <c r="C7174" t="str">
        <v>Tul Atas Tumpuan</v>
      </c>
      <c r="D7174">
        <f>VLOOKUP(D7165,'Detail Balok'!$C$10:$AU$140,10,FALSE)</f>
        <v>3</v>
      </c>
      <c r="E7174" t="str">
        <v>D</v>
      </c>
      <c r="F7174">
        <f>VLOOKUP(D7165,'Detail Balok'!$C$10:$AU$140,12,FALSE)</f>
        <v>13</v>
      </c>
      <c r="I7174" t="str">
        <v>(</v>
      </c>
      <c r="J7174">
        <f>+D7167/4/1000</f>
        <v>1.47625</v>
      </c>
      <c r="K7174" t="str">
        <v>+</v>
      </c>
      <c r="L7174">
        <f>MAX(VLOOKUP(F7174,N$6:P$15,3,FALSE)/1000,2/3*D7169/1000)+F$16*F7174/1000</f>
        <v>0.156</v>
      </c>
      <c r="M7174" t="str">
        <v>=</v>
      </c>
      <c r="N7174">
        <f>J7174+L7174</f>
        <v>1.63225</v>
      </c>
      <c r="O7174" t="str">
        <v>+</v>
      </c>
      <c r="P7174">
        <f>D7174-D7173</f>
        <v>0</v>
      </c>
      <c r="Q7174" t="str">
        <v>x</v>
      </c>
      <c r="R7174">
        <f>IF(P7174&gt;0,$F$18*F7174/1000,0)</f>
        <v>0</v>
      </c>
      <c r="S7174" t="str">
        <v>)</v>
      </c>
      <c r="T7174" t="str">
        <v>x</v>
      </c>
      <c r="U7174">
        <f>0.006165*F7174^2</f>
        <v>1.041885</v>
      </c>
      <c r="X7174" t="str">
        <v>x</v>
      </c>
      <c r="Y7174">
        <f>D7171</f>
        <v>1</v>
      </c>
      <c r="Z7174" t="str">
        <v>=</v>
      </c>
      <c r="AA7174">
        <f>IF(AA7175=0,(D7174*N7174+P7174*R7174)*U7174*Y7174,0)</f>
        <v>0</v>
      </c>
    </row>
    <row r="7175">
      <c r="A7175" t="str">
        <f>A7165</f>
        <v>Lantai Atap</v>
      </c>
      <c r="B7175">
        <f>B7165</f>
        <v>31</v>
      </c>
      <c r="D7175">
        <f>IF(AND(D7172=D7173,D7173=D7174,D7172=D7174),D7172,0)</f>
        <v>3</v>
      </c>
      <c r="E7175" t="str">
        <v>D</v>
      </c>
      <c r="F7175">
        <f>IF(AND(F7172=F7173,F7172=F7174,F7173=F7174),F7172,0)</f>
        <v>13</v>
      </c>
      <c r="L7175" t="str">
        <v>Total panjang per balok</v>
      </c>
      <c r="M7175" t="str">
        <v>=</v>
      </c>
      <c r="N7175">
        <f>IF(AND(D7172=D7173,D7172=D7174,D7173=D7174,F7172=F7173,F7172=F7174,F7173=F7174),SUM(N7172:N7174),0)</f>
        <v>6.217</v>
      </c>
      <c r="O7175" t="str">
        <v>+</v>
      </c>
      <c r="P7175">
        <f>IF(N7175&gt;12,ROUNDDOWN(N7175/12,0),0)</f>
        <v>0</v>
      </c>
      <c r="Q7175" t="str">
        <v>x</v>
      </c>
      <c r="R7175">
        <f>IF(P7175&gt;0,MAX(VLOOKUP(F7175,$D$6:$G$15,3,FALSE),600),0)/1000</f>
        <v>0</v>
      </c>
      <c r="T7175" t="str">
        <v>x</v>
      </c>
      <c r="U7175">
        <f>U7174</f>
        <v>1.041885</v>
      </c>
      <c r="V7175" t="str">
        <v>x</v>
      </c>
      <c r="W7175">
        <f>D7175</f>
        <v>3</v>
      </c>
      <c r="X7175" t="str">
        <v>x</v>
      </c>
      <c r="Y7175">
        <f>Y7174</f>
        <v>1</v>
      </c>
      <c r="Z7175" t="str">
        <v>=</v>
      </c>
      <c r="AA7175">
        <f>(N7175+P7175*R7175/1000)*U7175*W7175*Y7175</f>
        <v>19.432197135</v>
      </c>
    </row>
    <row r="7177">
      <c r="A7177" t="str">
        <f>A7165</f>
        <v>Lantai Atap</v>
      </c>
      <c r="B7177">
        <f>B7165</f>
        <v>31</v>
      </c>
      <c r="C7177" t="str">
        <v>Tul Peminggang</v>
      </c>
      <c r="D7177">
        <f>VLOOKUP(D7165,'Detail Balok'!$C$10:$AU$140,13,FALSE)</f>
        <v>0</v>
      </c>
      <c r="E7177" t="str">
        <v>D</v>
      </c>
      <c r="F7177">
        <f>VLOOKUP(D7165,'Detail Balok'!$C$10:$AU$140,15,FALSE)</f>
        <v>8</v>
      </c>
      <c r="J7177">
        <f>+D7167/1000</f>
        <v>5.905</v>
      </c>
      <c r="K7177" t="str">
        <v>+</v>
      </c>
      <c r="L7177">
        <f>2*$F$16*F7177/1000</f>
        <v>0.192</v>
      </c>
      <c r="M7177" t="str">
        <v>=</v>
      </c>
      <c r="N7177">
        <f>J7177+L7177</f>
        <v>6.097</v>
      </c>
      <c r="O7177" t="str">
        <v>+</v>
      </c>
      <c r="P7177">
        <f>IF(N7177&gt;12,ROUNDDOWN(N7177/12,0),0)</f>
        <v>0</v>
      </c>
      <c r="Q7177" t="str">
        <v>x</v>
      </c>
      <c r="R7177">
        <f>IF(P7177&gt;0,MAX(VLOOKUP(F7177,$D$6:$G$15,3,FALSE),600),0)/1000</f>
        <v>0</v>
      </c>
      <c r="T7177" t="str">
        <v>x</v>
      </c>
      <c r="U7177">
        <f>0.006165*F7177^2</f>
        <v>0.39456</v>
      </c>
      <c r="V7177" t="str">
        <v>x</v>
      </c>
      <c r="W7177">
        <f>+D7177</f>
        <v>0</v>
      </c>
      <c r="X7177" t="str">
        <v>x</v>
      </c>
      <c r="Y7177">
        <f>D7171</f>
        <v>1</v>
      </c>
      <c r="Z7177" t="str">
        <v>=</v>
      </c>
      <c r="AA7177">
        <f>(N7177+P7177*R7177/1000)*U7177*W7177*Y7177</f>
        <v>0</v>
      </c>
    </row>
    <row r="7180">
      <c r="A7180" t="str">
        <f>A7165</f>
        <v>Lantai Atap</v>
      </c>
      <c r="B7180">
        <f>B7165</f>
        <v>31</v>
      </c>
      <c r="C7180" t="str">
        <v>Tul Bawah Tumpuan</v>
      </c>
      <c r="D7180">
        <f>VLOOKUP(D7165,'Detail Balok'!$C$10:$AU$140,22,FALSE)</f>
        <v>3</v>
      </c>
      <c r="E7180" t="str">
        <v>D</v>
      </c>
      <c r="F7180">
        <f>VLOOKUP(D7165,'Detail Balok'!$C$10:$AU$140,24,FALSE)</f>
        <v>13</v>
      </c>
      <c r="I7180" t="str">
        <v>(</v>
      </c>
      <c r="J7180">
        <f>+J7172</f>
        <v>1.47625</v>
      </c>
      <c r="K7180" t="str">
        <v>+</v>
      </c>
      <c r="L7180">
        <f>MAX(VLOOKUP(F7180,N$6:P$15,3,FALSE)/1000,2/3*D7170/1000)+F$16*F7180/1000</f>
        <v>0.156</v>
      </c>
      <c r="M7180" t="str">
        <v>=</v>
      </c>
      <c r="N7180">
        <f>J7180+L7180</f>
        <v>1.63225</v>
      </c>
      <c r="O7180" t="str">
        <v>+</v>
      </c>
      <c r="P7180">
        <f>D7180-D7181</f>
        <v>0</v>
      </c>
      <c r="Q7180" t="str">
        <v>x</v>
      </c>
      <c r="R7180">
        <f>IF(P7180&gt;0,$F$18*F7180/1000,0)</f>
        <v>0</v>
      </c>
      <c r="S7180" t="str">
        <v>)</v>
      </c>
      <c r="T7180" t="str">
        <v>x</v>
      </c>
      <c r="U7180">
        <f>0.006165*F7180^2</f>
        <v>1.041885</v>
      </c>
      <c r="X7180" t="str">
        <v>x</v>
      </c>
      <c r="Y7180">
        <f>D7171</f>
        <v>1</v>
      </c>
      <c r="Z7180" t="str">
        <v>=</v>
      </c>
      <c r="AA7180">
        <f>IF(AA7183=0,(D7180*N7180+P7180*R7180)*U7180*Y7180,0)</f>
        <v>0</v>
      </c>
    </row>
    <row r="7181">
      <c r="A7181" t="str">
        <f>A7165</f>
        <v>Lantai Atap</v>
      </c>
      <c r="B7181">
        <f>B7165</f>
        <v>31</v>
      </c>
      <c r="C7181" t="str">
        <v>Tul Bawah Lapangan</v>
      </c>
      <c r="D7181">
        <f>VLOOKUP(D7165,'Detail Balok'!$C$10:$AU$140,25,FALSE)</f>
        <v>3</v>
      </c>
      <c r="E7181" t="str">
        <v>D</v>
      </c>
      <c r="F7181">
        <f>VLOOKUP(D7165,'Detail Balok'!$C$10:$AU$140,27,FALSE)</f>
        <v>13</v>
      </c>
      <c r="I7181" t="str">
        <v>(</v>
      </c>
      <c r="J7181">
        <f>+J7173</f>
        <v>2.9525</v>
      </c>
      <c r="K7181" t="str">
        <v>+</v>
      </c>
      <c r="M7181" t="str">
        <v>=</v>
      </c>
      <c r="N7181">
        <f>J7181+L7181</f>
        <v>2.9525</v>
      </c>
      <c r="O7181" t="str">
        <v>+</v>
      </c>
      <c r="P7181">
        <f>MAX(D7181-D7180,D7181-D7182)</f>
        <v>0</v>
      </c>
      <c r="Q7181" t="str">
        <v>x</v>
      </c>
      <c r="R7181">
        <f>IF(P7181&gt;0,2*(1-2*$F$19-1/2)*D7168/1000,0)</f>
        <v>0</v>
      </c>
      <c r="S7181" t="str">
        <v>)</v>
      </c>
      <c r="T7181" t="str">
        <v>x</v>
      </c>
      <c r="U7181">
        <f>0.006165*F7181^2</f>
        <v>1.041885</v>
      </c>
      <c r="X7181" t="str">
        <v>x</v>
      </c>
      <c r="Y7181">
        <f>D7171</f>
        <v>1</v>
      </c>
      <c r="Z7181" t="str">
        <v>=</v>
      </c>
      <c r="AA7181">
        <f>IF(AA7183=0,(D7181*N7181+P7181*R7181)*U7181*Y7181,0)</f>
        <v>0</v>
      </c>
    </row>
    <row r="7182">
      <c r="A7182" t="str">
        <f>A7165</f>
        <v>Lantai Atap</v>
      </c>
      <c r="B7182">
        <f>B7165</f>
        <v>31</v>
      </c>
      <c r="C7182" t="str">
        <v>Tul Bawah Tumpuan</v>
      </c>
      <c r="D7182">
        <f>VLOOKUP(D7165,'Detail Balok'!$C$10:$AU$140,28,FALSE)</f>
        <v>3</v>
      </c>
      <c r="E7182" t="str">
        <v>D</v>
      </c>
      <c r="F7182">
        <f>VLOOKUP(D7165,'Detail Balok'!$C$10:$AU$140,30,FALSE)</f>
        <v>13</v>
      </c>
      <c r="I7182" t="str">
        <v>(</v>
      </c>
      <c r="J7182">
        <f>+J7174</f>
        <v>1.47625</v>
      </c>
      <c r="K7182" t="str">
        <v>+</v>
      </c>
      <c r="L7182">
        <f>MAX(VLOOKUP(F7182,N$6:P$15,3,FALSE)/1000,2/3*D7170/1000)+F$16*F7182/1000</f>
        <v>0.156</v>
      </c>
      <c r="M7182" t="str">
        <v>=</v>
      </c>
      <c r="N7182">
        <f>J7182+L7182</f>
        <v>1.63225</v>
      </c>
      <c r="O7182" t="str">
        <v>+</v>
      </c>
      <c r="P7182">
        <f>D7182-D7181</f>
        <v>0</v>
      </c>
      <c r="Q7182" t="str">
        <v>x</v>
      </c>
      <c r="R7182">
        <f>IF(P7182&gt;0,$F$18*F7182/1000,0)</f>
        <v>0</v>
      </c>
      <c r="S7182" t="str">
        <v>)</v>
      </c>
      <c r="T7182" t="str">
        <v>x</v>
      </c>
      <c r="U7182">
        <f>0.006165*F7182^2</f>
        <v>1.041885</v>
      </c>
      <c r="X7182" t="str">
        <v>x</v>
      </c>
      <c r="Y7182">
        <f>D7171</f>
        <v>1</v>
      </c>
      <c r="Z7182" t="str">
        <v>=</v>
      </c>
      <c r="AA7182">
        <f>IF(AA7183=0,(D7182*N7182+P7182*R7182)*U7182*Y7182,0)</f>
        <v>0</v>
      </c>
    </row>
    <row r="7183">
      <c r="A7183" t="str">
        <f>A7165</f>
        <v>Lantai Atap</v>
      </c>
      <c r="B7183">
        <f>B7165</f>
        <v>31</v>
      </c>
      <c r="D7183">
        <f>IF(AND(D7180=D7181,D7181=D7182,D7180=D7182),D7180,0)</f>
        <v>3</v>
      </c>
      <c r="E7183" t="str">
        <v>D</v>
      </c>
      <c r="F7183">
        <f>IF(AND(F7180=F7181,F7180=F7182,F7181=F7182),F7180,0)</f>
        <v>13</v>
      </c>
      <c r="L7183" t="str">
        <v>Total panjang per balok</v>
      </c>
      <c r="M7183" t="str">
        <v>=</v>
      </c>
      <c r="N7183">
        <f>IF(AND(D7180=D7181,D7180=D7182,D7181=D7182,F7180=F7181,F7180=F7182,F7181=F7182),SUM(N7180:N7182),0)</f>
        <v>6.217</v>
      </c>
      <c r="O7183" t="str">
        <v>+</v>
      </c>
      <c r="P7183">
        <f>IF(N7183&gt;12,ROUNDDOWN(N7183/12,0),0)</f>
        <v>0</v>
      </c>
      <c r="Q7183" t="str">
        <v>x</v>
      </c>
      <c r="R7183">
        <f>IF(P7183&gt;0,MAX(VLOOKUP(F7183,$D$6:$G$15,3,FALSE),600),0)/1000</f>
        <v>0</v>
      </c>
      <c r="T7183" t="str">
        <v>x</v>
      </c>
      <c r="U7183">
        <f>U7182</f>
        <v>1.041885</v>
      </c>
      <c r="V7183" t="str">
        <v>x</v>
      </c>
      <c r="W7183">
        <f>D7183</f>
        <v>3</v>
      </c>
      <c r="X7183" t="str">
        <v>x</v>
      </c>
      <c r="Y7183">
        <f>Y7182</f>
        <v>1</v>
      </c>
      <c r="Z7183" t="str">
        <v>=</v>
      </c>
      <c r="AA7183">
        <f>(N7183+P7183*R7183/1000)*U7183*W7183*Y7183</f>
        <v>19.432197135</v>
      </c>
    </row>
    <row r="7185">
      <c r="A7185" t="str">
        <f>A7165</f>
        <v>Lantai Atap</v>
      </c>
      <c r="B7185">
        <f>B7165</f>
        <v>31</v>
      </c>
      <c r="C7185" t="str">
        <v>Sengkang Tumpuan</v>
      </c>
      <c r="D7185">
        <f>VLOOKUP(D7165,'Detail Balok'!$C$10:$AU$140,31,FALSE)</f>
        <v>0</v>
      </c>
      <c r="E7185" t="str">
        <v>D</v>
      </c>
      <c r="F7185">
        <f>VLOOKUP(D7165,'Detail Balok'!$C$10:$AU$140,33,FALSE)</f>
        <v>10</v>
      </c>
      <c r="G7185" t="str">
        <v>-</v>
      </c>
      <c r="H7185">
        <f>VLOOKUP(D7165,'Detail Balok'!$C$10:$AU$140,35,FALSE)</f>
        <v>100</v>
      </c>
      <c r="J7185">
        <f>(IF(D7185=0,(2*(D7166+G7166))-(F$5*8),IF(D7185=3,(2*(D7166+G7166))-(F$5*8)+(G7166-2*F$5),IF(D7185=4,(2*(D7166+G7166))-(F$5*8)+2*(G7166-2*F$5)))))/1000</f>
        <v>0.88</v>
      </c>
      <c r="K7185" t="str">
        <v>+</v>
      </c>
      <c r="L7185">
        <f>IF(D7185=0,2*MAX(6*F7185,75),(D7185-1)*2*MAX(6*F7185,75))/1000</f>
        <v>0.15</v>
      </c>
      <c r="M7185" t="str">
        <v>=</v>
      </c>
      <c r="N7185">
        <f>J7185+L7185</f>
        <v>1.03</v>
      </c>
      <c r="T7185" t="str">
        <v>x</v>
      </c>
      <c r="U7185">
        <f>0.006165*F7185^2</f>
        <v>0.6165</v>
      </c>
      <c r="V7185" t="str">
        <v>x</v>
      </c>
      <c r="W7185">
        <f>IF(D7168&gt;4*G7166,ROUND(MAX(D7168/4,2*G7166)/H7185,0)+1,ROUND(D7168/H7185,0)+1)</f>
        <v>16</v>
      </c>
      <c r="X7185" t="str">
        <v>x</v>
      </c>
      <c r="Y7185">
        <f>D7171</f>
        <v>1</v>
      </c>
      <c r="Z7185" t="str">
        <v>=</v>
      </c>
      <c r="AA7185">
        <f>N7185*U7185*W7185*Y7185</f>
        <v>10.159920000000001</v>
      </c>
    </row>
    <row r="7186">
      <c r="A7186" t="str">
        <f>A7165</f>
        <v>Lantai Atap</v>
      </c>
      <c r="B7186">
        <f>B7165</f>
        <v>31</v>
      </c>
      <c r="C7186" t="str">
        <v>Sengkang Lapangan</v>
      </c>
      <c r="D7186">
        <f>VLOOKUP(D7165,'Detail Balok'!$C$10:$AU$140,36,FALSE)</f>
        <v>0</v>
      </c>
      <c r="E7186" t="str">
        <v>D</v>
      </c>
      <c r="F7186">
        <f>VLOOKUP(D7165,'Detail Balok'!$C$10:$AU$140,38,FALSE)</f>
        <v>10</v>
      </c>
      <c r="G7186" t="str">
        <v>-</v>
      </c>
      <c r="H7186">
        <f>VLOOKUP(D7165,'Detail Balok'!$C$10:$AU$140,40,FALSE)</f>
        <v>200</v>
      </c>
      <c r="J7186">
        <f>(IF(D7186=0,(2*(D7166+G7166))-(F$5*8),IF(D7186=3,(2*(D7166+G7166))-(F$5*8)+(G7166-2*F$5),IF(D7186=4,(2*(D7166+G7166))-(F$5*8)+2*(G7166-2*F$5)))))/1000</f>
        <v>0.88</v>
      </c>
      <c r="K7186" t="str">
        <v>+</v>
      </c>
      <c r="L7186">
        <f>IF(D7186=0,2*MAX(6*F7186,75),(D7186-1)*2*MAX(6*F7186,75))/1000</f>
        <v>0.15</v>
      </c>
      <c r="M7186" t="str">
        <v>=</v>
      </c>
      <c r="N7186">
        <f>J7186+L7186</f>
        <v>1.03</v>
      </c>
      <c r="T7186" t="str">
        <v>x</v>
      </c>
      <c r="U7186">
        <f>0.006165*F7186^2</f>
        <v>0.6165</v>
      </c>
      <c r="V7186" t="str">
        <v>x</v>
      </c>
      <c r="W7186">
        <f>IF(D7168-MAX(D7168/4,2*G7166)*2&gt;0,ROUND((D7168-MAX(D7168/4,2*G7166)*2)/H7186,0),0)</f>
        <v>15</v>
      </c>
      <c r="X7186" t="str">
        <v>x</v>
      </c>
      <c r="Y7186">
        <f>D7171</f>
        <v>1</v>
      </c>
      <c r="Z7186" t="str">
        <v>=</v>
      </c>
      <c r="AA7186">
        <f>N7186*U7186*W7186*Y7186</f>
        <v>9.524925000000001</v>
      </c>
    </row>
    <row r="7187">
      <c r="A7187" t="str">
        <f>A7165</f>
        <v>Lantai Atap</v>
      </c>
      <c r="B7187">
        <f>B7165</f>
        <v>31</v>
      </c>
      <c r="C7187" t="str">
        <v>Sengkang Tumpuan</v>
      </c>
      <c r="D7187">
        <f>VLOOKUP(D7165,'Detail Balok'!$C$10:$AU$140,41,FALSE)</f>
        <v>0</v>
      </c>
      <c r="E7187" t="str">
        <v>D</v>
      </c>
      <c r="F7187">
        <f>VLOOKUP(D7165,'Detail Balok'!$C$10:$AU$140,43,FALSE)</f>
        <v>10</v>
      </c>
      <c r="G7187" t="str">
        <v>-</v>
      </c>
      <c r="H7187">
        <f>VLOOKUP(D7165,'Detail Balok'!$C$10:$AU$140,45,FALSE)</f>
        <v>100</v>
      </c>
      <c r="J7187">
        <f>(IF(D7187=0,(2*(D7166+G7166))-(F$5*8),IF(D7187=3,(2*(D7166+G7166))-(F$5*8)+(G7166-2*F$5),IF(D7187=4,(2*(D7166+G7166))-(F$5*8)+2*(G7166-2*F$5)))))/1000</f>
        <v>0.88</v>
      </c>
      <c r="K7187" t="str">
        <v>+</v>
      </c>
      <c r="L7187">
        <f>IF(D7187=0,2*MAX(6*F7187,75),(D7187-1)*2*MAX(6*F7187,75))/1000</f>
        <v>0.15</v>
      </c>
      <c r="M7187" t="str">
        <v>=</v>
      </c>
      <c r="N7187">
        <f>J7187+L7187</f>
        <v>1.03</v>
      </c>
      <c r="T7187" t="str">
        <v>x</v>
      </c>
      <c r="U7187">
        <f>0.006165*F7187^2</f>
        <v>0.6165</v>
      </c>
      <c r="V7187" t="str">
        <v>x</v>
      </c>
      <c r="W7187">
        <f>IF(D7168&gt;4*G7166,ROUND(MAX(D7168/4,2*G7166)/H7187,0)+1,0)</f>
        <v>16</v>
      </c>
      <c r="X7187" t="str">
        <v>x</v>
      </c>
      <c r="Y7187">
        <f>D7171</f>
        <v>1</v>
      </c>
      <c r="Z7187" t="str">
        <v>=</v>
      </c>
      <c r="AA7187">
        <f>N7187*U7187*W7187*Y7187</f>
        <v>10.159920000000001</v>
      </c>
    </row>
    <row r="7189">
      <c r="A7189" t="str">
        <f>A7165</f>
        <v>Lantai Atap</v>
      </c>
      <c r="B7189">
        <f>B7165</f>
        <v>31</v>
      </c>
      <c r="C7189" t="str">
        <v>Kait Horizontal Tump.</v>
      </c>
      <c r="D7189">
        <f>VLOOKUP(D7165,'Detail Balok'!$C$10:$BJ$140,46,FALSE)</f>
        <v>0</v>
      </c>
      <c r="E7189" t="str">
        <v>D</v>
      </c>
      <c r="F7189">
        <f>VLOOKUP(D7165,'Detail Balok'!$C$10:$BJ$140,48,FALSE)</f>
        <v>0</v>
      </c>
      <c r="G7189" t="str">
        <v>-</v>
      </c>
      <c r="H7189">
        <f>VLOOKUP(D7165,'Detail Balok'!$C$10:$BJ$140,50,FALSE)</f>
        <v>100</v>
      </c>
      <c r="J7189">
        <f>(D7166-2*F$5)/1000</f>
        <v>0.12</v>
      </c>
      <c r="K7189" t="str">
        <v>+</v>
      </c>
      <c r="L7189">
        <f>IF(D7189=0,2*MAX(6*F7189,75),(D7189-1)*2*MAX(6*F7189,75))/1000</f>
        <v>0.15</v>
      </c>
      <c r="M7189" t="str">
        <v>=</v>
      </c>
      <c r="N7189">
        <f>J7189+L7189</f>
        <v>0.27</v>
      </c>
      <c r="T7189" t="str">
        <v>x</v>
      </c>
      <c r="U7189">
        <f>0.006165*F7189^2</f>
        <v>0</v>
      </c>
      <c r="V7189" t="str">
        <v>x</v>
      </c>
      <c r="W7189">
        <f>W7185</f>
        <v>16</v>
      </c>
      <c r="X7189" t="str">
        <v>x</v>
      </c>
      <c r="Y7189">
        <f>D7175</f>
        <v>3</v>
      </c>
      <c r="Z7189" t="str">
        <v>=</v>
      </c>
      <c r="AA7189">
        <f>N7189*U7189*W7189*Y7189</f>
        <v>0</v>
      </c>
    </row>
    <row r="7190">
      <c r="A7190" t="str">
        <f>A7165</f>
        <v>Lantai Atap</v>
      </c>
      <c r="B7190">
        <f>B7165</f>
        <v>31</v>
      </c>
      <c r="C7190" t="str">
        <v>Kait Horizontal Lap.</v>
      </c>
      <c r="D7190">
        <f>VLOOKUP(D7165,'Detail Balok'!$C$10:$BJ$140,51,FALSE)</f>
        <v>0</v>
      </c>
      <c r="E7190" t="str">
        <v>D</v>
      </c>
      <c r="F7190">
        <f>VLOOKUP(D7165,'Detail Balok'!$C$10:$BJ$140,53,FALSE)</f>
        <v>0</v>
      </c>
      <c r="G7190" t="str">
        <v>-</v>
      </c>
      <c r="H7190">
        <f>VLOOKUP(D7165,'Detail Balok'!$C$10:$BJ$140,55,FALSE)</f>
        <v>100</v>
      </c>
      <c r="J7190">
        <f>(D7166-2*F$5)/1000</f>
        <v>0.12</v>
      </c>
      <c r="K7190" t="str">
        <v>+</v>
      </c>
      <c r="L7190">
        <f>IF(D7190=0,2*MAX(6*F7190,75),(D7190-1)*2*MAX(6*F7190,75))/1000</f>
        <v>0.15</v>
      </c>
      <c r="M7190" t="str">
        <v>=</v>
      </c>
      <c r="N7190">
        <f>J7190+L7190</f>
        <v>0.27</v>
      </c>
      <c r="T7190" t="str">
        <v>x</v>
      </c>
      <c r="U7190">
        <f>0.006165*F7190^2</f>
        <v>0</v>
      </c>
      <c r="V7190" t="str">
        <v>x</v>
      </c>
      <c r="W7190">
        <f>W7186</f>
        <v>15</v>
      </c>
      <c r="X7190" t="str">
        <v>x</v>
      </c>
      <c r="Y7190">
        <f>D7175</f>
        <v>3</v>
      </c>
      <c r="Z7190" t="str">
        <v>=</v>
      </c>
      <c r="AA7190">
        <f>N7190*U7190*W7190*Y7190</f>
        <v>0</v>
      </c>
    </row>
    <row r="7191">
      <c r="A7191" t="str">
        <f>A7165</f>
        <v>Lantai Atap</v>
      </c>
      <c r="B7191">
        <f>B7165</f>
        <v>31</v>
      </c>
      <c r="C7191" t="str">
        <v>Kait Horizontal Tump.</v>
      </c>
      <c r="D7191">
        <f>VLOOKUP(D7165,'Detail Balok'!$C$10:$BJ$140,56,FALSE)</f>
        <v>0</v>
      </c>
      <c r="E7191" t="str">
        <v>D</v>
      </c>
      <c r="F7191">
        <f>VLOOKUP(D7165,'Detail Balok'!$C$10:$BJ$140,58,FALSE)</f>
        <v>0</v>
      </c>
      <c r="G7191" t="str">
        <v>-</v>
      </c>
      <c r="H7191">
        <f>VLOOKUP(D7165,'Detail Balok'!$C$10:$BJ$140,60,FALSE)</f>
        <v>100</v>
      </c>
      <c r="J7191">
        <f>(D7166-2*F$5)/1000</f>
        <v>0.12</v>
      </c>
      <c r="K7191" t="str">
        <v>+</v>
      </c>
      <c r="L7191">
        <f>IF(D7191=0,2*MAX(6*F7191,75),(D7191-1)*2*MAX(6*F7191,75))/1000</f>
        <v>0.15</v>
      </c>
      <c r="M7191" t="str">
        <v>=</v>
      </c>
      <c r="N7191">
        <f>J7191+L7191</f>
        <v>0.27</v>
      </c>
      <c r="T7191" t="str">
        <v>x</v>
      </c>
      <c r="U7191">
        <f>0.006165*F7191^2</f>
        <v>0</v>
      </c>
      <c r="V7191" t="str">
        <v>x</v>
      </c>
      <c r="W7191">
        <f>W7187</f>
        <v>16</v>
      </c>
      <c r="X7191" t="str">
        <v>x</v>
      </c>
      <c r="Y7191">
        <f>D7175</f>
        <v>3</v>
      </c>
      <c r="Z7191" t="str">
        <v>=</v>
      </c>
      <c r="AA7191">
        <f>N7191*U7191*W7191*Y7191</f>
        <v>0</v>
      </c>
    </row>
    <row r="7195">
      <c r="A7195" t="str">
        <f>A7165</f>
        <v>Lantai Atap</v>
      </c>
      <c r="B7195">
        <f>B7165+1</f>
        <v>32</v>
      </c>
      <c r="C7195" t="str">
        <f>CONCATENATE(A7195," no. ",B7195)</f>
        <v>Lantai Atap no. 32</v>
      </c>
      <c r="D7195" t="str">
        <f>VLOOKUP(C7195,'Data Panjang Balok'!$C$9:$N$254,2,FALSE)</f>
        <v>B24-1</v>
      </c>
    </row>
    <row r="7196">
      <c r="C7196" t="str">
        <v>Dimensi</v>
      </c>
      <c r="D7196">
        <f>VLOOKUP(D7195,'Detail Balok'!$C$10:$AU$140,2,FALSE)</f>
        <v>200</v>
      </c>
      <c r="F7196" t="str">
        <v>x</v>
      </c>
      <c r="G7196">
        <f>VLOOKUP(D7195,'Detail Balok'!$C$10:$AU$140,3,FALSE)</f>
        <v>400</v>
      </c>
    </row>
    <row r="7197">
      <c r="C7197" t="str">
        <v>Panjang as ke as</v>
      </c>
      <c r="D7197">
        <f>VLOOKUP(C7195,'Data Panjang Balok'!$C$9:$N$254,4,FALSE)</f>
        <v>4635</v>
      </c>
    </row>
    <row r="7198">
      <c r="C7198" t="str">
        <v>Panjang netto</v>
      </c>
      <c r="D7198">
        <f>VLOOKUP(C7195,'Data Panjang Balok'!$C$9:$N$254,7,FALSE)</f>
        <v>4635</v>
      </c>
    </row>
    <row r="7199">
      <c r="C7199" t="str">
        <v>Kolom / balok kiri</v>
      </c>
      <c r="D7199">
        <f>VLOOKUP(C7195,'Data Panjang Balok'!$C$9:$N$254,9,FALSE)</f>
        <v>0</v>
      </c>
    </row>
    <row r="7200">
      <c r="C7200" t="str">
        <v>Kolom / balok kanan</v>
      </c>
      <c r="D7200">
        <f>VLOOKUP(C7195,'Data Panjang Balok'!$C$9:$N$254,10,FALSE)</f>
        <v>0</v>
      </c>
    </row>
    <row r="7201">
      <c r="C7201" t="str">
        <v>Jumlah</v>
      </c>
      <c r="D7201">
        <f>VLOOKUP(C7195,'Data Panjang Balok'!$C$9:$N$254,3,FALSE)</f>
        <v>1</v>
      </c>
    </row>
    <row r="7202">
      <c r="A7202" t="str">
        <f>A7195</f>
        <v>Lantai Atap</v>
      </c>
      <c r="B7202">
        <f>B7195</f>
        <v>32</v>
      </c>
      <c r="C7202" t="str">
        <v>Tul Atas Tumpuan</v>
      </c>
      <c r="D7202">
        <f>VLOOKUP(D7195,'Detail Balok'!$C$10:$AU$140,4,FALSE)</f>
        <v>3</v>
      </c>
      <c r="E7202" t="str">
        <v>D</v>
      </c>
      <c r="F7202">
        <f>VLOOKUP(D7195,'Detail Balok'!$C$10:$AU$140,6,FALSE)</f>
        <v>13</v>
      </c>
      <c r="I7202" t="str">
        <v>(</v>
      </c>
      <c r="J7202">
        <f>+D7197/4/1000</f>
        <v>1.15875</v>
      </c>
      <c r="K7202" t="str">
        <v>+</v>
      </c>
      <c r="L7202">
        <f>MAX(VLOOKUP(F7202,N$6:P$15,3,FALSE)/1000,2/3*D7199/1000)+F$16*F7202/1000</f>
        <v>0.156</v>
      </c>
      <c r="M7202" t="str">
        <v>=</v>
      </c>
      <c r="N7202">
        <f>J7202+L7202</f>
        <v>1.3147499999999999</v>
      </c>
      <c r="O7202" t="str">
        <v>+</v>
      </c>
      <c r="P7202">
        <f>D7202-D7203</f>
        <v>0</v>
      </c>
      <c r="Q7202" t="str">
        <v>x</v>
      </c>
      <c r="R7202">
        <f>IF(P7202&gt;0,$F$18*F7202/1000,0)</f>
        <v>0</v>
      </c>
      <c r="S7202" t="str">
        <v>)</v>
      </c>
      <c r="T7202" t="str">
        <v>x</v>
      </c>
      <c r="U7202">
        <f>0.006165*F7202^2</f>
        <v>1.041885</v>
      </c>
      <c r="X7202" t="str">
        <v>x</v>
      </c>
      <c r="Y7202">
        <f>D7201</f>
        <v>1</v>
      </c>
      <c r="Z7202" t="str">
        <v>=</v>
      </c>
      <c r="AA7202">
        <f>IF(AA7205=0,(D7202*N7202+P7202*R7202)*U7202*Y7202,0)</f>
        <v>0</v>
      </c>
    </row>
    <row r="7203">
      <c r="A7203" t="str">
        <f>A7195</f>
        <v>Lantai Atap</v>
      </c>
      <c r="B7203">
        <f>B7195</f>
        <v>32</v>
      </c>
      <c r="C7203" t="str">
        <v>Tul Atas Lapangan</v>
      </c>
      <c r="D7203">
        <f>VLOOKUP(D7195,'Detail Balok'!$C$10:$AU$140,7,FALSE)</f>
        <v>3</v>
      </c>
      <c r="E7203" t="str">
        <v>D</v>
      </c>
      <c r="F7203">
        <f>VLOOKUP(D7195,'Detail Balok'!$C$10:$AU$140,9,FALSE)</f>
        <v>13</v>
      </c>
      <c r="I7203" t="str">
        <v>(</v>
      </c>
      <c r="J7203">
        <f>+D7197/2/1000</f>
        <v>2.3175</v>
      </c>
      <c r="K7203" t="str">
        <v>+</v>
      </c>
      <c r="M7203" t="str">
        <v>=</v>
      </c>
      <c r="N7203">
        <f>J7203+L7203</f>
        <v>2.3175</v>
      </c>
      <c r="O7203" t="str">
        <v>+</v>
      </c>
      <c r="P7203">
        <f>MAX(D7203-D7202,D7203-D7204)</f>
        <v>0</v>
      </c>
      <c r="Q7203" t="str">
        <v>x</v>
      </c>
      <c r="R7203">
        <f>IF(P7203&gt;0,2*(1-2*$F$19-1/2)*D7198/1000,0)</f>
        <v>0</v>
      </c>
      <c r="S7203" t="str">
        <v>)</v>
      </c>
      <c r="T7203" t="str">
        <v>x</v>
      </c>
      <c r="U7203">
        <f>0.006165*F7203^2</f>
        <v>1.041885</v>
      </c>
      <c r="X7203" t="str">
        <v>x</v>
      </c>
      <c r="Y7203">
        <f>D7201</f>
        <v>1</v>
      </c>
      <c r="Z7203" t="str">
        <v>=</v>
      </c>
      <c r="AA7203">
        <f>IF(AA7205=0,(D7203*N7203+P7203*R7203)*U7203*Y7203,0)</f>
        <v>0</v>
      </c>
    </row>
    <row r="7204">
      <c r="A7204" t="str">
        <f>A7195</f>
        <v>Lantai Atap</v>
      </c>
      <c r="B7204">
        <f>B7195</f>
        <v>32</v>
      </c>
      <c r="C7204" t="str">
        <v>Tul Atas Tumpuan</v>
      </c>
      <c r="D7204">
        <f>VLOOKUP(D7195,'Detail Balok'!$C$10:$AU$140,10,FALSE)</f>
        <v>3</v>
      </c>
      <c r="E7204" t="str">
        <v>D</v>
      </c>
      <c r="F7204">
        <f>VLOOKUP(D7195,'Detail Balok'!$C$10:$AU$140,12,FALSE)</f>
        <v>13</v>
      </c>
      <c r="I7204" t="str">
        <v>(</v>
      </c>
      <c r="J7204">
        <f>+D7197/4/1000</f>
        <v>1.15875</v>
      </c>
      <c r="K7204" t="str">
        <v>+</v>
      </c>
      <c r="L7204">
        <f>MAX(VLOOKUP(F7204,N$6:P$15,3,FALSE)/1000,2/3*D7199/1000)+F$16*F7204/1000</f>
        <v>0.156</v>
      </c>
      <c r="M7204" t="str">
        <v>=</v>
      </c>
      <c r="N7204">
        <f>J7204+L7204</f>
        <v>1.3147499999999999</v>
      </c>
      <c r="O7204" t="str">
        <v>+</v>
      </c>
      <c r="P7204">
        <f>D7204-D7203</f>
        <v>0</v>
      </c>
      <c r="Q7204" t="str">
        <v>x</v>
      </c>
      <c r="R7204">
        <f>IF(P7204&gt;0,$F$18*F7204/1000,0)</f>
        <v>0</v>
      </c>
      <c r="S7204" t="str">
        <v>)</v>
      </c>
      <c r="T7204" t="str">
        <v>x</v>
      </c>
      <c r="U7204">
        <f>0.006165*F7204^2</f>
        <v>1.041885</v>
      </c>
      <c r="X7204" t="str">
        <v>x</v>
      </c>
      <c r="Y7204">
        <f>D7201</f>
        <v>1</v>
      </c>
      <c r="Z7204" t="str">
        <v>=</v>
      </c>
      <c r="AA7204">
        <f>IF(AA7205=0,(D7204*N7204+P7204*R7204)*U7204*Y7204,0)</f>
        <v>0</v>
      </c>
    </row>
    <row r="7205">
      <c r="A7205" t="str">
        <f>A7195</f>
        <v>Lantai Atap</v>
      </c>
      <c r="B7205">
        <f>B7195</f>
        <v>32</v>
      </c>
      <c r="D7205">
        <f>IF(AND(D7202=D7203,D7203=D7204,D7202=D7204),D7202,0)</f>
        <v>3</v>
      </c>
      <c r="E7205" t="str">
        <v>D</v>
      </c>
      <c r="F7205">
        <f>IF(AND(F7202=F7203,F7202=F7204,F7203=F7204),F7202,0)</f>
        <v>13</v>
      </c>
      <c r="L7205" t="str">
        <v>Total panjang per balok</v>
      </c>
      <c r="M7205" t="str">
        <v>=</v>
      </c>
      <c r="N7205">
        <f>IF(AND(D7202=D7203,D7202=D7204,D7203=D7204,F7202=F7203,F7202=F7204,F7203=F7204),SUM(N7202:N7204),0)</f>
        <v>4.947</v>
      </c>
      <c r="O7205" t="str">
        <v>+</v>
      </c>
      <c r="P7205">
        <f>IF(N7205&gt;12,ROUNDDOWN(N7205/12,0),0)</f>
        <v>0</v>
      </c>
      <c r="Q7205" t="str">
        <v>x</v>
      </c>
      <c r="R7205">
        <f>IF(P7205&gt;0,MAX(VLOOKUP(F7205,$D$6:$G$15,3,FALSE),600),0)/1000</f>
        <v>0</v>
      </c>
      <c r="T7205" t="str">
        <v>x</v>
      </c>
      <c r="U7205">
        <f>U7204</f>
        <v>1.041885</v>
      </c>
      <c r="V7205" t="str">
        <v>x</v>
      </c>
      <c r="W7205">
        <f>D7205</f>
        <v>3</v>
      </c>
      <c r="X7205" t="str">
        <v>x</v>
      </c>
      <c r="Y7205">
        <f>Y7204</f>
        <v>1</v>
      </c>
      <c r="Z7205" t="str">
        <v>=</v>
      </c>
      <c r="AA7205">
        <f>(N7205+P7205*R7205/1000)*U7205*W7205*Y7205</f>
        <v>15.462615285</v>
      </c>
    </row>
    <row r="7207">
      <c r="A7207" t="str">
        <f>A7195</f>
        <v>Lantai Atap</v>
      </c>
      <c r="B7207">
        <f>B7195</f>
        <v>32</v>
      </c>
      <c r="C7207" t="str">
        <v>Tul Peminggang</v>
      </c>
      <c r="D7207">
        <f>VLOOKUP(D7195,'Detail Balok'!$C$10:$AU$140,13,FALSE)</f>
        <v>0</v>
      </c>
      <c r="E7207" t="str">
        <v>D</v>
      </c>
      <c r="F7207">
        <f>VLOOKUP(D7195,'Detail Balok'!$C$10:$AU$140,15,FALSE)</f>
        <v>8</v>
      </c>
      <c r="J7207">
        <f>+D7197/1000</f>
        <v>4.635</v>
      </c>
      <c r="K7207" t="str">
        <v>+</v>
      </c>
      <c r="L7207">
        <f>2*$F$16*F7207/1000</f>
        <v>0.192</v>
      </c>
      <c r="M7207" t="str">
        <v>=</v>
      </c>
      <c r="N7207">
        <f>J7207+L7207</f>
        <v>4.827</v>
      </c>
      <c r="O7207" t="str">
        <v>+</v>
      </c>
      <c r="P7207">
        <f>IF(N7207&gt;12,ROUNDDOWN(N7207/12,0),0)</f>
        <v>0</v>
      </c>
      <c r="Q7207" t="str">
        <v>x</v>
      </c>
      <c r="R7207">
        <f>IF(P7207&gt;0,MAX(VLOOKUP(F7207,$D$6:$G$15,3,FALSE),600),0)/1000</f>
        <v>0</v>
      </c>
      <c r="T7207" t="str">
        <v>x</v>
      </c>
      <c r="U7207">
        <f>0.006165*F7207^2</f>
        <v>0.39456</v>
      </c>
      <c r="V7207" t="str">
        <v>x</v>
      </c>
      <c r="W7207">
        <f>+D7207</f>
        <v>0</v>
      </c>
      <c r="X7207" t="str">
        <v>x</v>
      </c>
      <c r="Y7207">
        <f>D7201</f>
        <v>1</v>
      </c>
      <c r="Z7207" t="str">
        <v>=</v>
      </c>
      <c r="AA7207">
        <f>(N7207+P7207*R7207/1000)*U7207*W7207*Y7207</f>
        <v>0</v>
      </c>
    </row>
    <row r="7210">
      <c r="A7210" t="str">
        <f>A7195</f>
        <v>Lantai Atap</v>
      </c>
      <c r="B7210">
        <f>B7195</f>
        <v>32</v>
      </c>
      <c r="C7210" t="str">
        <v>Tul Bawah Tumpuan</v>
      </c>
      <c r="D7210">
        <f>VLOOKUP(D7195,'Detail Balok'!$C$10:$AU$140,22,FALSE)</f>
        <v>3</v>
      </c>
      <c r="E7210" t="str">
        <v>D</v>
      </c>
      <c r="F7210">
        <f>VLOOKUP(D7195,'Detail Balok'!$C$10:$AU$140,24,FALSE)</f>
        <v>13</v>
      </c>
      <c r="I7210" t="str">
        <v>(</v>
      </c>
      <c r="J7210">
        <f>+J7202</f>
        <v>1.15875</v>
      </c>
      <c r="K7210" t="str">
        <v>+</v>
      </c>
      <c r="L7210">
        <f>MAX(VLOOKUP(F7210,N$6:P$15,3,FALSE)/1000,2/3*D7200/1000)+F$16*F7210/1000</f>
        <v>0.156</v>
      </c>
      <c r="M7210" t="str">
        <v>=</v>
      </c>
      <c r="N7210">
        <f>J7210+L7210</f>
        <v>1.3147499999999999</v>
      </c>
      <c r="O7210" t="str">
        <v>+</v>
      </c>
      <c r="P7210">
        <f>D7210-D7211</f>
        <v>0</v>
      </c>
      <c r="Q7210" t="str">
        <v>x</v>
      </c>
      <c r="R7210">
        <f>IF(P7210&gt;0,$F$18*F7210/1000,0)</f>
        <v>0</v>
      </c>
      <c r="S7210" t="str">
        <v>)</v>
      </c>
      <c r="T7210" t="str">
        <v>x</v>
      </c>
      <c r="U7210">
        <f>0.006165*F7210^2</f>
        <v>1.041885</v>
      </c>
      <c r="X7210" t="str">
        <v>x</v>
      </c>
      <c r="Y7210">
        <f>D7201</f>
        <v>1</v>
      </c>
      <c r="Z7210" t="str">
        <v>=</v>
      </c>
      <c r="AA7210">
        <f>IF(AA7213=0,(D7210*N7210+P7210*R7210)*U7210*Y7210,0)</f>
        <v>0</v>
      </c>
    </row>
    <row r="7211">
      <c r="A7211" t="str">
        <f>A7195</f>
        <v>Lantai Atap</v>
      </c>
      <c r="B7211">
        <f>B7195</f>
        <v>32</v>
      </c>
      <c r="C7211" t="str">
        <v>Tul Bawah Lapangan</v>
      </c>
      <c r="D7211">
        <f>VLOOKUP(D7195,'Detail Balok'!$C$10:$AU$140,25,FALSE)</f>
        <v>3</v>
      </c>
      <c r="E7211" t="str">
        <v>D</v>
      </c>
      <c r="F7211">
        <f>VLOOKUP(D7195,'Detail Balok'!$C$10:$AU$140,27,FALSE)</f>
        <v>13</v>
      </c>
      <c r="I7211" t="str">
        <v>(</v>
      </c>
      <c r="J7211">
        <f>+J7203</f>
        <v>2.3175</v>
      </c>
      <c r="K7211" t="str">
        <v>+</v>
      </c>
      <c r="M7211" t="str">
        <v>=</v>
      </c>
      <c r="N7211">
        <f>J7211+L7211</f>
        <v>2.3175</v>
      </c>
      <c r="O7211" t="str">
        <v>+</v>
      </c>
      <c r="P7211">
        <f>MAX(D7211-D7210,D7211-D7212)</f>
        <v>0</v>
      </c>
      <c r="Q7211" t="str">
        <v>x</v>
      </c>
      <c r="R7211">
        <f>IF(P7211&gt;0,2*(1-2*$F$19-1/2)*D7198/1000,0)</f>
        <v>0</v>
      </c>
      <c r="S7211" t="str">
        <v>)</v>
      </c>
      <c r="T7211" t="str">
        <v>x</v>
      </c>
      <c r="U7211">
        <f>0.006165*F7211^2</f>
        <v>1.041885</v>
      </c>
      <c r="X7211" t="str">
        <v>x</v>
      </c>
      <c r="Y7211">
        <f>D7201</f>
        <v>1</v>
      </c>
      <c r="Z7211" t="str">
        <v>=</v>
      </c>
      <c r="AA7211">
        <f>IF(AA7213=0,(D7211*N7211+P7211*R7211)*U7211*Y7211,0)</f>
        <v>0</v>
      </c>
    </row>
    <row r="7212">
      <c r="A7212" t="str">
        <f>A7195</f>
        <v>Lantai Atap</v>
      </c>
      <c r="B7212">
        <f>B7195</f>
        <v>32</v>
      </c>
      <c r="C7212" t="str">
        <v>Tul Bawah Tumpuan</v>
      </c>
      <c r="D7212">
        <f>VLOOKUP(D7195,'Detail Balok'!$C$10:$AU$140,28,FALSE)</f>
        <v>3</v>
      </c>
      <c r="E7212" t="str">
        <v>D</v>
      </c>
      <c r="F7212">
        <f>VLOOKUP(D7195,'Detail Balok'!$C$10:$AU$140,30,FALSE)</f>
        <v>13</v>
      </c>
      <c r="I7212" t="str">
        <v>(</v>
      </c>
      <c r="J7212">
        <f>+J7204</f>
        <v>1.15875</v>
      </c>
      <c r="K7212" t="str">
        <v>+</v>
      </c>
      <c r="L7212">
        <f>MAX(VLOOKUP(F7212,N$6:P$15,3,FALSE)/1000,2/3*D7200/1000)+F$16*F7212/1000</f>
        <v>0.156</v>
      </c>
      <c r="M7212" t="str">
        <v>=</v>
      </c>
      <c r="N7212">
        <f>J7212+L7212</f>
        <v>1.3147499999999999</v>
      </c>
      <c r="O7212" t="str">
        <v>+</v>
      </c>
      <c r="P7212">
        <f>D7212-D7211</f>
        <v>0</v>
      </c>
      <c r="Q7212" t="str">
        <v>x</v>
      </c>
      <c r="R7212">
        <f>IF(P7212&gt;0,$F$18*F7212/1000,0)</f>
        <v>0</v>
      </c>
      <c r="S7212" t="str">
        <v>)</v>
      </c>
      <c r="T7212" t="str">
        <v>x</v>
      </c>
      <c r="U7212">
        <f>0.006165*F7212^2</f>
        <v>1.041885</v>
      </c>
      <c r="X7212" t="str">
        <v>x</v>
      </c>
      <c r="Y7212">
        <f>D7201</f>
        <v>1</v>
      </c>
      <c r="Z7212" t="str">
        <v>=</v>
      </c>
      <c r="AA7212">
        <f>IF(AA7213=0,(D7212*N7212+P7212*R7212)*U7212*Y7212,0)</f>
        <v>0</v>
      </c>
    </row>
    <row r="7213">
      <c r="A7213" t="str">
        <f>A7195</f>
        <v>Lantai Atap</v>
      </c>
      <c r="B7213">
        <f>B7195</f>
        <v>32</v>
      </c>
      <c r="D7213">
        <f>IF(AND(D7210=D7211,D7211=D7212,D7210=D7212),D7210,0)</f>
        <v>3</v>
      </c>
      <c r="E7213" t="str">
        <v>D</v>
      </c>
      <c r="F7213">
        <f>IF(AND(F7210=F7211,F7210=F7212,F7211=F7212),F7210,0)</f>
        <v>13</v>
      </c>
      <c r="L7213" t="str">
        <v>Total panjang per balok</v>
      </c>
      <c r="M7213" t="str">
        <v>=</v>
      </c>
      <c r="N7213">
        <f>IF(AND(D7210=D7211,D7210=D7212,D7211=D7212,F7210=F7211,F7210=F7212,F7211=F7212),SUM(N7210:N7212),0)</f>
        <v>4.947</v>
      </c>
      <c r="O7213" t="str">
        <v>+</v>
      </c>
      <c r="P7213">
        <f>IF(N7213&gt;12,ROUNDDOWN(N7213/12,0),0)</f>
        <v>0</v>
      </c>
      <c r="Q7213" t="str">
        <v>x</v>
      </c>
      <c r="R7213">
        <f>IF(P7213&gt;0,MAX(VLOOKUP(F7213,$D$6:$G$15,3,FALSE),600),0)/1000</f>
        <v>0</v>
      </c>
      <c r="T7213" t="str">
        <v>x</v>
      </c>
      <c r="U7213">
        <f>U7212</f>
        <v>1.041885</v>
      </c>
      <c r="V7213" t="str">
        <v>x</v>
      </c>
      <c r="W7213">
        <f>D7213</f>
        <v>3</v>
      </c>
      <c r="X7213" t="str">
        <v>x</v>
      </c>
      <c r="Y7213">
        <f>Y7212</f>
        <v>1</v>
      </c>
      <c r="Z7213" t="str">
        <v>=</v>
      </c>
      <c r="AA7213">
        <f>(N7213+P7213*R7213/1000)*U7213*W7213*Y7213</f>
        <v>15.462615285</v>
      </c>
    </row>
    <row r="7215">
      <c r="A7215" t="str">
        <f>A7195</f>
        <v>Lantai Atap</v>
      </c>
      <c r="B7215">
        <f>B7195</f>
        <v>32</v>
      </c>
      <c r="C7215" t="str">
        <v>Sengkang Tumpuan</v>
      </c>
      <c r="D7215">
        <f>VLOOKUP(D7195,'Detail Balok'!$C$10:$AU$140,31,FALSE)</f>
        <v>0</v>
      </c>
      <c r="E7215" t="str">
        <v>D</v>
      </c>
      <c r="F7215">
        <f>VLOOKUP(D7195,'Detail Balok'!$C$10:$AU$140,33,FALSE)</f>
        <v>10</v>
      </c>
      <c r="G7215" t="str">
        <v>-</v>
      </c>
      <c r="H7215">
        <f>VLOOKUP(D7195,'Detail Balok'!$C$10:$AU$140,35,FALSE)</f>
        <v>100</v>
      </c>
      <c r="J7215">
        <f>(IF(D7215=0,(2*(D7196+G7196))-(F$5*8),IF(D7215=3,(2*(D7196+G7196))-(F$5*8)+(G7196-2*F$5),IF(D7215=4,(2*(D7196+G7196))-(F$5*8)+2*(G7196-2*F$5)))))/1000</f>
        <v>0.88</v>
      </c>
      <c r="K7215" t="str">
        <v>+</v>
      </c>
      <c r="L7215">
        <f>IF(D7215=0,2*MAX(6*F7215,75),(D7215-1)*2*MAX(6*F7215,75))/1000</f>
        <v>0.15</v>
      </c>
      <c r="M7215" t="str">
        <v>=</v>
      </c>
      <c r="N7215">
        <f>J7215+L7215</f>
        <v>1.03</v>
      </c>
      <c r="T7215" t="str">
        <v>x</v>
      </c>
      <c r="U7215">
        <f>0.006165*F7215^2</f>
        <v>0.6165</v>
      </c>
      <c r="V7215" t="str">
        <v>x</v>
      </c>
      <c r="W7215">
        <f>IF(D7198&gt;4*G7196,ROUND(MAX(D7198/4,2*G7196)/H7215,0)+1,ROUND(D7198/H7215,0)+1)</f>
        <v>13</v>
      </c>
      <c r="X7215" t="str">
        <v>x</v>
      </c>
      <c r="Y7215">
        <f>D7201</f>
        <v>1</v>
      </c>
      <c r="Z7215" t="str">
        <v>=</v>
      </c>
      <c r="AA7215">
        <f>N7215*U7215*W7215*Y7215</f>
        <v>8.254935000000001</v>
      </c>
    </row>
    <row r="7216">
      <c r="A7216" t="str">
        <f>A7195</f>
        <v>Lantai Atap</v>
      </c>
      <c r="B7216">
        <f>B7195</f>
        <v>32</v>
      </c>
      <c r="C7216" t="str">
        <v>Sengkang Lapangan</v>
      </c>
      <c r="D7216">
        <f>VLOOKUP(D7195,'Detail Balok'!$C$10:$AU$140,36,FALSE)</f>
        <v>0</v>
      </c>
      <c r="E7216" t="str">
        <v>D</v>
      </c>
      <c r="F7216">
        <f>VLOOKUP(D7195,'Detail Balok'!$C$10:$AU$140,38,FALSE)</f>
        <v>10</v>
      </c>
      <c r="G7216" t="str">
        <v>-</v>
      </c>
      <c r="H7216">
        <f>VLOOKUP(D7195,'Detail Balok'!$C$10:$AU$140,40,FALSE)</f>
        <v>200</v>
      </c>
      <c r="J7216">
        <f>(IF(D7216=0,(2*(D7196+G7196))-(F$5*8),IF(D7216=3,(2*(D7196+G7196))-(F$5*8)+(G7196-2*F$5),IF(D7216=4,(2*(D7196+G7196))-(F$5*8)+2*(G7196-2*F$5)))))/1000</f>
        <v>0.88</v>
      </c>
      <c r="K7216" t="str">
        <v>+</v>
      </c>
      <c r="L7216">
        <f>IF(D7216=0,2*MAX(6*F7216,75),(D7216-1)*2*MAX(6*F7216,75))/1000</f>
        <v>0.15</v>
      </c>
      <c r="M7216" t="str">
        <v>=</v>
      </c>
      <c r="N7216">
        <f>J7216+L7216</f>
        <v>1.03</v>
      </c>
      <c r="T7216" t="str">
        <v>x</v>
      </c>
      <c r="U7216">
        <f>0.006165*F7216^2</f>
        <v>0.6165</v>
      </c>
      <c r="V7216" t="str">
        <v>x</v>
      </c>
      <c r="W7216">
        <f>IF(D7198-MAX(D7198/4,2*G7196)*2&gt;0,ROUND((D7198-MAX(D7198/4,2*G7196)*2)/H7216,0),0)</f>
        <v>12</v>
      </c>
      <c r="X7216" t="str">
        <v>x</v>
      </c>
      <c r="Y7216">
        <f>D7201</f>
        <v>1</v>
      </c>
      <c r="Z7216" t="str">
        <v>=</v>
      </c>
      <c r="AA7216">
        <f>N7216*U7216*W7216*Y7216</f>
        <v>7.6199400000000015</v>
      </c>
    </row>
    <row r="7217">
      <c r="A7217" t="str">
        <f>A7195</f>
        <v>Lantai Atap</v>
      </c>
      <c r="B7217">
        <f>B7195</f>
        <v>32</v>
      </c>
      <c r="C7217" t="str">
        <v>Sengkang Tumpuan</v>
      </c>
      <c r="D7217">
        <f>VLOOKUP(D7195,'Detail Balok'!$C$10:$AU$140,41,FALSE)</f>
        <v>0</v>
      </c>
      <c r="E7217" t="str">
        <v>D</v>
      </c>
      <c r="F7217">
        <f>VLOOKUP(D7195,'Detail Balok'!$C$10:$AU$140,43,FALSE)</f>
        <v>10</v>
      </c>
      <c r="G7217" t="str">
        <v>-</v>
      </c>
      <c r="H7217">
        <f>VLOOKUP(D7195,'Detail Balok'!$C$10:$AU$140,45,FALSE)</f>
        <v>100</v>
      </c>
      <c r="J7217">
        <f>(IF(D7217=0,(2*(D7196+G7196))-(F$5*8),IF(D7217=3,(2*(D7196+G7196))-(F$5*8)+(G7196-2*F$5),IF(D7217=4,(2*(D7196+G7196))-(F$5*8)+2*(G7196-2*F$5)))))/1000</f>
        <v>0.88</v>
      </c>
      <c r="K7217" t="str">
        <v>+</v>
      </c>
      <c r="L7217">
        <f>IF(D7217=0,2*MAX(6*F7217,75),(D7217-1)*2*MAX(6*F7217,75))/1000</f>
        <v>0.15</v>
      </c>
      <c r="M7217" t="str">
        <v>=</v>
      </c>
      <c r="N7217">
        <f>J7217+L7217</f>
        <v>1.03</v>
      </c>
      <c r="T7217" t="str">
        <v>x</v>
      </c>
      <c r="U7217">
        <f>0.006165*F7217^2</f>
        <v>0.6165</v>
      </c>
      <c r="V7217" t="str">
        <v>x</v>
      </c>
      <c r="W7217">
        <f>IF(D7198&gt;4*G7196,ROUND(MAX(D7198/4,2*G7196)/H7217,0)+1,0)</f>
        <v>13</v>
      </c>
      <c r="X7217" t="str">
        <v>x</v>
      </c>
      <c r="Y7217">
        <f>D7201</f>
        <v>1</v>
      </c>
      <c r="Z7217" t="str">
        <v>=</v>
      </c>
      <c r="AA7217">
        <f>N7217*U7217*W7217*Y7217</f>
        <v>8.254935000000001</v>
      </c>
    </row>
    <row r="7219">
      <c r="A7219" t="str">
        <f>A7195</f>
        <v>Lantai Atap</v>
      </c>
      <c r="B7219">
        <f>B7195</f>
        <v>32</v>
      </c>
      <c r="C7219" t="str">
        <v>Kait Horizontal Tump.</v>
      </c>
      <c r="D7219">
        <f>VLOOKUP(D7195,'Detail Balok'!$C$10:$BJ$140,46,FALSE)</f>
        <v>0</v>
      </c>
      <c r="E7219" t="str">
        <v>D</v>
      </c>
      <c r="F7219">
        <f>VLOOKUP(D7195,'Detail Balok'!$C$10:$BJ$140,48,FALSE)</f>
        <v>0</v>
      </c>
      <c r="G7219" t="str">
        <v>-</v>
      </c>
      <c r="H7219">
        <f>VLOOKUP(D7195,'Detail Balok'!$C$10:$BJ$140,50,FALSE)</f>
        <v>100</v>
      </c>
      <c r="J7219">
        <f>(D7196-2*F$5)/1000</f>
        <v>0.12</v>
      </c>
      <c r="K7219" t="str">
        <v>+</v>
      </c>
      <c r="L7219">
        <f>IF(D7219=0,2*MAX(6*F7219,75),(D7219-1)*2*MAX(6*F7219,75))/1000</f>
        <v>0.15</v>
      </c>
      <c r="M7219" t="str">
        <v>=</v>
      </c>
      <c r="N7219">
        <f>J7219+L7219</f>
        <v>0.27</v>
      </c>
      <c r="T7219" t="str">
        <v>x</v>
      </c>
      <c r="U7219">
        <f>0.006165*F7219^2</f>
        <v>0</v>
      </c>
      <c r="V7219" t="str">
        <v>x</v>
      </c>
      <c r="W7219">
        <f>W7215</f>
        <v>13</v>
      </c>
      <c r="X7219" t="str">
        <v>x</v>
      </c>
      <c r="Y7219">
        <f>D7205</f>
        <v>3</v>
      </c>
      <c r="Z7219" t="str">
        <v>=</v>
      </c>
      <c r="AA7219">
        <f>N7219*U7219*W7219*Y7219</f>
        <v>0</v>
      </c>
    </row>
    <row r="7220">
      <c r="A7220" t="str">
        <f>A7195</f>
        <v>Lantai Atap</v>
      </c>
      <c r="B7220">
        <f>B7195</f>
        <v>32</v>
      </c>
      <c r="C7220" t="str">
        <v>Kait Horizontal Lap.</v>
      </c>
      <c r="D7220">
        <f>VLOOKUP(D7195,'Detail Balok'!$C$10:$BJ$140,51,FALSE)</f>
        <v>0</v>
      </c>
      <c r="E7220" t="str">
        <v>D</v>
      </c>
      <c r="F7220">
        <f>VLOOKUP(D7195,'Detail Balok'!$C$10:$BJ$140,53,FALSE)</f>
        <v>0</v>
      </c>
      <c r="G7220" t="str">
        <v>-</v>
      </c>
      <c r="H7220">
        <f>VLOOKUP(D7195,'Detail Balok'!$C$10:$BJ$140,55,FALSE)</f>
        <v>100</v>
      </c>
      <c r="J7220">
        <f>(D7196-2*F$5)/1000</f>
        <v>0.12</v>
      </c>
      <c r="K7220" t="str">
        <v>+</v>
      </c>
      <c r="L7220">
        <f>IF(D7220=0,2*MAX(6*F7220,75),(D7220-1)*2*MAX(6*F7220,75))/1000</f>
        <v>0.15</v>
      </c>
      <c r="M7220" t="str">
        <v>=</v>
      </c>
      <c r="N7220">
        <f>J7220+L7220</f>
        <v>0.27</v>
      </c>
      <c r="T7220" t="str">
        <v>x</v>
      </c>
      <c r="U7220">
        <f>0.006165*F7220^2</f>
        <v>0</v>
      </c>
      <c r="V7220" t="str">
        <v>x</v>
      </c>
      <c r="W7220">
        <f>W7216</f>
        <v>12</v>
      </c>
      <c r="X7220" t="str">
        <v>x</v>
      </c>
      <c r="Y7220">
        <f>D7205</f>
        <v>3</v>
      </c>
      <c r="Z7220" t="str">
        <v>=</v>
      </c>
      <c r="AA7220">
        <f>N7220*U7220*W7220*Y7220</f>
        <v>0</v>
      </c>
    </row>
    <row r="7221">
      <c r="A7221" t="str">
        <f>A7195</f>
        <v>Lantai Atap</v>
      </c>
      <c r="B7221">
        <f>B7195</f>
        <v>32</v>
      </c>
      <c r="C7221" t="str">
        <v>Kait Horizontal Tump.</v>
      </c>
      <c r="D7221">
        <f>VLOOKUP(D7195,'Detail Balok'!$C$10:$BJ$140,56,FALSE)</f>
        <v>0</v>
      </c>
      <c r="E7221" t="str">
        <v>D</v>
      </c>
      <c r="F7221">
        <f>VLOOKUP(D7195,'Detail Balok'!$C$10:$BJ$140,58,FALSE)</f>
        <v>0</v>
      </c>
      <c r="G7221" t="str">
        <v>-</v>
      </c>
      <c r="H7221">
        <f>VLOOKUP(D7195,'Detail Balok'!$C$10:$BJ$140,60,FALSE)</f>
        <v>100</v>
      </c>
      <c r="J7221">
        <f>(D7196-2*F$5)/1000</f>
        <v>0.12</v>
      </c>
      <c r="K7221" t="str">
        <v>+</v>
      </c>
      <c r="L7221">
        <f>IF(D7221=0,2*MAX(6*F7221,75),(D7221-1)*2*MAX(6*F7221,75))/1000</f>
        <v>0.15</v>
      </c>
      <c r="M7221" t="str">
        <v>=</v>
      </c>
      <c r="N7221">
        <f>J7221+L7221</f>
        <v>0.27</v>
      </c>
      <c r="T7221" t="str">
        <v>x</v>
      </c>
      <c r="U7221">
        <f>0.006165*F7221^2</f>
        <v>0</v>
      </c>
      <c r="V7221" t="str">
        <v>x</v>
      </c>
      <c r="W7221">
        <f>W7217</f>
        <v>13</v>
      </c>
      <c r="X7221" t="str">
        <v>x</v>
      </c>
      <c r="Y7221">
        <f>D7205</f>
        <v>3</v>
      </c>
      <c r="Z7221" t="str">
        <v>=</v>
      </c>
      <c r="AA7221">
        <f>N7221*U7221*W7221*Y7221</f>
        <v>0</v>
      </c>
    </row>
    <row r="7225">
      <c r="A7225" t="str">
        <f>A7195</f>
        <v>Lantai Atap</v>
      </c>
      <c r="B7225">
        <f>B7195+1</f>
        <v>33</v>
      </c>
      <c r="C7225" t="str">
        <f>CONCATENATE(A7225," no. ",B7225)</f>
        <v>Lantai Atap no. 33</v>
      </c>
      <c r="D7225" t="str">
        <f>VLOOKUP(C7225,'Data Panjang Balok'!$C$9:$N$254,2,FALSE)</f>
        <v>B24-1</v>
      </c>
    </row>
    <row r="7226">
      <c r="C7226" t="str">
        <v>Dimensi</v>
      </c>
      <c r="D7226">
        <f>VLOOKUP(D7225,'Detail Balok'!$C$10:$AU$140,2,FALSE)</f>
        <v>200</v>
      </c>
      <c r="F7226" t="str">
        <v>x</v>
      </c>
      <c r="G7226">
        <f>VLOOKUP(D7225,'Detail Balok'!$C$10:$AU$140,3,FALSE)</f>
        <v>400</v>
      </c>
    </row>
    <row r="7227">
      <c r="C7227" t="str">
        <v>Panjang as ke as</v>
      </c>
      <c r="D7227">
        <f>VLOOKUP(C7225,'Data Panjang Balok'!$C$9:$N$254,4,FALSE)</f>
        <v>5905</v>
      </c>
    </row>
    <row r="7228">
      <c r="C7228" t="str">
        <v>Panjang netto</v>
      </c>
      <c r="D7228">
        <f>VLOOKUP(C7225,'Data Panjang Balok'!$C$9:$N$254,7,FALSE)</f>
        <v>5905</v>
      </c>
    </row>
    <row r="7229">
      <c r="C7229" t="str">
        <v>Kolom / balok kiri</v>
      </c>
      <c r="D7229">
        <f>VLOOKUP(C7225,'Data Panjang Balok'!$C$9:$N$254,9,FALSE)</f>
        <v>0</v>
      </c>
    </row>
    <row r="7230">
      <c r="C7230" t="str">
        <v>Kolom / balok kanan</v>
      </c>
      <c r="D7230">
        <f>VLOOKUP(C7225,'Data Panjang Balok'!$C$9:$N$254,10,FALSE)</f>
        <v>0</v>
      </c>
    </row>
    <row r="7231">
      <c r="C7231" t="str">
        <v>Jumlah</v>
      </c>
      <c r="D7231">
        <f>VLOOKUP(C7225,'Data Panjang Balok'!$C$9:$N$254,3,FALSE)</f>
        <v>1</v>
      </c>
    </row>
    <row r="7232">
      <c r="A7232" t="str">
        <f>A7225</f>
        <v>Lantai Atap</v>
      </c>
      <c r="B7232">
        <f>B7225</f>
        <v>33</v>
      </c>
      <c r="C7232" t="str">
        <v>Tul Atas Tumpuan</v>
      </c>
      <c r="D7232">
        <f>VLOOKUP(D7225,'Detail Balok'!$C$10:$AU$140,4,FALSE)</f>
        <v>3</v>
      </c>
      <c r="E7232" t="str">
        <v>D</v>
      </c>
      <c r="F7232">
        <f>VLOOKUP(D7225,'Detail Balok'!$C$10:$AU$140,6,FALSE)</f>
        <v>13</v>
      </c>
      <c r="I7232" t="str">
        <v>(</v>
      </c>
      <c r="J7232">
        <f>+D7227/4/1000</f>
        <v>1.47625</v>
      </c>
      <c r="K7232" t="str">
        <v>+</v>
      </c>
      <c r="L7232">
        <f>MAX(VLOOKUP(F7232,N$6:P$15,3,FALSE)/1000,2/3*D7229/1000)+F$16*F7232/1000</f>
        <v>0.156</v>
      </c>
      <c r="M7232" t="str">
        <v>=</v>
      </c>
      <c r="N7232">
        <f>J7232+L7232</f>
        <v>1.63225</v>
      </c>
      <c r="O7232" t="str">
        <v>+</v>
      </c>
      <c r="P7232">
        <f>D7232-D7233</f>
        <v>0</v>
      </c>
      <c r="Q7232" t="str">
        <v>x</v>
      </c>
      <c r="R7232">
        <f>IF(P7232&gt;0,$F$18*F7232/1000,0)</f>
        <v>0</v>
      </c>
      <c r="S7232" t="str">
        <v>)</v>
      </c>
      <c r="T7232" t="str">
        <v>x</v>
      </c>
      <c r="U7232">
        <f>0.006165*F7232^2</f>
        <v>1.041885</v>
      </c>
      <c r="X7232" t="str">
        <v>x</v>
      </c>
      <c r="Y7232">
        <f>D7231</f>
        <v>1</v>
      </c>
      <c r="Z7232" t="str">
        <v>=</v>
      </c>
      <c r="AA7232">
        <f>IF(AA7235=0,(D7232*N7232+P7232*R7232)*U7232*Y7232,0)</f>
        <v>0</v>
      </c>
    </row>
    <row r="7233">
      <c r="A7233" t="str">
        <f>A7225</f>
        <v>Lantai Atap</v>
      </c>
      <c r="B7233">
        <f>B7225</f>
        <v>33</v>
      </c>
      <c r="C7233" t="str">
        <v>Tul Atas Lapangan</v>
      </c>
      <c r="D7233">
        <f>VLOOKUP(D7225,'Detail Balok'!$C$10:$AU$140,7,FALSE)</f>
        <v>3</v>
      </c>
      <c r="E7233" t="str">
        <v>D</v>
      </c>
      <c r="F7233">
        <f>VLOOKUP(D7225,'Detail Balok'!$C$10:$AU$140,9,FALSE)</f>
        <v>13</v>
      </c>
      <c r="I7233" t="str">
        <v>(</v>
      </c>
      <c r="J7233">
        <f>+D7227/2/1000</f>
        <v>2.9525</v>
      </c>
      <c r="K7233" t="str">
        <v>+</v>
      </c>
      <c r="M7233" t="str">
        <v>=</v>
      </c>
      <c r="N7233">
        <f>J7233+L7233</f>
        <v>2.9525</v>
      </c>
      <c r="O7233" t="str">
        <v>+</v>
      </c>
      <c r="P7233">
        <f>MAX(D7233-D7232,D7233-D7234)</f>
        <v>0</v>
      </c>
      <c r="Q7233" t="str">
        <v>x</v>
      </c>
      <c r="R7233">
        <f>IF(P7233&gt;0,2*(1-2*$F$19-1/2)*D7228/1000,0)</f>
        <v>0</v>
      </c>
      <c r="S7233" t="str">
        <v>)</v>
      </c>
      <c r="T7233" t="str">
        <v>x</v>
      </c>
      <c r="U7233">
        <f>0.006165*F7233^2</f>
        <v>1.041885</v>
      </c>
      <c r="X7233" t="str">
        <v>x</v>
      </c>
      <c r="Y7233">
        <f>D7231</f>
        <v>1</v>
      </c>
      <c r="Z7233" t="str">
        <v>=</v>
      </c>
      <c r="AA7233">
        <f>IF(AA7235=0,(D7233*N7233+P7233*R7233)*U7233*Y7233,0)</f>
        <v>0</v>
      </c>
    </row>
    <row r="7234">
      <c r="A7234" t="str">
        <f>A7225</f>
        <v>Lantai Atap</v>
      </c>
      <c r="B7234">
        <f>B7225</f>
        <v>33</v>
      </c>
      <c r="C7234" t="str">
        <v>Tul Atas Tumpuan</v>
      </c>
      <c r="D7234">
        <f>VLOOKUP(D7225,'Detail Balok'!$C$10:$AU$140,10,FALSE)</f>
        <v>3</v>
      </c>
      <c r="E7234" t="str">
        <v>D</v>
      </c>
      <c r="F7234">
        <f>VLOOKUP(D7225,'Detail Balok'!$C$10:$AU$140,12,FALSE)</f>
        <v>13</v>
      </c>
      <c r="I7234" t="str">
        <v>(</v>
      </c>
      <c r="J7234">
        <f>+D7227/4/1000</f>
        <v>1.47625</v>
      </c>
      <c r="K7234" t="str">
        <v>+</v>
      </c>
      <c r="L7234">
        <f>MAX(VLOOKUP(F7234,N$6:P$15,3,FALSE)/1000,2/3*D7229/1000)+F$16*F7234/1000</f>
        <v>0.156</v>
      </c>
      <c r="M7234" t="str">
        <v>=</v>
      </c>
      <c r="N7234">
        <f>J7234+L7234</f>
        <v>1.63225</v>
      </c>
      <c r="O7234" t="str">
        <v>+</v>
      </c>
      <c r="P7234">
        <f>D7234-D7233</f>
        <v>0</v>
      </c>
      <c r="Q7234" t="str">
        <v>x</v>
      </c>
      <c r="R7234">
        <f>IF(P7234&gt;0,$F$18*F7234/1000,0)</f>
        <v>0</v>
      </c>
      <c r="S7234" t="str">
        <v>)</v>
      </c>
      <c r="T7234" t="str">
        <v>x</v>
      </c>
      <c r="U7234">
        <f>0.006165*F7234^2</f>
        <v>1.041885</v>
      </c>
      <c r="X7234" t="str">
        <v>x</v>
      </c>
      <c r="Y7234">
        <f>D7231</f>
        <v>1</v>
      </c>
      <c r="Z7234" t="str">
        <v>=</v>
      </c>
      <c r="AA7234">
        <f>IF(AA7235=0,(D7234*N7234+P7234*R7234)*U7234*Y7234,0)</f>
        <v>0</v>
      </c>
    </row>
    <row r="7235">
      <c r="A7235" t="str">
        <f>A7225</f>
        <v>Lantai Atap</v>
      </c>
      <c r="B7235">
        <f>B7225</f>
        <v>33</v>
      </c>
      <c r="D7235">
        <f>IF(AND(D7232=D7233,D7233=D7234,D7232=D7234),D7232,0)</f>
        <v>3</v>
      </c>
      <c r="E7235" t="str">
        <v>D</v>
      </c>
      <c r="F7235">
        <f>IF(AND(F7232=F7233,F7232=F7234,F7233=F7234),F7232,0)</f>
        <v>13</v>
      </c>
      <c r="L7235" t="str">
        <v>Total panjang per balok</v>
      </c>
      <c r="M7235" t="str">
        <v>=</v>
      </c>
      <c r="N7235">
        <f>IF(AND(D7232=D7233,D7232=D7234,D7233=D7234,F7232=F7233,F7232=F7234,F7233=F7234),SUM(N7232:N7234),0)</f>
        <v>6.217</v>
      </c>
      <c r="O7235" t="str">
        <v>+</v>
      </c>
      <c r="P7235">
        <f>IF(N7235&gt;12,ROUNDDOWN(N7235/12,0),0)</f>
        <v>0</v>
      </c>
      <c r="Q7235" t="str">
        <v>x</v>
      </c>
      <c r="R7235">
        <f>IF(P7235&gt;0,MAX(VLOOKUP(F7235,$D$6:$G$15,3,FALSE),600),0)/1000</f>
        <v>0</v>
      </c>
      <c r="T7235" t="str">
        <v>x</v>
      </c>
      <c r="U7235">
        <f>U7234</f>
        <v>1.041885</v>
      </c>
      <c r="V7235" t="str">
        <v>x</v>
      </c>
      <c r="W7235">
        <f>D7235</f>
        <v>3</v>
      </c>
      <c r="X7235" t="str">
        <v>x</v>
      </c>
      <c r="Y7235">
        <f>Y7234</f>
        <v>1</v>
      </c>
      <c r="Z7235" t="str">
        <v>=</v>
      </c>
      <c r="AA7235">
        <f>(N7235+P7235*R7235/1000)*U7235*W7235*Y7235</f>
        <v>19.432197135</v>
      </c>
    </row>
    <row r="7237">
      <c r="A7237" t="str">
        <f>A7225</f>
        <v>Lantai Atap</v>
      </c>
      <c r="B7237">
        <f>B7225</f>
        <v>33</v>
      </c>
      <c r="C7237" t="str">
        <v>Tul Peminggang</v>
      </c>
      <c r="D7237">
        <f>VLOOKUP(D7225,'Detail Balok'!$C$10:$AU$140,13,FALSE)</f>
        <v>0</v>
      </c>
      <c r="E7237" t="str">
        <v>D</v>
      </c>
      <c r="F7237">
        <f>VLOOKUP(D7225,'Detail Balok'!$C$10:$AU$140,15,FALSE)</f>
        <v>8</v>
      </c>
      <c r="J7237">
        <f>+D7227/1000</f>
        <v>5.905</v>
      </c>
      <c r="K7237" t="str">
        <v>+</v>
      </c>
      <c r="L7237">
        <f>2*$F$16*F7237/1000</f>
        <v>0.192</v>
      </c>
      <c r="M7237" t="str">
        <v>=</v>
      </c>
      <c r="N7237">
        <f>J7237+L7237</f>
        <v>6.097</v>
      </c>
      <c r="O7237" t="str">
        <v>+</v>
      </c>
      <c r="P7237">
        <f>IF(N7237&gt;12,ROUNDDOWN(N7237/12,0),0)</f>
        <v>0</v>
      </c>
      <c r="Q7237" t="str">
        <v>x</v>
      </c>
      <c r="R7237">
        <f>IF(P7237&gt;0,MAX(VLOOKUP(F7237,$D$6:$G$15,3,FALSE),600),0)/1000</f>
        <v>0</v>
      </c>
      <c r="T7237" t="str">
        <v>x</v>
      </c>
      <c r="U7237">
        <f>0.006165*F7237^2</f>
        <v>0.39456</v>
      </c>
      <c r="V7237" t="str">
        <v>x</v>
      </c>
      <c r="W7237">
        <f>+D7237</f>
        <v>0</v>
      </c>
      <c r="X7237" t="str">
        <v>x</v>
      </c>
      <c r="Y7237">
        <f>D7231</f>
        <v>1</v>
      </c>
      <c r="Z7237" t="str">
        <v>=</v>
      </c>
      <c r="AA7237">
        <f>(N7237+P7237*R7237/1000)*U7237*W7237*Y7237</f>
        <v>0</v>
      </c>
    </row>
    <row r="7240">
      <c r="A7240" t="str">
        <f>A7225</f>
        <v>Lantai Atap</v>
      </c>
      <c r="B7240">
        <f>B7225</f>
        <v>33</v>
      </c>
      <c r="C7240" t="str">
        <v>Tul Bawah Tumpuan</v>
      </c>
      <c r="D7240">
        <f>VLOOKUP(D7225,'Detail Balok'!$C$10:$AU$140,22,FALSE)</f>
        <v>3</v>
      </c>
      <c r="E7240" t="str">
        <v>D</v>
      </c>
      <c r="F7240">
        <f>VLOOKUP(D7225,'Detail Balok'!$C$10:$AU$140,24,FALSE)</f>
        <v>13</v>
      </c>
      <c r="I7240" t="str">
        <v>(</v>
      </c>
      <c r="J7240">
        <f>+J7232</f>
        <v>1.47625</v>
      </c>
      <c r="K7240" t="str">
        <v>+</v>
      </c>
      <c r="L7240">
        <f>MAX(VLOOKUP(F7240,N$6:P$15,3,FALSE)/1000,2/3*D7230/1000)+F$16*F7240/1000</f>
        <v>0.156</v>
      </c>
      <c r="M7240" t="str">
        <v>=</v>
      </c>
      <c r="N7240">
        <f>J7240+L7240</f>
        <v>1.63225</v>
      </c>
      <c r="O7240" t="str">
        <v>+</v>
      </c>
      <c r="P7240">
        <f>D7240-D7241</f>
        <v>0</v>
      </c>
      <c r="Q7240" t="str">
        <v>x</v>
      </c>
      <c r="R7240">
        <f>IF(P7240&gt;0,$F$18*F7240/1000,0)</f>
        <v>0</v>
      </c>
      <c r="S7240" t="str">
        <v>)</v>
      </c>
      <c r="T7240" t="str">
        <v>x</v>
      </c>
      <c r="U7240">
        <f>0.006165*F7240^2</f>
        <v>1.041885</v>
      </c>
      <c r="X7240" t="str">
        <v>x</v>
      </c>
      <c r="Y7240">
        <f>D7231</f>
        <v>1</v>
      </c>
      <c r="Z7240" t="str">
        <v>=</v>
      </c>
      <c r="AA7240">
        <f>IF(AA7243=0,(D7240*N7240+P7240*R7240)*U7240*Y7240,0)</f>
        <v>0</v>
      </c>
    </row>
    <row r="7241">
      <c r="A7241" t="str">
        <f>A7225</f>
        <v>Lantai Atap</v>
      </c>
      <c r="B7241">
        <f>B7225</f>
        <v>33</v>
      </c>
      <c r="C7241" t="str">
        <v>Tul Bawah Lapangan</v>
      </c>
      <c r="D7241">
        <f>VLOOKUP(D7225,'Detail Balok'!$C$10:$AU$140,25,FALSE)</f>
        <v>3</v>
      </c>
      <c r="E7241" t="str">
        <v>D</v>
      </c>
      <c r="F7241">
        <f>VLOOKUP(D7225,'Detail Balok'!$C$10:$AU$140,27,FALSE)</f>
        <v>13</v>
      </c>
      <c r="I7241" t="str">
        <v>(</v>
      </c>
      <c r="J7241">
        <f>+J7233</f>
        <v>2.9525</v>
      </c>
      <c r="K7241" t="str">
        <v>+</v>
      </c>
      <c r="M7241" t="str">
        <v>=</v>
      </c>
      <c r="N7241">
        <f>J7241+L7241</f>
        <v>2.9525</v>
      </c>
      <c r="O7241" t="str">
        <v>+</v>
      </c>
      <c r="P7241">
        <f>MAX(D7241-D7240,D7241-D7242)</f>
        <v>0</v>
      </c>
      <c r="Q7241" t="str">
        <v>x</v>
      </c>
      <c r="R7241">
        <f>IF(P7241&gt;0,2*(1-2*$F$19-1/2)*D7228/1000,0)</f>
        <v>0</v>
      </c>
      <c r="S7241" t="str">
        <v>)</v>
      </c>
      <c r="T7241" t="str">
        <v>x</v>
      </c>
      <c r="U7241">
        <f>0.006165*F7241^2</f>
        <v>1.041885</v>
      </c>
      <c r="X7241" t="str">
        <v>x</v>
      </c>
      <c r="Y7241">
        <f>D7231</f>
        <v>1</v>
      </c>
      <c r="Z7241" t="str">
        <v>=</v>
      </c>
      <c r="AA7241">
        <f>IF(AA7243=0,(D7241*N7241+P7241*R7241)*U7241*Y7241,0)</f>
        <v>0</v>
      </c>
    </row>
    <row r="7242">
      <c r="A7242" t="str">
        <f>A7225</f>
        <v>Lantai Atap</v>
      </c>
      <c r="B7242">
        <f>B7225</f>
        <v>33</v>
      </c>
      <c r="C7242" t="str">
        <v>Tul Bawah Tumpuan</v>
      </c>
      <c r="D7242">
        <f>VLOOKUP(D7225,'Detail Balok'!$C$10:$AU$140,28,FALSE)</f>
        <v>3</v>
      </c>
      <c r="E7242" t="str">
        <v>D</v>
      </c>
      <c r="F7242">
        <f>VLOOKUP(D7225,'Detail Balok'!$C$10:$AU$140,30,FALSE)</f>
        <v>13</v>
      </c>
      <c r="I7242" t="str">
        <v>(</v>
      </c>
      <c r="J7242">
        <f>+J7234</f>
        <v>1.47625</v>
      </c>
      <c r="K7242" t="str">
        <v>+</v>
      </c>
      <c r="L7242">
        <f>MAX(VLOOKUP(F7242,N$6:P$15,3,FALSE)/1000,2/3*D7230/1000)+F$16*F7242/1000</f>
        <v>0.156</v>
      </c>
      <c r="M7242" t="str">
        <v>=</v>
      </c>
      <c r="N7242">
        <f>J7242+L7242</f>
        <v>1.63225</v>
      </c>
      <c r="O7242" t="str">
        <v>+</v>
      </c>
      <c r="P7242">
        <f>D7242-D7241</f>
        <v>0</v>
      </c>
      <c r="Q7242" t="str">
        <v>x</v>
      </c>
      <c r="R7242">
        <f>IF(P7242&gt;0,$F$18*F7242/1000,0)</f>
        <v>0</v>
      </c>
      <c r="S7242" t="str">
        <v>)</v>
      </c>
      <c r="T7242" t="str">
        <v>x</v>
      </c>
      <c r="U7242">
        <f>0.006165*F7242^2</f>
        <v>1.041885</v>
      </c>
      <c r="X7242" t="str">
        <v>x</v>
      </c>
      <c r="Y7242">
        <f>D7231</f>
        <v>1</v>
      </c>
      <c r="Z7242" t="str">
        <v>=</v>
      </c>
      <c r="AA7242">
        <f>IF(AA7243=0,(D7242*N7242+P7242*R7242)*U7242*Y7242,0)</f>
        <v>0</v>
      </c>
    </row>
    <row r="7243">
      <c r="A7243" t="str">
        <f>A7225</f>
        <v>Lantai Atap</v>
      </c>
      <c r="B7243">
        <f>B7225</f>
        <v>33</v>
      </c>
      <c r="D7243">
        <f>IF(AND(D7240=D7241,D7241=D7242,D7240=D7242),D7240,0)</f>
        <v>3</v>
      </c>
      <c r="E7243" t="str">
        <v>D</v>
      </c>
      <c r="F7243">
        <f>IF(AND(F7240=F7241,F7240=F7242,F7241=F7242),F7240,0)</f>
        <v>13</v>
      </c>
      <c r="L7243" t="str">
        <v>Total panjang per balok</v>
      </c>
      <c r="M7243" t="str">
        <v>=</v>
      </c>
      <c r="N7243">
        <f>IF(AND(D7240=D7241,D7240=D7242,D7241=D7242,F7240=F7241,F7240=F7242,F7241=F7242),SUM(N7240:N7242),0)</f>
        <v>6.217</v>
      </c>
      <c r="O7243" t="str">
        <v>+</v>
      </c>
      <c r="P7243">
        <f>IF(N7243&gt;12,ROUNDDOWN(N7243/12,0),0)</f>
        <v>0</v>
      </c>
      <c r="Q7243" t="str">
        <v>x</v>
      </c>
      <c r="R7243">
        <f>IF(P7243&gt;0,MAX(VLOOKUP(F7243,$D$6:$G$15,3,FALSE),600),0)/1000</f>
        <v>0</v>
      </c>
      <c r="T7243" t="str">
        <v>x</v>
      </c>
      <c r="U7243">
        <f>U7242</f>
        <v>1.041885</v>
      </c>
      <c r="V7243" t="str">
        <v>x</v>
      </c>
      <c r="W7243">
        <f>D7243</f>
        <v>3</v>
      </c>
      <c r="X7243" t="str">
        <v>x</v>
      </c>
      <c r="Y7243">
        <f>Y7242</f>
        <v>1</v>
      </c>
      <c r="Z7243" t="str">
        <v>=</v>
      </c>
      <c r="AA7243">
        <f>(N7243+P7243*R7243/1000)*U7243*W7243*Y7243</f>
        <v>19.432197135</v>
      </c>
    </row>
    <row r="7245">
      <c r="A7245" t="str">
        <f>A7225</f>
        <v>Lantai Atap</v>
      </c>
      <c r="B7245">
        <f>B7225</f>
        <v>33</v>
      </c>
      <c r="C7245" t="str">
        <v>Sengkang Tumpuan</v>
      </c>
      <c r="D7245">
        <f>VLOOKUP(D7225,'Detail Balok'!$C$10:$AU$140,31,FALSE)</f>
        <v>0</v>
      </c>
      <c r="E7245" t="str">
        <v>D</v>
      </c>
      <c r="F7245">
        <f>VLOOKUP(D7225,'Detail Balok'!$C$10:$AU$140,33,FALSE)</f>
        <v>10</v>
      </c>
      <c r="G7245" t="str">
        <v>-</v>
      </c>
      <c r="H7245">
        <f>VLOOKUP(D7225,'Detail Balok'!$C$10:$AU$140,35,FALSE)</f>
        <v>100</v>
      </c>
      <c r="J7245">
        <f>(IF(D7245=0,(2*(D7226+G7226))-(F$5*8),IF(D7245=3,(2*(D7226+G7226))-(F$5*8)+(G7226-2*F$5),IF(D7245=4,(2*(D7226+G7226))-(F$5*8)+2*(G7226-2*F$5)))))/1000</f>
        <v>0.88</v>
      </c>
      <c r="K7245" t="str">
        <v>+</v>
      </c>
      <c r="L7245">
        <f>IF(D7245=0,2*MAX(6*F7245,75),(D7245-1)*2*MAX(6*F7245,75))/1000</f>
        <v>0.15</v>
      </c>
      <c r="M7245" t="str">
        <v>=</v>
      </c>
      <c r="N7245">
        <f>J7245+L7245</f>
        <v>1.03</v>
      </c>
      <c r="T7245" t="str">
        <v>x</v>
      </c>
      <c r="U7245">
        <f>0.006165*F7245^2</f>
        <v>0.6165</v>
      </c>
      <c r="V7245" t="str">
        <v>x</v>
      </c>
      <c r="W7245">
        <f>IF(D7228&gt;4*G7226,ROUND(MAX(D7228/4,2*G7226)/H7245,0)+1,ROUND(D7228/H7245,0)+1)</f>
        <v>16</v>
      </c>
      <c r="X7245" t="str">
        <v>x</v>
      </c>
      <c r="Y7245">
        <f>D7231</f>
        <v>1</v>
      </c>
      <c r="Z7245" t="str">
        <v>=</v>
      </c>
      <c r="AA7245">
        <f>N7245*U7245*W7245*Y7245</f>
        <v>10.159920000000001</v>
      </c>
    </row>
    <row r="7246">
      <c r="A7246" t="str">
        <f>A7225</f>
        <v>Lantai Atap</v>
      </c>
      <c r="B7246">
        <f>B7225</f>
        <v>33</v>
      </c>
      <c r="C7246" t="str">
        <v>Sengkang Lapangan</v>
      </c>
      <c r="D7246">
        <f>VLOOKUP(D7225,'Detail Balok'!$C$10:$AU$140,36,FALSE)</f>
        <v>0</v>
      </c>
      <c r="E7246" t="str">
        <v>D</v>
      </c>
      <c r="F7246">
        <f>VLOOKUP(D7225,'Detail Balok'!$C$10:$AU$140,38,FALSE)</f>
        <v>10</v>
      </c>
      <c r="G7246" t="str">
        <v>-</v>
      </c>
      <c r="H7246">
        <f>VLOOKUP(D7225,'Detail Balok'!$C$10:$AU$140,40,FALSE)</f>
        <v>200</v>
      </c>
      <c r="J7246">
        <f>(IF(D7246=0,(2*(D7226+G7226))-(F$5*8),IF(D7246=3,(2*(D7226+G7226))-(F$5*8)+(G7226-2*F$5),IF(D7246=4,(2*(D7226+G7226))-(F$5*8)+2*(G7226-2*F$5)))))/1000</f>
        <v>0.88</v>
      </c>
      <c r="K7246" t="str">
        <v>+</v>
      </c>
      <c r="L7246">
        <f>IF(D7246=0,2*MAX(6*F7246,75),(D7246-1)*2*MAX(6*F7246,75))/1000</f>
        <v>0.15</v>
      </c>
      <c r="M7246" t="str">
        <v>=</v>
      </c>
      <c r="N7246">
        <f>J7246+L7246</f>
        <v>1.03</v>
      </c>
      <c r="T7246" t="str">
        <v>x</v>
      </c>
      <c r="U7246">
        <f>0.006165*F7246^2</f>
        <v>0.6165</v>
      </c>
      <c r="V7246" t="str">
        <v>x</v>
      </c>
      <c r="W7246">
        <f>IF(D7228-MAX(D7228/4,2*G7226)*2&gt;0,ROUND((D7228-MAX(D7228/4,2*G7226)*2)/H7246,0),0)</f>
        <v>15</v>
      </c>
      <c r="X7246" t="str">
        <v>x</v>
      </c>
      <c r="Y7246">
        <f>D7231</f>
        <v>1</v>
      </c>
      <c r="Z7246" t="str">
        <v>=</v>
      </c>
      <c r="AA7246">
        <f>N7246*U7246*W7246*Y7246</f>
        <v>9.524925000000001</v>
      </c>
    </row>
    <row r="7247">
      <c r="A7247" t="str">
        <f>A7225</f>
        <v>Lantai Atap</v>
      </c>
      <c r="B7247">
        <f>B7225</f>
        <v>33</v>
      </c>
      <c r="C7247" t="str">
        <v>Sengkang Tumpuan</v>
      </c>
      <c r="D7247">
        <f>VLOOKUP(D7225,'Detail Balok'!$C$10:$AU$140,41,FALSE)</f>
        <v>0</v>
      </c>
      <c r="E7247" t="str">
        <v>D</v>
      </c>
      <c r="F7247">
        <f>VLOOKUP(D7225,'Detail Balok'!$C$10:$AU$140,43,FALSE)</f>
        <v>10</v>
      </c>
      <c r="G7247" t="str">
        <v>-</v>
      </c>
      <c r="H7247">
        <f>VLOOKUP(D7225,'Detail Balok'!$C$10:$AU$140,45,FALSE)</f>
        <v>100</v>
      </c>
      <c r="J7247">
        <f>(IF(D7247=0,(2*(D7226+G7226))-(F$5*8),IF(D7247=3,(2*(D7226+G7226))-(F$5*8)+(G7226-2*F$5),IF(D7247=4,(2*(D7226+G7226))-(F$5*8)+2*(G7226-2*F$5)))))/1000</f>
        <v>0.88</v>
      </c>
      <c r="K7247" t="str">
        <v>+</v>
      </c>
      <c r="L7247">
        <f>IF(D7247=0,2*MAX(6*F7247,75),(D7247-1)*2*MAX(6*F7247,75))/1000</f>
        <v>0.15</v>
      </c>
      <c r="M7247" t="str">
        <v>=</v>
      </c>
      <c r="N7247">
        <f>J7247+L7247</f>
        <v>1.03</v>
      </c>
      <c r="T7247" t="str">
        <v>x</v>
      </c>
      <c r="U7247">
        <f>0.006165*F7247^2</f>
        <v>0.6165</v>
      </c>
      <c r="V7247" t="str">
        <v>x</v>
      </c>
      <c r="W7247">
        <f>IF(D7228&gt;4*G7226,ROUND(MAX(D7228/4,2*G7226)/H7247,0)+1,0)</f>
        <v>16</v>
      </c>
      <c r="X7247" t="str">
        <v>x</v>
      </c>
      <c r="Y7247">
        <f>D7231</f>
        <v>1</v>
      </c>
      <c r="Z7247" t="str">
        <v>=</v>
      </c>
      <c r="AA7247">
        <f>N7247*U7247*W7247*Y7247</f>
        <v>10.159920000000001</v>
      </c>
    </row>
    <row r="7249">
      <c r="A7249" t="str">
        <f>A7225</f>
        <v>Lantai Atap</v>
      </c>
      <c r="B7249">
        <f>B7225</f>
        <v>33</v>
      </c>
      <c r="C7249" t="str">
        <v>Kait Horizontal Tump.</v>
      </c>
      <c r="D7249">
        <f>VLOOKUP(D7225,'Detail Balok'!$C$10:$BJ$140,46,FALSE)</f>
        <v>0</v>
      </c>
      <c r="E7249" t="str">
        <v>D</v>
      </c>
      <c r="F7249">
        <f>VLOOKUP(D7225,'Detail Balok'!$C$10:$BJ$140,48,FALSE)</f>
        <v>0</v>
      </c>
      <c r="G7249" t="str">
        <v>-</v>
      </c>
      <c r="H7249">
        <f>VLOOKUP(D7225,'Detail Balok'!$C$10:$BJ$140,50,FALSE)</f>
        <v>100</v>
      </c>
      <c r="J7249">
        <f>(D7226-2*F$5)/1000</f>
        <v>0.12</v>
      </c>
      <c r="K7249" t="str">
        <v>+</v>
      </c>
      <c r="L7249">
        <f>IF(D7249=0,2*MAX(6*F7249,75),(D7249-1)*2*MAX(6*F7249,75))/1000</f>
        <v>0.15</v>
      </c>
      <c r="M7249" t="str">
        <v>=</v>
      </c>
      <c r="N7249">
        <f>J7249+L7249</f>
        <v>0.27</v>
      </c>
      <c r="T7249" t="str">
        <v>x</v>
      </c>
      <c r="U7249">
        <f>0.006165*F7249^2</f>
        <v>0</v>
      </c>
      <c r="V7249" t="str">
        <v>x</v>
      </c>
      <c r="W7249">
        <f>W7245</f>
        <v>16</v>
      </c>
      <c r="X7249" t="str">
        <v>x</v>
      </c>
      <c r="Y7249">
        <f>D7235</f>
        <v>3</v>
      </c>
      <c r="Z7249" t="str">
        <v>=</v>
      </c>
      <c r="AA7249">
        <f>N7249*U7249*W7249*Y7249</f>
        <v>0</v>
      </c>
    </row>
    <row r="7250">
      <c r="A7250" t="str">
        <f>A7225</f>
        <v>Lantai Atap</v>
      </c>
      <c r="B7250">
        <f>B7225</f>
        <v>33</v>
      </c>
      <c r="C7250" t="str">
        <v>Kait Horizontal Lap.</v>
      </c>
      <c r="D7250">
        <f>VLOOKUP(D7225,'Detail Balok'!$C$10:$BJ$140,51,FALSE)</f>
        <v>0</v>
      </c>
      <c r="E7250" t="str">
        <v>D</v>
      </c>
      <c r="F7250">
        <f>VLOOKUP(D7225,'Detail Balok'!$C$10:$BJ$140,53,FALSE)</f>
        <v>0</v>
      </c>
      <c r="G7250" t="str">
        <v>-</v>
      </c>
      <c r="H7250">
        <f>VLOOKUP(D7225,'Detail Balok'!$C$10:$BJ$140,55,FALSE)</f>
        <v>100</v>
      </c>
      <c r="J7250">
        <f>(D7226-2*F$5)/1000</f>
        <v>0.12</v>
      </c>
      <c r="K7250" t="str">
        <v>+</v>
      </c>
      <c r="L7250">
        <f>IF(D7250=0,2*MAX(6*F7250,75),(D7250-1)*2*MAX(6*F7250,75))/1000</f>
        <v>0.15</v>
      </c>
      <c r="M7250" t="str">
        <v>=</v>
      </c>
      <c r="N7250">
        <f>J7250+L7250</f>
        <v>0.27</v>
      </c>
      <c r="T7250" t="str">
        <v>x</v>
      </c>
      <c r="U7250">
        <f>0.006165*F7250^2</f>
        <v>0</v>
      </c>
      <c r="V7250" t="str">
        <v>x</v>
      </c>
      <c r="W7250">
        <f>W7246</f>
        <v>15</v>
      </c>
      <c r="X7250" t="str">
        <v>x</v>
      </c>
      <c r="Y7250">
        <f>D7235</f>
        <v>3</v>
      </c>
      <c r="Z7250" t="str">
        <v>=</v>
      </c>
      <c r="AA7250">
        <f>N7250*U7250*W7250*Y7250</f>
        <v>0</v>
      </c>
    </row>
    <row r="7251">
      <c r="A7251" t="str">
        <f>A7225</f>
        <v>Lantai Atap</v>
      </c>
      <c r="B7251">
        <f>B7225</f>
        <v>33</v>
      </c>
      <c r="C7251" t="str">
        <v>Kait Horizontal Tump.</v>
      </c>
      <c r="D7251">
        <f>VLOOKUP(D7225,'Detail Balok'!$C$10:$BJ$140,56,FALSE)</f>
        <v>0</v>
      </c>
      <c r="E7251" t="str">
        <v>D</v>
      </c>
      <c r="F7251">
        <f>VLOOKUP(D7225,'Detail Balok'!$C$10:$BJ$140,58,FALSE)</f>
        <v>0</v>
      </c>
      <c r="G7251" t="str">
        <v>-</v>
      </c>
      <c r="H7251">
        <f>VLOOKUP(D7225,'Detail Balok'!$C$10:$BJ$140,60,FALSE)</f>
        <v>100</v>
      </c>
      <c r="J7251">
        <f>(D7226-2*F$5)/1000</f>
        <v>0.12</v>
      </c>
      <c r="K7251" t="str">
        <v>+</v>
      </c>
      <c r="L7251">
        <f>IF(D7251=0,2*MAX(6*F7251,75),(D7251-1)*2*MAX(6*F7251,75))/1000</f>
        <v>0.15</v>
      </c>
      <c r="M7251" t="str">
        <v>=</v>
      </c>
      <c r="N7251">
        <f>J7251+L7251</f>
        <v>0.27</v>
      </c>
      <c r="T7251" t="str">
        <v>x</v>
      </c>
      <c r="U7251">
        <f>0.006165*F7251^2</f>
        <v>0</v>
      </c>
      <c r="V7251" t="str">
        <v>x</v>
      </c>
      <c r="W7251">
        <f>W7247</f>
        <v>16</v>
      </c>
      <c r="X7251" t="str">
        <v>x</v>
      </c>
      <c r="Y7251">
        <f>D7235</f>
        <v>3</v>
      </c>
      <c r="Z7251" t="str">
        <v>=</v>
      </c>
      <c r="AA7251">
        <f>N7251*U7251*W7251*Y7251</f>
        <v>0</v>
      </c>
    </row>
    <row r="7263">
      <c r="E7263" t="str">
        <v>REKAPITULASI</v>
      </c>
    </row>
    <row r="7264">
      <c r="E7264" t="str">
        <v>Ø</v>
      </c>
      <c r="F7264">
        <v>6</v>
      </c>
      <c r="G7264" t="str">
        <v>=</v>
      </c>
      <c r="H7264">
        <f>SUMIF(F$23:F$7261,F7264,AA$23:AA$7261)</f>
        <v>0</v>
      </c>
      <c r="K7264" t="str">
        <v>kg</v>
      </c>
    </row>
    <row r="7265">
      <c r="E7265" t="str">
        <v>Ø</v>
      </c>
      <c r="F7265">
        <v>8</v>
      </c>
      <c r="G7265" t="str">
        <v>=</v>
      </c>
      <c r="H7265">
        <f>SUMIF(F$23:F$7261,F7265,AA$23:AA$7261)</f>
        <v>1310.6928096000001</v>
      </c>
      <c r="K7265" t="str">
        <v>kg</v>
      </c>
    </row>
    <row r="7266">
      <c r="E7266" t="str">
        <v>Ø</v>
      </c>
      <c r="F7266">
        <v>10</v>
      </c>
      <c r="G7266" t="str">
        <v>=</v>
      </c>
      <c r="H7266">
        <f>SUMIF(F$23:F$7261,F7266,AA$23:AA$7261)</f>
        <v>4878.0399743999915</v>
      </c>
      <c r="K7266" t="str">
        <v>kg</v>
      </c>
    </row>
    <row r="7267">
      <c r="E7267" t="str">
        <v>Ø</v>
      </c>
      <c r="F7267">
        <v>12</v>
      </c>
      <c r="G7267" t="str">
        <v>=</v>
      </c>
      <c r="H7267">
        <f>SUMIF(F$23:F$7261,F7267,AA$23:AA$7261)</f>
        <v>0</v>
      </c>
      <c r="K7267" t="str">
        <v>kg</v>
      </c>
    </row>
    <row r="7268">
      <c r="E7268" t="str">
        <v>D</v>
      </c>
      <c r="F7268">
        <v>13</v>
      </c>
      <c r="G7268" t="str">
        <v>=</v>
      </c>
      <c r="H7268">
        <f>SUMIF(F$23:F$7261,F7268,AA$23:AA$7261)</f>
        <v>3040.9931961045004</v>
      </c>
      <c r="K7268" t="str">
        <v>kg</v>
      </c>
    </row>
    <row r="7269">
      <c r="E7269" t="str">
        <v>D</v>
      </c>
      <c r="F7269">
        <v>16</v>
      </c>
      <c r="G7269" t="str">
        <v>=</v>
      </c>
      <c r="H7269">
        <f>SUMIF(F$23:F$7261,F7269,AA$23:AA$7261)</f>
        <v>8688.942872063995</v>
      </c>
      <c r="K7269" t="str">
        <v>kg</v>
      </c>
    </row>
    <row r="7270">
      <c r="E7270" t="str">
        <v>D</v>
      </c>
      <c r="F7270">
        <v>19</v>
      </c>
      <c r="G7270" t="str">
        <v>=</v>
      </c>
      <c r="H7270">
        <f>SUMIF(F$23:F$7261,F7270,AA$23:AA$7261)</f>
        <v>0</v>
      </c>
      <c r="K7270" t="str">
        <v>kg</v>
      </c>
    </row>
    <row r="7271">
      <c r="E7271" t="str">
        <v>D</v>
      </c>
      <c r="F7271">
        <v>22</v>
      </c>
      <c r="G7271" t="str">
        <v>=</v>
      </c>
      <c r="H7271">
        <f>SUMIF(F$23:F$7261,F7271,AA$23:AA$7261)</f>
        <v>0</v>
      </c>
      <c r="K7271" t="str">
        <v>kg</v>
      </c>
    </row>
    <row r="7272">
      <c r="E7272" t="str">
        <v>D</v>
      </c>
      <c r="F7272">
        <v>25</v>
      </c>
      <c r="G7272" t="str">
        <v>=</v>
      </c>
      <c r="H7272">
        <f>SUMIF(F$23:F$7261,F7272,AA$23:AA$7261)</f>
        <v>0</v>
      </c>
      <c r="K7272" t="str">
        <v>kg</v>
      </c>
    </row>
    <row r="7273">
      <c r="E7273" t="str">
        <v>D</v>
      </c>
      <c r="F7273">
        <v>29</v>
      </c>
      <c r="G7273" t="str">
        <v>=</v>
      </c>
      <c r="H7273">
        <f>SUMIF(F$23:F$7261,F7273,AA$23:AA$7261)</f>
        <v>0</v>
      </c>
      <c r="K7273" t="str">
        <v>kg</v>
      </c>
    </row>
    <row r="7275">
      <c r="E7275" t="str">
        <v>Total besi</v>
      </c>
      <c r="G7275" t="str">
        <v>=</v>
      </c>
      <c r="H7275">
        <f>SUM(H7264:J7274)</f>
        <v>17918.66885216849</v>
      </c>
      <c r="K7275" t="str">
        <v>kg</v>
      </c>
    </row>
  </sheetData>
  <autoFilter ref="A23:AB7276"/>
  <mergeCells count="1960">
    <mergeCell ref="D6146:E6146"/>
    <mergeCell ref="G6146:H6146"/>
    <mergeCell ref="D6147:H6147"/>
    <mergeCell ref="D6148:H6148"/>
    <mergeCell ref="D6149:H6149"/>
    <mergeCell ref="D6150:H6150"/>
    <mergeCell ref="D6151:H6151"/>
    <mergeCell ref="D6175:H6175"/>
    <mergeCell ref="D6176:E6176"/>
    <mergeCell ref="G6176:H6176"/>
    <mergeCell ref="D6177:H6177"/>
    <mergeCell ref="D6178:H6178"/>
    <mergeCell ref="D6179:H6179"/>
    <mergeCell ref="D6180:H6180"/>
    <mergeCell ref="D6181:H6181"/>
    <mergeCell ref="D6595:H6595"/>
    <mergeCell ref="D6596:E6596"/>
    <mergeCell ref="G6596:H6596"/>
    <mergeCell ref="D6569:H6569"/>
    <mergeCell ref="D6570:H6570"/>
    <mergeCell ref="D6571:H6571"/>
    <mergeCell ref="D6507:H6507"/>
    <mergeCell ref="D6508:H6508"/>
    <mergeCell ref="D6509:H6509"/>
    <mergeCell ref="D6510:H6510"/>
    <mergeCell ref="D6511:H6511"/>
    <mergeCell ref="D6535:H6535"/>
    <mergeCell ref="D6536:E6536"/>
    <mergeCell ref="G6536:H6536"/>
    <mergeCell ref="D6537:H6537"/>
    <mergeCell ref="D6476:E6476"/>
    <mergeCell ref="G6476:H6476"/>
    <mergeCell ref="D6085:H6085"/>
    <mergeCell ref="D6086:E6086"/>
    <mergeCell ref="G6086:H6086"/>
    <mergeCell ref="D6087:H6087"/>
    <mergeCell ref="D6088:H6088"/>
    <mergeCell ref="D6089:H6089"/>
    <mergeCell ref="D6090:H6090"/>
    <mergeCell ref="D6091:H6091"/>
    <mergeCell ref="D6115:H6115"/>
    <mergeCell ref="D6116:E6116"/>
    <mergeCell ref="G6116:H6116"/>
    <mergeCell ref="D6117:H6117"/>
    <mergeCell ref="D6118:H6118"/>
    <mergeCell ref="D6119:H6119"/>
    <mergeCell ref="D6120:H6120"/>
    <mergeCell ref="D6121:H6121"/>
    <mergeCell ref="D6145:H6145"/>
    <mergeCell ref="D6057:H6057"/>
    <mergeCell ref="D6058:H6058"/>
    <mergeCell ref="D6059:H6059"/>
    <mergeCell ref="D6060:H6060"/>
    <mergeCell ref="D6061:H6061"/>
    <mergeCell ref="D6026:E6026"/>
    <mergeCell ref="G6026:H6026"/>
    <mergeCell ref="D6027:H6027"/>
    <mergeCell ref="D6028:H6028"/>
    <mergeCell ref="D6029:H6029"/>
    <mergeCell ref="D6030:H6030"/>
    <mergeCell ref="D6031:H6031"/>
    <mergeCell ref="D6055:H6055"/>
    <mergeCell ref="D6056:E6056"/>
    <mergeCell ref="G6056:H6056"/>
    <mergeCell ref="D5995:H5995"/>
    <mergeCell ref="D5996:E5996"/>
    <mergeCell ref="G5996:H5996"/>
    <mergeCell ref="D5997:H5997"/>
    <mergeCell ref="D5998:H5998"/>
    <mergeCell ref="D5999:H5999"/>
    <mergeCell ref="D6000:H6000"/>
    <mergeCell ref="D6001:H6001"/>
    <mergeCell ref="D6025:H6025"/>
    <mergeCell ref="D5941:H5941"/>
    <mergeCell ref="D5965:H5965"/>
    <mergeCell ref="D5966:E5966"/>
    <mergeCell ref="G5966:H5966"/>
    <mergeCell ref="D5967:H5967"/>
    <mergeCell ref="D5968:H5968"/>
    <mergeCell ref="D5969:H5969"/>
    <mergeCell ref="D5970:H5970"/>
    <mergeCell ref="D5971:H5971"/>
    <mergeCell ref="D5910:H5910"/>
    <mergeCell ref="D5911:H5911"/>
    <mergeCell ref="D5935:H5935"/>
    <mergeCell ref="D5936:E5936"/>
    <mergeCell ref="G5936:H5936"/>
    <mergeCell ref="D5937:H5937"/>
    <mergeCell ref="D5938:H5938"/>
    <mergeCell ref="D5939:H5939"/>
    <mergeCell ref="D5940:H5940"/>
    <mergeCell ref="D5879:H5879"/>
    <mergeCell ref="D5880:H5880"/>
    <mergeCell ref="D5881:H5881"/>
    <mergeCell ref="D5905:H5905"/>
    <mergeCell ref="D5906:E5906"/>
    <mergeCell ref="G5906:H5906"/>
    <mergeCell ref="D5907:H5907"/>
    <mergeCell ref="D5908:H5908"/>
    <mergeCell ref="D5909:H5909"/>
    <mergeCell ref="D5848:H5848"/>
    <mergeCell ref="D5849:H5849"/>
    <mergeCell ref="D5850:H5850"/>
    <mergeCell ref="D5851:H5851"/>
    <mergeCell ref="D5875:H5875"/>
    <mergeCell ref="D5876:E5876"/>
    <mergeCell ref="G5876:H5876"/>
    <mergeCell ref="D5877:H5877"/>
    <mergeCell ref="D5878:H5878"/>
    <mergeCell ref="D5817:H5817"/>
    <mergeCell ref="D5818:H5818"/>
    <mergeCell ref="D5819:H5819"/>
    <mergeCell ref="D5820:H5820"/>
    <mergeCell ref="D5821:H5821"/>
    <mergeCell ref="D5845:H5845"/>
    <mergeCell ref="D5846:E5846"/>
    <mergeCell ref="G5846:H5846"/>
    <mergeCell ref="D5847:H5847"/>
    <mergeCell ref="D5786:E5786"/>
    <mergeCell ref="G5786:H5786"/>
    <mergeCell ref="D5787:H5787"/>
    <mergeCell ref="D5788:H5788"/>
    <mergeCell ref="D5789:H5789"/>
    <mergeCell ref="D5790:H5790"/>
    <mergeCell ref="D5791:H5791"/>
    <mergeCell ref="D5815:H5815"/>
    <mergeCell ref="D5816:E5816"/>
    <mergeCell ref="G5816:H5816"/>
    <mergeCell ref="D5755:H5755"/>
    <mergeCell ref="D5756:E5756"/>
    <mergeCell ref="G5756:H5756"/>
    <mergeCell ref="D5757:H5757"/>
    <mergeCell ref="D5758:H5758"/>
    <mergeCell ref="D5759:H5759"/>
    <mergeCell ref="D5760:H5760"/>
    <mergeCell ref="D5761:H5761"/>
    <mergeCell ref="D5785:H5785"/>
    <mergeCell ref="D5701:H5701"/>
    <mergeCell ref="D5725:H5725"/>
    <mergeCell ref="D5726:E5726"/>
    <mergeCell ref="G5726:H5726"/>
    <mergeCell ref="D5727:H5727"/>
    <mergeCell ref="D5728:H5728"/>
    <mergeCell ref="D5729:H5729"/>
    <mergeCell ref="D5730:H5730"/>
    <mergeCell ref="D5731:H5731"/>
    <mergeCell ref="D5670:H5670"/>
    <mergeCell ref="D5671:H5671"/>
    <mergeCell ref="D5695:H5695"/>
    <mergeCell ref="D5696:E5696"/>
    <mergeCell ref="G5696:H5696"/>
    <mergeCell ref="D5697:H5697"/>
    <mergeCell ref="D5698:H5698"/>
    <mergeCell ref="D5699:H5699"/>
    <mergeCell ref="D5700:H5700"/>
    <mergeCell ref="D5639:H5639"/>
    <mergeCell ref="D5640:H5640"/>
    <mergeCell ref="D5641:H5641"/>
    <mergeCell ref="D5665:H5665"/>
    <mergeCell ref="D5666:E5666"/>
    <mergeCell ref="G5666:H5666"/>
    <mergeCell ref="D5667:H5667"/>
    <mergeCell ref="D5668:H5668"/>
    <mergeCell ref="D5669:H5669"/>
    <mergeCell ref="D5608:H5608"/>
    <mergeCell ref="D5609:H5609"/>
    <mergeCell ref="D5610:H5610"/>
    <mergeCell ref="D5611:H5611"/>
    <mergeCell ref="D5635:H5635"/>
    <mergeCell ref="D5636:E5636"/>
    <mergeCell ref="G5636:H5636"/>
    <mergeCell ref="D5637:H5637"/>
    <mergeCell ref="D5638:H5638"/>
    <mergeCell ref="D5577:H5577"/>
    <mergeCell ref="D5578:H5578"/>
    <mergeCell ref="D5579:H5579"/>
    <mergeCell ref="D5580:H5580"/>
    <mergeCell ref="D5581:H5581"/>
    <mergeCell ref="D5605:H5605"/>
    <mergeCell ref="D5606:E5606"/>
    <mergeCell ref="G5606:H5606"/>
    <mergeCell ref="D5607:H5607"/>
    <mergeCell ref="D5546:E5546"/>
    <mergeCell ref="G5546:H5546"/>
    <mergeCell ref="D5547:H5547"/>
    <mergeCell ref="D5548:H5548"/>
    <mergeCell ref="D5549:H5549"/>
    <mergeCell ref="D5550:H5550"/>
    <mergeCell ref="D5551:H5551"/>
    <mergeCell ref="D5575:H5575"/>
    <mergeCell ref="D5576:E5576"/>
    <mergeCell ref="G5576:H5576"/>
    <mergeCell ref="D5515:H5515"/>
    <mergeCell ref="D5516:E5516"/>
    <mergeCell ref="G5516:H5516"/>
    <mergeCell ref="D5517:H5517"/>
    <mergeCell ref="D5518:H5518"/>
    <mergeCell ref="D5519:H5519"/>
    <mergeCell ref="D5520:H5520"/>
    <mergeCell ref="D5521:H5521"/>
    <mergeCell ref="D5545:H5545"/>
    <mergeCell ref="D5461:H5461"/>
    <mergeCell ref="D5485:H5485"/>
    <mergeCell ref="D5486:E5486"/>
    <mergeCell ref="G5486:H5486"/>
    <mergeCell ref="D5487:H5487"/>
    <mergeCell ref="D5488:H5488"/>
    <mergeCell ref="D5489:H5489"/>
    <mergeCell ref="D5490:H5490"/>
    <mergeCell ref="D5491:H5491"/>
    <mergeCell ref="D5430:H5430"/>
    <mergeCell ref="D5431:H5431"/>
    <mergeCell ref="D5455:H5455"/>
    <mergeCell ref="D5456:E5456"/>
    <mergeCell ref="G5456:H5456"/>
    <mergeCell ref="D5457:H5457"/>
    <mergeCell ref="D5458:H5458"/>
    <mergeCell ref="D5459:H5459"/>
    <mergeCell ref="D5460:H5460"/>
    <mergeCell ref="D5399:H5399"/>
    <mergeCell ref="D5400:H5400"/>
    <mergeCell ref="D5401:H5401"/>
    <mergeCell ref="D5425:H5425"/>
    <mergeCell ref="D5426:E5426"/>
    <mergeCell ref="G5426:H5426"/>
    <mergeCell ref="D5427:H5427"/>
    <mergeCell ref="D5428:H5428"/>
    <mergeCell ref="D5429:H5429"/>
    <mergeCell ref="D5368:H5368"/>
    <mergeCell ref="D5369:H5369"/>
    <mergeCell ref="D5370:H5370"/>
    <mergeCell ref="D5371:H5371"/>
    <mergeCell ref="D5395:H5395"/>
    <mergeCell ref="D5396:E5396"/>
    <mergeCell ref="G5396:H5396"/>
    <mergeCell ref="D5397:H5397"/>
    <mergeCell ref="D5398:H5398"/>
    <mergeCell ref="D5337:H5337"/>
    <mergeCell ref="D5338:H5338"/>
    <mergeCell ref="D5339:H5339"/>
    <mergeCell ref="D5340:H5340"/>
    <mergeCell ref="D5341:H5341"/>
    <mergeCell ref="D5365:H5365"/>
    <mergeCell ref="D5366:E5366"/>
    <mergeCell ref="G5366:H5366"/>
    <mergeCell ref="D5367:H5367"/>
    <mergeCell ref="D5306:E5306"/>
    <mergeCell ref="G5306:H5306"/>
    <mergeCell ref="D5307:H5307"/>
    <mergeCell ref="D5308:H5308"/>
    <mergeCell ref="D5309:H5309"/>
    <mergeCell ref="D5310:H5310"/>
    <mergeCell ref="D5311:H5311"/>
    <mergeCell ref="D5335:H5335"/>
    <mergeCell ref="D5336:E5336"/>
    <mergeCell ref="G5336:H5336"/>
    <mergeCell ref="D5275:H5275"/>
    <mergeCell ref="D5276:E5276"/>
    <mergeCell ref="G5276:H5276"/>
    <mergeCell ref="D5277:H5277"/>
    <mergeCell ref="D5278:H5278"/>
    <mergeCell ref="D5279:H5279"/>
    <mergeCell ref="D5280:H5280"/>
    <mergeCell ref="D5281:H5281"/>
    <mergeCell ref="D5305:H5305"/>
    <mergeCell ref="D5221:H5221"/>
    <mergeCell ref="D5245:H5245"/>
    <mergeCell ref="D5246:E5246"/>
    <mergeCell ref="G5246:H5246"/>
    <mergeCell ref="D5247:H5247"/>
    <mergeCell ref="D5248:H5248"/>
    <mergeCell ref="D5249:H5249"/>
    <mergeCell ref="D5250:H5250"/>
    <mergeCell ref="D5251:H5251"/>
    <mergeCell ref="D5190:H5190"/>
    <mergeCell ref="D5191:H5191"/>
    <mergeCell ref="D5215:H5215"/>
    <mergeCell ref="D5216:E5216"/>
    <mergeCell ref="G5216:H5216"/>
    <mergeCell ref="D5217:H5217"/>
    <mergeCell ref="D5218:H5218"/>
    <mergeCell ref="D5219:H5219"/>
    <mergeCell ref="D5220:H5220"/>
    <mergeCell ref="D5159:H5159"/>
    <mergeCell ref="D5160:H5160"/>
    <mergeCell ref="D5161:H5161"/>
    <mergeCell ref="D5185:H5185"/>
    <mergeCell ref="D5186:E5186"/>
    <mergeCell ref="G5186:H5186"/>
    <mergeCell ref="D5187:H5187"/>
    <mergeCell ref="D5188:H5188"/>
    <mergeCell ref="D5189:H5189"/>
    <mergeCell ref="D5128:H5128"/>
    <mergeCell ref="D5129:H5129"/>
    <mergeCell ref="D5130:H5130"/>
    <mergeCell ref="D5131:H5131"/>
    <mergeCell ref="D5155:H5155"/>
    <mergeCell ref="D5156:E5156"/>
    <mergeCell ref="G5156:H5156"/>
    <mergeCell ref="D5157:H5157"/>
    <mergeCell ref="D5158:H5158"/>
    <mergeCell ref="D5097:H5097"/>
    <mergeCell ref="D5098:H5098"/>
    <mergeCell ref="D5099:H5099"/>
    <mergeCell ref="D5100:H5100"/>
    <mergeCell ref="D5101:H5101"/>
    <mergeCell ref="D5125:H5125"/>
    <mergeCell ref="D5126:E5126"/>
    <mergeCell ref="G5126:H5126"/>
    <mergeCell ref="D5127:H5127"/>
    <mergeCell ref="D5066:E5066"/>
    <mergeCell ref="G5066:H5066"/>
    <mergeCell ref="D5067:H5067"/>
    <mergeCell ref="D5068:H5068"/>
    <mergeCell ref="D5069:H5069"/>
    <mergeCell ref="D5070:H5070"/>
    <mergeCell ref="D5071:H5071"/>
    <mergeCell ref="D5095:H5095"/>
    <mergeCell ref="D5096:E5096"/>
    <mergeCell ref="G5096:H5096"/>
    <mergeCell ref="D5035:H5035"/>
    <mergeCell ref="D5036:E5036"/>
    <mergeCell ref="G5036:H5036"/>
    <mergeCell ref="D5037:H5037"/>
    <mergeCell ref="D5038:H5038"/>
    <mergeCell ref="D5039:H5039"/>
    <mergeCell ref="D5040:H5040"/>
    <mergeCell ref="D5041:H5041"/>
    <mergeCell ref="D5065:H5065"/>
    <mergeCell ref="D4981:H4981"/>
    <mergeCell ref="D5005:H5005"/>
    <mergeCell ref="D5006:E5006"/>
    <mergeCell ref="G5006:H5006"/>
    <mergeCell ref="D5007:H5007"/>
    <mergeCell ref="D5008:H5008"/>
    <mergeCell ref="D5009:H5009"/>
    <mergeCell ref="D5010:H5010"/>
    <mergeCell ref="D5011:H5011"/>
    <mergeCell ref="D4950:H4950"/>
    <mergeCell ref="D4951:H4951"/>
    <mergeCell ref="D4975:H4975"/>
    <mergeCell ref="D4976:E4976"/>
    <mergeCell ref="G4976:H4976"/>
    <mergeCell ref="D4977:H4977"/>
    <mergeCell ref="D4978:H4978"/>
    <mergeCell ref="D4979:H4979"/>
    <mergeCell ref="D4980:H4980"/>
    <mergeCell ref="D4919:H4919"/>
    <mergeCell ref="D4920:H4920"/>
    <mergeCell ref="D4921:H4921"/>
    <mergeCell ref="D4945:H4945"/>
    <mergeCell ref="D4946:E4946"/>
    <mergeCell ref="G4946:H4946"/>
    <mergeCell ref="D4947:H4947"/>
    <mergeCell ref="D4948:H4948"/>
    <mergeCell ref="D4949:H4949"/>
    <mergeCell ref="D4888:H4888"/>
    <mergeCell ref="D4889:H4889"/>
    <mergeCell ref="D4890:H4890"/>
    <mergeCell ref="D4891:H4891"/>
    <mergeCell ref="D4915:H4915"/>
    <mergeCell ref="D4916:E4916"/>
    <mergeCell ref="G4916:H4916"/>
    <mergeCell ref="D4917:H4917"/>
    <mergeCell ref="D4918:H4918"/>
    <mergeCell ref="D4857:H4857"/>
    <mergeCell ref="D4858:H4858"/>
    <mergeCell ref="D4859:H4859"/>
    <mergeCell ref="D4860:H4860"/>
    <mergeCell ref="D4861:H4861"/>
    <mergeCell ref="D4885:H4885"/>
    <mergeCell ref="D4886:E4886"/>
    <mergeCell ref="G4886:H4886"/>
    <mergeCell ref="D4887:H4887"/>
    <mergeCell ref="D4826:E4826"/>
    <mergeCell ref="G4826:H4826"/>
    <mergeCell ref="D4827:H4827"/>
    <mergeCell ref="D4828:H4828"/>
    <mergeCell ref="D4829:H4829"/>
    <mergeCell ref="D4830:H4830"/>
    <mergeCell ref="D4831:H4831"/>
    <mergeCell ref="D4855:H4855"/>
    <mergeCell ref="D4856:E4856"/>
    <mergeCell ref="G4856:H4856"/>
    <mergeCell ref="D4795:H4795"/>
    <mergeCell ref="D4796:E4796"/>
    <mergeCell ref="G4796:H4796"/>
    <mergeCell ref="D4797:H4797"/>
    <mergeCell ref="D4798:H4798"/>
    <mergeCell ref="D4799:H4799"/>
    <mergeCell ref="D4800:H4800"/>
    <mergeCell ref="D4801:H4801"/>
    <mergeCell ref="D4825:H4825"/>
    <mergeCell ref="D4741:H4741"/>
    <mergeCell ref="D4765:H4765"/>
    <mergeCell ref="D4766:E4766"/>
    <mergeCell ref="G4766:H4766"/>
    <mergeCell ref="D4767:H4767"/>
    <mergeCell ref="D4768:H4768"/>
    <mergeCell ref="D4769:H4769"/>
    <mergeCell ref="D4770:H4770"/>
    <mergeCell ref="D4771:H4771"/>
    <mergeCell ref="D4710:H4710"/>
    <mergeCell ref="D4711:H4711"/>
    <mergeCell ref="D4735:H4735"/>
    <mergeCell ref="D4736:E4736"/>
    <mergeCell ref="G4736:H4736"/>
    <mergeCell ref="D4737:H4737"/>
    <mergeCell ref="D4738:H4738"/>
    <mergeCell ref="D4739:H4739"/>
    <mergeCell ref="D4740:H4740"/>
    <mergeCell ref="D4679:H4679"/>
    <mergeCell ref="D4680:H4680"/>
    <mergeCell ref="D4681:H4681"/>
    <mergeCell ref="D4705:H4705"/>
    <mergeCell ref="D4706:E4706"/>
    <mergeCell ref="G4706:H4706"/>
    <mergeCell ref="D4707:H4707"/>
    <mergeCell ref="D4708:H4708"/>
    <mergeCell ref="D4709:H4709"/>
    <mergeCell ref="D4648:H4648"/>
    <mergeCell ref="D4649:H4649"/>
    <mergeCell ref="D4650:H4650"/>
    <mergeCell ref="D4651:H4651"/>
    <mergeCell ref="D4675:H4675"/>
    <mergeCell ref="D4676:E4676"/>
    <mergeCell ref="G4676:H4676"/>
    <mergeCell ref="D4677:H4677"/>
    <mergeCell ref="D4678:H4678"/>
    <mergeCell ref="D4617:H4617"/>
    <mergeCell ref="D4618:H4618"/>
    <mergeCell ref="D4619:H4619"/>
    <mergeCell ref="D4620:H4620"/>
    <mergeCell ref="D4621:H4621"/>
    <mergeCell ref="D4645:H4645"/>
    <mergeCell ref="D4646:E4646"/>
    <mergeCell ref="G4646:H4646"/>
    <mergeCell ref="D4647:H4647"/>
    <mergeCell ref="D4586:E4586"/>
    <mergeCell ref="G4586:H4586"/>
    <mergeCell ref="D4587:H4587"/>
    <mergeCell ref="D4588:H4588"/>
    <mergeCell ref="D4589:H4589"/>
    <mergeCell ref="D4590:H4590"/>
    <mergeCell ref="D4591:H4591"/>
    <mergeCell ref="D4615:H4615"/>
    <mergeCell ref="D4616:E4616"/>
    <mergeCell ref="G4616:H4616"/>
    <mergeCell ref="D4555:H4555"/>
    <mergeCell ref="D4556:E4556"/>
    <mergeCell ref="G4556:H4556"/>
    <mergeCell ref="D4557:H4557"/>
    <mergeCell ref="D4558:H4558"/>
    <mergeCell ref="D4559:H4559"/>
    <mergeCell ref="D4560:H4560"/>
    <mergeCell ref="D4561:H4561"/>
    <mergeCell ref="D4585:H4585"/>
    <mergeCell ref="D4501:H4501"/>
    <mergeCell ref="D4525:H4525"/>
    <mergeCell ref="D4526:E4526"/>
    <mergeCell ref="G4526:H4526"/>
    <mergeCell ref="D4527:H4527"/>
    <mergeCell ref="D4528:H4528"/>
    <mergeCell ref="D4529:H4529"/>
    <mergeCell ref="D4530:H4530"/>
    <mergeCell ref="D4531:H4531"/>
    <mergeCell ref="D4470:H4470"/>
    <mergeCell ref="D4471:H4471"/>
    <mergeCell ref="D4495:H4495"/>
    <mergeCell ref="D4496:E4496"/>
    <mergeCell ref="G4496:H4496"/>
    <mergeCell ref="D4497:H4497"/>
    <mergeCell ref="D4498:H4498"/>
    <mergeCell ref="D4499:H4499"/>
    <mergeCell ref="D4500:H4500"/>
    <mergeCell ref="D4285:H4285"/>
    <mergeCell ref="D4286:E4286"/>
    <mergeCell ref="G4286:H4286"/>
    <mergeCell ref="D4465:H4465"/>
    <mergeCell ref="D4466:E4466"/>
    <mergeCell ref="G4466:H4466"/>
    <mergeCell ref="D4467:H4467"/>
    <mergeCell ref="D4468:H4468"/>
    <mergeCell ref="D4469:H4469"/>
    <mergeCell ref="D4411:H4411"/>
    <mergeCell ref="D4435:H4435"/>
    <mergeCell ref="D4436:E4436"/>
    <mergeCell ref="G4436:H4436"/>
    <mergeCell ref="D4437:H4437"/>
    <mergeCell ref="D4438:H4438"/>
    <mergeCell ref="D4439:H4439"/>
    <mergeCell ref="D4440:H4440"/>
    <mergeCell ref="D4441:H4441"/>
    <mergeCell ref="D4380:H4380"/>
    <mergeCell ref="D4381:H4381"/>
    <mergeCell ref="D4405:H4405"/>
    <mergeCell ref="D4406:E4406"/>
    <mergeCell ref="G4406:H4406"/>
    <mergeCell ref="D4407:H4407"/>
    <mergeCell ref="D4408:H4408"/>
    <mergeCell ref="D4409:H4409"/>
    <mergeCell ref="D4410:H4410"/>
    <mergeCell ref="D4349:H4349"/>
    <mergeCell ref="D4350:H4350"/>
    <mergeCell ref="D4351:H4351"/>
    <mergeCell ref="D4375:H4375"/>
    <mergeCell ref="D4376:E4376"/>
    <mergeCell ref="G4376:H4376"/>
    <mergeCell ref="D4377:H4377"/>
    <mergeCell ref="D4378:H4378"/>
    <mergeCell ref="D4379:H4379"/>
    <mergeCell ref="D4318:H4318"/>
    <mergeCell ref="D4319:H4319"/>
    <mergeCell ref="D4320:H4320"/>
    <mergeCell ref="D4321:H4321"/>
    <mergeCell ref="D4345:H4345"/>
    <mergeCell ref="D4346:E4346"/>
    <mergeCell ref="G4346:H4346"/>
    <mergeCell ref="D4347:H4347"/>
    <mergeCell ref="D4348:H4348"/>
    <mergeCell ref="D4287:H4287"/>
    <mergeCell ref="D4288:H4288"/>
    <mergeCell ref="D4289:H4289"/>
    <mergeCell ref="D4290:H4290"/>
    <mergeCell ref="D4291:H4291"/>
    <mergeCell ref="D4315:H4315"/>
    <mergeCell ref="D4316:E4316"/>
    <mergeCell ref="G4316:H4316"/>
    <mergeCell ref="D4317:H4317"/>
    <mergeCell ref="D4256:E4256"/>
    <mergeCell ref="G4256:H4256"/>
    <mergeCell ref="D4257:H4257"/>
    <mergeCell ref="D4258:H4258"/>
    <mergeCell ref="D4259:H4259"/>
    <mergeCell ref="D4260:H4260"/>
    <mergeCell ref="D4261:H4261"/>
    <mergeCell ref="D4225:H4225"/>
    <mergeCell ref="D4226:E4226"/>
    <mergeCell ref="G4226:H4226"/>
    <mergeCell ref="D4227:H4227"/>
    <mergeCell ref="D4228:H4228"/>
    <mergeCell ref="D4229:H4229"/>
    <mergeCell ref="D4230:H4230"/>
    <mergeCell ref="D4231:H4231"/>
    <mergeCell ref="D4255:H4255"/>
    <mergeCell ref="D4171:H4171"/>
    <mergeCell ref="D4195:H4195"/>
    <mergeCell ref="D4196:E4196"/>
    <mergeCell ref="G4196:H4196"/>
    <mergeCell ref="D4197:H4197"/>
    <mergeCell ref="D4198:H4198"/>
    <mergeCell ref="D4199:H4199"/>
    <mergeCell ref="D4200:H4200"/>
    <mergeCell ref="D4201:H4201"/>
    <mergeCell ref="D4140:H4140"/>
    <mergeCell ref="D4141:H4141"/>
    <mergeCell ref="D4165:H4165"/>
    <mergeCell ref="D4166:E4166"/>
    <mergeCell ref="G4166:H4166"/>
    <mergeCell ref="D4167:H4167"/>
    <mergeCell ref="D4168:H4168"/>
    <mergeCell ref="D4169:H4169"/>
    <mergeCell ref="D4170:H4170"/>
    <mergeCell ref="D4109:H4109"/>
    <mergeCell ref="D4110:H4110"/>
    <mergeCell ref="D4111:H4111"/>
    <mergeCell ref="D4135:H4135"/>
    <mergeCell ref="D4136:E4136"/>
    <mergeCell ref="G4136:H4136"/>
    <mergeCell ref="D4137:H4137"/>
    <mergeCell ref="D4138:H4138"/>
    <mergeCell ref="D4139:H4139"/>
    <mergeCell ref="D4078:H4078"/>
    <mergeCell ref="D4079:H4079"/>
    <mergeCell ref="D4080:H4080"/>
    <mergeCell ref="D4081:H4081"/>
    <mergeCell ref="D4105:H4105"/>
    <mergeCell ref="D4106:E4106"/>
    <mergeCell ref="G4106:H4106"/>
    <mergeCell ref="D4107:H4107"/>
    <mergeCell ref="D4108:H4108"/>
    <mergeCell ref="D4047:H4047"/>
    <mergeCell ref="D4048:H4048"/>
    <mergeCell ref="D4049:H4049"/>
    <mergeCell ref="D4050:H4050"/>
    <mergeCell ref="D4051:H4051"/>
    <mergeCell ref="D4075:H4075"/>
    <mergeCell ref="D4076:E4076"/>
    <mergeCell ref="G4076:H4076"/>
    <mergeCell ref="D4077:H4077"/>
    <mergeCell ref="D4016:E4016"/>
    <mergeCell ref="G4016:H4016"/>
    <mergeCell ref="D4017:H4017"/>
    <mergeCell ref="D4018:H4018"/>
    <mergeCell ref="D4019:H4019"/>
    <mergeCell ref="D4020:H4020"/>
    <mergeCell ref="D4021:H4021"/>
    <mergeCell ref="D4045:H4045"/>
    <mergeCell ref="D4046:E4046"/>
    <mergeCell ref="G4046:H4046"/>
    <mergeCell ref="D3985:H3985"/>
    <mergeCell ref="D3986:E3986"/>
    <mergeCell ref="G3986:H3986"/>
    <mergeCell ref="D3987:H3987"/>
    <mergeCell ref="D3988:H3988"/>
    <mergeCell ref="D3989:H3989"/>
    <mergeCell ref="D3990:H3990"/>
    <mergeCell ref="D3991:H3991"/>
    <mergeCell ref="D4015:H4015"/>
    <mergeCell ref="D3931:H3931"/>
    <mergeCell ref="D3955:H3955"/>
    <mergeCell ref="D3956:E3956"/>
    <mergeCell ref="G3956:H3956"/>
    <mergeCell ref="D3957:H3957"/>
    <mergeCell ref="D3958:H3958"/>
    <mergeCell ref="D3959:H3959"/>
    <mergeCell ref="D3960:H3960"/>
    <mergeCell ref="D3961:H3961"/>
    <mergeCell ref="D3900:H3900"/>
    <mergeCell ref="D3901:H3901"/>
    <mergeCell ref="D3925:H3925"/>
    <mergeCell ref="D3926:E3926"/>
    <mergeCell ref="G3926:H3926"/>
    <mergeCell ref="D3927:H3927"/>
    <mergeCell ref="D3928:H3928"/>
    <mergeCell ref="D3929:H3929"/>
    <mergeCell ref="D3930:H3930"/>
    <mergeCell ref="D3869:H3869"/>
    <mergeCell ref="D3870:H3870"/>
    <mergeCell ref="D3871:H3871"/>
    <mergeCell ref="D3895:H3895"/>
    <mergeCell ref="D3896:E3896"/>
    <mergeCell ref="G3896:H3896"/>
    <mergeCell ref="D3897:H3897"/>
    <mergeCell ref="D3898:H3898"/>
    <mergeCell ref="D3899:H3899"/>
    <mergeCell ref="D3838:H3838"/>
    <mergeCell ref="D3839:H3839"/>
    <mergeCell ref="D3840:H3840"/>
    <mergeCell ref="D3841:H3841"/>
    <mergeCell ref="D3865:H3865"/>
    <mergeCell ref="D3866:E3866"/>
    <mergeCell ref="G3866:H3866"/>
    <mergeCell ref="D3867:H3867"/>
    <mergeCell ref="D3868:H3868"/>
    <mergeCell ref="D3807:H3807"/>
    <mergeCell ref="D3808:H3808"/>
    <mergeCell ref="D3809:H3809"/>
    <mergeCell ref="D3810:H3810"/>
    <mergeCell ref="D3811:H3811"/>
    <mergeCell ref="D3835:H3835"/>
    <mergeCell ref="D3836:E3836"/>
    <mergeCell ref="G3836:H3836"/>
    <mergeCell ref="D3837:H3837"/>
    <mergeCell ref="D3776:E3776"/>
    <mergeCell ref="G3776:H3776"/>
    <mergeCell ref="D3777:H3777"/>
    <mergeCell ref="D3778:H3778"/>
    <mergeCell ref="D3779:H3779"/>
    <mergeCell ref="D3780:H3780"/>
    <mergeCell ref="D3781:H3781"/>
    <mergeCell ref="D3805:H3805"/>
    <mergeCell ref="D3806:E3806"/>
    <mergeCell ref="G3806:H3806"/>
    <mergeCell ref="D3745:H3745"/>
    <mergeCell ref="D3746:E3746"/>
    <mergeCell ref="G3746:H3746"/>
    <mergeCell ref="D3747:H3747"/>
    <mergeCell ref="D3748:H3748"/>
    <mergeCell ref="D3749:H3749"/>
    <mergeCell ref="D3750:H3750"/>
    <mergeCell ref="D3751:H3751"/>
    <mergeCell ref="D3775:H3775"/>
    <mergeCell ref="D3691:H3691"/>
    <mergeCell ref="D3715:H3715"/>
    <mergeCell ref="D3716:E3716"/>
    <mergeCell ref="G3716:H3716"/>
    <mergeCell ref="D3717:H3717"/>
    <mergeCell ref="D3718:H3718"/>
    <mergeCell ref="D3719:H3719"/>
    <mergeCell ref="D3720:H3720"/>
    <mergeCell ref="D3721:H3721"/>
    <mergeCell ref="D3660:H3660"/>
    <mergeCell ref="D3661:H3661"/>
    <mergeCell ref="D3685:H3685"/>
    <mergeCell ref="D3686:E3686"/>
    <mergeCell ref="G3686:H3686"/>
    <mergeCell ref="D3687:H3687"/>
    <mergeCell ref="D3688:H3688"/>
    <mergeCell ref="D3689:H3689"/>
    <mergeCell ref="D3690:H3690"/>
    <mergeCell ref="D3629:H3629"/>
    <mergeCell ref="D3630:H3630"/>
    <mergeCell ref="D3631:H3631"/>
    <mergeCell ref="D3655:H3655"/>
    <mergeCell ref="D3656:E3656"/>
    <mergeCell ref="G3656:H3656"/>
    <mergeCell ref="D3657:H3657"/>
    <mergeCell ref="D3658:H3658"/>
    <mergeCell ref="D3659:H3659"/>
    <mergeCell ref="D3598:H3598"/>
    <mergeCell ref="D3599:H3599"/>
    <mergeCell ref="D3600:H3600"/>
    <mergeCell ref="D3601:H3601"/>
    <mergeCell ref="D3625:H3625"/>
    <mergeCell ref="D3626:E3626"/>
    <mergeCell ref="G3626:H3626"/>
    <mergeCell ref="D3627:H3627"/>
    <mergeCell ref="D3628:H3628"/>
    <mergeCell ref="D3567:H3567"/>
    <mergeCell ref="D3568:H3568"/>
    <mergeCell ref="D3569:H3569"/>
    <mergeCell ref="D3570:H3570"/>
    <mergeCell ref="D3571:H3571"/>
    <mergeCell ref="D3595:H3595"/>
    <mergeCell ref="D3596:E3596"/>
    <mergeCell ref="G3596:H3596"/>
    <mergeCell ref="D3597:H3597"/>
    <mergeCell ref="D3536:E3536"/>
    <mergeCell ref="G3536:H3536"/>
    <mergeCell ref="D3537:H3537"/>
    <mergeCell ref="D3538:H3538"/>
    <mergeCell ref="D3539:H3539"/>
    <mergeCell ref="D3540:H3540"/>
    <mergeCell ref="D3541:H3541"/>
    <mergeCell ref="D3565:H3565"/>
    <mergeCell ref="D3566:E3566"/>
    <mergeCell ref="G3566:H3566"/>
    <mergeCell ref="D3505:H3505"/>
    <mergeCell ref="D3506:E3506"/>
    <mergeCell ref="G3506:H3506"/>
    <mergeCell ref="D3507:H3507"/>
    <mergeCell ref="D3508:H3508"/>
    <mergeCell ref="D3509:H3509"/>
    <mergeCell ref="D3510:H3510"/>
    <mergeCell ref="D3511:H3511"/>
    <mergeCell ref="D3535:H3535"/>
    <mergeCell ref="D3451:H3451"/>
    <mergeCell ref="D3475:H3475"/>
    <mergeCell ref="D3476:E3476"/>
    <mergeCell ref="G3476:H3476"/>
    <mergeCell ref="D3477:H3477"/>
    <mergeCell ref="D3478:H3478"/>
    <mergeCell ref="D3479:H3479"/>
    <mergeCell ref="D3480:H3480"/>
    <mergeCell ref="D3481:H3481"/>
    <mergeCell ref="D3420:H3420"/>
    <mergeCell ref="D3421:H3421"/>
    <mergeCell ref="D3445:H3445"/>
    <mergeCell ref="D3446:E3446"/>
    <mergeCell ref="G3446:H3446"/>
    <mergeCell ref="D3447:H3447"/>
    <mergeCell ref="D3448:H3448"/>
    <mergeCell ref="D3449:H3449"/>
    <mergeCell ref="D3450:H3450"/>
    <mergeCell ref="D3389:H3389"/>
    <mergeCell ref="D3390:H3390"/>
    <mergeCell ref="D3391:H3391"/>
    <mergeCell ref="D3415:H3415"/>
    <mergeCell ref="D3416:E3416"/>
    <mergeCell ref="G3416:H3416"/>
    <mergeCell ref="D3417:H3417"/>
    <mergeCell ref="D3418:H3418"/>
    <mergeCell ref="D3419:H3419"/>
    <mergeCell ref="D3358:H3358"/>
    <mergeCell ref="D3359:H3359"/>
    <mergeCell ref="D3360:H3360"/>
    <mergeCell ref="D3361:H3361"/>
    <mergeCell ref="D3385:H3385"/>
    <mergeCell ref="D3386:E3386"/>
    <mergeCell ref="G3386:H3386"/>
    <mergeCell ref="D3387:H3387"/>
    <mergeCell ref="D3388:H3388"/>
    <mergeCell ref="D3327:H3327"/>
    <mergeCell ref="D3328:H3328"/>
    <mergeCell ref="D3329:H3329"/>
    <mergeCell ref="D3330:H3330"/>
    <mergeCell ref="D3331:H3331"/>
    <mergeCell ref="D3355:H3355"/>
    <mergeCell ref="D3356:E3356"/>
    <mergeCell ref="G3356:H3356"/>
    <mergeCell ref="D3357:H3357"/>
    <mergeCell ref="D3296:E3296"/>
    <mergeCell ref="G3296:H3296"/>
    <mergeCell ref="D3297:H3297"/>
    <mergeCell ref="D3298:H3298"/>
    <mergeCell ref="D3299:H3299"/>
    <mergeCell ref="D3300:H3300"/>
    <mergeCell ref="D3301:H3301"/>
    <mergeCell ref="D3325:H3325"/>
    <mergeCell ref="D3326:E3326"/>
    <mergeCell ref="G3326:H3326"/>
    <mergeCell ref="D3265:H3265"/>
    <mergeCell ref="D3266:E3266"/>
    <mergeCell ref="G3266:H3266"/>
    <mergeCell ref="D3267:H3267"/>
    <mergeCell ref="D3268:H3268"/>
    <mergeCell ref="D3269:H3269"/>
    <mergeCell ref="D3270:H3270"/>
    <mergeCell ref="D3271:H3271"/>
    <mergeCell ref="D3295:H3295"/>
    <mergeCell ref="D3211:H3211"/>
    <mergeCell ref="D3235:H3235"/>
    <mergeCell ref="D3236:E3236"/>
    <mergeCell ref="G3236:H3236"/>
    <mergeCell ref="D3237:H3237"/>
    <mergeCell ref="D3238:H3238"/>
    <mergeCell ref="D3239:H3239"/>
    <mergeCell ref="D3240:H3240"/>
    <mergeCell ref="D3241:H3241"/>
    <mergeCell ref="D3180:H3180"/>
    <mergeCell ref="D3181:H3181"/>
    <mergeCell ref="D3205:H3205"/>
    <mergeCell ref="D3206:E3206"/>
    <mergeCell ref="G3206:H3206"/>
    <mergeCell ref="D3207:H3207"/>
    <mergeCell ref="D3208:H3208"/>
    <mergeCell ref="D3209:H3209"/>
    <mergeCell ref="D3210:H3210"/>
    <mergeCell ref="D3149:H3149"/>
    <mergeCell ref="D3150:H3150"/>
    <mergeCell ref="D3151:H3151"/>
    <mergeCell ref="D3175:H3175"/>
    <mergeCell ref="D3176:E3176"/>
    <mergeCell ref="G3176:H3176"/>
    <mergeCell ref="D3177:H3177"/>
    <mergeCell ref="D3178:H3178"/>
    <mergeCell ref="D3179:H3179"/>
    <mergeCell ref="D3118:H3118"/>
    <mergeCell ref="D3119:H3119"/>
    <mergeCell ref="D3120:H3120"/>
    <mergeCell ref="D3121:H3121"/>
    <mergeCell ref="D3145:H3145"/>
    <mergeCell ref="D3146:E3146"/>
    <mergeCell ref="G3146:H3146"/>
    <mergeCell ref="D3147:H3147"/>
    <mergeCell ref="D3148:H3148"/>
    <mergeCell ref="D3087:H3087"/>
    <mergeCell ref="D3088:H3088"/>
    <mergeCell ref="D3089:H3089"/>
    <mergeCell ref="D3090:H3090"/>
    <mergeCell ref="D3091:H3091"/>
    <mergeCell ref="D3115:H3115"/>
    <mergeCell ref="D3116:E3116"/>
    <mergeCell ref="G3116:H3116"/>
    <mergeCell ref="D3117:H3117"/>
    <mergeCell ref="D3056:E3056"/>
    <mergeCell ref="G3056:H3056"/>
    <mergeCell ref="D3057:H3057"/>
    <mergeCell ref="D3058:H3058"/>
    <mergeCell ref="D3059:H3059"/>
    <mergeCell ref="D3060:H3060"/>
    <mergeCell ref="D3061:H3061"/>
    <mergeCell ref="D3085:H3085"/>
    <mergeCell ref="D3086:E3086"/>
    <mergeCell ref="G3086:H3086"/>
    <mergeCell ref="D3025:H3025"/>
    <mergeCell ref="D3026:E3026"/>
    <mergeCell ref="G3026:H3026"/>
    <mergeCell ref="D3027:H3027"/>
    <mergeCell ref="D3028:H3028"/>
    <mergeCell ref="D3029:H3029"/>
    <mergeCell ref="D3030:H3030"/>
    <mergeCell ref="D3031:H3031"/>
    <mergeCell ref="D3055:H3055"/>
    <mergeCell ref="D2971:H2971"/>
    <mergeCell ref="D2995:H2995"/>
    <mergeCell ref="D2996:E2996"/>
    <mergeCell ref="G2996:H2996"/>
    <mergeCell ref="D2997:H2997"/>
    <mergeCell ref="D2998:H2998"/>
    <mergeCell ref="D2999:H2999"/>
    <mergeCell ref="D3000:H3000"/>
    <mergeCell ref="D3001:H3001"/>
    <mergeCell ref="D2940:H2940"/>
    <mergeCell ref="D2941:H2941"/>
    <mergeCell ref="D2965:H2965"/>
    <mergeCell ref="D2966:E2966"/>
    <mergeCell ref="G2966:H2966"/>
    <mergeCell ref="D2967:H2967"/>
    <mergeCell ref="D2968:H2968"/>
    <mergeCell ref="D2969:H2969"/>
    <mergeCell ref="D2970:H2970"/>
    <mergeCell ref="D2909:H2909"/>
    <mergeCell ref="D2910:H2910"/>
    <mergeCell ref="D2911:H2911"/>
    <mergeCell ref="D2935:H2935"/>
    <mergeCell ref="D2936:E2936"/>
    <mergeCell ref="G2936:H2936"/>
    <mergeCell ref="D2937:H2937"/>
    <mergeCell ref="D2938:H2938"/>
    <mergeCell ref="D2939:H2939"/>
    <mergeCell ref="D2878:H2878"/>
    <mergeCell ref="D2879:H2879"/>
    <mergeCell ref="D2880:H2880"/>
    <mergeCell ref="D2881:H2881"/>
    <mergeCell ref="D2905:H2905"/>
    <mergeCell ref="D2906:E2906"/>
    <mergeCell ref="G2906:H2906"/>
    <mergeCell ref="D2907:H2907"/>
    <mergeCell ref="D2908:H2908"/>
    <mergeCell ref="D2847:H2847"/>
    <mergeCell ref="D2848:H2848"/>
    <mergeCell ref="D2849:H2849"/>
    <mergeCell ref="D2850:H2850"/>
    <mergeCell ref="D2851:H2851"/>
    <mergeCell ref="D2875:H2875"/>
    <mergeCell ref="D2876:E2876"/>
    <mergeCell ref="G2876:H2876"/>
    <mergeCell ref="D2877:H2877"/>
    <mergeCell ref="D2816:E2816"/>
    <mergeCell ref="G2816:H2816"/>
    <mergeCell ref="D2817:H2817"/>
    <mergeCell ref="D2818:H2818"/>
    <mergeCell ref="D2819:H2819"/>
    <mergeCell ref="D2820:H2820"/>
    <mergeCell ref="D2821:H2821"/>
    <mergeCell ref="D2845:H2845"/>
    <mergeCell ref="D2846:E2846"/>
    <mergeCell ref="G2846:H2846"/>
    <mergeCell ref="D2785:H2785"/>
    <mergeCell ref="D2786:E2786"/>
    <mergeCell ref="G2786:H2786"/>
    <mergeCell ref="D2787:H2787"/>
    <mergeCell ref="D2788:H2788"/>
    <mergeCell ref="D2789:H2789"/>
    <mergeCell ref="D2790:H2790"/>
    <mergeCell ref="D2791:H2791"/>
    <mergeCell ref="D2815:H2815"/>
    <mergeCell ref="D2731:H2731"/>
    <mergeCell ref="D2755:H2755"/>
    <mergeCell ref="D2756:E2756"/>
    <mergeCell ref="G2756:H2756"/>
    <mergeCell ref="D2757:H2757"/>
    <mergeCell ref="D2758:H2758"/>
    <mergeCell ref="D2759:H2759"/>
    <mergeCell ref="D2760:H2760"/>
    <mergeCell ref="D2761:H2761"/>
    <mergeCell ref="D2700:H2700"/>
    <mergeCell ref="D2701:H2701"/>
    <mergeCell ref="D2725:H2725"/>
    <mergeCell ref="D2726:E2726"/>
    <mergeCell ref="G2726:H2726"/>
    <mergeCell ref="D2727:H2727"/>
    <mergeCell ref="D2728:H2728"/>
    <mergeCell ref="D2729:H2729"/>
    <mergeCell ref="D2730:H2730"/>
    <mergeCell ref="D2669:H2669"/>
    <mergeCell ref="D2670:H2670"/>
    <mergeCell ref="D2671:H2671"/>
    <mergeCell ref="D2695:H2695"/>
    <mergeCell ref="D2696:E2696"/>
    <mergeCell ref="G2696:H2696"/>
    <mergeCell ref="D2697:H2697"/>
    <mergeCell ref="D2698:H2698"/>
    <mergeCell ref="D2699:H2699"/>
    <mergeCell ref="D2638:H2638"/>
    <mergeCell ref="D2639:H2639"/>
    <mergeCell ref="D2640:H2640"/>
    <mergeCell ref="D2641:H2641"/>
    <mergeCell ref="D2665:H2665"/>
    <mergeCell ref="D2666:E2666"/>
    <mergeCell ref="G2666:H2666"/>
    <mergeCell ref="D2667:H2667"/>
    <mergeCell ref="D2668:H2668"/>
    <mergeCell ref="D2607:H2607"/>
    <mergeCell ref="D2608:H2608"/>
    <mergeCell ref="D2609:H2609"/>
    <mergeCell ref="D2610:H2610"/>
    <mergeCell ref="D2611:H2611"/>
    <mergeCell ref="D2635:H2635"/>
    <mergeCell ref="D2636:E2636"/>
    <mergeCell ref="G2636:H2636"/>
    <mergeCell ref="D2637:H2637"/>
    <mergeCell ref="D2576:E2576"/>
    <mergeCell ref="G2576:H2576"/>
    <mergeCell ref="D2577:H2577"/>
    <mergeCell ref="D2578:H2578"/>
    <mergeCell ref="D2579:H2579"/>
    <mergeCell ref="D2580:H2580"/>
    <mergeCell ref="D2581:H2581"/>
    <mergeCell ref="D2605:H2605"/>
    <mergeCell ref="D2606:E2606"/>
    <mergeCell ref="G2606:H2606"/>
    <mergeCell ref="D2545:H2545"/>
    <mergeCell ref="D2546:E2546"/>
    <mergeCell ref="G2546:H2546"/>
    <mergeCell ref="D2547:H2547"/>
    <mergeCell ref="D2548:H2548"/>
    <mergeCell ref="D2549:H2549"/>
    <mergeCell ref="D2550:H2550"/>
    <mergeCell ref="D2551:H2551"/>
    <mergeCell ref="D2575:H2575"/>
    <mergeCell ref="D2491:H2491"/>
    <mergeCell ref="D2515:H2515"/>
    <mergeCell ref="D2516:E2516"/>
    <mergeCell ref="G2516:H2516"/>
    <mergeCell ref="D2517:H2517"/>
    <mergeCell ref="D2518:H2518"/>
    <mergeCell ref="D2519:H2519"/>
    <mergeCell ref="D2520:H2520"/>
    <mergeCell ref="D2521:H2521"/>
    <mergeCell ref="D2460:H2460"/>
    <mergeCell ref="D2461:H2461"/>
    <mergeCell ref="D2485:H2485"/>
    <mergeCell ref="D2486:E2486"/>
    <mergeCell ref="G2486:H2486"/>
    <mergeCell ref="D2487:H2487"/>
    <mergeCell ref="D2488:H2488"/>
    <mergeCell ref="D2489:H2489"/>
    <mergeCell ref="D2490:H2490"/>
    <mergeCell ref="D2429:H2429"/>
    <mergeCell ref="D2430:H2430"/>
    <mergeCell ref="D2431:H2431"/>
    <mergeCell ref="D2455:H2455"/>
    <mergeCell ref="D2456:E2456"/>
    <mergeCell ref="G2456:H2456"/>
    <mergeCell ref="D2457:H2457"/>
    <mergeCell ref="D2458:H2458"/>
    <mergeCell ref="D2459:H2459"/>
    <mergeCell ref="D2398:H2398"/>
    <mergeCell ref="D2399:H2399"/>
    <mergeCell ref="D2400:H2400"/>
    <mergeCell ref="D2401:H2401"/>
    <mergeCell ref="D2425:H2425"/>
    <mergeCell ref="D2426:E2426"/>
    <mergeCell ref="G2426:H2426"/>
    <mergeCell ref="D2427:H2427"/>
    <mergeCell ref="D2428:H2428"/>
    <mergeCell ref="D2367:H2367"/>
    <mergeCell ref="D2368:H2368"/>
    <mergeCell ref="D2369:H2369"/>
    <mergeCell ref="D2370:H2370"/>
    <mergeCell ref="D2371:H2371"/>
    <mergeCell ref="D2395:H2395"/>
    <mergeCell ref="D2396:E2396"/>
    <mergeCell ref="G2396:H2396"/>
    <mergeCell ref="D2397:H2397"/>
    <mergeCell ref="D2336:E2336"/>
    <mergeCell ref="G2336:H2336"/>
    <mergeCell ref="D2337:H2337"/>
    <mergeCell ref="D2338:H2338"/>
    <mergeCell ref="D2339:H2339"/>
    <mergeCell ref="D2340:H2340"/>
    <mergeCell ref="D2341:H2341"/>
    <mergeCell ref="D2365:H2365"/>
    <mergeCell ref="D2366:E2366"/>
    <mergeCell ref="G2366:H2366"/>
    <mergeCell ref="D2305:H2305"/>
    <mergeCell ref="D2306:E2306"/>
    <mergeCell ref="G2306:H2306"/>
    <mergeCell ref="D2307:H2307"/>
    <mergeCell ref="D2308:H2308"/>
    <mergeCell ref="D2309:H2309"/>
    <mergeCell ref="D2310:H2310"/>
    <mergeCell ref="D2311:H2311"/>
    <mergeCell ref="D2335:H2335"/>
    <mergeCell ref="D2251:H2251"/>
    <mergeCell ref="D2275:H2275"/>
    <mergeCell ref="D2276:E2276"/>
    <mergeCell ref="G2276:H2276"/>
    <mergeCell ref="D2277:H2277"/>
    <mergeCell ref="D2278:H2278"/>
    <mergeCell ref="D2279:H2279"/>
    <mergeCell ref="D2280:H2280"/>
    <mergeCell ref="D2281:H2281"/>
    <mergeCell ref="D2220:H2220"/>
    <mergeCell ref="D2221:H2221"/>
    <mergeCell ref="D2245:H2245"/>
    <mergeCell ref="D2246:E2246"/>
    <mergeCell ref="G2246:H2246"/>
    <mergeCell ref="D2247:H2247"/>
    <mergeCell ref="D2248:H2248"/>
    <mergeCell ref="D2249:H2249"/>
    <mergeCell ref="D2250:H2250"/>
    <mergeCell ref="D2189:H2189"/>
    <mergeCell ref="D2190:H2190"/>
    <mergeCell ref="D2191:H2191"/>
    <mergeCell ref="D2215:H2215"/>
    <mergeCell ref="D2216:E2216"/>
    <mergeCell ref="G2216:H2216"/>
    <mergeCell ref="D2217:H2217"/>
    <mergeCell ref="D2218:H2218"/>
    <mergeCell ref="D2219:H2219"/>
    <mergeCell ref="D2158:H2158"/>
    <mergeCell ref="D2159:H2159"/>
    <mergeCell ref="D2160:H2160"/>
    <mergeCell ref="D2161:H2161"/>
    <mergeCell ref="D2185:H2185"/>
    <mergeCell ref="D2186:E2186"/>
    <mergeCell ref="G2186:H2186"/>
    <mergeCell ref="D2187:H2187"/>
    <mergeCell ref="D2188:H2188"/>
    <mergeCell ref="D2127:H2127"/>
    <mergeCell ref="D2128:H2128"/>
    <mergeCell ref="D2129:H2129"/>
    <mergeCell ref="D2130:H2130"/>
    <mergeCell ref="D2131:H2131"/>
    <mergeCell ref="D2155:H2155"/>
    <mergeCell ref="D2156:E2156"/>
    <mergeCell ref="G2156:H2156"/>
    <mergeCell ref="D2157:H2157"/>
    <mergeCell ref="D2096:E2096"/>
    <mergeCell ref="G2096:H2096"/>
    <mergeCell ref="D2097:H2097"/>
    <mergeCell ref="D2098:H2098"/>
    <mergeCell ref="D2099:H2099"/>
    <mergeCell ref="D2100:H2100"/>
    <mergeCell ref="D2101:H2101"/>
    <mergeCell ref="D2125:H2125"/>
    <mergeCell ref="D2126:E2126"/>
    <mergeCell ref="G2126:H2126"/>
    <mergeCell ref="D2065:H2065"/>
    <mergeCell ref="D2066:E2066"/>
    <mergeCell ref="G2066:H2066"/>
    <mergeCell ref="D2067:H2067"/>
    <mergeCell ref="D2068:H2068"/>
    <mergeCell ref="D2069:H2069"/>
    <mergeCell ref="D2070:H2070"/>
    <mergeCell ref="D2071:H2071"/>
    <mergeCell ref="D2095:H2095"/>
    <mergeCell ref="D2011:H2011"/>
    <mergeCell ref="D2035:H2035"/>
    <mergeCell ref="D2036:E2036"/>
    <mergeCell ref="G2036:H2036"/>
    <mergeCell ref="D2037:H2037"/>
    <mergeCell ref="D2038:H2038"/>
    <mergeCell ref="D2039:H2039"/>
    <mergeCell ref="D2040:H2040"/>
    <mergeCell ref="D2041:H2041"/>
    <mergeCell ref="D1980:H1980"/>
    <mergeCell ref="D1981:H1981"/>
    <mergeCell ref="D2005:H2005"/>
    <mergeCell ref="D2006:E2006"/>
    <mergeCell ref="G2006:H2006"/>
    <mergeCell ref="D2007:H2007"/>
    <mergeCell ref="D2008:H2008"/>
    <mergeCell ref="D2009:H2009"/>
    <mergeCell ref="D2010:H2010"/>
    <mergeCell ref="D1949:H1949"/>
    <mergeCell ref="D1950:H1950"/>
    <mergeCell ref="D1951:H1951"/>
    <mergeCell ref="D1975:H1975"/>
    <mergeCell ref="D1976:E1976"/>
    <mergeCell ref="G1976:H1976"/>
    <mergeCell ref="D1977:H1977"/>
    <mergeCell ref="D1978:H1978"/>
    <mergeCell ref="D1979:H1979"/>
    <mergeCell ref="D1918:H1918"/>
    <mergeCell ref="D1919:H1919"/>
    <mergeCell ref="D1920:H1920"/>
    <mergeCell ref="D1921:H1921"/>
    <mergeCell ref="D1945:H1945"/>
    <mergeCell ref="D1946:E1946"/>
    <mergeCell ref="G1946:H1946"/>
    <mergeCell ref="D1947:H1947"/>
    <mergeCell ref="D1948:H1948"/>
    <mergeCell ref="D1887:H1887"/>
    <mergeCell ref="D1888:H1888"/>
    <mergeCell ref="D1889:H1889"/>
    <mergeCell ref="D1890:H1890"/>
    <mergeCell ref="D1891:H1891"/>
    <mergeCell ref="D1915:H1915"/>
    <mergeCell ref="D1916:E1916"/>
    <mergeCell ref="G1916:H1916"/>
    <mergeCell ref="D1917:H1917"/>
    <mergeCell ref="D1856:E1856"/>
    <mergeCell ref="G1856:H1856"/>
    <mergeCell ref="D1857:H1857"/>
    <mergeCell ref="D1858:H1858"/>
    <mergeCell ref="D1859:H1859"/>
    <mergeCell ref="D1860:H1860"/>
    <mergeCell ref="D1861:H1861"/>
    <mergeCell ref="D1885:H1885"/>
    <mergeCell ref="D1886:E1886"/>
    <mergeCell ref="G1886:H1886"/>
    <mergeCell ref="D1825:H1825"/>
    <mergeCell ref="D1826:E1826"/>
    <mergeCell ref="G1826:H1826"/>
    <mergeCell ref="D1827:H1827"/>
    <mergeCell ref="D1828:H1828"/>
    <mergeCell ref="D1829:H1829"/>
    <mergeCell ref="D1830:H1830"/>
    <mergeCell ref="D1831:H1831"/>
    <mergeCell ref="D1855:H1855"/>
    <mergeCell ref="D7225:H7225"/>
    <mergeCell ref="D7226:E7226"/>
    <mergeCell ref="G7226:H7226"/>
    <mergeCell ref="D7227:H7227"/>
    <mergeCell ref="D7228:H7228"/>
    <mergeCell ref="D7229:H7229"/>
    <mergeCell ref="D7230:H7230"/>
    <mergeCell ref="D7231:H7231"/>
    <mergeCell ref="D7171:H7171"/>
    <mergeCell ref="D7195:H7195"/>
    <mergeCell ref="D7196:E7196"/>
    <mergeCell ref="G7196:H7196"/>
    <mergeCell ref="D7197:H7197"/>
    <mergeCell ref="D7198:H7198"/>
    <mergeCell ref="D7199:H7199"/>
    <mergeCell ref="D7200:H7200"/>
    <mergeCell ref="D7201:H7201"/>
    <mergeCell ref="D7140:H7140"/>
    <mergeCell ref="D7141:H7141"/>
    <mergeCell ref="D7165:H7165"/>
    <mergeCell ref="D7166:E7166"/>
    <mergeCell ref="G7166:H7166"/>
    <mergeCell ref="D7167:H7167"/>
    <mergeCell ref="D7168:H7168"/>
    <mergeCell ref="D7169:H7169"/>
    <mergeCell ref="D7170:H7170"/>
    <mergeCell ref="D7109:H7109"/>
    <mergeCell ref="D7110:H7110"/>
    <mergeCell ref="D7111:H7111"/>
    <mergeCell ref="D7135:H7135"/>
    <mergeCell ref="D7136:E7136"/>
    <mergeCell ref="G7136:H7136"/>
    <mergeCell ref="D7137:H7137"/>
    <mergeCell ref="D7138:H7138"/>
    <mergeCell ref="D7139:H7139"/>
    <mergeCell ref="D7078:H7078"/>
    <mergeCell ref="D7079:H7079"/>
    <mergeCell ref="D7080:H7080"/>
    <mergeCell ref="D7081:H7081"/>
    <mergeCell ref="D7105:H7105"/>
    <mergeCell ref="D7106:E7106"/>
    <mergeCell ref="G7106:H7106"/>
    <mergeCell ref="D7107:H7107"/>
    <mergeCell ref="D7108:H7108"/>
    <mergeCell ref="D7017:H7017"/>
    <mergeCell ref="D7018:H7018"/>
    <mergeCell ref="D7019:H7019"/>
    <mergeCell ref="D7020:H7020"/>
    <mergeCell ref="D7021:H7021"/>
    <mergeCell ref="D7075:H7075"/>
    <mergeCell ref="D7076:E7076"/>
    <mergeCell ref="G7076:H7076"/>
    <mergeCell ref="D7077:H7077"/>
    <mergeCell ref="D6986:E6986"/>
    <mergeCell ref="G6986:H6986"/>
    <mergeCell ref="D6987:H6987"/>
    <mergeCell ref="D6988:H6988"/>
    <mergeCell ref="D6989:H6989"/>
    <mergeCell ref="D6990:H6990"/>
    <mergeCell ref="D6991:H6991"/>
    <mergeCell ref="D7015:H7015"/>
    <mergeCell ref="D7016:E7016"/>
    <mergeCell ref="G7016:H7016"/>
    <mergeCell ref="D7045:H7045"/>
    <mergeCell ref="D7046:E7046"/>
    <mergeCell ref="G7046:H7046"/>
    <mergeCell ref="D7047:H7047"/>
    <mergeCell ref="D7048:H7048"/>
    <mergeCell ref="D7049:H7049"/>
    <mergeCell ref="D7050:H7050"/>
    <mergeCell ref="D7051:H7051"/>
    <mergeCell ref="D6955:H6955"/>
    <mergeCell ref="D6956:E6956"/>
    <mergeCell ref="G6956:H6956"/>
    <mergeCell ref="D6957:H6957"/>
    <mergeCell ref="D6958:H6958"/>
    <mergeCell ref="D6959:H6959"/>
    <mergeCell ref="D6960:H6960"/>
    <mergeCell ref="D6961:H6961"/>
    <mergeCell ref="D6985:H6985"/>
    <mergeCell ref="D6901:H6901"/>
    <mergeCell ref="D6925:H6925"/>
    <mergeCell ref="D6926:E6926"/>
    <mergeCell ref="G6926:H6926"/>
    <mergeCell ref="D6927:H6927"/>
    <mergeCell ref="D6928:H6928"/>
    <mergeCell ref="D6929:H6929"/>
    <mergeCell ref="D6930:H6930"/>
    <mergeCell ref="D6931:H6931"/>
    <mergeCell ref="D6870:H6870"/>
    <mergeCell ref="D6871:H6871"/>
    <mergeCell ref="D6895:H6895"/>
    <mergeCell ref="D6896:E6896"/>
    <mergeCell ref="G6896:H6896"/>
    <mergeCell ref="D6897:H6897"/>
    <mergeCell ref="D6898:H6898"/>
    <mergeCell ref="D6899:H6899"/>
    <mergeCell ref="D6900:H6900"/>
    <mergeCell ref="D6839:H6839"/>
    <mergeCell ref="D6840:H6840"/>
    <mergeCell ref="D6841:H6841"/>
    <mergeCell ref="D6865:H6865"/>
    <mergeCell ref="D6866:E6866"/>
    <mergeCell ref="G6866:H6866"/>
    <mergeCell ref="D6867:H6867"/>
    <mergeCell ref="D6868:H6868"/>
    <mergeCell ref="D6869:H6869"/>
    <mergeCell ref="D6808:H6808"/>
    <mergeCell ref="D6809:H6809"/>
    <mergeCell ref="D6810:H6810"/>
    <mergeCell ref="D6811:H6811"/>
    <mergeCell ref="D6835:H6835"/>
    <mergeCell ref="D6836:E6836"/>
    <mergeCell ref="G6836:H6836"/>
    <mergeCell ref="D6837:H6837"/>
    <mergeCell ref="D6838:H6838"/>
    <mergeCell ref="D6777:H6777"/>
    <mergeCell ref="D6778:H6778"/>
    <mergeCell ref="D6779:H6779"/>
    <mergeCell ref="D6780:H6780"/>
    <mergeCell ref="D6781:H6781"/>
    <mergeCell ref="D6805:H6805"/>
    <mergeCell ref="D6806:E6806"/>
    <mergeCell ref="G6806:H6806"/>
    <mergeCell ref="D6807:H6807"/>
    <mergeCell ref="D6746:E6746"/>
    <mergeCell ref="G6746:H6746"/>
    <mergeCell ref="D6747:H6747"/>
    <mergeCell ref="D6748:H6748"/>
    <mergeCell ref="D6749:H6749"/>
    <mergeCell ref="D6750:H6750"/>
    <mergeCell ref="D6751:H6751"/>
    <mergeCell ref="D6775:H6775"/>
    <mergeCell ref="D6776:E6776"/>
    <mergeCell ref="G6776:H6776"/>
    <mergeCell ref="D6715:H6715"/>
    <mergeCell ref="D6716:E6716"/>
    <mergeCell ref="G6716:H6716"/>
    <mergeCell ref="D6717:H6717"/>
    <mergeCell ref="D6718:H6718"/>
    <mergeCell ref="D6719:H6719"/>
    <mergeCell ref="D6720:H6720"/>
    <mergeCell ref="D6721:H6721"/>
    <mergeCell ref="D6745:H6745"/>
    <mergeCell ref="D6661:H6661"/>
    <mergeCell ref="D6685:H6685"/>
    <mergeCell ref="D6686:E6686"/>
    <mergeCell ref="G6686:H6686"/>
    <mergeCell ref="D6687:H6687"/>
    <mergeCell ref="D6688:H6688"/>
    <mergeCell ref="D6689:H6689"/>
    <mergeCell ref="D6690:H6690"/>
    <mergeCell ref="D6691:H6691"/>
    <mergeCell ref="D6630:H6630"/>
    <mergeCell ref="D6631:H6631"/>
    <mergeCell ref="D6655:H6655"/>
    <mergeCell ref="D6656:E6656"/>
    <mergeCell ref="G6656:H6656"/>
    <mergeCell ref="D6657:H6657"/>
    <mergeCell ref="D6658:H6658"/>
    <mergeCell ref="D6659:H6659"/>
    <mergeCell ref="D6660:H6660"/>
    <mergeCell ref="D6625:H6625"/>
    <mergeCell ref="D6626:E6626"/>
    <mergeCell ref="G6626:H6626"/>
    <mergeCell ref="D6627:H6627"/>
    <mergeCell ref="D6628:H6628"/>
    <mergeCell ref="D6629:H6629"/>
    <mergeCell ref="D6538:H6538"/>
    <mergeCell ref="D6539:H6539"/>
    <mergeCell ref="D6540:H6540"/>
    <mergeCell ref="D6541:H6541"/>
    <mergeCell ref="D6565:H6565"/>
    <mergeCell ref="D6566:E6566"/>
    <mergeCell ref="G6566:H6566"/>
    <mergeCell ref="D6567:H6567"/>
    <mergeCell ref="D6568:H6568"/>
    <mergeCell ref="D6597:H6597"/>
    <mergeCell ref="D6598:H6598"/>
    <mergeCell ref="D6599:H6599"/>
    <mergeCell ref="D6600:H6600"/>
    <mergeCell ref="D6601:H6601"/>
    <mergeCell ref="D6477:H6477"/>
    <mergeCell ref="D6478:H6478"/>
    <mergeCell ref="D6479:H6479"/>
    <mergeCell ref="D6480:H6480"/>
    <mergeCell ref="D6481:H6481"/>
    <mergeCell ref="D6505:H6505"/>
    <mergeCell ref="D6506:E6506"/>
    <mergeCell ref="G6506:H6506"/>
    <mergeCell ref="D6445:H6445"/>
    <mergeCell ref="D6446:E6446"/>
    <mergeCell ref="G6446:H6446"/>
    <mergeCell ref="D6447:H6447"/>
    <mergeCell ref="D6448:H6448"/>
    <mergeCell ref="D6449:H6449"/>
    <mergeCell ref="D6450:H6450"/>
    <mergeCell ref="D6451:H6451"/>
    <mergeCell ref="D6475:H6475"/>
    <mergeCell ref="D6391:H6391"/>
    <mergeCell ref="D6415:H6415"/>
    <mergeCell ref="D6416:E6416"/>
    <mergeCell ref="G6416:H6416"/>
    <mergeCell ref="D6417:H6417"/>
    <mergeCell ref="D6418:H6418"/>
    <mergeCell ref="D6419:H6419"/>
    <mergeCell ref="D6420:H6420"/>
    <mergeCell ref="D6421:H6421"/>
    <mergeCell ref="D6360:H6360"/>
    <mergeCell ref="D6361:H6361"/>
    <mergeCell ref="D6385:H6385"/>
    <mergeCell ref="D6386:E6386"/>
    <mergeCell ref="G6386:H6386"/>
    <mergeCell ref="D6387:H6387"/>
    <mergeCell ref="D6388:H6388"/>
    <mergeCell ref="D6389:H6389"/>
    <mergeCell ref="D6390:H6390"/>
    <mergeCell ref="D6329:H6329"/>
    <mergeCell ref="D6330:H6330"/>
    <mergeCell ref="D6331:H6331"/>
    <mergeCell ref="D6355:H6355"/>
    <mergeCell ref="D6356:E6356"/>
    <mergeCell ref="G6356:H6356"/>
    <mergeCell ref="D6357:H6357"/>
    <mergeCell ref="D6358:H6358"/>
    <mergeCell ref="D6359:H6359"/>
    <mergeCell ref="D6298:H6298"/>
    <mergeCell ref="D6299:H6299"/>
    <mergeCell ref="D6300:H6300"/>
    <mergeCell ref="D6301:H6301"/>
    <mergeCell ref="D6325:H6325"/>
    <mergeCell ref="D6326:E6326"/>
    <mergeCell ref="G6326:H6326"/>
    <mergeCell ref="D6327:H6327"/>
    <mergeCell ref="D6328:H6328"/>
    <mergeCell ref="D6267:H6267"/>
    <mergeCell ref="D6268:H6268"/>
    <mergeCell ref="D6269:H6269"/>
    <mergeCell ref="D6270:H6270"/>
    <mergeCell ref="D6271:H6271"/>
    <mergeCell ref="D6295:H6295"/>
    <mergeCell ref="D6296:E6296"/>
    <mergeCell ref="G6296:H6296"/>
    <mergeCell ref="D6297:H6297"/>
    <mergeCell ref="D6236:E6236"/>
    <mergeCell ref="G6236:H6236"/>
    <mergeCell ref="D6237:H6237"/>
    <mergeCell ref="D6238:H6238"/>
    <mergeCell ref="D6239:H6239"/>
    <mergeCell ref="D6240:H6240"/>
    <mergeCell ref="D6241:H6241"/>
    <mergeCell ref="D6265:H6265"/>
    <mergeCell ref="D6266:E6266"/>
    <mergeCell ref="G6266:H6266"/>
    <mergeCell ref="D6205:H6205"/>
    <mergeCell ref="D6206:E6206"/>
    <mergeCell ref="G6206:H6206"/>
    <mergeCell ref="D6207:H6207"/>
    <mergeCell ref="D6208:H6208"/>
    <mergeCell ref="D6209:H6209"/>
    <mergeCell ref="D6210:H6210"/>
    <mergeCell ref="D6211:H6211"/>
    <mergeCell ref="D6235:H6235"/>
    <mergeCell ref="D1799:H1799"/>
    <mergeCell ref="D1679:H1679"/>
    <mergeCell ref="D1680:H1680"/>
    <mergeCell ref="D1681:H1681"/>
    <mergeCell ref="D1705:H1705"/>
    <mergeCell ref="D1706:E1706"/>
    <mergeCell ref="G1706:H1706"/>
    <mergeCell ref="D1707:H1707"/>
    <mergeCell ref="D1708:H1708"/>
    <mergeCell ref="D1709:H1709"/>
    <mergeCell ref="D1710:H1710"/>
    <mergeCell ref="D1711:H1711"/>
    <mergeCell ref="D1735:H1735"/>
    <mergeCell ref="D1736:E1736"/>
    <mergeCell ref="G1736:H1736"/>
    <mergeCell ref="D1737:H1737"/>
    <mergeCell ref="D1738:H1738"/>
    <mergeCell ref="D1739:H1739"/>
    <mergeCell ref="D1740:H1740"/>
    <mergeCell ref="D1741:H1741"/>
    <mergeCell ref="D1765:H1765"/>
    <mergeCell ref="D1766:E1766"/>
    <mergeCell ref="G1796:H1796"/>
    <mergeCell ref="G1766:H1766"/>
    <mergeCell ref="D1767:H1767"/>
    <mergeCell ref="D1768:H1768"/>
    <mergeCell ref="D1769:H1769"/>
    <mergeCell ref="D1770:H1770"/>
    <mergeCell ref="D1771:H1771"/>
    <mergeCell ref="D1797:H1797"/>
    <mergeCell ref="D1798:H1798"/>
    <mergeCell ref="D1558:H1558"/>
    <mergeCell ref="D1496:E1496"/>
    <mergeCell ref="D1557:H1557"/>
    <mergeCell ref="G686:H686"/>
    <mergeCell ref="D687:H687"/>
    <mergeCell ref="D688:H688"/>
    <mergeCell ref="D689:H689"/>
    <mergeCell ref="D690:H690"/>
    <mergeCell ref="D691:H691"/>
    <mergeCell ref="D1467:H1467"/>
    <mergeCell ref="D1468:H1468"/>
    <mergeCell ref="D1469:H1469"/>
    <mergeCell ref="D1321:H1321"/>
    <mergeCell ref="D1345:H1345"/>
    <mergeCell ref="D1346:E1346"/>
    <mergeCell ref="G1346:H1346"/>
    <mergeCell ref="D1347:H1347"/>
    <mergeCell ref="D1348:H1348"/>
    <mergeCell ref="D1406:E1406"/>
    <mergeCell ref="G1406:H1406"/>
    <mergeCell ref="D1407:H1407"/>
    <mergeCell ref="D1408:H1408"/>
    <mergeCell ref="D1377:H1377"/>
    <mergeCell ref="D1378:H1378"/>
    <mergeCell ref="D1379:H1379"/>
    <mergeCell ref="D1380:H1380"/>
    <mergeCell ref="D1381:H1381"/>
    <mergeCell ref="D1470:H1470"/>
    <mergeCell ref="D1409:H1409"/>
    <mergeCell ref="D1410:H1410"/>
    <mergeCell ref="D1499:H1499"/>
    <mergeCell ref="D1500:H1500"/>
    <mergeCell ref="D1501:H1501"/>
    <mergeCell ref="D1555:H1555"/>
    <mergeCell ref="D1556:E1556"/>
    <mergeCell ref="G1556:H1556"/>
    <mergeCell ref="D1471:H1471"/>
    <mergeCell ref="D1495:H1495"/>
    <mergeCell ref="D1439:H1439"/>
    <mergeCell ref="D1440:H1440"/>
    <mergeCell ref="D1441:H1441"/>
    <mergeCell ref="D1465:H1465"/>
    <mergeCell ref="D1466:E1466"/>
    <mergeCell ref="G1466:H1466"/>
    <mergeCell ref="D1411:H1411"/>
    <mergeCell ref="D1435:H1435"/>
    <mergeCell ref="D1436:E1436"/>
    <mergeCell ref="G1436:H1436"/>
    <mergeCell ref="D1437:H1437"/>
    <mergeCell ref="D1438:H1438"/>
    <mergeCell ref="D1525:H1525"/>
    <mergeCell ref="D1526:E1526"/>
    <mergeCell ref="G1526:H1526"/>
    <mergeCell ref="D1527:H1527"/>
    <mergeCell ref="D1528:H1528"/>
    <mergeCell ref="D1529:H1529"/>
    <mergeCell ref="D597:H597"/>
    <mergeCell ref="D598:H598"/>
    <mergeCell ref="D599:H599"/>
    <mergeCell ref="D1587:H1587"/>
    <mergeCell ref="D1588:H1588"/>
    <mergeCell ref="D1589:H1589"/>
    <mergeCell ref="D1590:H1590"/>
    <mergeCell ref="D1591:H1591"/>
    <mergeCell ref="D1559:H1559"/>
    <mergeCell ref="D1560:H1560"/>
    <mergeCell ref="D1561:H1561"/>
    <mergeCell ref="D1585:H1585"/>
    <mergeCell ref="D1586:E1586"/>
    <mergeCell ref="G1586:H1586"/>
    <mergeCell ref="D600:H600"/>
    <mergeCell ref="D601:H601"/>
    <mergeCell ref="D625:H625"/>
    <mergeCell ref="D626:E626"/>
    <mergeCell ref="G626:H626"/>
    <mergeCell ref="D627:H627"/>
    <mergeCell ref="D628:H628"/>
    <mergeCell ref="D629:H629"/>
    <mergeCell ref="D630:H630"/>
    <mergeCell ref="D631:H631"/>
    <mergeCell ref="D1498:H1498"/>
    <mergeCell ref="D1226:E1226"/>
    <mergeCell ref="G1226:H1226"/>
    <mergeCell ref="D1227:H1227"/>
    <mergeCell ref="D1228:H1228"/>
    <mergeCell ref="D1229:H1229"/>
    <mergeCell ref="D1230:H1230"/>
    <mergeCell ref="D1231:H1231"/>
    <mergeCell ref="G566:H566"/>
    <mergeCell ref="D567:H567"/>
    <mergeCell ref="D568:H568"/>
    <mergeCell ref="D569:H569"/>
    <mergeCell ref="D570:H570"/>
    <mergeCell ref="D571:H571"/>
    <mergeCell ref="D595:H595"/>
    <mergeCell ref="D596:E596"/>
    <mergeCell ref="G596:H596"/>
    <mergeCell ref="D511:H511"/>
    <mergeCell ref="D535:H535"/>
    <mergeCell ref="D536:E536"/>
    <mergeCell ref="G536:H536"/>
    <mergeCell ref="D537:H537"/>
    <mergeCell ref="D538:H538"/>
    <mergeCell ref="G1496:H1496"/>
    <mergeCell ref="D1497:H1497"/>
    <mergeCell ref="D655:H655"/>
    <mergeCell ref="D656:E656"/>
    <mergeCell ref="G656:H656"/>
    <mergeCell ref="D657:H657"/>
    <mergeCell ref="D658:H658"/>
    <mergeCell ref="D659:H659"/>
    <mergeCell ref="D660:H660"/>
    <mergeCell ref="D661:H661"/>
    <mergeCell ref="D685:H685"/>
    <mergeCell ref="D686:E686"/>
    <mergeCell ref="D539:H539"/>
    <mergeCell ref="D540:H540"/>
    <mergeCell ref="D541:H541"/>
    <mergeCell ref="D565:H565"/>
    <mergeCell ref="D566:E566"/>
    <mergeCell ref="D480:H480"/>
    <mergeCell ref="D481:H481"/>
    <mergeCell ref="D505:H505"/>
    <mergeCell ref="D506:E506"/>
    <mergeCell ref="G506:H506"/>
    <mergeCell ref="D507:H507"/>
    <mergeCell ref="D508:H508"/>
    <mergeCell ref="D509:H509"/>
    <mergeCell ref="D510:H510"/>
    <mergeCell ref="D449:H449"/>
    <mergeCell ref="D450:H450"/>
    <mergeCell ref="D451:H451"/>
    <mergeCell ref="D475:H475"/>
    <mergeCell ref="D476:E476"/>
    <mergeCell ref="G476:H476"/>
    <mergeCell ref="D477:H477"/>
    <mergeCell ref="D478:H478"/>
    <mergeCell ref="D479:H479"/>
    <mergeCell ref="D388:H388"/>
    <mergeCell ref="D389:H389"/>
    <mergeCell ref="D390:H390"/>
    <mergeCell ref="D391:H391"/>
    <mergeCell ref="D445:H445"/>
    <mergeCell ref="D446:E446"/>
    <mergeCell ref="G446:H446"/>
    <mergeCell ref="D447:H447"/>
    <mergeCell ref="D448:H448"/>
    <mergeCell ref="D357:H357"/>
    <mergeCell ref="D358:H358"/>
    <mergeCell ref="D359:H359"/>
    <mergeCell ref="D360:H360"/>
    <mergeCell ref="D361:H361"/>
    <mergeCell ref="D385:H385"/>
    <mergeCell ref="D386:E386"/>
    <mergeCell ref="G386:H386"/>
    <mergeCell ref="D387:H387"/>
    <mergeCell ref="D326:E326"/>
    <mergeCell ref="G326:H326"/>
    <mergeCell ref="D327:H327"/>
    <mergeCell ref="D328:H328"/>
    <mergeCell ref="D329:H329"/>
    <mergeCell ref="D330:H330"/>
    <mergeCell ref="D331:H331"/>
    <mergeCell ref="D355:H355"/>
    <mergeCell ref="D356:E356"/>
    <mergeCell ref="G356:H356"/>
    <mergeCell ref="D295:H295"/>
    <mergeCell ref="D296:E296"/>
    <mergeCell ref="G296:H296"/>
    <mergeCell ref="D297:H297"/>
    <mergeCell ref="D298:H298"/>
    <mergeCell ref="D299:H299"/>
    <mergeCell ref="D300:H300"/>
    <mergeCell ref="D301:H301"/>
    <mergeCell ref="D325:H325"/>
    <mergeCell ref="D241:H241"/>
    <mergeCell ref="D265:H265"/>
    <mergeCell ref="D266:E266"/>
    <mergeCell ref="G266:H266"/>
    <mergeCell ref="D267:H267"/>
    <mergeCell ref="D268:H268"/>
    <mergeCell ref="D269:H269"/>
    <mergeCell ref="D270:H270"/>
    <mergeCell ref="D271:H271"/>
    <mergeCell ref="D210:H210"/>
    <mergeCell ref="D211:H211"/>
    <mergeCell ref="D235:H235"/>
    <mergeCell ref="D236:E236"/>
    <mergeCell ref="G236:H236"/>
    <mergeCell ref="D237:H237"/>
    <mergeCell ref="D238:H238"/>
    <mergeCell ref="D239:H239"/>
    <mergeCell ref="D240:H240"/>
    <mergeCell ref="D180:H180"/>
    <mergeCell ref="D181:H181"/>
    <mergeCell ref="D205:H205"/>
    <mergeCell ref="D206:E206"/>
    <mergeCell ref="G206:H206"/>
    <mergeCell ref="D207:H207"/>
    <mergeCell ref="D208:H208"/>
    <mergeCell ref="D209:H209"/>
    <mergeCell ref="D148:H148"/>
    <mergeCell ref="D149:H149"/>
    <mergeCell ref="D150:H150"/>
    <mergeCell ref="D151:H151"/>
    <mergeCell ref="D175:H175"/>
    <mergeCell ref="D176:E176"/>
    <mergeCell ref="G176:H176"/>
    <mergeCell ref="D177:H177"/>
    <mergeCell ref="D178:H178"/>
    <mergeCell ref="D56:E56"/>
    <mergeCell ref="G56:H56"/>
    <mergeCell ref="D57:H57"/>
    <mergeCell ref="D58:H58"/>
    <mergeCell ref="D59:H59"/>
    <mergeCell ref="D60:H60"/>
    <mergeCell ref="D61:H61"/>
    <mergeCell ref="D85:H85"/>
    <mergeCell ref="D86:E86"/>
    <mergeCell ref="G86:H86"/>
    <mergeCell ref="D87:H87"/>
    <mergeCell ref="D88:H88"/>
    <mergeCell ref="D89:H89"/>
    <mergeCell ref="D90:H90"/>
    <mergeCell ref="D179:H179"/>
    <mergeCell ref="G146:H146"/>
    <mergeCell ref="D147:H147"/>
    <mergeCell ref="H7275:J7275"/>
    <mergeCell ref="H7269:J7269"/>
    <mergeCell ref="H7270:J7270"/>
    <mergeCell ref="H7271:J7271"/>
    <mergeCell ref="H7272:J7272"/>
    <mergeCell ref="H7273:J7273"/>
    <mergeCell ref="H7274:J7274"/>
    <mergeCell ref="H7264:J7264"/>
    <mergeCell ref="H7265:J7265"/>
    <mergeCell ref="H7266:J7266"/>
    <mergeCell ref="H7267:J7267"/>
    <mergeCell ref="H7268:J7268"/>
    <mergeCell ref="D1801:H1801"/>
    <mergeCell ref="D1619:H1619"/>
    <mergeCell ref="D1620:H1620"/>
    <mergeCell ref="D1615:H1615"/>
    <mergeCell ref="D1650:H1650"/>
    <mergeCell ref="D1651:H1651"/>
    <mergeCell ref="D1675:H1675"/>
    <mergeCell ref="D1676:E1676"/>
    <mergeCell ref="G1676:H1676"/>
    <mergeCell ref="D1677:H1677"/>
    <mergeCell ref="D1678:H1678"/>
    <mergeCell ref="D1616:E1616"/>
    <mergeCell ref="G1616:H1616"/>
    <mergeCell ref="D1617:H1617"/>
    <mergeCell ref="D1618:H1618"/>
    <mergeCell ref="D1621:H1621"/>
    <mergeCell ref="D1645:H1645"/>
    <mergeCell ref="D1646:E1646"/>
    <mergeCell ref="G1646:H1646"/>
    <mergeCell ref="D1647:H1647"/>
    <mergeCell ref="D1648:H1648"/>
    <mergeCell ref="D1649:H1649"/>
    <mergeCell ref="D1795:H1795"/>
    <mergeCell ref="D1796:E1796"/>
    <mergeCell ref="G1256:H1256"/>
    <mergeCell ref="D1257:H1257"/>
    <mergeCell ref="D1258:H1258"/>
    <mergeCell ref="D1405:H1405"/>
    <mergeCell ref="D1349:H1349"/>
    <mergeCell ref="D1350:H1350"/>
    <mergeCell ref="D1351:H1351"/>
    <mergeCell ref="D1375:H1375"/>
    <mergeCell ref="D1376:E1376"/>
    <mergeCell ref="G1376:H1376"/>
    <mergeCell ref="D1318:H1318"/>
    <mergeCell ref="D1319:H1319"/>
    <mergeCell ref="D1320:H1320"/>
    <mergeCell ref="D1316:E1316"/>
    <mergeCell ref="G1316:H1316"/>
    <mergeCell ref="D1317:H1317"/>
    <mergeCell ref="D1259:H1259"/>
    <mergeCell ref="D1260:H1260"/>
    <mergeCell ref="D1261:H1261"/>
    <mergeCell ref="D1285:H1285"/>
    <mergeCell ref="D1286:E1286"/>
    <mergeCell ref="G1286:H1286"/>
    <mergeCell ref="D1287:H1287"/>
    <mergeCell ref="D1288:H1288"/>
    <mergeCell ref="D1289:H1289"/>
    <mergeCell ref="D1290:H1290"/>
    <mergeCell ref="D1291:H1291"/>
    <mergeCell ref="D1315:H1315"/>
    <mergeCell ref="D1255:H1255"/>
    <mergeCell ref="D1256:E1256"/>
    <mergeCell ref="D1197:H1197"/>
    <mergeCell ref="D1198:H1198"/>
    <mergeCell ref="D1199:H1199"/>
    <mergeCell ref="D1200:H1200"/>
    <mergeCell ref="D1201:H1201"/>
    <mergeCell ref="D1225:H1225"/>
    <mergeCell ref="D1136:E1136"/>
    <mergeCell ref="G1136:H1136"/>
    <mergeCell ref="D1137:H1137"/>
    <mergeCell ref="D1138:H1138"/>
    <mergeCell ref="D1139:H1139"/>
    <mergeCell ref="D1140:H1140"/>
    <mergeCell ref="D1195:H1195"/>
    <mergeCell ref="D1196:E1196"/>
    <mergeCell ref="G1196:H1196"/>
    <mergeCell ref="D1165:H1165"/>
    <mergeCell ref="D1166:E1166"/>
    <mergeCell ref="G1166:H1166"/>
    <mergeCell ref="D1167:H1167"/>
    <mergeCell ref="D1168:H1168"/>
    <mergeCell ref="D1169:H1169"/>
    <mergeCell ref="D1170:H1170"/>
    <mergeCell ref="D1171:H1171"/>
    <mergeCell ref="D1051:H1051"/>
    <mergeCell ref="D1075:H1075"/>
    <mergeCell ref="D1076:E1076"/>
    <mergeCell ref="G1076:H1076"/>
    <mergeCell ref="D1077:H1077"/>
    <mergeCell ref="D1078:H1078"/>
    <mergeCell ref="D1107:H1107"/>
    <mergeCell ref="D1108:H1108"/>
    <mergeCell ref="D1109:H1109"/>
    <mergeCell ref="D1110:H1110"/>
    <mergeCell ref="D1111:H1111"/>
    <mergeCell ref="D1135:H1135"/>
    <mergeCell ref="D1141:H1141"/>
    <mergeCell ref="D1079:H1079"/>
    <mergeCell ref="D1080:H1080"/>
    <mergeCell ref="D1081:H1081"/>
    <mergeCell ref="D1105:H1105"/>
    <mergeCell ref="D1106:E1106"/>
    <mergeCell ref="G1106:H1106"/>
    <mergeCell ref="D989:H989"/>
    <mergeCell ref="D990:H990"/>
    <mergeCell ref="D991:H991"/>
    <mergeCell ref="D1015:H1015"/>
    <mergeCell ref="D1016:E1016"/>
    <mergeCell ref="G1016:H1016"/>
    <mergeCell ref="D1046:E1046"/>
    <mergeCell ref="G1046:H1046"/>
    <mergeCell ref="D1047:H1047"/>
    <mergeCell ref="D1048:H1048"/>
    <mergeCell ref="D1049:H1049"/>
    <mergeCell ref="D1050:H1050"/>
    <mergeCell ref="D1017:H1017"/>
    <mergeCell ref="D1018:H1018"/>
    <mergeCell ref="D1019:H1019"/>
    <mergeCell ref="D1020:H1020"/>
    <mergeCell ref="D1021:H1021"/>
    <mergeCell ref="D1045:H1045"/>
    <mergeCell ref="D987:H987"/>
    <mergeCell ref="D988:H988"/>
    <mergeCell ref="D956:E956"/>
    <mergeCell ref="G956:H956"/>
    <mergeCell ref="D957:H957"/>
    <mergeCell ref="D958:H958"/>
    <mergeCell ref="D959:H959"/>
    <mergeCell ref="D960:H960"/>
    <mergeCell ref="D927:H927"/>
    <mergeCell ref="D928:H928"/>
    <mergeCell ref="D929:H929"/>
    <mergeCell ref="D930:H930"/>
    <mergeCell ref="D931:H931"/>
    <mergeCell ref="D955:H955"/>
    <mergeCell ref="D866:E866"/>
    <mergeCell ref="G866:H866"/>
    <mergeCell ref="D867:H867"/>
    <mergeCell ref="D868:H868"/>
    <mergeCell ref="D869:H869"/>
    <mergeCell ref="D870:H870"/>
    <mergeCell ref="D961:H961"/>
    <mergeCell ref="D985:H985"/>
    <mergeCell ref="D986:E986"/>
    <mergeCell ref="G986:H986"/>
    <mergeCell ref="D899:H899"/>
    <mergeCell ref="D900:H900"/>
    <mergeCell ref="D901:H901"/>
    <mergeCell ref="D925:H925"/>
    <mergeCell ref="D926:E926"/>
    <mergeCell ref="G926:H926"/>
    <mergeCell ref="D871:H871"/>
    <mergeCell ref="D895:H895"/>
    <mergeCell ref="G26:H26"/>
    <mergeCell ref="D27:H27"/>
    <mergeCell ref="D28:H28"/>
    <mergeCell ref="D896:E896"/>
    <mergeCell ref="G896:H896"/>
    <mergeCell ref="D897:H897"/>
    <mergeCell ref="D898:H898"/>
    <mergeCell ref="D811:H811"/>
    <mergeCell ref="D835:H835"/>
    <mergeCell ref="D836:E836"/>
    <mergeCell ref="G836:H836"/>
    <mergeCell ref="D781:H781"/>
    <mergeCell ref="D805:H805"/>
    <mergeCell ref="D806:E806"/>
    <mergeCell ref="G806:H806"/>
    <mergeCell ref="D807:H807"/>
    <mergeCell ref="D808:H808"/>
    <mergeCell ref="D719:H719"/>
    <mergeCell ref="D720:H720"/>
    <mergeCell ref="D721:H721"/>
    <mergeCell ref="D745:H745"/>
    <mergeCell ref="D746:E746"/>
    <mergeCell ref="G746:H746"/>
    <mergeCell ref="D750:H750"/>
    <mergeCell ref="D751:H751"/>
    <mergeCell ref="D775:H775"/>
    <mergeCell ref="D29:H29"/>
    <mergeCell ref="D30:H30"/>
    <mergeCell ref="G116:H116"/>
    <mergeCell ref="D776:E776"/>
    <mergeCell ref="D31:H31"/>
    <mergeCell ref="D55:H55"/>
    <mergeCell ref="G776:H776"/>
    <mergeCell ref="D777:H777"/>
    <mergeCell ref="D778:H778"/>
    <mergeCell ref="D779:H779"/>
    <mergeCell ref="D780:H780"/>
    <mergeCell ref="D747:H747"/>
    <mergeCell ref="D748:H748"/>
    <mergeCell ref="D749:H749"/>
    <mergeCell ref="A20:A22"/>
    <mergeCell ref="B20:B22"/>
    <mergeCell ref="C20:C22"/>
    <mergeCell ref="D20:AB20"/>
    <mergeCell ref="D21:H22"/>
    <mergeCell ref="I21:K21"/>
    <mergeCell ref="L21:M21"/>
    <mergeCell ref="N21:O21"/>
    <mergeCell ref="P21:T21"/>
    <mergeCell ref="U21:V21"/>
    <mergeCell ref="D715:H715"/>
    <mergeCell ref="D716:E716"/>
    <mergeCell ref="G716:H716"/>
    <mergeCell ref="D717:H717"/>
    <mergeCell ref="D718:H718"/>
    <mergeCell ref="D117:H117"/>
    <mergeCell ref="D118:H118"/>
    <mergeCell ref="D119:H119"/>
    <mergeCell ref="D120:H120"/>
    <mergeCell ref="D121:H121"/>
    <mergeCell ref="D145:H145"/>
    <mergeCell ref="D146:E146"/>
    <mergeCell ref="D25:H25"/>
    <mergeCell ref="D26:E26"/>
    <mergeCell ref="D1530:H1530"/>
    <mergeCell ref="D1531:H1531"/>
    <mergeCell ref="D415:H415"/>
    <mergeCell ref="D416:E416"/>
    <mergeCell ref="G416:H416"/>
    <mergeCell ref="D417:H417"/>
    <mergeCell ref="D418:H418"/>
    <mergeCell ref="D419:H419"/>
    <mergeCell ref="D420:H420"/>
    <mergeCell ref="D421:H421"/>
    <mergeCell ref="D1800:H1800"/>
    <mergeCell ref="W21:X21"/>
    <mergeCell ref="Y21:Z22"/>
    <mergeCell ref="AA21:AB21"/>
    <mergeCell ref="W22:X22"/>
    <mergeCell ref="AA22:AB22"/>
    <mergeCell ref="I22:K22"/>
    <mergeCell ref="L22:M22"/>
    <mergeCell ref="N22:O22"/>
    <mergeCell ref="P22:T22"/>
    <mergeCell ref="U22:V22"/>
    <mergeCell ref="D837:H837"/>
    <mergeCell ref="D838:H838"/>
    <mergeCell ref="D839:H839"/>
    <mergeCell ref="D840:H840"/>
    <mergeCell ref="D841:H841"/>
    <mergeCell ref="D865:H865"/>
    <mergeCell ref="D809:H809"/>
    <mergeCell ref="D810:H810"/>
    <mergeCell ref="D91:H91"/>
    <mergeCell ref="D115:H115"/>
    <mergeCell ref="D116:E116"/>
  </mergeCells>
  <pageMargins left="0.7" right="0.7" top="0.75" bottom="0.75" header="0.3" footer="0.3"/>
  <ignoredErrors>
    <ignoredError numberStoredAsText="1" sqref="A1:AB727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Z75"/>
  <sheetViews>
    <sheetView workbookViewId="0" rightToLeft="0"/>
  </sheetViews>
  <sheetData>
    <row r="1">
      <c r="B1" t="str">
        <v>Program Perhitungan Volume Pile Cap + Tanah</v>
      </c>
    </row>
    <row r="2">
      <c r="B2" t="str">
        <v>Proyek</v>
      </c>
      <c r="D2" t="str">
        <v>: ERNAWATI</v>
      </c>
      <c r="W2" t="str">
        <v>NB: RUMUS INI BERDASARKAN ASUMSI TULANGAN ATAS DAN BAWAH SALING OVERLAP (SEPERTI GAMBAR DI SAMPING). BILA DETAIL YANG DIBERIKAN KONSULTAN BERBEDA, RUMUS MOHON DISESUAIKAN</v>
      </c>
    </row>
    <row r="3">
      <c r="B3" t="str">
        <v>T. Plat       =</v>
      </c>
      <c r="D3" t="str">
        <v>i</v>
      </c>
      <c r="E3" t="str">
        <v>mm</v>
      </c>
      <c r="S3" t="str">
        <v>Waste  beton =</v>
      </c>
      <c r="T3">
        <v>0</v>
      </c>
      <c r="W3" t="str">
        <v>Lebar space galian =</v>
      </c>
      <c r="X3">
        <v>300</v>
      </c>
      <c r="Y3" t="str">
        <v>mm</v>
      </c>
    </row>
    <row r="4">
      <c r="B4" t="str">
        <v>T. psr urug =</v>
      </c>
      <c r="E4" t="str">
        <v>mm</v>
      </c>
      <c r="S4" t="str">
        <v>Waste   besi  =</v>
      </c>
      <c r="T4">
        <v>0</v>
      </c>
      <c r="W4" t="str">
        <v>Tebal acuan =</v>
      </c>
      <c r="X4">
        <v>100</v>
      </c>
      <c r="Y4" t="str">
        <v>mm</v>
      </c>
    </row>
    <row r="5">
      <c r="B5" t="str">
        <v>T. lt. kerja  =</v>
      </c>
      <c r="D5">
        <v>50</v>
      </c>
      <c r="E5" t="str">
        <v>mm</v>
      </c>
      <c r="K5" t="str">
        <v>El. tanah rata   =</v>
      </c>
      <c r="L5">
        <v>0</v>
      </c>
      <c r="M5" t="str">
        <v>m</v>
      </c>
      <c r="S5" t="str">
        <v>Waste  bkstg =</v>
      </c>
      <c r="T5">
        <v>0</v>
      </c>
      <c r="W5" t="str">
        <v>Tebal selimut beton =</v>
      </c>
      <c r="X5">
        <v>30</v>
      </c>
      <c r="Y5" t="str">
        <v>mm</v>
      </c>
    </row>
    <row r="6">
      <c r="W6" t="str">
        <v>Sambungan lewatan =</v>
      </c>
      <c r="X6">
        <v>50</v>
      </c>
      <c r="Y6" t="str">
        <v>D</v>
      </c>
      <c r="Z6" t="str">
        <v>????</v>
      </c>
    </row>
    <row r="7">
      <c r="W7" t="str">
        <v>Kait =</v>
      </c>
      <c r="Y7" t="str">
        <v>D</v>
      </c>
    </row>
    <row r="9" xml:space="preserve">
      <c r="B9" t="str">
        <v>Tipe Pile Cap</v>
      </c>
      <c r="C9" t="str" xml:space="preserve">
        <v xml:space="preserve">Lebar_x000d_
(arah X)</v>
      </c>
      <c r="D9" t="str" xml:space="preserve">
        <v xml:space="preserve">Panjang_x000d_
(arah Y)</v>
      </c>
      <c r="E9" t="str">
        <v>Tebal Kotor Pile Cap</v>
      </c>
      <c r="F9" t="str">
        <v>Top of Pile Cap</v>
      </c>
      <c r="G9" t="str">
        <v>Tebal Bersih Pile Cap</v>
      </c>
      <c r="H9" t="str">
        <v>Pengurang</v>
      </c>
      <c r="L9" t="str">
        <v>Kait Tul. Atas</v>
      </c>
      <c r="M9" t="str">
        <v>Tinggi tul. Tegak</v>
      </c>
      <c r="N9" t="str">
        <v>Luas</v>
      </c>
      <c r="O9" t="str">
        <v>Keliling</v>
      </c>
      <c r="P9" t="str">
        <v>Luas Galian</v>
      </c>
      <c r="Q9" t="str">
        <v>Vol. Beton</v>
      </c>
      <c r="R9" t="str">
        <v>Vol. Bekisting</v>
      </c>
      <c r="S9" t="str">
        <v>Jmlh Titik Pancang</v>
      </c>
      <c r="T9" t="str">
        <v>Peminggang (Tul. Cincin)</v>
      </c>
      <c r="W9" t="str">
        <v>Tulangan Atas</v>
      </c>
      <c r="AG9" t="str">
        <v>Tulangan Bawah</v>
      </c>
      <c r="AQ9" t="str">
        <v>Kaki Ayam</v>
      </c>
      <c r="AU9" t="str">
        <v>Tambahan Hook (seperti sengkang ekstra searah tebal)</v>
      </c>
      <c r="AZ9" t="str">
        <v>Jumlah Tiang Bor</v>
      </c>
    </row>
    <row r="10">
      <c r="H10" t="str">
        <v>Sejajar dengan…</v>
      </c>
      <c r="W10" t="str">
        <v>Sejajar lebar</v>
      </c>
      <c r="AB10" t="str">
        <v>Sejajar panjang</v>
      </c>
      <c r="AG10" t="str">
        <v>Sejajar lebar</v>
      </c>
      <c r="AL10" t="str">
        <v>Sejajar panjang</v>
      </c>
    </row>
    <row r="11">
      <c r="H11" t="str">
        <v>Lebar</v>
      </c>
      <c r="I11" t="str">
        <v>Jmlh</v>
      </c>
      <c r="J11" t="str">
        <v>Panjang</v>
      </c>
      <c r="K11" t="str">
        <v>Jmlh</v>
      </c>
      <c r="T11" t="str">
        <v>Jml</v>
      </c>
      <c r="U11" t="str">
        <v>D</v>
      </c>
      <c r="V11" t="str">
        <v>Berat</v>
      </c>
      <c r="W11" t="str">
        <v>D</v>
      </c>
      <c r="X11" t="str">
        <v>Jarak</v>
      </c>
      <c r="Y11" t="str">
        <v>Jumlah</v>
      </c>
      <c r="Z11" t="str">
        <v>Panjang</v>
      </c>
      <c r="AA11" t="str">
        <v>Berat</v>
      </c>
      <c r="AB11" t="str">
        <v>D</v>
      </c>
      <c r="AC11" t="str">
        <v>Jarak</v>
      </c>
      <c r="AD11" t="str">
        <v>Jumlah</v>
      </c>
      <c r="AE11" t="str">
        <v>Panjang</v>
      </c>
      <c r="AF11" t="str">
        <v>Berat</v>
      </c>
      <c r="AG11" t="str">
        <v>D</v>
      </c>
      <c r="AH11" t="str">
        <v>Jarak</v>
      </c>
      <c r="AI11" t="str">
        <v>Jumlah</v>
      </c>
      <c r="AJ11" t="str">
        <v>Panjang</v>
      </c>
      <c r="AK11" t="str">
        <v>Berat</v>
      </c>
      <c r="AL11" t="str">
        <v>D</v>
      </c>
      <c r="AM11" t="str">
        <v>Jarak</v>
      </c>
      <c r="AN11" t="str">
        <v>Jumlah</v>
      </c>
      <c r="AO11" t="str">
        <v>Panjang</v>
      </c>
      <c r="AP11" t="str">
        <v>Berat</v>
      </c>
      <c r="AQ11" t="str">
        <v>Jml</v>
      </c>
      <c r="AR11" t="str">
        <v>D</v>
      </c>
      <c r="AS11" t="str">
        <v>Panjang</v>
      </c>
      <c r="AT11" t="str">
        <v>Berat</v>
      </c>
      <c r="AU11" t="str">
        <v>D</v>
      </c>
      <c r="AV11" t="str">
        <v>Jarak</v>
      </c>
      <c r="AW11" t="str">
        <v>Panjang</v>
      </c>
      <c r="AX11" t="str">
        <v>Berat</v>
      </c>
      <c r="AZ11" t="str">
        <v>dia. 30</v>
      </c>
    </row>
    <row r="12">
      <c r="C12" t="str">
        <v>mm</v>
      </c>
      <c r="D12" t="str">
        <v>mm</v>
      </c>
      <c r="E12" t="str">
        <v>mm</v>
      </c>
      <c r="F12" t="str">
        <v>mm</v>
      </c>
      <c r="G12" t="str">
        <v>mm</v>
      </c>
      <c r="H12" t="str">
        <v>mm</v>
      </c>
      <c r="I12" t="str">
        <v>mm</v>
      </c>
      <c r="J12" t="str">
        <v>mm</v>
      </c>
      <c r="K12" t="str">
        <v>mm</v>
      </c>
      <c r="L12" t="str">
        <v>mm</v>
      </c>
      <c r="M12" t="str">
        <v>mm</v>
      </c>
      <c r="N12" t="str">
        <v>m2</v>
      </c>
      <c r="O12" t="str">
        <v>m'</v>
      </c>
      <c r="P12" t="str">
        <v>m2</v>
      </c>
      <c r="Q12" t="str">
        <v>m3</v>
      </c>
      <c r="R12" t="str">
        <v>m2</v>
      </c>
      <c r="S12" t="str">
        <v>bh</v>
      </c>
      <c r="T12" t="str">
        <v>bh</v>
      </c>
      <c r="U12" t="str">
        <v>mm</v>
      </c>
      <c r="V12" t="str">
        <v>kg</v>
      </c>
      <c r="W12" t="str">
        <v>mm</v>
      </c>
      <c r="X12" t="str">
        <v>mm</v>
      </c>
      <c r="Y12" t="str">
        <v>bh</v>
      </c>
      <c r="Z12" t="str">
        <v>m</v>
      </c>
      <c r="AA12" t="str">
        <v>kg</v>
      </c>
      <c r="AB12" t="str">
        <v>mm</v>
      </c>
      <c r="AC12" t="str">
        <v>mm</v>
      </c>
      <c r="AD12" t="str">
        <v>bh</v>
      </c>
      <c r="AE12" t="str">
        <v>m</v>
      </c>
      <c r="AF12" t="str">
        <v>kg</v>
      </c>
      <c r="AG12" t="str">
        <v>mm</v>
      </c>
      <c r="AH12" t="str">
        <v>mm</v>
      </c>
      <c r="AI12" t="str">
        <v>bh</v>
      </c>
      <c r="AJ12" t="str">
        <v>m</v>
      </c>
      <c r="AK12" t="str">
        <v>kg</v>
      </c>
      <c r="AL12" t="str">
        <v>mm</v>
      </c>
      <c r="AM12" t="str">
        <v>mm</v>
      </c>
      <c r="AN12" t="str">
        <v>bh</v>
      </c>
      <c r="AO12" t="str">
        <v>m</v>
      </c>
      <c r="AP12" t="str">
        <v>kg</v>
      </c>
      <c r="AQ12" t="str">
        <v>bh</v>
      </c>
      <c r="AR12" t="str">
        <v>mm</v>
      </c>
      <c r="AS12" t="str">
        <v>mm</v>
      </c>
      <c r="AT12" t="str">
        <v>kg</v>
      </c>
      <c r="AU12" t="str">
        <v>mm</v>
      </c>
      <c r="AV12" t="str">
        <v>mm</v>
      </c>
      <c r="AW12" t="str">
        <v>m</v>
      </c>
      <c r="AX12" t="str">
        <v>kg</v>
      </c>
    </row>
    <row r="13"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  <c r="N13">
        <v>13</v>
      </c>
      <c r="O13">
        <v>14</v>
      </c>
      <c r="P13">
        <v>15</v>
      </c>
      <c r="Q13">
        <v>16</v>
      </c>
      <c r="R13">
        <v>17</v>
      </c>
      <c r="S13">
        <v>18</v>
      </c>
      <c r="T13">
        <v>19</v>
      </c>
      <c r="U13">
        <v>20</v>
      </c>
      <c r="V13">
        <v>21</v>
      </c>
      <c r="W13">
        <f>V13+1</f>
        <v>22</v>
      </c>
      <c r="X13">
        <f>W13+1</f>
        <v>23</v>
      </c>
      <c r="Y13">
        <f>X13+1</f>
        <v>24</v>
      </c>
      <c r="Z13">
        <f>Y13+1</f>
        <v>25</v>
      </c>
      <c r="AA13">
        <f>Z13+1</f>
        <v>26</v>
      </c>
      <c r="AB13">
        <f>AA13+1</f>
        <v>27</v>
      </c>
      <c r="AC13">
        <f>AB13+1</f>
        <v>28</v>
      </c>
      <c r="AD13">
        <f>AC13+1</f>
        <v>29</v>
      </c>
      <c r="AE13">
        <f>AD13+1</f>
        <v>30</v>
      </c>
      <c r="AF13">
        <f>AE13+1</f>
        <v>31</v>
      </c>
      <c r="AG13">
        <f>AF13+1</f>
        <v>32</v>
      </c>
      <c r="AH13">
        <f>AG13+1</f>
        <v>33</v>
      </c>
      <c r="AI13">
        <f>AH13+1</f>
        <v>34</v>
      </c>
      <c r="AJ13">
        <f>AI13+1</f>
        <v>35</v>
      </c>
      <c r="AK13">
        <f>AJ13+1</f>
        <v>36</v>
      </c>
      <c r="AL13">
        <f>AK13+1</f>
        <v>37</v>
      </c>
      <c r="AM13">
        <f>AL13+1</f>
        <v>38</v>
      </c>
      <c r="AN13">
        <f>AM13+1</f>
        <v>39</v>
      </c>
      <c r="AO13">
        <f>AN13+1</f>
        <v>40</v>
      </c>
      <c r="AP13">
        <f>AO13+1</f>
        <v>41</v>
      </c>
      <c r="AQ13">
        <f>AP13+1</f>
        <v>42</v>
      </c>
      <c r="AR13">
        <f>AQ13+1</f>
        <v>43</v>
      </c>
      <c r="AS13">
        <f>AR13+1</f>
        <v>44</v>
      </c>
      <c r="AT13">
        <f>AS13+1</f>
        <v>45</v>
      </c>
      <c r="AU13">
        <f>AT13+1</f>
        <v>46</v>
      </c>
      <c r="AV13">
        <f>AU13+1</f>
        <v>47</v>
      </c>
      <c r="AW13">
        <f>AV13+1</f>
        <v>48</v>
      </c>
      <c r="AX13">
        <f>AW13+1</f>
        <v>49</v>
      </c>
      <c r="AY13">
        <f>AX13+1</f>
        <v>50</v>
      </c>
      <c r="AZ13">
        <f>AY13+1</f>
        <v>51</v>
      </c>
      <c r="BA13">
        <f>AZ13+1</f>
        <v>52</v>
      </c>
      <c r="BB13">
        <f>BA13+1</f>
        <v>53</v>
      </c>
      <c r="BC13">
        <f>BB13+1</f>
        <v>54</v>
      </c>
    </row>
    <row r="15">
      <c r="A15">
        <v>1</v>
      </c>
      <c r="B15" t="str">
        <v>PC.1</v>
      </c>
      <c r="C15">
        <v>500</v>
      </c>
      <c r="D15">
        <v>500</v>
      </c>
      <c r="E15">
        <v>500</v>
      </c>
      <c r="F15">
        <v>0</v>
      </c>
      <c r="G15">
        <f>E15</f>
        <v>500</v>
      </c>
      <c r="H15">
        <v>0</v>
      </c>
      <c r="I15">
        <v>0</v>
      </c>
      <c r="J15">
        <v>0</v>
      </c>
      <c r="K15">
        <v>0</v>
      </c>
      <c r="L15">
        <f>M15/2</f>
        <v>220</v>
      </c>
      <c r="M15">
        <f>E15-2*$X$5</f>
        <v>440</v>
      </c>
      <c r="N15">
        <f>(C15*D15-1/2*H15*J15*AVERAGE(I15,K15))/1000000</f>
        <v>0.25</v>
      </c>
      <c r="O15">
        <f>(2*C15-I15*H15+2*D15-K15*J15+(I15+K15)/2*SQRT(H15^2+J15^2))/1000</f>
        <v>2</v>
      </c>
      <c r="P15">
        <f>(((C15+2*X$3+2*X$4)*(D15+2*X$3+2*X$4))-1/2*H15*J15*AVERAGE(I15,K15))/1000000</f>
        <v>1.69</v>
      </c>
      <c r="Q15">
        <f>N15*G15/1000</f>
        <v>0.125</v>
      </c>
      <c r="R15">
        <f>O15*G15/1000</f>
        <v>1</v>
      </c>
      <c r="S15">
        <v>1</v>
      </c>
      <c r="T15">
        <v>2</v>
      </c>
      <c r="U15">
        <v>13</v>
      </c>
      <c r="V15">
        <f>T15*0.006165*U15^2*(O15-(8+(I15+K15))*'Data-PC'!$X$5/1000+2*MAX(6*U15,75)/1000+IF(O15&gt;12,ROUNDDOWN(O15/12,0)*'Data-PC'!$X$6*U15/1000,0))</f>
        <v>3.9925033199999995</v>
      </c>
      <c r="W15">
        <v>13</v>
      </c>
      <c r="X15">
        <f>D15/Y15</f>
        <v>125</v>
      </c>
      <c r="Y15">
        <v>4</v>
      </c>
      <c r="Z15">
        <f>IF(Y15&gt;0,((C15-2*'Data-PC'!$X$5+2*L15)*Y15),0)/1000</f>
        <v>3.52</v>
      </c>
      <c r="AA15">
        <f>0.006165*W15^2*Z15</f>
        <v>3.6674352</v>
      </c>
      <c r="AB15">
        <v>13</v>
      </c>
      <c r="AC15">
        <f>C15/AD15</f>
        <v>125</v>
      </c>
      <c r="AD15">
        <v>4</v>
      </c>
      <c r="AE15">
        <f>IF(AD15&gt;0,((D15-J15-2*'Data-PC'!$X$5+2*L15)*AD15),0)/1000</f>
        <v>3.52</v>
      </c>
      <c r="AF15">
        <f>0.006165*AB15^2*AE15</f>
        <v>3.6674352</v>
      </c>
      <c r="AG15">
        <v>13</v>
      </c>
      <c r="AH15">
        <f>D15/AI15</f>
        <v>125</v>
      </c>
      <c r="AI15">
        <v>4</v>
      </c>
      <c r="AJ15">
        <f>IF(AI15&gt;0,((C15-2*'Data-PC'!$X$5+2*M15)*AI15),0)/1000</f>
        <v>5.28</v>
      </c>
      <c r="AK15">
        <f>0.006165*AG15^2*AJ15</f>
        <v>5.5011528</v>
      </c>
      <c r="AL15">
        <v>13</v>
      </c>
      <c r="AM15">
        <f>C15/AN15</f>
        <v>125</v>
      </c>
      <c r="AN15">
        <v>4</v>
      </c>
      <c r="AO15">
        <f>IF(AN15&gt;0,((D15-J15-2*'Data-PC'!$X$5+2*M15)*AN15),0)/1000</f>
        <v>5.28</v>
      </c>
      <c r="AP15">
        <f>0.006165*AL15^2*AO15</f>
        <v>5.5011528</v>
      </c>
      <c r="AS15">
        <f>2*(E15-2*'Data-PC'!$X$5)+300+2*'Data-PC'!$X$7*AR15</f>
        <v>1180</v>
      </c>
      <c r="AT15">
        <f>AQ15*0.006165*AR15^2*AS15/1000</f>
        <v>0</v>
      </c>
      <c r="AW15">
        <f>IF(AV15&gt;0,(M15+2*L15*AU15)/1000*(ROUND((C15-2*'Data-PC'!$X$5)/AV15,0)+1)*(ROUND((D15-2*'Data-PC'!$X$5)/AV15,0)+1),0)</f>
        <v>0</v>
      </c>
      <c r="AX15">
        <f>0.006165*AU15^2*AW15</f>
        <v>0</v>
      </c>
    </row>
    <row r="16">
      <c r="A16">
        <v>2</v>
      </c>
      <c r="B16" t="str">
        <v>PC.2</v>
      </c>
      <c r="C16">
        <v>1100</v>
      </c>
      <c r="D16">
        <v>500</v>
      </c>
      <c r="E16">
        <v>600</v>
      </c>
      <c r="F16">
        <v>0</v>
      </c>
      <c r="G16">
        <f>E16</f>
        <v>600</v>
      </c>
      <c r="H16">
        <v>0</v>
      </c>
      <c r="I16">
        <v>0</v>
      </c>
      <c r="J16">
        <v>0</v>
      </c>
      <c r="K16">
        <v>0</v>
      </c>
      <c r="L16">
        <f>M16/2</f>
        <v>270</v>
      </c>
      <c r="M16">
        <f>E16-2*$X$5</f>
        <v>540</v>
      </c>
      <c r="N16">
        <f>(C16*D16-1/2*H16*J16*AVERAGE(I16,K16))/1000000</f>
        <v>0.55</v>
      </c>
      <c r="O16">
        <f>(2*C16-I16*H16+2*D16-K16*J16+(I16+K16)/2*SQRT(H16^2+J16^2))/1000</f>
        <v>3.2</v>
      </c>
      <c r="P16">
        <f>(((C16+2*X$3+2*X$4)*(D16+2*X$3+2*X$4))-1/2*H16*J16*AVERAGE(I16,K16))/1000000</f>
        <v>2.47</v>
      </c>
      <c r="Q16">
        <f>N16*G16/1000</f>
        <v>0.33</v>
      </c>
      <c r="R16">
        <f>O16*G16/1000</f>
        <v>1.92</v>
      </c>
      <c r="S16">
        <v>2</v>
      </c>
      <c r="T16">
        <v>2</v>
      </c>
      <c r="U16">
        <v>13</v>
      </c>
      <c r="V16">
        <f>T16*0.006165*U16^2*(O16-(8+(I16+K16))*'Data-PC'!$X$5/1000+2*MAX(6*U16,75)/1000+IF(O16&gt;12,ROUNDDOWN(O16/12,0)*'Data-PC'!$X$6*U16/1000,0))</f>
        <v>6.4930273199999995</v>
      </c>
      <c r="W16">
        <v>13</v>
      </c>
      <c r="X16">
        <f>D16/Y16</f>
        <v>125</v>
      </c>
      <c r="Y16">
        <v>4</v>
      </c>
      <c r="Z16">
        <f>IF(Y16&gt;0,((C16-2*'Data-PC'!$X$5+2*L16)*Y16),0)/1000</f>
        <v>6.32</v>
      </c>
      <c r="AA16">
        <f>0.006165*W16^2*Z16</f>
        <v>6.5847132</v>
      </c>
      <c r="AB16">
        <v>13</v>
      </c>
      <c r="AC16">
        <f>C16/AD16</f>
        <v>137.5</v>
      </c>
      <c r="AD16">
        <v>8</v>
      </c>
      <c r="AE16">
        <f>IF(AD16&gt;0,((D16-J16-2*'Data-PC'!$X$5+2*L16)*AD16),0)/1000</f>
        <v>7.84</v>
      </c>
      <c r="AF16">
        <f>0.006165*AB16^2*AE16</f>
        <v>8.1683784</v>
      </c>
      <c r="AG16">
        <v>13</v>
      </c>
      <c r="AH16">
        <f>D16/AI16</f>
        <v>125</v>
      </c>
      <c r="AI16">
        <v>4</v>
      </c>
      <c r="AJ16">
        <f>IF(AI16&gt;0,((C16-2*'Data-PC'!$X$5+2*M16)*AI16),0)/1000</f>
        <v>8.48</v>
      </c>
      <c r="AK16">
        <f>0.006165*AG16^2*AJ16</f>
        <v>8.8351848</v>
      </c>
      <c r="AL16">
        <v>16</v>
      </c>
      <c r="AM16">
        <f>C16/AN16</f>
        <v>137.5</v>
      </c>
      <c r="AN16">
        <v>8</v>
      </c>
      <c r="AO16">
        <f>IF(AN16&gt;0,((D16-J16-2*'Data-PC'!$X$5+2*M16)*AN16),0)/1000</f>
        <v>12.16</v>
      </c>
      <c r="AP16">
        <f>0.006165*AL16^2*AO16</f>
        <v>19.1913984</v>
      </c>
      <c r="AS16">
        <f>2*(E16-2*'Data-PC'!$X$5)+300+2*'Data-PC'!$X$7*AR16</f>
        <v>1380</v>
      </c>
      <c r="AT16">
        <f>AQ16*0.006165*AR16^2*AS16/1000</f>
        <v>0</v>
      </c>
      <c r="AW16">
        <f>IF(AV16&gt;0,(M16+2*L16*AU16)/1000*(ROUND((C16-2*'Data-PC'!$X$5)/AV16,0)+1)*(ROUND((D16-2*'Data-PC'!$X$5)/AV16,0)+1),0)</f>
        <v>0</v>
      </c>
      <c r="AX16">
        <f>0.006165*AU16^2*AW16</f>
        <v>0</v>
      </c>
    </row>
    <row r="17">
      <c r="A17">
        <v>3</v>
      </c>
      <c r="B17" t="str">
        <v>PC.3</v>
      </c>
      <c r="C17">
        <v>1100</v>
      </c>
      <c r="D17">
        <v>1020</v>
      </c>
      <c r="E17">
        <v>600</v>
      </c>
      <c r="F17">
        <v>0</v>
      </c>
      <c r="G17">
        <f>E17</f>
        <v>600</v>
      </c>
      <c r="H17">
        <f>2020/5</f>
        <v>404</v>
      </c>
      <c r="I17">
        <v>2</v>
      </c>
      <c r="J17">
        <f>3515/5</f>
        <v>703</v>
      </c>
      <c r="K17">
        <v>2</v>
      </c>
      <c r="L17">
        <f>M17/2</f>
        <v>270</v>
      </c>
      <c r="M17">
        <f>E17-2*$X$5</f>
        <v>540</v>
      </c>
      <c r="N17">
        <f>(C17*D17-1/2*H17*J17*AVERAGE(I17,K17))/1000000</f>
        <v>0.837988</v>
      </c>
      <c r="O17">
        <f>(2*C17-I17*H17+2*D17-K17*J17+(I17+K17)/2*SQRT(H17^2+J17^2))/1000</f>
        <v>3.6476349774224777</v>
      </c>
      <c r="P17">
        <f>(((C17+2*X$3+2*X$4)*(D17+2*X$3+2*X$4))-1/2*H17*J17*AVERAGE(I17,K17))/1000000</f>
        <v>3.173988</v>
      </c>
      <c r="Q17">
        <f>N17*G17/1000</f>
        <v>0.5027928</v>
      </c>
      <c r="R17">
        <f>O17*G17/1000</f>
        <v>2.188580986453487</v>
      </c>
      <c r="S17">
        <v>3</v>
      </c>
      <c r="T17">
        <v>2</v>
      </c>
      <c r="U17">
        <v>13</v>
      </c>
      <c r="V17">
        <f>T17*0.006165*U17^2*(O17-(8+(I17+K17))*'Data-PC'!$X$5/1000+2*MAX(6*U17,75)/1000+IF(O17&gt;12,ROUNDDOWN(O17/12,0)*'Data-PC'!$X$6*U17/1000,0))</f>
        <v>7.175743256903637</v>
      </c>
      <c r="W17">
        <v>13</v>
      </c>
      <c r="X17">
        <v>150</v>
      </c>
      <c r="Y17">
        <f>ROUNDUP((D17-2*$X$5)/X17,0)+1</f>
        <v>8</v>
      </c>
      <c r="Z17">
        <f>IF(X17&gt;0,((C17-2*$X$5+2*L17)*(ROUND((D17-J17-2*$X$5)/X17,0)+1)+(C17-I17/2*H17-2*$X$5+2*M17)*(ROUND(J17/X17,0)+1))/1000,0)</f>
        <v>15.036</v>
      </c>
      <c r="AA17">
        <f>0.006165*W17^2*Z17</f>
        <v>15.665782859999998</v>
      </c>
      <c r="AB17">
        <v>13</v>
      </c>
      <c r="AC17">
        <v>150</v>
      </c>
      <c r="AD17">
        <f>ROUNDUP((C17-2*$X$5)/AC17,0)+1</f>
        <v>8</v>
      </c>
      <c r="AE17">
        <f>IF(AC17&gt;0,((D17-J17-2*$X$5+2*L17)*(ROUND((C17-2*$X$5)/AC17,0)+1)+J17*(ROUND((C17-I17/2*H17-2*$X$5)/AC17,0)+1))/1000,0)</f>
        <v>9.891</v>
      </c>
      <c r="AF17">
        <f>0.006165*AB17^2*AE17</f>
        <v>10.305284535</v>
      </c>
      <c r="AG17">
        <v>16</v>
      </c>
      <c r="AH17">
        <v>150</v>
      </c>
      <c r="AI17">
        <f>ROUNDUP((D17-2*$X$5)/AH17,0)+1</f>
        <v>8</v>
      </c>
      <c r="AJ17">
        <f>IF(AH17&gt;0,((C17-2*$X$5+2*M17)*(ROUND((D17-J17-2*$X$5)/AH17,0)+1)+(C17-I17/2*H17-2*$X$5+2*M17)*(ROUND(J17/AH17,0)+1))/1000,0)</f>
        <v>16.656</v>
      </c>
      <c r="AK17">
        <f>0.006165*AG17^2*AJ17</f>
        <v>26.28716544</v>
      </c>
      <c r="AL17">
        <v>16</v>
      </c>
      <c r="AM17">
        <v>150</v>
      </c>
      <c r="AN17">
        <f>ROUNDUP((C17-2*$X$5)/AM17,0)+1</f>
        <v>8</v>
      </c>
      <c r="AO17">
        <f>IF(AM17&gt;0,((D17-J17-2*$X$5+2*M17)*(ROUND((C17-2*$X$5)/AM17,0)+1)+J17*(ROUND((C17-I17/2*H17-2*$X$5)/AM17,0)+1))/1000,0)</f>
        <v>14.211</v>
      </c>
      <c r="AP17">
        <f>0.006165*AL17^2*AO17</f>
        <v>22.428368640000002</v>
      </c>
      <c r="AS17">
        <f>2*(E17-2*'Data-PC'!$X$5)+300+2*'Data-PC'!$X$7*AR17</f>
        <v>1380</v>
      </c>
      <c r="AT17">
        <f>AQ17*0.006165*AR17^2*AS17/1000</f>
        <v>0</v>
      </c>
      <c r="AW17">
        <f>IF(AV17&gt;0,(M17+2*L17*AU17)/1000*(ROUND((C17-2*'Data-PC'!$X$5)/AV17,0)+1)*(ROUND((D17-2*'Data-PC'!$X$5)/AV17,0)+1),0)</f>
        <v>0</v>
      </c>
      <c r="AX17">
        <f>0.006165*AU17^2*AW17</f>
        <v>0</v>
      </c>
    </row>
    <row r="18">
      <c r="A18">
        <v>4</v>
      </c>
      <c r="B18" t="str">
        <v>PC.4</v>
      </c>
      <c r="C18">
        <v>1100</v>
      </c>
      <c r="D18">
        <v>1100</v>
      </c>
      <c r="E18">
        <v>700</v>
      </c>
      <c r="F18">
        <v>0</v>
      </c>
      <c r="G18">
        <f>E18</f>
        <v>700</v>
      </c>
      <c r="H18">
        <v>0</v>
      </c>
      <c r="I18">
        <v>0</v>
      </c>
      <c r="J18">
        <v>0</v>
      </c>
      <c r="K18">
        <v>0</v>
      </c>
      <c r="L18">
        <f>M18/2</f>
        <v>320</v>
      </c>
      <c r="M18">
        <f>E18-2*$X$5</f>
        <v>640</v>
      </c>
      <c r="N18">
        <f>(C18*D18-1/2*H18*J18*AVERAGE(I18,K18))/1000000</f>
        <v>1.21</v>
      </c>
      <c r="O18">
        <f>(2*C18-I18*H18+2*D18-K18*J18+(I18+K18)/2*SQRT(H18^2+J18^2))/1000</f>
        <v>4.4</v>
      </c>
      <c r="P18">
        <f>(((C18+2*X$3+2*X$4)*(D18+2*X$3+2*X$4))-1/2*H18*J18*AVERAGE(I18,K18))/1000000</f>
        <v>3.61</v>
      </c>
      <c r="Q18">
        <f>N18*G18/1000</f>
        <v>0.847</v>
      </c>
      <c r="R18">
        <f>O18*G18/1000</f>
        <v>3.0800000000000005</v>
      </c>
      <c r="S18">
        <v>4</v>
      </c>
      <c r="T18">
        <v>3</v>
      </c>
      <c r="U18">
        <v>13</v>
      </c>
      <c r="V18">
        <f>T18*0.006165*U18^2*(O18-(8+(I18+K18))*'Data-PC'!$X$5/1000+2*MAX(6*U18,75)/1000+IF(O18&gt;12,ROUNDDOWN(O18/12,0)*'Data-PC'!$X$6*U18/1000,0))</f>
        <v>13.490326979999999</v>
      </c>
      <c r="W18">
        <v>13</v>
      </c>
      <c r="X18">
        <f>D18/Y18</f>
        <v>137.5</v>
      </c>
      <c r="Y18">
        <v>8</v>
      </c>
      <c r="Z18">
        <f>IF(Y18&gt;0,((C18-2*'Data-PC'!$X$5+2*L18)*Y18),0)/1000</f>
        <v>13.44</v>
      </c>
      <c r="AA18">
        <f>0.006165*W18^2*Z18</f>
        <v>14.0029344</v>
      </c>
      <c r="AB18">
        <v>13</v>
      </c>
      <c r="AC18">
        <f>C18/AD18</f>
        <v>137.5</v>
      </c>
      <c r="AD18">
        <v>8</v>
      </c>
      <c r="AE18">
        <f>IF(AD18&gt;0,((D18-J18-2*'Data-PC'!$X$5+2*L18)*AD18),0)/1000</f>
        <v>13.44</v>
      </c>
      <c r="AF18">
        <f>0.006165*AB18^2*AE18</f>
        <v>14.0029344</v>
      </c>
      <c r="AG18">
        <v>16</v>
      </c>
      <c r="AH18">
        <f>D18/AI18</f>
        <v>137.5</v>
      </c>
      <c r="AI18">
        <v>8</v>
      </c>
      <c r="AJ18">
        <f>IF(AI18&gt;0,((C18-2*'Data-PC'!$X$5+2*M18)*AI18),0)/1000</f>
        <v>18.56</v>
      </c>
      <c r="AK18">
        <f>0.006165*AG18^2*AJ18</f>
        <v>29.2921344</v>
      </c>
      <c r="AL18">
        <v>16</v>
      </c>
      <c r="AM18">
        <f>C18/AN18</f>
        <v>137.5</v>
      </c>
      <c r="AN18">
        <v>8</v>
      </c>
      <c r="AO18">
        <f>IF(AN18&gt;0,((D18-J18-2*'Data-PC'!$X$5+2*M18)*AN18),0)/1000</f>
        <v>18.56</v>
      </c>
      <c r="AP18">
        <f>0.006165*AL18^2*AO18</f>
        <v>29.2921344</v>
      </c>
      <c r="AS18">
        <f>2*(E18-2*'Data-PC'!$X$5)+300+2*'Data-PC'!$X$7*AR18</f>
        <v>1580</v>
      </c>
      <c r="AT18">
        <f>AQ18*0.006165*AR18^2*AS18/1000</f>
        <v>0</v>
      </c>
      <c r="AW18">
        <f>IF(AV18&gt;0,(M18+2*L18*AU18)/1000*(ROUND((C18-2*'Data-PC'!$X$5)/AV18,0)+1)*(ROUND((D18-2*'Data-PC'!$X$5)/AV18,0)+1),0)</f>
        <v>0</v>
      </c>
      <c r="AX18">
        <f>0.006165*AU18^2*AW18</f>
        <v>0</v>
      </c>
    </row>
    <row r="19">
      <c r="A19">
        <v>5</v>
      </c>
      <c r="B19" t="str">
        <v>PC.5</v>
      </c>
      <c r="C19">
        <v>1350</v>
      </c>
      <c r="D19">
        <v>1350</v>
      </c>
      <c r="E19">
        <v>700</v>
      </c>
      <c r="F19">
        <v>0</v>
      </c>
      <c r="G19">
        <f>E19</f>
        <v>700</v>
      </c>
      <c r="H19">
        <v>0</v>
      </c>
      <c r="I19">
        <v>0</v>
      </c>
      <c r="J19">
        <v>0</v>
      </c>
      <c r="K19">
        <v>0</v>
      </c>
      <c r="L19">
        <f>M19/2</f>
        <v>320</v>
      </c>
      <c r="M19">
        <f>E19-2*$X$5</f>
        <v>640</v>
      </c>
      <c r="N19">
        <f>(C19*D19-1/2*H19*J19*AVERAGE(I19,K19))/1000000</f>
        <v>1.8225</v>
      </c>
      <c r="O19">
        <f>(2*C19-I19*H19+2*D19-K19*J19+(I19+K19)/2*SQRT(H19^2+J19^2))/1000</f>
        <v>5.4</v>
      </c>
      <c r="P19">
        <f>(((C19+2*X$3+2*X$4)*(D19+2*X$3+2*X$4))-1/2*H19*J19*AVERAGE(I19,K19))/1000000</f>
        <v>4.6225</v>
      </c>
      <c r="Q19">
        <f>N19*G19/1000</f>
        <v>1.27575</v>
      </c>
      <c r="R19">
        <f>O19*G19/1000</f>
        <v>3.7800000000000002</v>
      </c>
      <c r="S19">
        <v>5</v>
      </c>
      <c r="T19">
        <v>3</v>
      </c>
      <c r="U19">
        <v>13</v>
      </c>
      <c r="V19">
        <f>T19*0.006165*U19^2*(O19-(8+(I19+K19))*'Data-PC'!$X$5/1000+2*MAX(6*U19,75)/1000+IF(O19&gt;12,ROUNDDOWN(O19/12,0)*'Data-PC'!$X$6*U19/1000,0))</f>
        <v>16.61598198</v>
      </c>
      <c r="W19">
        <v>13</v>
      </c>
      <c r="X19">
        <f>D19/Y19</f>
        <v>150</v>
      </c>
      <c r="Y19">
        <v>9</v>
      </c>
      <c r="Z19">
        <f>IF(Y19&gt;0,((C19-2*'Data-PC'!$X$5+2*L19)*Y19),0)/1000</f>
        <v>17.37</v>
      </c>
      <c r="AA19">
        <f>0.006165*W19^2*Z19</f>
        <v>18.09754245</v>
      </c>
      <c r="AB19">
        <v>13</v>
      </c>
      <c r="AC19">
        <f>C19/AD19</f>
        <v>150</v>
      </c>
      <c r="AD19">
        <v>9</v>
      </c>
      <c r="AE19">
        <f>IF(AD19&gt;0,((D19-J19-2*'Data-PC'!$X$5+2*L19)*AD19),0)/1000</f>
        <v>17.37</v>
      </c>
      <c r="AF19">
        <f>0.006165*AB19^2*AE19</f>
        <v>18.09754245</v>
      </c>
      <c r="AG19">
        <v>16</v>
      </c>
      <c r="AH19">
        <f>D19/AI19</f>
        <v>150</v>
      </c>
      <c r="AI19">
        <v>9</v>
      </c>
      <c r="AJ19">
        <f>IF(AI19&gt;0,((C19-2*'Data-PC'!$X$5+2*M19)*AI19),0)/1000</f>
        <v>23.13</v>
      </c>
      <c r="AK19">
        <f>0.006165*AG19^2*AJ19</f>
        <v>36.5046912</v>
      </c>
      <c r="AL19">
        <v>16</v>
      </c>
      <c r="AM19">
        <f>C19/AN19</f>
        <v>150</v>
      </c>
      <c r="AN19">
        <v>9</v>
      </c>
      <c r="AO19">
        <f>IF(AN19&gt;0,((D19-J19-2*'Data-PC'!$X$5+2*M19)*AN19),0)/1000</f>
        <v>23.13</v>
      </c>
      <c r="AP19">
        <f>0.006165*AL19^2*AO19</f>
        <v>36.5046912</v>
      </c>
      <c r="AS19">
        <f>2*(E19-2*'Data-PC'!$X$5)+300+2*'Data-PC'!$X$7*AR19</f>
        <v>1580</v>
      </c>
      <c r="AT19">
        <f>AQ19*0.006165*AR19^2*AS19/1000</f>
        <v>0</v>
      </c>
      <c r="AW19">
        <f>IF(AV19&gt;0,(M19+2*L19*AU19)/1000*(ROUND((C19-2*'Data-PC'!$X$5)/AV19,0)+1)*(ROUND((D19-2*'Data-PC'!$X$5)/AV19,0)+1),0)</f>
        <v>0</v>
      </c>
      <c r="AX19">
        <f>0.006165*AU19^2*AW19</f>
        <v>0</v>
      </c>
    </row>
    <row r="20">
      <c r="A20">
        <v>6</v>
      </c>
      <c r="B20" t="str">
        <v>PC.9</v>
      </c>
      <c r="C20">
        <v>2600</v>
      </c>
      <c r="D20">
        <v>2600</v>
      </c>
      <c r="E20">
        <v>750</v>
      </c>
      <c r="F20">
        <v>0</v>
      </c>
      <c r="G20">
        <f>E20</f>
        <v>750</v>
      </c>
      <c r="H20">
        <v>0</v>
      </c>
      <c r="I20">
        <v>0</v>
      </c>
      <c r="J20">
        <v>0</v>
      </c>
      <c r="K20">
        <v>0</v>
      </c>
      <c r="L20">
        <f>M20/2</f>
        <v>345</v>
      </c>
      <c r="M20">
        <f>E20-2*$X$5</f>
        <v>690</v>
      </c>
      <c r="N20">
        <f>(C20*D20-1/2*H20*J20*AVERAGE(I20,K20))/1000000</f>
        <v>6.76</v>
      </c>
      <c r="O20">
        <f>(2*C20-I20*H20+2*D20-K20*J20+(I20+K20)/2*SQRT(H20^2+J20^2))/1000</f>
        <v>10.4</v>
      </c>
      <c r="P20">
        <f>(((C20+2*X$3+2*X$4)*(D20+2*X$3+2*X$4))-1/2*H20*J20*AVERAGE(I20,K20))/1000000</f>
        <v>11.56</v>
      </c>
      <c r="Q20">
        <f>N20*G20/1000</f>
        <v>5.07</v>
      </c>
      <c r="R20">
        <f>O20*G20/1000</f>
        <v>7.8</v>
      </c>
      <c r="S20">
        <v>9</v>
      </c>
      <c r="T20">
        <v>3</v>
      </c>
      <c r="U20">
        <v>13</v>
      </c>
      <c r="V20">
        <f>T20*0.006165*U20^2*(O20-(8+(I20+K20))*'Data-PC'!$X$5/1000+2*MAX(6*U20,75)/1000+IF(O20&gt;12,ROUNDDOWN(O20/12,0)*'Data-PC'!$X$6*U20/1000,0))</f>
        <v>32.24425698</v>
      </c>
      <c r="W20">
        <v>16</v>
      </c>
      <c r="X20">
        <f>D20/Y20</f>
        <v>144.44444444444446</v>
      </c>
      <c r="Y20">
        <v>18</v>
      </c>
      <c r="Z20">
        <f>IF(Y20&gt;0,((C20-2*'Data-PC'!$X$5+2*L20)*Y20),0)/1000</f>
        <v>58.14</v>
      </c>
      <c r="AA20">
        <f>0.006165*W20^2*Z20</f>
        <v>91.7588736</v>
      </c>
      <c r="AB20">
        <v>16</v>
      </c>
      <c r="AC20">
        <f>C20/AD20</f>
        <v>144.44444444444446</v>
      </c>
      <c r="AD20">
        <v>18</v>
      </c>
      <c r="AE20">
        <f>IF(AD20&gt;0,((D20-J20-2*'Data-PC'!$X$5+2*L20)*AD20),0)/1000</f>
        <v>58.14</v>
      </c>
      <c r="AF20">
        <f>0.006165*AB20^2*AE20</f>
        <v>91.7588736</v>
      </c>
      <c r="AG20">
        <v>16</v>
      </c>
      <c r="AH20">
        <f>D20/AI20</f>
        <v>144.44444444444446</v>
      </c>
      <c r="AI20">
        <v>18</v>
      </c>
      <c r="AJ20">
        <f>IF(AI20&gt;0,((C20-2*'Data-PC'!$X$5+2*M20)*AI20),0)/1000</f>
        <v>70.56</v>
      </c>
      <c r="AK20">
        <f>0.006165*AG20^2*AJ20</f>
        <v>111.3606144</v>
      </c>
      <c r="AL20">
        <v>16</v>
      </c>
      <c r="AM20">
        <f>C20/AN20</f>
        <v>144.44444444444446</v>
      </c>
      <c r="AN20">
        <v>18</v>
      </c>
      <c r="AO20">
        <f>IF(AN20&gt;0,((D20-J20-2*'Data-PC'!$X$5+2*M20)*AN20),0)/1000</f>
        <v>70.56</v>
      </c>
      <c r="AP20">
        <f>0.006165*AL20^2*AO20</f>
        <v>111.3606144</v>
      </c>
      <c r="AS20">
        <f>2*(E20-2*'Data-PC'!$X$5)+300+2*'Data-PC'!$X$7*AR20</f>
        <v>1680</v>
      </c>
      <c r="AT20">
        <f>AQ20*0.006165*AR20^2*AS20/1000</f>
        <v>0</v>
      </c>
      <c r="AW20">
        <f>IF(AV20&gt;0,(M20+2*L20*AU20)/1000*(ROUND((C20-2*'Data-PC'!$X$5)/AV20,0)+1)*(ROUND((D20-2*'Data-PC'!$X$5)/AV20,0)+1),0)</f>
        <v>0</v>
      </c>
      <c r="AX20">
        <f>0.006165*AU20^2*AW20</f>
        <v>0</v>
      </c>
    </row>
    <row r="21">
      <c r="A21">
        <v>7</v>
      </c>
      <c r="B21" t="str">
        <v>PCS.1</v>
      </c>
      <c r="C21">
        <v>800</v>
      </c>
      <c r="D21">
        <v>600</v>
      </c>
      <c r="E21">
        <v>600</v>
      </c>
      <c r="F21">
        <v>0</v>
      </c>
      <c r="G21">
        <f>E21</f>
        <v>600</v>
      </c>
      <c r="H21">
        <v>0</v>
      </c>
      <c r="I21">
        <v>0</v>
      </c>
      <c r="J21">
        <v>0</v>
      </c>
      <c r="K21">
        <v>0</v>
      </c>
      <c r="L21">
        <f>M21/2</f>
        <v>270</v>
      </c>
      <c r="M21">
        <f>E21-2*$X$5</f>
        <v>540</v>
      </c>
      <c r="N21">
        <f>(C21*D21-1/2*H21*J21*AVERAGE(I21,K21))/1000000</f>
        <v>0.48</v>
      </c>
      <c r="O21">
        <f>(2*C21-I21*H21+2*D21-K21*J21+(I21+K21)/2*SQRT(H21^2+J21^2))/1000</f>
        <v>2.8</v>
      </c>
      <c r="P21">
        <f>(((C21+2*X$3+2*X$4)*(D21+2*X$3+2*X$4))-1/2*H21*J21*AVERAGE(I21,K21))/1000000</f>
        <v>2.24</v>
      </c>
      <c r="Q21">
        <f>N21*G21/1000</f>
        <v>0.288</v>
      </c>
      <c r="R21">
        <f>O21*G21/1000</f>
        <v>1.68</v>
      </c>
      <c r="T21">
        <v>2</v>
      </c>
      <c r="U21">
        <v>13</v>
      </c>
      <c r="V21">
        <f>T21*0.006165*U21^2*(O21-(8+(I21+K21))*'Data-PC'!$X$5/1000+2*MAX(6*U21,75)/1000+IF(O21&gt;12,ROUNDDOWN(O21/12,0)*'Data-PC'!$X$6*U21/1000,0))</f>
        <v>5.659519319999999</v>
      </c>
      <c r="W21">
        <v>16</v>
      </c>
      <c r="X21">
        <f>D21/Y21</f>
        <v>100</v>
      </c>
      <c r="Y21">
        <v>6</v>
      </c>
      <c r="Z21">
        <f>IF(Y21&gt;0,((C21-2*'Data-PC'!$X$5+2*L21)*Y21),0)/1000</f>
        <v>7.68</v>
      </c>
      <c r="AA21">
        <f>0.006165*W21^2*Z21</f>
        <v>12.1208832</v>
      </c>
      <c r="AB21">
        <v>13</v>
      </c>
      <c r="AC21">
        <f>C21/AD21</f>
        <v>100</v>
      </c>
      <c r="AD21">
        <v>8</v>
      </c>
      <c r="AE21">
        <f>IF(AD21&gt;0,((D21-J21-2*'Data-PC'!$X$5+2*L21)*AD21),0)/1000</f>
        <v>8.64</v>
      </c>
      <c r="AF21">
        <f>0.006165*AB21^2*AE21</f>
        <v>9.0018864</v>
      </c>
      <c r="AG21">
        <v>16</v>
      </c>
      <c r="AH21">
        <f>D21/AI21</f>
        <v>100</v>
      </c>
      <c r="AI21">
        <v>6</v>
      </c>
      <c r="AJ21">
        <f>IF(AI21&gt;0,((C21-2*'Data-PC'!$X$5+2*M21)*AI21),0)/1000</f>
        <v>10.92</v>
      </c>
      <c r="AK21">
        <f>0.006165*AG21^2*AJ21</f>
        <v>17.2343808</v>
      </c>
      <c r="AL21">
        <v>13</v>
      </c>
      <c r="AM21">
        <f>C21/AN21</f>
        <v>100</v>
      </c>
      <c r="AN21">
        <v>8</v>
      </c>
      <c r="AO21">
        <f>IF(AN21&gt;0,((D21-J21-2*'Data-PC'!$X$5+2*M21)*AN21),0)/1000</f>
        <v>12.96</v>
      </c>
      <c r="AP21">
        <f>0.006165*AL21^2*AO21</f>
        <v>13.5028296</v>
      </c>
      <c r="AS21">
        <f>2*(E21-2*'Data-PC'!$X$5)+300+2*'Data-PC'!$X$7*AR21</f>
        <v>1380</v>
      </c>
      <c r="AT21">
        <f>AQ21*0.006165*AR21^2*AS21/1000</f>
        <v>0</v>
      </c>
      <c r="AW21">
        <f>IF(AV21&gt;0,(M21+2*L21*AU21)/1000*(ROUND((C21-2*'Data-PC'!$X$5)/AV21,0)+1)*(ROUND((D21-2*'Data-PC'!$X$5)/AV21,0)+1),0)</f>
        <v>0</v>
      </c>
      <c r="AX21">
        <f>0.006165*AU21^2*AW21</f>
        <v>0</v>
      </c>
      <c r="AZ21">
        <v>1</v>
      </c>
    </row>
    <row r="22">
      <c r="A22">
        <v>8</v>
      </c>
      <c r="B22" t="str">
        <v>PCS.2</v>
      </c>
      <c r="C22">
        <v>800</v>
      </c>
      <c r="D22">
        <v>1500</v>
      </c>
      <c r="E22">
        <v>600</v>
      </c>
      <c r="F22">
        <v>0</v>
      </c>
      <c r="G22">
        <f>E22</f>
        <v>600</v>
      </c>
      <c r="H22">
        <v>0</v>
      </c>
      <c r="I22">
        <v>0</v>
      </c>
      <c r="J22">
        <v>0</v>
      </c>
      <c r="K22">
        <v>0</v>
      </c>
      <c r="L22">
        <f>M22/2</f>
        <v>270</v>
      </c>
      <c r="M22">
        <f>E22-2*$X$5</f>
        <v>540</v>
      </c>
      <c r="N22">
        <f>(C22*D22-1/2*H22*J22*AVERAGE(I22,K22))/1000000</f>
        <v>1.2</v>
      </c>
      <c r="O22">
        <f>(2*C22-I22*H22+2*D22-K22*J22+(I22+K22)/2*SQRT(H22^2+J22^2))/1000</f>
        <v>4.6</v>
      </c>
      <c r="P22">
        <f>(((C22+2*X$3+2*X$4)*(D22+2*X$3+2*X$4))-1/2*H22*J22*AVERAGE(I22,K22))/1000000</f>
        <v>3.68</v>
      </c>
      <c r="Q22">
        <f>N22*G22/1000</f>
        <v>0.72</v>
      </c>
      <c r="R22">
        <f>O22*G22/1000</f>
        <v>2.76</v>
      </c>
      <c r="T22">
        <v>2</v>
      </c>
      <c r="U22">
        <v>13</v>
      </c>
      <c r="V22">
        <f>T22*0.006165*U22^2*(O22-(8+(I22+K22))*'Data-PC'!$X$5/1000+2*MAX(6*U22,75)/1000+IF(O22&gt;12,ROUNDDOWN(O22/12,0)*'Data-PC'!$X$6*U22/1000,0))</f>
        <v>9.410305319999997</v>
      </c>
      <c r="W22">
        <v>16</v>
      </c>
      <c r="X22">
        <f>D22/Y22</f>
        <v>100</v>
      </c>
      <c r="Y22">
        <v>15</v>
      </c>
      <c r="Z22">
        <f>IF(Y22&gt;0,((C22-2*'Data-PC'!$X$5+2*L22)*Y22),0)/1000</f>
        <v>19.2</v>
      </c>
      <c r="AA22">
        <f>0.006165*W22^2*Z22</f>
        <v>30.302208</v>
      </c>
      <c r="AB22">
        <v>13</v>
      </c>
      <c r="AC22">
        <f>C22/AD22</f>
        <v>100</v>
      </c>
      <c r="AD22">
        <v>8</v>
      </c>
      <c r="AE22">
        <f>IF(AD22&gt;0,((D22-J22-2*'Data-PC'!$X$5+2*L22)*AD22),0)/1000</f>
        <v>15.84</v>
      </c>
      <c r="AF22">
        <f>0.006165*AB22^2*AE22</f>
        <v>16.5034584</v>
      </c>
      <c r="AG22">
        <v>16</v>
      </c>
      <c r="AH22">
        <f>D22/AI22</f>
        <v>100</v>
      </c>
      <c r="AI22">
        <v>15</v>
      </c>
      <c r="AJ22">
        <f>IF(AI22&gt;0,((C22-2*'Data-PC'!$X$5+2*M22)*AI22),0)/1000</f>
        <v>27.3</v>
      </c>
      <c r="AK22">
        <f>0.006165*AG22^2*AJ22</f>
        <v>43.085952000000006</v>
      </c>
      <c r="AL22">
        <v>13</v>
      </c>
      <c r="AM22">
        <f>C22/AN22</f>
        <v>100</v>
      </c>
      <c r="AN22">
        <v>8</v>
      </c>
      <c r="AO22">
        <f>IF(AN22&gt;0,((D22-J22-2*'Data-PC'!$X$5+2*M22)*AN22),0)/1000</f>
        <v>20.16</v>
      </c>
      <c r="AP22">
        <f>0.006165*AL22^2*AO22</f>
        <v>21.004401599999998</v>
      </c>
      <c r="AS22">
        <f>2*(E22-2*'Data-PC'!$X$5)+300+2*'Data-PC'!$X$7*AR22</f>
        <v>1380</v>
      </c>
      <c r="AT22">
        <f>AQ22*0.006165*AR22^2*AS22/1000</f>
        <v>0</v>
      </c>
      <c r="AW22">
        <f>IF(AV22&gt;0,(M22+2*L22*AU22)/1000*(ROUND((C22-2*'Data-PC'!$X$5)/AV22,0)+1)*(ROUND((D22-2*'Data-PC'!$X$5)/AV22,0)+1),0)</f>
        <v>0</v>
      </c>
      <c r="AX22">
        <f>0.006165*AU22^2*AW22</f>
        <v>0</v>
      </c>
      <c r="AZ22">
        <v>2</v>
      </c>
    </row>
    <row r="23">
      <c r="A23">
        <v>9</v>
      </c>
      <c r="B23" t="str">
        <v>PCS.3</v>
      </c>
      <c r="C23">
        <v>800</v>
      </c>
      <c r="D23">
        <v>2400</v>
      </c>
      <c r="E23">
        <v>700</v>
      </c>
      <c r="F23">
        <v>0</v>
      </c>
      <c r="G23">
        <f>E23</f>
        <v>700</v>
      </c>
      <c r="H23">
        <v>0</v>
      </c>
      <c r="I23">
        <v>0</v>
      </c>
      <c r="J23">
        <v>0</v>
      </c>
      <c r="K23">
        <v>0</v>
      </c>
      <c r="L23">
        <f>M23/2</f>
        <v>320</v>
      </c>
      <c r="M23">
        <f>E23-2*$X$5</f>
        <v>640</v>
      </c>
      <c r="N23">
        <f>(C23*D23-1/2*H23*J23*AVERAGE(I23,K23))/1000000</f>
        <v>1.92</v>
      </c>
      <c r="O23">
        <f>(2*C23-I23*H23+2*D23-K23*J23+(I23+K23)/2*SQRT(H23^2+J23^2))/1000</f>
        <v>6.4</v>
      </c>
      <c r="P23">
        <f>(((C23+2*X$3+2*X$4)*(D23+2*X$3+2*X$4))-1/2*H23*J23*AVERAGE(I23,K23))/1000000</f>
        <v>5.12</v>
      </c>
      <c r="Q23">
        <f>N23*G23/1000</f>
        <v>1.344</v>
      </c>
      <c r="R23">
        <f>O23*G23/1000</f>
        <v>4.48</v>
      </c>
      <c r="T23">
        <v>3</v>
      </c>
      <c r="U23">
        <v>13</v>
      </c>
      <c r="V23">
        <f>T23*0.006165*U23^2*(O23-(8+(I23+K23))*'Data-PC'!$X$5/1000+2*MAX(6*U23,75)/1000+IF(O23&gt;12,ROUNDDOWN(O23/12,0)*'Data-PC'!$X$6*U23/1000,0))</f>
        <v>19.74163698</v>
      </c>
      <c r="W23">
        <v>16</v>
      </c>
      <c r="X23">
        <f>D23/Y23</f>
        <v>100</v>
      </c>
      <c r="Y23">
        <v>24</v>
      </c>
      <c r="Z23">
        <f>IF(Y23&gt;0,((C23-2*'Data-PC'!$X$5+2*L23)*Y23),0)/1000</f>
        <v>33.12</v>
      </c>
      <c r="AA23">
        <f>0.006165*W23^2*Z23</f>
        <v>52.2713088</v>
      </c>
      <c r="AB23">
        <v>13</v>
      </c>
      <c r="AC23">
        <f>C23/AD23</f>
        <v>100</v>
      </c>
      <c r="AD23">
        <v>8</v>
      </c>
      <c r="AE23">
        <f>IF(AD23&gt;0,((D23-J23-2*'Data-PC'!$X$5+2*L23)*AD23),0)/1000</f>
        <v>23.84</v>
      </c>
      <c r="AF23">
        <f>0.006165*AB23^2*AE23</f>
        <v>24.838538399999997</v>
      </c>
      <c r="AG23">
        <v>16</v>
      </c>
      <c r="AH23">
        <f>D23/AI23</f>
        <v>100</v>
      </c>
      <c r="AI23">
        <v>24</v>
      </c>
      <c r="AJ23">
        <f>IF(AI23&gt;0,((C23-2*'Data-PC'!$X$5+2*M23)*AI23),0)/1000</f>
        <v>48.48</v>
      </c>
      <c r="AK23">
        <f>0.006165*AG23^2*AJ23</f>
        <v>76.5130752</v>
      </c>
      <c r="AL23">
        <v>13</v>
      </c>
      <c r="AM23">
        <f>C23/AN23</f>
        <v>100</v>
      </c>
      <c r="AN23">
        <v>8</v>
      </c>
      <c r="AO23">
        <f>IF(AN23&gt;0,((D23-J23-2*'Data-PC'!$X$5+2*M23)*AN23),0)/1000</f>
        <v>28.96</v>
      </c>
      <c r="AP23">
        <f>0.006165*AL23^2*AO23</f>
        <v>30.1729896</v>
      </c>
      <c r="AS23">
        <f>2*(E23-2*'Data-PC'!$X$5)+300+2*'Data-PC'!$X$7*AR23</f>
        <v>1580</v>
      </c>
      <c r="AT23">
        <f>AQ23*0.006165*AR23^2*AS23/1000</f>
        <v>0</v>
      </c>
      <c r="AW23">
        <f>IF(AV23&gt;0,(M23+2*L23*AU23)/1000*(ROUND((C23-2*'Data-PC'!$X$5)/AV23,0)+1)*(ROUND((D23-2*'Data-PC'!$X$5)/AV23,0)+1),0)</f>
        <v>0</v>
      </c>
      <c r="AX23">
        <f>0.006165*AU23^2*AW23</f>
        <v>0</v>
      </c>
      <c r="AZ23">
        <v>3</v>
      </c>
    </row>
    <row r="24">
      <c r="A24">
        <v>10</v>
      </c>
      <c r="B24" t="str">
        <v>PCS.5</v>
      </c>
      <c r="C24">
        <v>1580</v>
      </c>
      <c r="D24">
        <v>2400</v>
      </c>
      <c r="E24">
        <v>750</v>
      </c>
      <c r="F24">
        <v>0</v>
      </c>
      <c r="G24">
        <f>E24</f>
        <v>750</v>
      </c>
      <c r="H24">
        <f>4995/5</f>
        <v>999</v>
      </c>
      <c r="I24">
        <v>2</v>
      </c>
      <c r="J24">
        <f>2880/5</f>
        <v>576</v>
      </c>
      <c r="K24">
        <v>2</v>
      </c>
      <c r="L24">
        <f>M24/2</f>
        <v>345</v>
      </c>
      <c r="M24">
        <f>E24-2*$X$5</f>
        <v>690</v>
      </c>
      <c r="N24">
        <f>(C24*D24-1/2*H24*J24*AVERAGE(I24,K24))/1000000</f>
        <v>3.216576</v>
      </c>
      <c r="O24">
        <f>(2*C24-I24*H24+2*D24-K24*J24+(I24+K24)/2*SQRT(H24^2+J24^2))/1000</f>
        <v>7.116319145304916</v>
      </c>
      <c r="P24">
        <f>(((C24+2*X$3+2*X$4)*(D24+2*X$3+2*X$4))-1/2*H24*J24*AVERAGE(I24,K24))/1000000</f>
        <v>7.040576</v>
      </c>
      <c r="Q24">
        <f>N24*G24/1000</f>
        <v>2.412432</v>
      </c>
      <c r="R24">
        <f>O24*G24/1000</f>
        <v>5.337239358978687</v>
      </c>
      <c r="T24">
        <v>3</v>
      </c>
      <c r="U24">
        <v>13</v>
      </c>
      <c r="V24">
        <f>T24*0.006165*U24^2*(O24-(8+(I24+K24))*'Data-PC'!$X$5/1000+2*MAX(6*U24,75)/1000+IF(O24&gt;12,ROUNDDOWN(O24/12,0)*'Data-PC'!$X$6*U24/1000,0))</f>
        <v>21.605524898118038</v>
      </c>
      <c r="W24">
        <v>19</v>
      </c>
      <c r="X24">
        <v>100</v>
      </c>
      <c r="Y24">
        <f>ROUNDUP((D24-2*$X$5)/X24,0)+1</f>
        <v>25</v>
      </c>
      <c r="Z24">
        <f>IF(X24&gt;0,((C24-2*$X$5+2*L24)*(ROUND((D24-J24-2*$X$5)/X24,0)+1)+(C24-I24/2*H24-2*$X$5+2*M24)*(ROUND(J24/X24,0)+1))/1000,0)</f>
        <v>55.297</v>
      </c>
      <c r="AA24">
        <f>0.006165*W24^2*Z24</f>
        <v>123.067067805</v>
      </c>
      <c r="AB24">
        <v>13</v>
      </c>
      <c r="AC24">
        <v>100</v>
      </c>
      <c r="AD24">
        <f>ROUNDUP((C24-2*$X$5)/AC24,0)+1</f>
        <v>17</v>
      </c>
      <c r="AE24">
        <f>IF(AC24&gt;0,((D24-J24-2*$X$5+2*L24)*(ROUND((C24-2*$X$5)/AC24,0)+1)+J24*(ROUND((C24-I24/2*H24-2*$X$5)/AC24,0)+1))/1000,0)</f>
        <v>42.72</v>
      </c>
      <c r="AF24">
        <f>0.006165*AB24^2*AE24</f>
        <v>44.509327199999994</v>
      </c>
      <c r="AG24">
        <v>16</v>
      </c>
      <c r="AH24">
        <v>100</v>
      </c>
      <c r="AI24">
        <f>ROUNDUP((D24-2*$X$5)/AH24,0)+1</f>
        <v>25</v>
      </c>
      <c r="AJ24">
        <f>IF(AH24&gt;0,((C24-2*$X$5+2*M24)*(ROUND((D24-J24-2*$X$5)/AH24,0)+1)+(C24-I24/2*H24-2*$X$5+2*M24)*(ROUND(J24/AH24,0)+1))/1000,0)</f>
        <v>68.407</v>
      </c>
      <c r="AK24">
        <f>0.006165*AG24^2*AJ24</f>
        <v>107.96266368</v>
      </c>
      <c r="AL24">
        <v>16</v>
      </c>
      <c r="AM24">
        <v>100</v>
      </c>
      <c r="AN24">
        <f>ROUNDUP((C24-2*$X$5)/AM24,0)+1</f>
        <v>17</v>
      </c>
      <c r="AO24">
        <f>IF(AM24&gt;0,((D24-J24-2*$X$5+2*M24)*(ROUND((C24-2*$X$5)/AM24,0)+1)+J24*(ROUND((C24-I24/2*H24-2*$X$5)/AM24,0)+1))/1000,0)</f>
        <v>53.76</v>
      </c>
      <c r="AP24">
        <f>0.006165*AL24^2*AO24</f>
        <v>84.8461824</v>
      </c>
      <c r="AS24">
        <f>2*(E24-2*'Data-PC'!$X$5)+300+2*'Data-PC'!$X$7*AR24</f>
        <v>1680</v>
      </c>
      <c r="AT24">
        <f>AQ24*0.006165*AR24^2*AS24/1000</f>
        <v>0</v>
      </c>
      <c r="AW24">
        <f>IF(AV24&gt;0,(M24+2*L24*AU24)/1000*(ROUND((C24-2*'Data-PC'!$X$5)/AV24,0)+1)*(ROUND((D24-2*'Data-PC'!$X$5)/AV24,0)+1),0)</f>
        <v>0</v>
      </c>
      <c r="AX24">
        <f>0.006165*AU24^2*AW24</f>
        <v>0</v>
      </c>
      <c r="AZ24">
        <v>5</v>
      </c>
    </row>
    <row r="25">
      <c r="A25">
        <v>11</v>
      </c>
      <c r="B25" t="str">
        <v>PCS.3A</v>
      </c>
      <c r="C25">
        <v>1550</v>
      </c>
      <c r="D25">
        <v>1550</v>
      </c>
      <c r="E25">
        <v>700</v>
      </c>
      <c r="F25">
        <v>0</v>
      </c>
      <c r="G25">
        <f>E25</f>
        <v>700</v>
      </c>
      <c r="H25">
        <f>4625/5</f>
        <v>925</v>
      </c>
      <c r="I25">
        <v>1</v>
      </c>
      <c r="J25">
        <f>4625/5</f>
        <v>925</v>
      </c>
      <c r="K25">
        <v>1</v>
      </c>
      <c r="L25">
        <f>M25/2</f>
        <v>320</v>
      </c>
      <c r="M25">
        <f>E25-2*$X$5</f>
        <v>640</v>
      </c>
      <c r="N25">
        <f>(C25*D25-1/2*H25*J25*AVERAGE(I25,K25))/1000000</f>
        <v>1.9746875</v>
      </c>
      <c r="O25">
        <f>(2*C25-I25*H25+2*D25-K25*J25+(I25+K25)/2*SQRT(H25^2+J25^2))/1000</f>
        <v>5.658147545195113</v>
      </c>
      <c r="P25">
        <f>(((C25+2*X$3+2*X$4)*(D25+2*X$3+2*X$4))-1/2*H25*J25*AVERAGE(I25,K25))/1000000</f>
        <v>5.0946875</v>
      </c>
      <c r="Q25">
        <f>N25*G25/1000</f>
        <v>1.38228125</v>
      </c>
      <c r="R25">
        <f>O25*G25/1000</f>
        <v>3.960703281636579</v>
      </c>
      <c r="T25">
        <v>3</v>
      </c>
      <c r="U25">
        <v>13</v>
      </c>
      <c r="V25">
        <f>T25*0.006165*U25^2*(O25-(8+(I25+K25))*'Data-PC'!$X$5/1000+2*MAX(6*U25,75)/1000+IF(O25&gt;12,ROUNDDOWN(O25/12,0)*'Data-PC'!$X$6*U25/1000,0))</f>
        <v>17.235322845376828</v>
      </c>
      <c r="W25">
        <v>19</v>
      </c>
      <c r="X25">
        <v>100</v>
      </c>
      <c r="Y25">
        <f>ROUNDUP((D25-2*$X$5)/X25,0)+1</f>
        <v>16</v>
      </c>
      <c r="Z25">
        <f>IF(X25&gt;0,((C25-2*$X$5+2*L25)*(ROUND((D25-J25-2*$X$5)/X25,0)+1)+(C25-I25/2*H25-2*$X$5+2*M25)*(ROUND(J25/X25,0)+1))/1000,0)</f>
        <v>37.985</v>
      </c>
      <c r="AA25">
        <f>0.006165*W25^2*Z25</f>
        <v>84.538086525</v>
      </c>
      <c r="AB25">
        <v>19</v>
      </c>
      <c r="AC25">
        <v>100</v>
      </c>
      <c r="AD25">
        <f>ROUNDUP((C25-2*$X$5)/AC25,0)+1</f>
        <v>16</v>
      </c>
      <c r="AE25">
        <f>IF(AC25&gt;0,((D25-J25-2*$X$5+2*L25)*(ROUND((C25-2*$X$5)/AC25,0)+1)+J25*(ROUND((C25-I25/2*H25-2*$X$5)/AC25,0)+1))/1000,0)</f>
        <v>29.455</v>
      </c>
      <c r="AF25">
        <f>0.006165*AB25^2*AE25</f>
        <v>65.55401707499999</v>
      </c>
      <c r="AG25">
        <v>16</v>
      </c>
      <c r="AH25">
        <v>100</v>
      </c>
      <c r="AI25">
        <f>ROUNDUP((D25-2*$X$5)/AH25,0)+1</f>
        <v>16</v>
      </c>
      <c r="AJ25">
        <f>IF(AH25&gt;0,((C25-2*$X$5+2*M25)*(ROUND((D25-J25-2*$X$5)/AH25,0)+1)+(C25-I25/2*H25-2*$X$5+2*M25)*(ROUND(J25/AH25,0)+1))/1000,0)</f>
        <v>42.465</v>
      </c>
      <c r="AK25">
        <f>0.006165*AG25^2*AJ25</f>
        <v>67.0199616</v>
      </c>
      <c r="AL25">
        <v>16</v>
      </c>
      <c r="AM25">
        <v>100</v>
      </c>
      <c r="AN25">
        <f>ROUNDUP((C25-2*$X$5)/AM25,0)+1</f>
        <v>16</v>
      </c>
      <c r="AO25">
        <f>IF(AM25&gt;0,((D25-J25-2*$X$5+2*M25)*(ROUND((C25-2*$X$5)/AM25,0)+1)+J25*(ROUND((C25-I25/2*H25-2*$X$5)/AM25,0)+1))/1000,0)</f>
        <v>39.695</v>
      </c>
      <c r="AP25">
        <f>0.006165*AL25^2*AO25</f>
        <v>62.64823680000001</v>
      </c>
      <c r="AS25">
        <f>2*(E25-2*'Data-PC'!$X$5)+300+2*'Data-PC'!$X$7*AR25</f>
        <v>1580</v>
      </c>
      <c r="AT25">
        <f>AQ25*0.006165*AR25^2*AS25/1000</f>
        <v>0</v>
      </c>
      <c r="AW25">
        <f>IF(AV25&gt;0,(M25+2*L25*AU25)/1000*(ROUND((C25-2*'Data-PC'!$X$5)/AV25,0)+1)*(ROUND((D25-2*'Data-PC'!$X$5)/AV25,0)+1),0)</f>
        <v>0</v>
      </c>
      <c r="AX25">
        <f>0.006165*AU25^2*AW25</f>
        <v>0</v>
      </c>
      <c r="AZ25">
        <v>3</v>
      </c>
    </row>
    <row r="26">
      <c r="A26">
        <v>12</v>
      </c>
      <c r="F26">
        <v>0</v>
      </c>
      <c r="G26">
        <f>E26</f>
        <v>0</v>
      </c>
      <c r="H26">
        <v>0</v>
      </c>
      <c r="I26">
        <v>0</v>
      </c>
      <c r="J26">
        <v>0</v>
      </c>
      <c r="K26">
        <v>0</v>
      </c>
      <c r="L26">
        <f>M26/2</f>
        <v>-30</v>
      </c>
      <c r="M26">
        <f>E26-2*$X$5</f>
        <v>-60</v>
      </c>
      <c r="N26">
        <f>(C26*D26-1/2*H26*J26*AVERAGE(I26,K26))/1000000</f>
        <v>0</v>
      </c>
      <c r="O26">
        <f>(2*C26-I26*H26+2*D26-K26*J26+(I26+K26)/2*SQRT(H26^2+J26^2))/1000</f>
        <v>0</v>
      </c>
      <c r="P26">
        <f>(((C26+2*X$3+2*X$4)*(D26+2*X$3+2*X$4))-1/2*H26*J26*AVERAGE(I26,K26))/1000000</f>
        <v>0.64</v>
      </c>
      <c r="Q26">
        <f>N26*G26/1000</f>
        <v>0</v>
      </c>
      <c r="R26">
        <f>O26*G26/1000</f>
        <v>0</v>
      </c>
      <c r="V26">
        <f>T26*0.006165*U26^2*(O26-(8+(I26+K26))*'Data-PC'!$X$5/1000+2*MAX(6*U26,75)/1000+IF(O26&gt;12,ROUNDDOWN(O26/12,0)*'Data-PC'!$X$6*U26/1000,0))</f>
        <v>0</v>
      </c>
      <c r="X26" t="e">
        <f>D26/Y26</f>
        <v>#DIV/0!</v>
      </c>
      <c r="Z26">
        <f>IF(Y26&gt;0,((C26-2*'Data-PC'!$X$5+2*L26)*Y26),0)/1000</f>
        <v>0</v>
      </c>
      <c r="AA26">
        <f>0.006165*W26^2*Z26</f>
        <v>0</v>
      </c>
      <c r="AC26" t="e">
        <f>C26/AD26</f>
        <v>#DIV/0!</v>
      </c>
      <c r="AE26">
        <f>IF(AD26&gt;0,((D26-J26-2*'Data-PC'!$X$5+2*L26)*AD26),0)/1000</f>
        <v>0</v>
      </c>
      <c r="AF26">
        <f>0.006165*AB26^2*AE26</f>
        <v>0</v>
      </c>
      <c r="AH26" t="e">
        <f>D26/AI26</f>
        <v>#DIV/0!</v>
      </c>
      <c r="AJ26">
        <f>IF(AI26&gt;0,((C26-2*'Data-PC'!$X$5+2*M26)*AI26),0)/1000</f>
        <v>0</v>
      </c>
      <c r="AK26">
        <f>0.006165*AG26^2*AJ26</f>
        <v>0</v>
      </c>
      <c r="AM26" t="e">
        <f>C26/AN26</f>
        <v>#DIV/0!</v>
      </c>
      <c r="AO26">
        <f>IF(AN26&gt;0,((D26-J26-2*'Data-PC'!$X$5+2*M26)*AN26),0)/1000</f>
        <v>0</v>
      </c>
      <c r="AP26">
        <f>0.006165*AL26^2*AO26</f>
        <v>0</v>
      </c>
      <c r="AS26">
        <f>2*(E26-2*'Data-PC'!$X$5)+300+2*'Data-PC'!$X$7*AR26</f>
        <v>180</v>
      </c>
      <c r="AT26">
        <f>AQ26*0.006165*AR26^2*AS26/1000</f>
        <v>0</v>
      </c>
      <c r="AW26">
        <f>IF(AV26&gt;0,(M26+2*L26*AU26)/1000*(ROUND((C26-2*'Data-PC'!$X$5)/AV26,0)+1)*(ROUND((D26-2*'Data-PC'!$X$5)/AV26,0)+1),0)</f>
        <v>0</v>
      </c>
      <c r="AX26">
        <f>0.006165*AU26^2*AW26</f>
        <v>0</v>
      </c>
    </row>
    <row r="27">
      <c r="A27">
        <v>13</v>
      </c>
      <c r="F27">
        <v>0</v>
      </c>
      <c r="G27">
        <f>E27</f>
        <v>0</v>
      </c>
      <c r="H27">
        <v>0</v>
      </c>
      <c r="I27">
        <v>0</v>
      </c>
      <c r="J27">
        <v>0</v>
      </c>
      <c r="K27">
        <v>0</v>
      </c>
      <c r="L27">
        <f>M27/2</f>
        <v>-30</v>
      </c>
      <c r="M27">
        <f>E27-2*$X$5</f>
        <v>-60</v>
      </c>
      <c r="N27">
        <f>(C27*D27-1/2*H27*J27*AVERAGE(I27,K27))/1000000</f>
        <v>0</v>
      </c>
      <c r="O27">
        <f>(2*C27-I27*H27+2*D27-K27*J27+(I27+K27)/2*SQRT(H27^2+J27^2))/1000</f>
        <v>0</v>
      </c>
      <c r="P27">
        <f>(((C27+2*X$3+2*X$4)*(D27+2*X$3+2*X$4))-1/2*H27*J27*AVERAGE(I27,K27))/1000000</f>
        <v>0.64</v>
      </c>
      <c r="Q27">
        <f>N27*G27/1000</f>
        <v>0</v>
      </c>
      <c r="R27">
        <f>O27*G27/1000</f>
        <v>0</v>
      </c>
      <c r="V27">
        <f>T27*0.006165*U27^2*(O27-(8+(I27+K27))*'Data-PC'!$X$5/1000+2*MAX(6*U27,75)/1000+IF(O27&gt;12,ROUNDDOWN(O27/12,0)*'Data-PC'!$X$6*U27/1000,0))</f>
        <v>0</v>
      </c>
      <c r="X27" t="e">
        <f>D27/Y27</f>
        <v>#DIV/0!</v>
      </c>
      <c r="Z27">
        <f>IF(Y27&gt;0,((C27-2*'Data-PC'!$X$5+2*L27)*Y27),0)/1000</f>
        <v>0</v>
      </c>
      <c r="AA27">
        <f>0.006165*W27^2*Z27</f>
        <v>0</v>
      </c>
      <c r="AC27" t="e">
        <f>C27/AD27</f>
        <v>#DIV/0!</v>
      </c>
      <c r="AE27">
        <f>IF(AD27&gt;0,((D27-J27-2*'Data-PC'!$X$5+2*L27)*AD27),0)/1000</f>
        <v>0</v>
      </c>
      <c r="AF27">
        <f>0.006165*AB27^2*AE27</f>
        <v>0</v>
      </c>
      <c r="AH27" t="e">
        <f>D27/AI27</f>
        <v>#DIV/0!</v>
      </c>
      <c r="AJ27">
        <f>IF(AI27&gt;0,((C27-2*'Data-PC'!$X$5+2*M27)*AI27),0)/1000</f>
        <v>0</v>
      </c>
      <c r="AK27">
        <f>0.006165*AG27^2*AJ27</f>
        <v>0</v>
      </c>
      <c r="AM27" t="e">
        <f>C27/AN27</f>
        <v>#DIV/0!</v>
      </c>
      <c r="AO27">
        <f>IF(AN27&gt;0,((D27-J27-2*'Data-PC'!$X$5+2*M27)*AN27),0)/1000</f>
        <v>0</v>
      </c>
      <c r="AP27">
        <f>0.006165*AL27^2*AO27</f>
        <v>0</v>
      </c>
      <c r="AS27">
        <f>2*(E27-2*'Data-PC'!$X$5)+300+2*'Data-PC'!$X$7*AR27</f>
        <v>180</v>
      </c>
      <c r="AT27">
        <f>AQ27*0.006165*AR27^2*AS27/1000</f>
        <v>0</v>
      </c>
      <c r="AW27">
        <f>IF(AV27&gt;0,(M27+2*L27*AU27)/1000*(ROUND((C27-2*'Data-PC'!$X$5)/AV27,0)+1)*(ROUND((D27-2*'Data-PC'!$X$5)/AV27,0)+1),0)</f>
        <v>0</v>
      </c>
      <c r="AX27">
        <f>0.006165*AU27^2*AW27</f>
        <v>0</v>
      </c>
    </row>
    <row r="28">
      <c r="A28">
        <v>14</v>
      </c>
      <c r="F28">
        <v>0</v>
      </c>
      <c r="G28">
        <f>E28</f>
        <v>0</v>
      </c>
      <c r="H28">
        <v>0</v>
      </c>
      <c r="I28">
        <v>0</v>
      </c>
      <c r="J28">
        <v>0</v>
      </c>
      <c r="K28">
        <v>0</v>
      </c>
      <c r="L28">
        <f>M28/2</f>
        <v>-30</v>
      </c>
      <c r="M28">
        <f>E28-2*$X$5</f>
        <v>-60</v>
      </c>
      <c r="N28">
        <f>(C28*D28-1/2*H28*J28*AVERAGE(I28,K28))/1000000</f>
        <v>0</v>
      </c>
      <c r="O28">
        <f>(2*C28-I28*H28+2*D28-K28*J28+(I28+K28)/2*SQRT(H28^2+J28^2))/1000</f>
        <v>0</v>
      </c>
      <c r="P28">
        <f>(((C28+2*X$3+2*X$4)*(D28+2*X$3+2*X$4))-1/2*H28*J28*AVERAGE(I28,K28))/1000000</f>
        <v>0.64</v>
      </c>
      <c r="Q28">
        <f>N28*G28/1000</f>
        <v>0</v>
      </c>
      <c r="R28">
        <f>O28*G28/1000</f>
        <v>0</v>
      </c>
      <c r="V28">
        <f>T28*0.006165*U28^2*(O28-(8+(I28+K28))*'Data-PC'!$X$5/1000+2*MAX(6*U28,75)/1000+IF(O28&gt;12,ROUNDDOWN(O28/12,0)*'Data-PC'!$X$6*U28/1000,0))</f>
        <v>0</v>
      </c>
      <c r="X28" t="e">
        <f>D28/Y28</f>
        <v>#DIV/0!</v>
      </c>
      <c r="Z28">
        <f>IF(Y28&gt;0,((C28-2*'Data-PC'!$X$5+2*L28)*Y28),0)/1000</f>
        <v>0</v>
      </c>
      <c r="AA28">
        <f>0.006165*W28^2*Z28</f>
        <v>0</v>
      </c>
      <c r="AC28" t="e">
        <f>C28/AD28</f>
        <v>#DIV/0!</v>
      </c>
      <c r="AE28">
        <f>IF(AD28&gt;0,((D28-J28-2*'Data-PC'!$X$5+2*L28)*AD28),0)/1000</f>
        <v>0</v>
      </c>
      <c r="AF28">
        <f>0.006165*AB28^2*AE28</f>
        <v>0</v>
      </c>
      <c r="AH28" t="e">
        <f>D28/AI28</f>
        <v>#DIV/0!</v>
      </c>
      <c r="AJ28">
        <f>IF(AI28&gt;0,((C28-2*'Data-PC'!$X$5+2*M28)*AI28),0)/1000</f>
        <v>0</v>
      </c>
      <c r="AK28">
        <f>0.006165*AG28^2*AJ28</f>
        <v>0</v>
      </c>
      <c r="AM28" t="e">
        <f>C28/AN28</f>
        <v>#DIV/0!</v>
      </c>
      <c r="AO28">
        <f>IF(AN28&gt;0,((D28-J28-2*'Data-PC'!$X$5+2*M28)*AN28),0)/1000</f>
        <v>0</v>
      </c>
      <c r="AP28">
        <f>0.006165*AL28^2*AO28</f>
        <v>0</v>
      </c>
      <c r="AS28">
        <f>2*(E28-2*'Data-PC'!$X$5)+300+2*'Data-PC'!$X$7*AR28</f>
        <v>180</v>
      </c>
      <c r="AT28">
        <f>AQ28*0.006165*AR28^2*AS28/1000</f>
        <v>0</v>
      </c>
      <c r="AW28">
        <f>IF(AV28&gt;0,(M28+2*L28*AU28)/1000*(ROUND((C28-2*'Data-PC'!$X$5)/AV28,0)+1)*(ROUND((D28-2*'Data-PC'!$X$5)/AV28,0)+1),0)</f>
        <v>0</v>
      </c>
      <c r="AX28">
        <f>0.006165*AU28^2*AW28</f>
        <v>0</v>
      </c>
    </row>
    <row r="29">
      <c r="A29">
        <v>15</v>
      </c>
      <c r="F29">
        <v>0</v>
      </c>
      <c r="G29">
        <f>E29</f>
        <v>0</v>
      </c>
      <c r="H29">
        <v>0</v>
      </c>
      <c r="I29">
        <v>0</v>
      </c>
      <c r="J29">
        <v>0</v>
      </c>
      <c r="K29">
        <v>0</v>
      </c>
      <c r="L29">
        <f>M29/2</f>
        <v>-30</v>
      </c>
      <c r="M29">
        <f>E29-2*$X$5</f>
        <v>-60</v>
      </c>
      <c r="N29">
        <f>(C29*D29-1/2*H29*J29*AVERAGE(I29,K29))/1000000</f>
        <v>0</v>
      </c>
      <c r="O29">
        <f>(2*C29-I29*H29+2*D29-K29*J29+(I29+K29)/2*SQRT(H29^2+J29^2))/1000</f>
        <v>0</v>
      </c>
      <c r="P29">
        <f>(((C29+2*X$3+2*X$4)*(D29+2*X$3+2*X$4))-1/2*H29*J29*AVERAGE(I29,K29))/1000000</f>
        <v>0.64</v>
      </c>
      <c r="Q29">
        <f>N29*G29/1000</f>
        <v>0</v>
      </c>
      <c r="R29">
        <f>O29*G29/1000</f>
        <v>0</v>
      </c>
      <c r="V29">
        <f>T29*0.006165*U29^2*(O29-(8+(I29+K29))*'Data-PC'!$X$5/1000+2*MAX(6*U29,75)/1000+IF(O29&gt;12,ROUNDDOWN(O29/12,0)*'Data-PC'!$X$6*U29/1000,0))</f>
        <v>0</v>
      </c>
      <c r="X29" t="e">
        <f>D29/Y29</f>
        <v>#DIV/0!</v>
      </c>
      <c r="Z29">
        <f>IF(Y29&gt;0,((C29-2*'Data-PC'!$X$5+2*L29)*Y29),0)/1000</f>
        <v>0</v>
      </c>
      <c r="AA29">
        <f>0.006165*W29^2*Z29</f>
        <v>0</v>
      </c>
      <c r="AC29" t="e">
        <f>C29/AD29</f>
        <v>#DIV/0!</v>
      </c>
      <c r="AE29">
        <f>IF(AD29&gt;0,((D29-J29-2*'Data-PC'!$X$5+2*L29)*AD29),0)/1000</f>
        <v>0</v>
      </c>
      <c r="AF29">
        <f>0.006165*AB29^2*AE29</f>
        <v>0</v>
      </c>
      <c r="AH29" t="e">
        <f>D29/AI29</f>
        <v>#DIV/0!</v>
      </c>
      <c r="AJ29">
        <f>IF(AI29&gt;0,((C29-2*'Data-PC'!$X$5+2*M29)*AI29),0)/1000</f>
        <v>0</v>
      </c>
      <c r="AK29">
        <f>0.006165*AG29^2*AJ29</f>
        <v>0</v>
      </c>
      <c r="AM29" t="e">
        <f>C29/AN29</f>
        <v>#DIV/0!</v>
      </c>
      <c r="AO29">
        <f>IF(AN29&gt;0,((D29-J29-2*'Data-PC'!$X$5+2*M29)*AN29),0)/1000</f>
        <v>0</v>
      </c>
      <c r="AP29">
        <f>0.006165*AL29^2*AO29</f>
        <v>0</v>
      </c>
      <c r="AS29">
        <f>2*(E29-2*'Data-PC'!$X$5)+300+2*'Data-PC'!$X$7*AR29</f>
        <v>180</v>
      </c>
      <c r="AT29">
        <f>AQ29*0.006165*AR29^2*AS29/1000</f>
        <v>0</v>
      </c>
      <c r="AW29">
        <f>IF(AV29&gt;0,(M29+2*L29*AU29)/1000*(ROUND((C29-2*'Data-PC'!$X$5)/AV29,0)+1)*(ROUND((D29-2*'Data-PC'!$X$5)/AV29,0)+1),0)</f>
        <v>0</v>
      </c>
      <c r="AX29">
        <f>0.006165*AU29^2*AW29</f>
        <v>0</v>
      </c>
    </row>
    <row r="30">
      <c r="A30">
        <v>16</v>
      </c>
      <c r="F30">
        <v>0</v>
      </c>
      <c r="G30">
        <f>E30</f>
        <v>0</v>
      </c>
      <c r="H30">
        <v>0</v>
      </c>
      <c r="I30">
        <v>0</v>
      </c>
      <c r="J30">
        <v>0</v>
      </c>
      <c r="K30">
        <v>0</v>
      </c>
      <c r="L30">
        <f>M30/2</f>
        <v>-30</v>
      </c>
      <c r="M30">
        <f>E30-2*$X$5</f>
        <v>-60</v>
      </c>
      <c r="N30">
        <f>(C30*D30-1/2*H30*J30*AVERAGE(I30,K30))/1000000</f>
        <v>0</v>
      </c>
      <c r="O30">
        <f>(2*C30-I30*H30+2*D30-K30*J30+(I30+K30)/2*SQRT(H30^2+J30^2))/1000</f>
        <v>0</v>
      </c>
      <c r="P30">
        <f>(((C30+2*X$3+2*X$4)*(D30+2*X$3+2*X$4))-1/2*H30*J30*AVERAGE(I30,K30))/1000000</f>
        <v>0.64</v>
      </c>
      <c r="Q30">
        <f>N30*G30/1000</f>
        <v>0</v>
      </c>
      <c r="R30">
        <f>O30*G30/1000</f>
        <v>0</v>
      </c>
      <c r="V30">
        <f>T30*0.006165*U30^2*(O30-(8+(I30+K30))*'Data-PC'!$X$5/1000+2*MAX(6*U30,75)/1000+IF(O30&gt;12,ROUNDDOWN(O30/12,0)*'Data-PC'!$X$6*U30/1000,0))</f>
        <v>0</v>
      </c>
      <c r="X30" t="e">
        <f>D30/Y30</f>
        <v>#DIV/0!</v>
      </c>
      <c r="Z30">
        <f>IF(Y30&gt;0,((C30-2*'Data-PC'!$X$5+2*L30)*Y30),0)/1000</f>
        <v>0</v>
      </c>
      <c r="AA30">
        <f>0.006165*W30^2*Z30</f>
        <v>0</v>
      </c>
      <c r="AC30" t="e">
        <f>C30/AD30</f>
        <v>#DIV/0!</v>
      </c>
      <c r="AE30">
        <f>IF(AD30&gt;0,((D30-J30-2*'Data-PC'!$X$5+2*L30)*AD30),0)/1000</f>
        <v>0</v>
      </c>
      <c r="AF30">
        <f>0.006165*AB30^2*AE30</f>
        <v>0</v>
      </c>
      <c r="AH30" t="e">
        <f>D30/AI30</f>
        <v>#DIV/0!</v>
      </c>
      <c r="AJ30">
        <f>IF(AI30&gt;0,((C30-2*'Data-PC'!$X$5+2*M30)*AI30),0)/1000</f>
        <v>0</v>
      </c>
      <c r="AK30">
        <f>0.006165*AG30^2*AJ30</f>
        <v>0</v>
      </c>
      <c r="AM30" t="e">
        <f>C30/AN30</f>
        <v>#DIV/0!</v>
      </c>
      <c r="AO30">
        <f>IF(AN30&gt;0,((D30-J30-2*'Data-PC'!$X$5+2*M30)*AN30),0)/1000</f>
        <v>0</v>
      </c>
      <c r="AP30">
        <f>0.006165*AL30^2*AO30</f>
        <v>0</v>
      </c>
      <c r="AS30">
        <f>2*(E30-2*'Data-PC'!$X$5)+300+2*'Data-PC'!$X$7*AR30</f>
        <v>180</v>
      </c>
      <c r="AT30">
        <f>AQ30*0.006165*AR30^2*AS30/1000</f>
        <v>0</v>
      </c>
      <c r="AW30">
        <f>IF(AV30&gt;0,(M30+2*L30*AU30)/1000*(ROUND((C30-2*'Data-PC'!$X$5)/AV30,0)+1)*(ROUND((D30-2*'Data-PC'!$X$5)/AV30,0)+1),0)</f>
        <v>0</v>
      </c>
      <c r="AX30">
        <f>0.006165*AU30^2*AW30</f>
        <v>0</v>
      </c>
    </row>
    <row r="31">
      <c r="A31">
        <v>17</v>
      </c>
      <c r="F31">
        <v>0</v>
      </c>
      <c r="G31">
        <f>E31</f>
        <v>0</v>
      </c>
      <c r="H31">
        <v>0</v>
      </c>
      <c r="I31">
        <v>0</v>
      </c>
      <c r="J31">
        <v>0</v>
      </c>
      <c r="K31">
        <v>0</v>
      </c>
      <c r="L31">
        <f>M31/2</f>
        <v>-30</v>
      </c>
      <c r="M31">
        <f>E31-2*$X$5</f>
        <v>-60</v>
      </c>
      <c r="N31">
        <f>(C31*D31-1/2*H31*J31*AVERAGE(I31,K31))/1000000</f>
        <v>0</v>
      </c>
      <c r="O31">
        <f>(2*C31-I31*H31+2*D31-K31*J31+(I31+K31)/2*SQRT(H31^2+J31^2))/1000</f>
        <v>0</v>
      </c>
      <c r="P31">
        <f>(((C31+2*X$3+2*X$4)*(D31+2*X$3+2*X$4))-1/2*H31*J31*AVERAGE(I31,K31))/1000000</f>
        <v>0.64</v>
      </c>
      <c r="Q31">
        <f>N31*G31/1000</f>
        <v>0</v>
      </c>
      <c r="R31">
        <f>O31*G31/1000</f>
        <v>0</v>
      </c>
      <c r="V31">
        <f>T31*0.006165*U31^2*(O31-(8+(I31+K31))*'Data-PC'!$X$5/1000+2*MAX(6*U31,75)/1000+IF(O31&gt;12,ROUNDDOWN(O31/12,0)*'Data-PC'!$X$6*U31/1000,0))</f>
        <v>0</v>
      </c>
      <c r="X31" t="e">
        <f>D31/Y31</f>
        <v>#DIV/0!</v>
      </c>
      <c r="Z31">
        <f>IF(Y31&gt;0,((C31-2*'Data-PC'!$X$5+2*L31)*Y31),0)/1000</f>
        <v>0</v>
      </c>
      <c r="AA31">
        <f>0.006165*W31^2*Z31</f>
        <v>0</v>
      </c>
      <c r="AC31" t="e">
        <f>C31/AD31</f>
        <v>#DIV/0!</v>
      </c>
      <c r="AE31">
        <f>IF(AD31&gt;0,((D31-J31-2*'Data-PC'!$X$5+2*L31)*AD31),0)/1000</f>
        <v>0</v>
      </c>
      <c r="AF31">
        <f>0.006165*AB31^2*AE31</f>
        <v>0</v>
      </c>
      <c r="AH31" t="e">
        <f>D31/AI31</f>
        <v>#DIV/0!</v>
      </c>
      <c r="AJ31">
        <f>IF(AI31&gt;0,((C31-2*'Data-PC'!$X$5+2*M31)*AI31),0)/1000</f>
        <v>0</v>
      </c>
      <c r="AK31">
        <f>0.006165*AG31^2*AJ31</f>
        <v>0</v>
      </c>
      <c r="AM31" t="e">
        <f>C31/AN31</f>
        <v>#DIV/0!</v>
      </c>
      <c r="AO31">
        <f>IF(AN31&gt;0,((D31-J31-2*'Data-PC'!$X$5+2*M31)*AN31),0)/1000</f>
        <v>0</v>
      </c>
      <c r="AP31">
        <f>0.006165*AL31^2*AO31</f>
        <v>0</v>
      </c>
      <c r="AS31">
        <f>2*(E31-2*'Data-PC'!$X$5)+300+2*'Data-PC'!$X$7*AR31</f>
        <v>180</v>
      </c>
      <c r="AT31">
        <f>AQ31*0.006165*AR31^2*AS31/1000</f>
        <v>0</v>
      </c>
      <c r="AW31">
        <f>IF(AV31&gt;0,(M31+2*L31*AU31)/1000*(ROUND((C31-2*'Data-PC'!$X$5)/AV31,0)+1)*(ROUND((D31-2*'Data-PC'!$X$5)/AV31,0)+1),0)</f>
        <v>0</v>
      </c>
      <c r="AX31">
        <f>0.006165*AU31^2*AW31</f>
        <v>0</v>
      </c>
    </row>
    <row r="32">
      <c r="A32">
        <v>18</v>
      </c>
      <c r="F32">
        <v>0</v>
      </c>
      <c r="G32">
        <f>E32</f>
        <v>0</v>
      </c>
      <c r="H32">
        <v>0</v>
      </c>
      <c r="I32">
        <v>0</v>
      </c>
      <c r="J32">
        <v>0</v>
      </c>
      <c r="K32">
        <v>0</v>
      </c>
      <c r="L32">
        <f>M32/2</f>
        <v>-30</v>
      </c>
      <c r="M32">
        <f>E32-2*$X$5</f>
        <v>-60</v>
      </c>
      <c r="N32">
        <f>(C32*D32-1/2*H32*J32*AVERAGE(I32,K32))/1000000</f>
        <v>0</v>
      </c>
      <c r="O32">
        <f>(2*C32-I32*H32+2*D32-K32*J32+(I32+K32)/2*SQRT(H32^2+J32^2))/1000</f>
        <v>0</v>
      </c>
      <c r="P32">
        <f>(((C32+2*X$3+2*X$4)*(D32+2*X$3+2*X$4))-1/2*H32*J32*AVERAGE(I32,K32))/1000000</f>
        <v>0.64</v>
      </c>
      <c r="Q32">
        <f>N32*G32/1000</f>
        <v>0</v>
      </c>
      <c r="R32">
        <f>O32*G32/1000</f>
        <v>0</v>
      </c>
      <c r="V32">
        <f>T32*0.006165*U32^2*(O32-(8+(I32+K32))*'Data-PC'!$X$5/1000+2*MAX(6*U32,75)/1000+IF(O32&gt;12,ROUNDDOWN(O32/12,0)*'Data-PC'!$X$6*U32/1000,0))</f>
        <v>0</v>
      </c>
      <c r="X32" t="e">
        <f>D32/Y32</f>
        <v>#DIV/0!</v>
      </c>
      <c r="Z32">
        <f>IF(Y32&gt;0,((C32-2*'Data-PC'!$X$5+2*L32)*Y32),0)/1000</f>
        <v>0</v>
      </c>
      <c r="AA32">
        <f>0.006165*W32^2*Z32</f>
        <v>0</v>
      </c>
      <c r="AC32" t="e">
        <f>C32/AD32</f>
        <v>#DIV/0!</v>
      </c>
      <c r="AE32">
        <f>IF(AD32&gt;0,((D32-J32-2*'Data-PC'!$X$5+2*L32)*AD32),0)/1000</f>
        <v>0</v>
      </c>
      <c r="AF32">
        <f>0.006165*AB32^2*AE32</f>
        <v>0</v>
      </c>
      <c r="AH32" t="e">
        <f>D32/AI32</f>
        <v>#DIV/0!</v>
      </c>
      <c r="AJ32">
        <f>IF(AI32&gt;0,((C32-2*'Data-PC'!$X$5+2*M32)*AI32),0)/1000</f>
        <v>0</v>
      </c>
      <c r="AK32">
        <f>0.006165*AG32^2*AJ32</f>
        <v>0</v>
      </c>
      <c r="AM32" t="e">
        <f>C32/AN32</f>
        <v>#DIV/0!</v>
      </c>
      <c r="AO32">
        <f>IF(AN32&gt;0,((D32-J32-2*'Data-PC'!$X$5+2*M32)*AN32),0)/1000</f>
        <v>0</v>
      </c>
      <c r="AP32">
        <f>0.006165*AL32^2*AO32</f>
        <v>0</v>
      </c>
      <c r="AS32">
        <f>2*(E32-2*'Data-PC'!$X$5)+300+2*'Data-PC'!$X$7*AR32</f>
        <v>180</v>
      </c>
      <c r="AT32">
        <f>AQ32*0.006165*AR32^2*AS32/1000</f>
        <v>0</v>
      </c>
      <c r="AW32">
        <f>IF(AV32&gt;0,(M32+2*L32*AU32)/1000*(ROUND((C32-2*'Data-PC'!$X$5)/AV32,0)+1)*(ROUND((D32-2*'Data-PC'!$X$5)/AV32,0)+1),0)</f>
        <v>0</v>
      </c>
      <c r="AX32">
        <f>0.006165*AU32^2*AW32</f>
        <v>0</v>
      </c>
    </row>
    <row r="33">
      <c r="A33">
        <v>19</v>
      </c>
      <c r="F33">
        <v>0</v>
      </c>
      <c r="G33">
        <f>E33</f>
        <v>0</v>
      </c>
      <c r="H33">
        <v>0</v>
      </c>
      <c r="I33">
        <v>0</v>
      </c>
      <c r="J33">
        <v>0</v>
      </c>
      <c r="K33">
        <v>0</v>
      </c>
      <c r="L33">
        <f>M33/2</f>
        <v>-30</v>
      </c>
      <c r="M33">
        <f>E33-2*$X$5</f>
        <v>-60</v>
      </c>
      <c r="N33">
        <f>(C33*D33-1/2*H33*J33*AVERAGE(I33,K33))/1000000</f>
        <v>0</v>
      </c>
      <c r="O33">
        <f>(2*C33-I33*H33+2*D33-K33*J33+(I33+K33)/2*SQRT(H33^2+J33^2))/1000</f>
        <v>0</v>
      </c>
      <c r="P33">
        <f>(((C33+2*X$3+2*X$4)*(D33+2*X$3+2*X$4))-1/2*H33*J33*AVERAGE(I33,K33))/1000000</f>
        <v>0.64</v>
      </c>
      <c r="Q33">
        <f>N33*G33/1000</f>
        <v>0</v>
      </c>
      <c r="R33">
        <f>O33*G33/1000</f>
        <v>0</v>
      </c>
      <c r="V33">
        <f>T33*0.006165*U33^2*(O33-(8+(I33+K33))*'Data-PC'!$X$5/1000+2*MAX(6*U33,75)/1000+IF(O33&gt;12,ROUNDDOWN(O33/12,0)*'Data-PC'!$X$6*U33/1000,0))</f>
        <v>0</v>
      </c>
      <c r="X33" t="e">
        <f>D33/Y33</f>
        <v>#DIV/0!</v>
      </c>
      <c r="Z33">
        <f>IF(Y33&gt;0,((C33-2*'Data-PC'!$X$5+2*L33)*Y33),0)/1000</f>
        <v>0</v>
      </c>
      <c r="AA33">
        <f>0.006165*W33^2*Z33</f>
        <v>0</v>
      </c>
      <c r="AC33" t="e">
        <f>C33/AD33</f>
        <v>#DIV/0!</v>
      </c>
      <c r="AE33">
        <f>IF(AD33&gt;0,((D33-J33-2*'Data-PC'!$X$5+2*L33)*AD33),0)/1000</f>
        <v>0</v>
      </c>
      <c r="AF33">
        <f>0.006165*AB33^2*AE33</f>
        <v>0</v>
      </c>
      <c r="AH33" t="e">
        <f>D33/AI33</f>
        <v>#DIV/0!</v>
      </c>
      <c r="AJ33">
        <f>IF(AI33&gt;0,((C33-2*'Data-PC'!$X$5+2*M33)*AI33),0)/1000</f>
        <v>0</v>
      </c>
      <c r="AK33">
        <f>0.006165*AG33^2*AJ33</f>
        <v>0</v>
      </c>
      <c r="AM33" t="e">
        <f>C33/AN33</f>
        <v>#DIV/0!</v>
      </c>
      <c r="AO33">
        <f>IF(AN33&gt;0,((D33-J33-2*'Data-PC'!$X$5+2*M33)*AN33),0)/1000</f>
        <v>0</v>
      </c>
      <c r="AP33">
        <f>0.006165*AL33^2*AO33</f>
        <v>0</v>
      </c>
      <c r="AS33">
        <f>2*(E33-2*'Data-PC'!$X$5)+300+2*'Data-PC'!$X$7*AR33</f>
        <v>180</v>
      </c>
      <c r="AT33">
        <f>AQ33*0.006165*AR33^2*AS33/1000</f>
        <v>0</v>
      </c>
      <c r="AW33">
        <f>IF(AV33&gt;0,(M33+2*L33*AU33)/1000*(ROUND((C33-2*'Data-PC'!$X$5)/AV33,0)+1)*(ROUND((D33-2*'Data-PC'!$X$5)/AV33,0)+1),0)</f>
        <v>0</v>
      </c>
      <c r="AX33">
        <f>0.006165*AU33^2*AW33</f>
        <v>0</v>
      </c>
    </row>
    <row r="34">
      <c r="A34">
        <v>20</v>
      </c>
      <c r="F34">
        <v>0</v>
      </c>
      <c r="G34">
        <f>E34</f>
        <v>0</v>
      </c>
      <c r="H34">
        <v>0</v>
      </c>
      <c r="I34">
        <v>0</v>
      </c>
      <c r="J34">
        <v>0</v>
      </c>
      <c r="K34">
        <v>0</v>
      </c>
      <c r="L34">
        <f>M34/2</f>
        <v>-30</v>
      </c>
      <c r="M34">
        <f>E34-2*$X$5</f>
        <v>-60</v>
      </c>
      <c r="N34">
        <f>(C34*D34-1/2*H34*J34*AVERAGE(I34,K34))/1000000</f>
        <v>0</v>
      </c>
      <c r="O34">
        <f>(2*C34-I34*H34+2*D34-K34*J34+(I34+K34)/2*SQRT(H34^2+J34^2))/1000</f>
        <v>0</v>
      </c>
      <c r="P34">
        <f>(((C34+2*X$3+2*X$4)*(D34+2*X$3+2*X$4))-1/2*H34*J34*AVERAGE(I34,K34))/1000000</f>
        <v>0.64</v>
      </c>
      <c r="Q34">
        <f>N34*G34/1000</f>
        <v>0</v>
      </c>
      <c r="R34">
        <f>O34*G34/1000</f>
        <v>0</v>
      </c>
      <c r="V34">
        <f>T34*0.006165*U34^2*(O34-(8+(I34+K34))*'Data-PC'!$X$5/1000+2*MAX(6*U34,75)/1000+IF(O34&gt;12,ROUNDDOWN(O34/12,0)*'Data-PC'!$X$6*U34/1000,0))</f>
        <v>0</v>
      </c>
      <c r="X34" t="e">
        <f>D34/Y34</f>
        <v>#DIV/0!</v>
      </c>
      <c r="Z34">
        <f>IF(Y34&gt;0,((C34-2*'Data-PC'!$X$5+2*L34)*Y34),0)/1000</f>
        <v>0</v>
      </c>
      <c r="AA34">
        <f>0.006165*W34^2*Z34</f>
        <v>0</v>
      </c>
      <c r="AC34" t="e">
        <f>C34/AD34</f>
        <v>#DIV/0!</v>
      </c>
      <c r="AE34">
        <f>IF(AD34&gt;0,((D34-J34-2*'Data-PC'!$X$5+2*L34)*AD34),0)/1000</f>
        <v>0</v>
      </c>
      <c r="AF34">
        <f>0.006165*AB34^2*AE34</f>
        <v>0</v>
      </c>
      <c r="AH34" t="e">
        <f>D34/AI34</f>
        <v>#DIV/0!</v>
      </c>
      <c r="AJ34">
        <f>IF(AI34&gt;0,((C34-2*'Data-PC'!$X$5+2*M34)*AI34),0)/1000</f>
        <v>0</v>
      </c>
      <c r="AK34">
        <f>0.006165*AG34^2*AJ34</f>
        <v>0</v>
      </c>
      <c r="AM34" t="e">
        <f>C34/AN34</f>
        <v>#DIV/0!</v>
      </c>
      <c r="AO34">
        <f>IF(AN34&gt;0,((D34-J34-2*'Data-PC'!$X$5+2*M34)*AN34),0)/1000</f>
        <v>0</v>
      </c>
      <c r="AP34">
        <f>0.006165*AL34^2*AO34</f>
        <v>0</v>
      </c>
      <c r="AS34">
        <f>2*(E34-2*'Data-PC'!$X$5)+300+2*'Data-PC'!$X$7*AR34</f>
        <v>180</v>
      </c>
      <c r="AT34">
        <f>AQ34*0.006165*AR34^2*AS34/1000</f>
        <v>0</v>
      </c>
      <c r="AW34">
        <f>IF(AV34&gt;0,(M34+2*L34*AU34)/1000*(ROUND((C34-2*'Data-PC'!$X$5)/AV34,0)+1)*(ROUND((D34-2*'Data-PC'!$X$5)/AV34,0)+1),0)</f>
        <v>0</v>
      </c>
      <c r="AX34">
        <f>0.006165*AU34^2*AW34</f>
        <v>0</v>
      </c>
    </row>
    <row r="35">
      <c r="A35">
        <v>21</v>
      </c>
      <c r="F35">
        <v>0</v>
      </c>
      <c r="G35">
        <f>E35</f>
        <v>0</v>
      </c>
      <c r="H35">
        <v>0</v>
      </c>
      <c r="I35">
        <v>0</v>
      </c>
      <c r="J35">
        <v>0</v>
      </c>
      <c r="K35">
        <v>0</v>
      </c>
      <c r="L35">
        <f>M35/2</f>
        <v>-30</v>
      </c>
      <c r="M35">
        <f>E35-2*$X$5</f>
        <v>-60</v>
      </c>
      <c r="N35">
        <f>(C35*D35-1/2*H35*J35*AVERAGE(I35,K35))/1000000</f>
        <v>0</v>
      </c>
      <c r="O35">
        <f>(2*C35-I35*H35+2*D35-K35*J35+(I35+K35)/2*SQRT(H35^2+J35^2))/1000</f>
        <v>0</v>
      </c>
      <c r="P35">
        <f>(((C35+2*X$3+2*X$4)*(D35+2*X$3+2*X$4))-1/2*H35*J35*AVERAGE(I35,K35))/1000000</f>
        <v>0.64</v>
      </c>
      <c r="Q35">
        <f>N35*G35/1000</f>
        <v>0</v>
      </c>
      <c r="R35">
        <f>O35*G35/1000</f>
        <v>0</v>
      </c>
      <c r="V35">
        <f>T35*0.006165*U35^2*(O35-(8+(I35+K35))*'Data-PC'!$X$5/1000+2*MAX(6*U35,75)/1000+IF(O35&gt;12,ROUNDDOWN(O35/12,0)*'Data-PC'!$X$6*U35/1000,0))</f>
        <v>0</v>
      </c>
      <c r="X35" t="e">
        <f>D35/Y35</f>
        <v>#DIV/0!</v>
      </c>
      <c r="Z35">
        <f>IF(Y35&gt;0,((C35-2*'Data-PC'!$X$5+2*L35)*Y35),0)/1000</f>
        <v>0</v>
      </c>
      <c r="AA35">
        <f>0.006165*W35^2*Z35</f>
        <v>0</v>
      </c>
      <c r="AC35" t="e">
        <f>C35/AD35</f>
        <v>#DIV/0!</v>
      </c>
      <c r="AE35">
        <f>IF(AD35&gt;0,((D35-J35-2*'Data-PC'!$X$5+2*L35)*AD35),0)/1000</f>
        <v>0</v>
      </c>
      <c r="AF35">
        <f>0.006165*AB35^2*AE35</f>
        <v>0</v>
      </c>
      <c r="AH35" t="e">
        <f>D35/AI35</f>
        <v>#DIV/0!</v>
      </c>
      <c r="AJ35">
        <f>IF(AI35&gt;0,((C35-2*'Data-PC'!$X$5+2*M35)*AI35),0)/1000</f>
        <v>0</v>
      </c>
      <c r="AK35">
        <f>0.006165*AG35^2*AJ35</f>
        <v>0</v>
      </c>
      <c r="AM35" t="e">
        <f>C35/AN35</f>
        <v>#DIV/0!</v>
      </c>
      <c r="AO35">
        <f>IF(AN35&gt;0,((D35-J35-2*'Data-PC'!$X$5+2*M35)*AN35),0)/1000</f>
        <v>0</v>
      </c>
      <c r="AP35">
        <f>0.006165*AL35^2*AO35</f>
        <v>0</v>
      </c>
      <c r="AS35">
        <f>2*(E35-2*'Data-PC'!$X$5)+300+2*'Data-PC'!$X$7*AR35</f>
        <v>180</v>
      </c>
      <c r="AT35">
        <f>AQ35*0.006165*AR35^2*AS35/1000</f>
        <v>0</v>
      </c>
      <c r="AW35">
        <f>IF(AV35&gt;0,(M35+2*L35*AU35)/1000*(ROUND((C35-2*'Data-PC'!$X$5)/AV35,0)+1)*(ROUND((D35-2*'Data-PC'!$X$5)/AV35,0)+1),0)</f>
        <v>0</v>
      </c>
      <c r="AX35">
        <f>0.006165*AU35^2*AW35</f>
        <v>0</v>
      </c>
    </row>
    <row r="36">
      <c r="A36">
        <v>22</v>
      </c>
      <c r="F36">
        <v>0</v>
      </c>
      <c r="G36">
        <f>E36</f>
        <v>0</v>
      </c>
      <c r="H36">
        <v>0</v>
      </c>
      <c r="I36">
        <v>0</v>
      </c>
      <c r="J36">
        <v>0</v>
      </c>
      <c r="K36">
        <v>0</v>
      </c>
      <c r="L36">
        <f>M36/2</f>
        <v>-30</v>
      </c>
      <c r="M36">
        <f>E36-2*$X$5</f>
        <v>-60</v>
      </c>
      <c r="N36">
        <f>(C36*D36-1/2*H36*J36*AVERAGE(I36,K36))/1000000</f>
        <v>0</v>
      </c>
      <c r="O36">
        <f>(2*C36-I36*H36+2*D36-K36*J36+(I36+K36)/2*SQRT(H36^2+J36^2))/1000</f>
        <v>0</v>
      </c>
      <c r="P36">
        <f>(((C36+2*X$3+2*X$4)*(D36+2*X$3+2*X$4))-1/2*H36*J36*AVERAGE(I36,K36))/1000000</f>
        <v>0.64</v>
      </c>
      <c r="Q36">
        <f>N36*G36/1000</f>
        <v>0</v>
      </c>
      <c r="R36">
        <f>O36*G36/1000</f>
        <v>0</v>
      </c>
      <c r="V36">
        <f>T36*0.006165*U36^2*(O36-(8+(I36+K36))*'Data-PC'!$X$5/1000+2*MAX(6*U36,75)/1000+IF(O36&gt;12,ROUNDDOWN(O36/12,0)*'Data-PC'!$X$6*U36/1000,0))</f>
        <v>0</v>
      </c>
      <c r="X36" t="e">
        <f>D36/Y36</f>
        <v>#DIV/0!</v>
      </c>
      <c r="Z36">
        <f>IF(Y36&gt;0,((C36-2*'Data-PC'!$X$5+2*L36)*Y36),0)/1000</f>
        <v>0</v>
      </c>
      <c r="AA36">
        <f>0.006165*W36^2*Z36</f>
        <v>0</v>
      </c>
      <c r="AC36" t="e">
        <f>C36/AD36</f>
        <v>#DIV/0!</v>
      </c>
      <c r="AE36">
        <f>IF(AD36&gt;0,((D36-J36-2*'Data-PC'!$X$5+2*L36)*AD36),0)/1000</f>
        <v>0</v>
      </c>
      <c r="AF36">
        <f>0.006165*AB36^2*AE36</f>
        <v>0</v>
      </c>
      <c r="AH36" t="e">
        <f>D36/AI36</f>
        <v>#DIV/0!</v>
      </c>
      <c r="AJ36">
        <f>IF(AI36&gt;0,((C36-2*'Data-PC'!$X$5+2*M36)*AI36),0)/1000</f>
        <v>0</v>
      </c>
      <c r="AK36">
        <f>0.006165*AG36^2*AJ36</f>
        <v>0</v>
      </c>
      <c r="AM36" t="e">
        <f>C36/AN36</f>
        <v>#DIV/0!</v>
      </c>
      <c r="AO36">
        <f>IF(AN36&gt;0,((D36-J36-2*'Data-PC'!$X$5+2*M36)*AN36),0)/1000</f>
        <v>0</v>
      </c>
      <c r="AP36">
        <f>0.006165*AL36^2*AO36</f>
        <v>0</v>
      </c>
      <c r="AS36">
        <f>2*(E36-2*'Data-PC'!$X$5)+300+2*'Data-PC'!$X$7*AR36</f>
        <v>180</v>
      </c>
      <c r="AT36">
        <f>AQ36*0.006165*AR36^2*AS36/1000</f>
        <v>0</v>
      </c>
      <c r="AW36">
        <f>IF(AV36&gt;0,(M36+2*L36*AU36)/1000*(ROUND((C36-2*'Data-PC'!$X$5)/AV36,0)+1)*(ROUND((D36-2*'Data-PC'!$X$5)/AV36,0)+1),0)</f>
        <v>0</v>
      </c>
      <c r="AX36">
        <f>0.006165*AU36^2*AW36</f>
        <v>0</v>
      </c>
    </row>
    <row r="37">
      <c r="A37">
        <v>23</v>
      </c>
      <c r="F37">
        <v>0</v>
      </c>
      <c r="G37">
        <f>E37</f>
        <v>0</v>
      </c>
      <c r="H37">
        <v>0</v>
      </c>
      <c r="I37">
        <v>0</v>
      </c>
      <c r="J37">
        <v>0</v>
      </c>
      <c r="K37">
        <v>0</v>
      </c>
      <c r="L37">
        <f>M37/2</f>
        <v>-30</v>
      </c>
      <c r="M37">
        <f>E37-2*$X$5</f>
        <v>-60</v>
      </c>
      <c r="N37">
        <f>(C37*D37-1/2*H37*J37*AVERAGE(I37,K37))/1000000</f>
        <v>0</v>
      </c>
      <c r="O37">
        <f>(2*C37-I37*H37+2*D37-K37*J37+(I37+K37)/2*SQRT(H37^2+J37^2))/1000</f>
        <v>0</v>
      </c>
      <c r="P37">
        <f>(((C37+2*X$3+2*X$4)*(D37+2*X$3+2*X$4))-1/2*H37*J37*AVERAGE(I37,K37))/1000000</f>
        <v>0.64</v>
      </c>
      <c r="Q37">
        <f>N37*G37/1000</f>
        <v>0</v>
      </c>
      <c r="R37">
        <f>O37*G37/1000</f>
        <v>0</v>
      </c>
      <c r="V37">
        <f>T37*0.006165*U37^2*(O37-(8+(I37+K37))*'Data-PC'!$X$5/1000+2*MAX(6*U37,75)/1000+IF(O37&gt;12,ROUNDDOWN(O37/12,0)*'Data-PC'!$X$6*U37/1000,0))</f>
        <v>0</v>
      </c>
      <c r="X37" t="e">
        <f>D37/Y37</f>
        <v>#DIV/0!</v>
      </c>
      <c r="Z37">
        <f>IF(Y37&gt;0,((C37-2*'Data-PC'!$X$5+2*L37)*Y37),0)/1000</f>
        <v>0</v>
      </c>
      <c r="AA37">
        <f>0.006165*W37^2*Z37</f>
        <v>0</v>
      </c>
      <c r="AC37" t="e">
        <f>C37/AD37</f>
        <v>#DIV/0!</v>
      </c>
      <c r="AE37">
        <f>IF(AD37&gt;0,((D37-J37-2*'Data-PC'!$X$5+2*L37)*AD37),0)/1000</f>
        <v>0</v>
      </c>
      <c r="AF37">
        <f>0.006165*AB37^2*AE37</f>
        <v>0</v>
      </c>
      <c r="AH37" t="e">
        <f>D37/AI37</f>
        <v>#DIV/0!</v>
      </c>
      <c r="AJ37">
        <f>IF(AI37&gt;0,((C37-2*'Data-PC'!$X$5+2*M37)*AI37),0)/1000</f>
        <v>0</v>
      </c>
      <c r="AK37">
        <f>0.006165*AG37^2*AJ37</f>
        <v>0</v>
      </c>
      <c r="AM37" t="e">
        <f>C37/AN37</f>
        <v>#DIV/0!</v>
      </c>
      <c r="AO37">
        <f>IF(AN37&gt;0,((D37-J37-2*'Data-PC'!$X$5+2*M37)*AN37),0)/1000</f>
        <v>0</v>
      </c>
      <c r="AP37">
        <f>0.006165*AL37^2*AO37</f>
        <v>0</v>
      </c>
      <c r="AS37">
        <f>2*(E37-2*'Data-PC'!$X$5)+300+2*'Data-PC'!$X$7*AR37</f>
        <v>180</v>
      </c>
      <c r="AT37">
        <f>AQ37*0.006165*AR37^2*AS37/1000</f>
        <v>0</v>
      </c>
      <c r="AW37">
        <f>IF(AV37&gt;0,(M37+2*L37*AU37)/1000*(ROUND((C37-2*'Data-PC'!$X$5)/AV37,0)+1)*(ROUND((D37-2*'Data-PC'!$X$5)/AV37,0)+1),0)</f>
        <v>0</v>
      </c>
      <c r="AX37">
        <f>0.006165*AU37^2*AW37</f>
        <v>0</v>
      </c>
    </row>
    <row r="38">
      <c r="A38">
        <v>24</v>
      </c>
      <c r="F38">
        <v>0</v>
      </c>
      <c r="G38">
        <f>E38</f>
        <v>0</v>
      </c>
      <c r="H38">
        <v>0</v>
      </c>
      <c r="I38">
        <v>0</v>
      </c>
      <c r="J38">
        <v>0</v>
      </c>
      <c r="K38">
        <v>0</v>
      </c>
      <c r="L38">
        <f>M38/2</f>
        <v>-30</v>
      </c>
      <c r="M38">
        <f>E38-2*$X$5</f>
        <v>-60</v>
      </c>
      <c r="N38">
        <f>(C38*D38-1/2*H38*J38*AVERAGE(I38,K38))/1000000</f>
        <v>0</v>
      </c>
      <c r="O38">
        <f>(2*C38-I38*H38+2*D38-K38*J38+(I38+K38)/2*SQRT(H38^2+J38^2))/1000</f>
        <v>0</v>
      </c>
      <c r="P38">
        <f>(((C38+2*X$3+2*X$4)*(D38+2*X$3+2*X$4))-1/2*H38*J38*AVERAGE(I38,K38))/1000000</f>
        <v>0.64</v>
      </c>
      <c r="Q38">
        <f>N38*G38/1000</f>
        <v>0</v>
      </c>
      <c r="R38">
        <f>O38*G38/1000</f>
        <v>0</v>
      </c>
      <c r="V38">
        <f>T38*0.006165*U38^2*(O38-(8+(I38+K38))*'Data-PC'!$X$5/1000+2*MAX(6*U38,75)/1000+IF(O38&gt;12,ROUNDDOWN(O38/12,0)*'Data-PC'!$X$6*U38/1000,0))</f>
        <v>0</v>
      </c>
      <c r="X38" t="e">
        <f>D38/Y38</f>
        <v>#DIV/0!</v>
      </c>
      <c r="Z38">
        <f>IF(Y38&gt;0,((C38-2*'Data-PC'!$X$5+2*L38)*Y38),0)/1000</f>
        <v>0</v>
      </c>
      <c r="AA38">
        <f>0.006165*W38^2*Z38</f>
        <v>0</v>
      </c>
      <c r="AC38" t="e">
        <f>C38/AD38</f>
        <v>#DIV/0!</v>
      </c>
      <c r="AE38">
        <f>IF(AD38&gt;0,((D38-J38-2*'Data-PC'!$X$5+2*L38)*AD38),0)/1000</f>
        <v>0</v>
      </c>
      <c r="AF38">
        <f>0.006165*AB38^2*AE38</f>
        <v>0</v>
      </c>
      <c r="AH38" t="e">
        <f>D38/AI38</f>
        <v>#DIV/0!</v>
      </c>
      <c r="AJ38">
        <f>IF(AI38&gt;0,((C38-2*'Data-PC'!$X$5+2*M38)*AI38),0)/1000</f>
        <v>0</v>
      </c>
      <c r="AK38">
        <f>0.006165*AG38^2*AJ38</f>
        <v>0</v>
      </c>
      <c r="AM38" t="e">
        <f>C38/AN38</f>
        <v>#DIV/0!</v>
      </c>
      <c r="AO38">
        <f>IF(AN38&gt;0,((D38-J38-2*'Data-PC'!$X$5+2*M38)*AN38),0)/1000</f>
        <v>0</v>
      </c>
      <c r="AP38">
        <f>0.006165*AL38^2*AO38</f>
        <v>0</v>
      </c>
      <c r="AS38">
        <f>2*(E38-2*'Data-PC'!$X$5)+300+2*'Data-PC'!$X$7*AR38</f>
        <v>180</v>
      </c>
      <c r="AT38">
        <f>AQ38*0.006165*AR38^2*AS38/1000</f>
        <v>0</v>
      </c>
      <c r="AW38">
        <f>IF(AV38&gt;0,(M38+2*L38*AU38)/1000*(ROUND((C38-2*'Data-PC'!$X$5)/AV38,0)+1)*(ROUND((D38-2*'Data-PC'!$X$5)/AV38,0)+1),0)</f>
        <v>0</v>
      </c>
      <c r="AX38">
        <f>0.006165*AU38^2*AW38</f>
        <v>0</v>
      </c>
    </row>
    <row r="39">
      <c r="A39">
        <v>25</v>
      </c>
      <c r="F39">
        <v>0</v>
      </c>
      <c r="G39">
        <f>E39</f>
        <v>0</v>
      </c>
      <c r="H39">
        <v>0</v>
      </c>
      <c r="I39">
        <v>0</v>
      </c>
      <c r="J39">
        <v>0</v>
      </c>
      <c r="K39">
        <v>0</v>
      </c>
      <c r="L39">
        <f>M39/2</f>
        <v>-30</v>
      </c>
      <c r="M39">
        <f>E39-2*$X$5</f>
        <v>-60</v>
      </c>
      <c r="N39">
        <f>(C39*D39-1/2*H39*J39*AVERAGE(I39,K39))/1000000</f>
        <v>0</v>
      </c>
      <c r="O39">
        <f>(2*C39-I39*H39+2*D39-K39*J39+(I39+K39)/2*SQRT(H39^2+J39^2))/1000</f>
        <v>0</v>
      </c>
      <c r="P39">
        <f>(((C39+2*X$3+2*X$4)*(D39+2*X$3+2*X$4))-1/2*H39*J39*AVERAGE(I39,K39))/1000000</f>
        <v>0.64</v>
      </c>
      <c r="Q39">
        <f>N39*G39/1000</f>
        <v>0</v>
      </c>
      <c r="R39">
        <f>O39*G39/1000</f>
        <v>0</v>
      </c>
      <c r="V39">
        <f>T39*0.006165*U39^2*(O39-(8+(I39+K39))*'Data-PC'!$X$5/1000+2*MAX(6*U39,75)/1000+IF(O39&gt;12,ROUNDDOWN(O39/12,0)*'Data-PC'!$X$6*U39/1000,0))</f>
        <v>0</v>
      </c>
      <c r="X39" t="e">
        <f>D39/Y39</f>
        <v>#DIV/0!</v>
      </c>
      <c r="Z39">
        <f>IF(Y39&gt;0,((C39-2*'Data-PC'!$X$5+2*L39)*Y39),0)/1000</f>
        <v>0</v>
      </c>
      <c r="AA39">
        <f>0.006165*W39^2*Z39</f>
        <v>0</v>
      </c>
      <c r="AC39" t="e">
        <f>C39/AD39</f>
        <v>#DIV/0!</v>
      </c>
      <c r="AE39">
        <f>IF(AD39&gt;0,((D39-J39-2*'Data-PC'!$X$5+2*L39)*AD39),0)/1000</f>
        <v>0</v>
      </c>
      <c r="AF39">
        <f>0.006165*AB39^2*AE39</f>
        <v>0</v>
      </c>
      <c r="AH39" t="e">
        <f>D39/AI39</f>
        <v>#DIV/0!</v>
      </c>
      <c r="AJ39">
        <f>IF(AI39&gt;0,((C39-2*'Data-PC'!$X$5+2*M39)*AI39),0)/1000</f>
        <v>0</v>
      </c>
      <c r="AK39">
        <f>0.006165*AG39^2*AJ39</f>
        <v>0</v>
      </c>
      <c r="AM39" t="e">
        <f>C39/AN39</f>
        <v>#DIV/0!</v>
      </c>
      <c r="AO39">
        <f>IF(AN39&gt;0,((D39-J39-2*'Data-PC'!$X$5+2*M39)*AN39),0)/1000</f>
        <v>0</v>
      </c>
      <c r="AP39">
        <f>0.006165*AL39^2*AO39</f>
        <v>0</v>
      </c>
      <c r="AS39">
        <f>2*(E39-2*'Data-PC'!$X$5)+300+2*'Data-PC'!$X$7*AR39</f>
        <v>180</v>
      </c>
      <c r="AT39">
        <f>AQ39*0.006165*AR39^2*AS39/1000</f>
        <v>0</v>
      </c>
      <c r="AW39">
        <f>IF(AV39&gt;0,(M39+2*L39*AU39)/1000*(ROUND((C39-2*'Data-PC'!$X$5)/AV39,0)+1)*(ROUND((D39-2*'Data-PC'!$X$5)/AV39,0)+1),0)</f>
        <v>0</v>
      </c>
      <c r="AX39">
        <f>0.006165*AU39^2*AW39</f>
        <v>0</v>
      </c>
    </row>
    <row r="40">
      <c r="A40">
        <v>26</v>
      </c>
      <c r="F40">
        <v>0</v>
      </c>
      <c r="G40">
        <f>E40</f>
        <v>0</v>
      </c>
      <c r="H40">
        <v>0</v>
      </c>
      <c r="I40">
        <v>0</v>
      </c>
      <c r="J40">
        <v>0</v>
      </c>
      <c r="K40">
        <v>0</v>
      </c>
      <c r="L40">
        <f>M40/2</f>
        <v>-30</v>
      </c>
      <c r="M40">
        <f>E40-2*$X$5</f>
        <v>-60</v>
      </c>
      <c r="N40">
        <f>(C40*D40-1/2*H40*J40*AVERAGE(I40,K40))/1000000</f>
        <v>0</v>
      </c>
      <c r="O40">
        <f>(2*C40-I40*H40+2*D40-K40*J40+(I40+K40)/2*SQRT(H40^2+J40^2))/1000</f>
        <v>0</v>
      </c>
      <c r="P40">
        <f>(((C40+2*X$3+2*X$4)*(D40+2*X$3+2*X$4))-1/2*H40*J40*AVERAGE(I40,K40))/1000000</f>
        <v>0.64</v>
      </c>
      <c r="Q40">
        <f>N40*G40/1000</f>
        <v>0</v>
      </c>
      <c r="R40">
        <f>O40*G40/1000</f>
        <v>0</v>
      </c>
      <c r="V40">
        <f>T40*0.006165*U40^2*(O40-(8+(I40+K40))*'Data-PC'!$X$5/1000+2*MAX(6*U40,75)/1000+IF(O40&gt;12,ROUNDDOWN(O40/12,0)*'Data-PC'!$X$6*U40/1000,0))</f>
        <v>0</v>
      </c>
      <c r="X40" t="e">
        <f>D40/Y40</f>
        <v>#DIV/0!</v>
      </c>
      <c r="Z40">
        <f>IF(Y40&gt;0,((C40-2*'Data-PC'!$X$5+2*L40)*Y40),0)/1000</f>
        <v>0</v>
      </c>
      <c r="AA40">
        <f>0.006165*W40^2*Z40</f>
        <v>0</v>
      </c>
      <c r="AC40" t="e">
        <f>C40/AD40</f>
        <v>#DIV/0!</v>
      </c>
      <c r="AE40">
        <f>IF(AD40&gt;0,((D40-J40-2*'Data-PC'!$X$5+2*L40)*AD40),0)/1000</f>
        <v>0</v>
      </c>
      <c r="AF40">
        <f>0.006165*AB40^2*AE40</f>
        <v>0</v>
      </c>
      <c r="AH40" t="e">
        <f>D40/AI40</f>
        <v>#DIV/0!</v>
      </c>
      <c r="AJ40">
        <f>IF(AI40&gt;0,((C40-2*'Data-PC'!$X$5+2*M40)*AI40),0)/1000</f>
        <v>0</v>
      </c>
      <c r="AK40">
        <f>0.006165*AG40^2*AJ40</f>
        <v>0</v>
      </c>
      <c r="AM40" t="e">
        <f>C40/AN40</f>
        <v>#DIV/0!</v>
      </c>
      <c r="AO40">
        <f>IF(AN40&gt;0,((D40-J40-2*'Data-PC'!$X$5+2*M40)*AN40),0)/1000</f>
        <v>0</v>
      </c>
      <c r="AP40">
        <f>0.006165*AL40^2*AO40</f>
        <v>0</v>
      </c>
      <c r="AS40">
        <f>2*(E40-2*'Data-PC'!$X$5)+300+2*'Data-PC'!$X$7*AR40</f>
        <v>180</v>
      </c>
      <c r="AT40">
        <f>AQ40*0.006165*AR40^2*AS40/1000</f>
        <v>0</v>
      </c>
      <c r="AW40">
        <f>IF(AV40&gt;0,(M40+2*L40*AU40)/1000*(ROUND((C40-2*'Data-PC'!$X$5)/AV40,0)+1)*(ROUND((D40-2*'Data-PC'!$X$5)/AV40,0)+1),0)</f>
        <v>0</v>
      </c>
      <c r="AX40">
        <f>0.006165*AU40^2*AW40</f>
        <v>0</v>
      </c>
    </row>
    <row r="41">
      <c r="A41">
        <v>27</v>
      </c>
      <c r="F41">
        <v>0</v>
      </c>
      <c r="G41">
        <f>E41</f>
        <v>0</v>
      </c>
      <c r="H41">
        <v>0</v>
      </c>
      <c r="I41">
        <v>0</v>
      </c>
      <c r="J41">
        <v>0</v>
      </c>
      <c r="K41">
        <v>0</v>
      </c>
      <c r="L41">
        <f>M41/2</f>
        <v>-30</v>
      </c>
      <c r="M41">
        <f>E41-2*$X$5</f>
        <v>-60</v>
      </c>
      <c r="N41">
        <f>(C41*D41-1/2*H41*J41*AVERAGE(I41,K41))/1000000</f>
        <v>0</v>
      </c>
      <c r="O41">
        <f>(2*C41-I41*H41+2*D41-K41*J41+(I41+K41)/2*SQRT(H41^2+J41^2))/1000</f>
        <v>0</v>
      </c>
      <c r="Q41">
        <f>N41*G41/1000</f>
        <v>0</v>
      </c>
      <c r="R41">
        <f>O41*G41/1000</f>
        <v>0</v>
      </c>
      <c r="V41">
        <f>T41*0.006165*U41^2*(O41-(8+(I41+K41))*'Data-PC'!$X$5/1000+2*MAX(6*U41,75)/1000+IF(O41&gt;12,ROUNDDOWN(O41/12,0)*'Data-PC'!$X$6*U41/1000,0))</f>
        <v>0</v>
      </c>
      <c r="Z41">
        <f>IF(Y41&gt;0,((C41-2*'Data-PC'!$X$5+2*L41)*Y41),0)/1000</f>
        <v>0</v>
      </c>
      <c r="AA41">
        <f>0.006165*W41^2*Z41</f>
        <v>0</v>
      </c>
      <c r="AE41">
        <f>IF(AD41&gt;0,((D41-J41-2*'Data-PC'!$X$5+2*L41)*AD41),0)/1000</f>
        <v>0</v>
      </c>
      <c r="AF41">
        <f>0.006165*AB41^2*AE41</f>
        <v>0</v>
      </c>
      <c r="AJ41">
        <f>IF(AI41&gt;0,((C41-2*'Data-PC'!$X$5+2*M41)*AI41),0)/1000</f>
        <v>0</v>
      </c>
      <c r="AK41">
        <f>0.006165*AG41^2*AJ41</f>
        <v>0</v>
      </c>
      <c r="AO41">
        <f>IF(AN41&gt;0,((D41-J41-2*'Data-PC'!$X$5+2*M41)*AN41),0)/1000</f>
        <v>0</v>
      </c>
      <c r="AP41">
        <f>0.006165*AL41^2*AO41</f>
        <v>0</v>
      </c>
      <c r="AS41">
        <f>2*(E41-2*'Data-PC'!$X$5)+300+2*'Data-PC'!$X$7*AR41</f>
        <v>180</v>
      </c>
      <c r="AT41">
        <f>AQ41*0.006165*AR41^2*AS41/1000</f>
        <v>0</v>
      </c>
      <c r="AW41">
        <f>IF(AV41&gt;0,(M41+2*L41*AU41)/1000*(ROUND((C41-2*'Data-PC'!$X$5)/AV41,0)+1)*(ROUND((D41-2*'Data-PC'!$X$5)/AV41,0)+1),0)</f>
        <v>0</v>
      </c>
      <c r="AX41">
        <f>0.006165*AU41^2*AW41</f>
        <v>0</v>
      </c>
    </row>
    <row r="42">
      <c r="A42">
        <v>28</v>
      </c>
      <c r="F42">
        <v>0</v>
      </c>
      <c r="G42">
        <f>E42</f>
        <v>0</v>
      </c>
      <c r="H42">
        <v>0</v>
      </c>
      <c r="I42">
        <v>0</v>
      </c>
      <c r="J42">
        <v>0</v>
      </c>
      <c r="K42">
        <v>0</v>
      </c>
      <c r="L42">
        <f>M42/2</f>
        <v>-30</v>
      </c>
      <c r="M42">
        <f>E42-2*$X$5</f>
        <v>-60</v>
      </c>
      <c r="N42">
        <f>(C42*D42-1/2*H42*J42*AVERAGE(I42,K42))/1000000</f>
        <v>0</v>
      </c>
      <c r="O42">
        <f>(2*C42-I42*H42+2*D42-K42*J42+(I42+K42)/2*SQRT(H42^2+J42^2))/1000</f>
        <v>0</v>
      </c>
      <c r="Q42">
        <f>N42*G42/1000</f>
        <v>0</v>
      </c>
      <c r="R42">
        <f>O42*G42/1000</f>
        <v>0</v>
      </c>
      <c r="V42">
        <f>T42*0.006165*U42^2*(O42-(8+(I42+K42))*'Data-PC'!$X$5/1000+2*MAX(6*U42,75)/1000+IF(O42&gt;12,ROUNDDOWN(O42/12,0)*'Data-PC'!$X$6*U42/1000,0))</f>
        <v>0</v>
      </c>
      <c r="Z42">
        <f>IF(Y42&gt;0,((C42-2*'Data-PC'!$X$5+2*L42)*Y42),0)/1000</f>
        <v>0</v>
      </c>
      <c r="AA42">
        <f>0.006165*W42^2*Z42</f>
        <v>0</v>
      </c>
      <c r="AE42">
        <f>IF(AD42&gt;0,((D42-J42-2*'Data-PC'!$X$5+2*L42)*AD42),0)/1000</f>
        <v>0</v>
      </c>
      <c r="AF42">
        <f>0.006165*AB42^2*AE42</f>
        <v>0</v>
      </c>
      <c r="AJ42">
        <f>IF(AI42&gt;0,((C42-2*'Data-PC'!$X$5+2*M42)*AI42),0)/1000</f>
        <v>0</v>
      </c>
      <c r="AK42">
        <f>0.006165*AG42^2*AJ42</f>
        <v>0</v>
      </c>
      <c r="AO42">
        <f>IF(AN42&gt;0,((D42-J42-2*'Data-PC'!$X$5+2*M42)*AN42),0)/1000</f>
        <v>0</v>
      </c>
      <c r="AP42">
        <f>0.006165*AL42^2*AO42</f>
        <v>0</v>
      </c>
      <c r="AS42">
        <f>2*(E42-2*'Data-PC'!$X$5)+300+2*'Data-PC'!$X$7*AR42</f>
        <v>180</v>
      </c>
      <c r="AT42">
        <f>AQ42*0.006165*AR42^2*AS42/1000</f>
        <v>0</v>
      </c>
      <c r="AW42">
        <f>IF(AV42&gt;0,(M42+2*L42*AU42)/1000*(ROUND((C42-2*'Data-PC'!$X$5)/AV42,0)+1)*(ROUND((D42-2*'Data-PC'!$X$5)/AV42,0)+1),0)</f>
        <v>0</v>
      </c>
      <c r="AX42">
        <f>0.006165*AU42^2*AW42</f>
        <v>0</v>
      </c>
    </row>
    <row r="43">
      <c r="A43">
        <v>29</v>
      </c>
      <c r="F43">
        <v>0</v>
      </c>
      <c r="G43">
        <f>E43</f>
        <v>0</v>
      </c>
      <c r="H43">
        <v>0</v>
      </c>
      <c r="I43">
        <v>0</v>
      </c>
      <c r="J43">
        <v>0</v>
      </c>
      <c r="K43">
        <v>0</v>
      </c>
      <c r="L43">
        <f>M43/2</f>
        <v>-30</v>
      </c>
      <c r="M43">
        <f>E43-2*$X$5</f>
        <v>-60</v>
      </c>
      <c r="N43">
        <f>(C43*D43-1/2*H43*J43*AVERAGE(I43,K43))/1000000</f>
        <v>0</v>
      </c>
      <c r="O43">
        <f>(2*C43-I43*H43+2*D43-K43*J43+(I43+K43)/2*SQRT(H43^2+J43^2))/1000</f>
        <v>0</v>
      </c>
      <c r="Q43">
        <f>N43*G43/1000</f>
        <v>0</v>
      </c>
      <c r="R43">
        <f>O43*G43/1000</f>
        <v>0</v>
      </c>
      <c r="V43">
        <f>T43*0.006165*U43^2*(O43-(8+(I43+K43))*'Data-PC'!$X$5/1000+2*MAX(6*U43,75)/1000+IF(O43&gt;12,ROUNDDOWN(O43/12,0)*'Data-PC'!$X$6*U43/1000,0))</f>
        <v>0</v>
      </c>
      <c r="Z43">
        <f>IF(Y43&gt;0,((C43-2*'Data-PC'!$X$5+2*L43)*Y43),0)/1000</f>
        <v>0</v>
      </c>
      <c r="AA43">
        <f>0.006165*W43^2*Z43</f>
        <v>0</v>
      </c>
      <c r="AE43">
        <f>IF(AD43&gt;0,((D43-J43-2*'Data-PC'!$X$5+2*L43)*AD43),0)/1000</f>
        <v>0</v>
      </c>
      <c r="AF43">
        <f>0.006165*AB43^2*AE43</f>
        <v>0</v>
      </c>
      <c r="AJ43">
        <f>IF(AI43&gt;0,((C43-2*'Data-PC'!$X$5+2*M43)*AI43),0)/1000</f>
        <v>0</v>
      </c>
      <c r="AK43">
        <f>0.006165*AG43^2*AJ43</f>
        <v>0</v>
      </c>
      <c r="AO43">
        <f>IF(AN43&gt;0,((D43-J43-2*'Data-PC'!$X$5+2*M43)*AN43),0)/1000</f>
        <v>0</v>
      </c>
      <c r="AP43">
        <f>0.006165*AL43^2*AO43</f>
        <v>0</v>
      </c>
      <c r="AS43">
        <f>2*(E43-2*'Data-PC'!$X$5)+300+2*'Data-PC'!$X$7*AR43</f>
        <v>180</v>
      </c>
      <c r="AT43">
        <f>AQ43*0.006165*AR43^2*AS43/1000</f>
        <v>0</v>
      </c>
      <c r="AW43">
        <f>IF(AV43&gt;0,(M43+2*L43*AU43)/1000*(ROUND((C43-2*'Data-PC'!$X$5)/AV43,0)+1)*(ROUND((D43-2*'Data-PC'!$X$5)/AV43,0)+1),0)</f>
        <v>0</v>
      </c>
      <c r="AX43">
        <f>0.006165*AU43^2*AW43</f>
        <v>0</v>
      </c>
    </row>
    <row r="44">
      <c r="A44">
        <v>30</v>
      </c>
      <c r="F44">
        <v>0</v>
      </c>
      <c r="G44">
        <f>E44</f>
        <v>0</v>
      </c>
      <c r="H44">
        <v>0</v>
      </c>
      <c r="I44">
        <v>0</v>
      </c>
      <c r="J44">
        <v>0</v>
      </c>
      <c r="K44">
        <v>0</v>
      </c>
      <c r="L44">
        <f>M44/2</f>
        <v>-30</v>
      </c>
      <c r="M44">
        <f>E44-2*$X$5</f>
        <v>-60</v>
      </c>
      <c r="N44">
        <f>(C44*D44-1/2*H44*J44*AVERAGE(I44,K44))/1000000</f>
        <v>0</v>
      </c>
      <c r="O44">
        <f>(2*C44-I44*H44+2*D44-K44*J44+(I44+K44)/2*SQRT(H44^2+J44^2))/1000</f>
        <v>0</v>
      </c>
      <c r="Q44">
        <f>N44*G44/1000</f>
        <v>0</v>
      </c>
      <c r="R44">
        <f>O44*G44/1000</f>
        <v>0</v>
      </c>
      <c r="V44">
        <f>T44*0.006165*U44^2*(O44-(8+(I44+K44))*'Data-PC'!$X$5/1000+2*MAX(6*U44,75)/1000+IF(O44&gt;12,ROUNDDOWN(O44/12,0)*'Data-PC'!$X$6*U44/1000,0))</f>
        <v>0</v>
      </c>
      <c r="Z44">
        <f>IF(Y44&gt;0,((C44-2*'Data-PC'!$X$5+2*L44)*Y44),0)/1000</f>
        <v>0</v>
      </c>
      <c r="AA44">
        <f>0.006165*W44^2*Z44</f>
        <v>0</v>
      </c>
      <c r="AE44">
        <f>IF(AD44&gt;0,((D44-J44-2*'Data-PC'!$X$5+2*L44)*AD44),0)/1000</f>
        <v>0</v>
      </c>
      <c r="AF44">
        <f>0.006165*AB44^2*AE44</f>
        <v>0</v>
      </c>
      <c r="AJ44">
        <f>IF(AI44&gt;0,((C44-2*'Data-PC'!$X$5+2*M44)*AI44),0)/1000</f>
        <v>0</v>
      </c>
      <c r="AK44">
        <f>0.006165*AG44^2*AJ44</f>
        <v>0</v>
      </c>
      <c r="AO44">
        <f>IF(AN44&gt;0,((D44-J44-2*'Data-PC'!$X$5+2*M44)*AN44),0)/1000</f>
        <v>0</v>
      </c>
      <c r="AP44">
        <f>0.006165*AL44^2*AO44</f>
        <v>0</v>
      </c>
      <c r="AS44">
        <f>2*(E44-2*'Data-PC'!$X$5)+300+2*'Data-PC'!$X$7*AR44</f>
        <v>180</v>
      </c>
      <c r="AT44">
        <f>AQ44*0.006165*AR44^2*AS44/1000</f>
        <v>0</v>
      </c>
      <c r="AW44">
        <f>IF(AV44&gt;0,(M44+2*L44*AU44)/1000*(ROUND((C44-2*'Data-PC'!$X$5)/AV44,0)+1)*(ROUND((D44-2*'Data-PC'!$X$5)/AV44,0)+1),0)</f>
        <v>0</v>
      </c>
      <c r="AX44">
        <f>0.006165*AU44^2*AW44</f>
        <v>0</v>
      </c>
    </row>
    <row r="45">
      <c r="A45">
        <v>31</v>
      </c>
      <c r="F45">
        <v>0</v>
      </c>
      <c r="G45">
        <f>E45</f>
        <v>0</v>
      </c>
      <c r="H45">
        <v>0</v>
      </c>
      <c r="I45">
        <v>0</v>
      </c>
      <c r="J45">
        <v>0</v>
      </c>
      <c r="K45">
        <v>0</v>
      </c>
      <c r="L45">
        <f>M45/2</f>
        <v>-30</v>
      </c>
      <c r="M45">
        <f>E45-2*$X$5</f>
        <v>-60</v>
      </c>
      <c r="N45">
        <f>(C45*D45-1/2*H45*J45*AVERAGE(I45,K45))/1000000</f>
        <v>0</v>
      </c>
      <c r="O45">
        <f>(2*C45-I45*H45+2*D45-K45*J45+(I45+K45)/2*SQRT(H45^2+J45^2))/1000</f>
        <v>0</v>
      </c>
      <c r="Q45">
        <f>N45*G45/1000</f>
        <v>0</v>
      </c>
      <c r="R45">
        <f>O45*G45/1000</f>
        <v>0</v>
      </c>
      <c r="V45">
        <f>T45*0.006165*U45^2*(O45-(8+(I45+K45))*'Data-PC'!$X$5/1000+2*MAX(6*U45,75)/1000+IF(O45&gt;12,ROUNDDOWN(O45/12,0)*'Data-PC'!$X$6*U45/1000,0))</f>
        <v>0</v>
      </c>
      <c r="Z45">
        <f>IF(Y45&gt;0,((C45-2*'Data-PC'!$X$5+2*L45)*Y45),0)/1000</f>
        <v>0</v>
      </c>
      <c r="AA45">
        <f>0.006165*W45^2*Z45</f>
        <v>0</v>
      </c>
      <c r="AE45">
        <f>IF(AD45&gt;0,((D45-J45-2*'Data-PC'!$X$5+2*L45)*AD45),0)/1000</f>
        <v>0</v>
      </c>
      <c r="AF45">
        <f>0.006165*AB45^2*AE45</f>
        <v>0</v>
      </c>
      <c r="AJ45">
        <f>IF(AI45&gt;0,((C45-2*'Data-PC'!$X$5+2*M45)*AI45),0)/1000</f>
        <v>0</v>
      </c>
      <c r="AK45">
        <f>0.006165*AG45^2*AJ45</f>
        <v>0</v>
      </c>
      <c r="AO45">
        <f>IF(AN45&gt;0,((D45-J45-2*'Data-PC'!$X$5+2*M45)*AN45),0)/1000</f>
        <v>0</v>
      </c>
      <c r="AP45">
        <f>0.006165*AL45^2*AO45</f>
        <v>0</v>
      </c>
      <c r="AS45">
        <f>2*(E45-2*'Data-PC'!$X$5)+300+2*'Data-PC'!$X$7*AR45</f>
        <v>180</v>
      </c>
      <c r="AT45">
        <f>AQ45*0.006165*AR45^2*AS45/1000</f>
        <v>0</v>
      </c>
      <c r="AW45">
        <f>IF(AV45&gt;0,(M45+2*L45*AU45)/1000*(ROUND((C45-2*'Data-PC'!$X$5)/AV45,0)+1)*(ROUND((D45-2*'Data-PC'!$X$5)/AV45,0)+1),0)</f>
        <v>0</v>
      </c>
      <c r="AX45">
        <f>0.006165*AU45^2*AW45</f>
        <v>0</v>
      </c>
    </row>
    <row r="46">
      <c r="A46">
        <v>32</v>
      </c>
      <c r="F46">
        <v>0</v>
      </c>
      <c r="G46">
        <f>E46</f>
        <v>0</v>
      </c>
      <c r="H46">
        <v>0</v>
      </c>
      <c r="I46">
        <v>0</v>
      </c>
      <c r="J46">
        <v>0</v>
      </c>
      <c r="K46">
        <v>0</v>
      </c>
      <c r="L46">
        <f>M46/2</f>
        <v>-30</v>
      </c>
      <c r="M46">
        <f>E46-2*$X$5</f>
        <v>-60</v>
      </c>
      <c r="N46">
        <f>(C46*D46-1/2*H46*J46*AVERAGE(I46,K46))/1000000</f>
        <v>0</v>
      </c>
      <c r="O46">
        <f>(2*C46-I46*H46+2*D46-K46*J46+(I46+K46)/2*SQRT(H46^2+J46^2))/1000</f>
        <v>0</v>
      </c>
      <c r="Q46">
        <f>N46*G46/1000</f>
        <v>0</v>
      </c>
      <c r="R46">
        <f>O46*G46/1000</f>
        <v>0</v>
      </c>
      <c r="V46">
        <f>T46*0.006165*U46^2*(O46-(8+(I46+K46))*'Data-PC'!$X$5/1000+2*MAX(6*U46,75)/1000+IF(O46&gt;12,ROUNDDOWN(O46/12,0)*'Data-PC'!$X$6*U46/1000,0))</f>
        <v>0</v>
      </c>
      <c r="Z46">
        <f>IF(Y46&gt;0,((C46-2*'Data-PC'!$X$5+2*L46)*Y46),0)/1000</f>
        <v>0</v>
      </c>
      <c r="AA46">
        <f>0.006165*W46^2*Z46</f>
        <v>0</v>
      </c>
      <c r="AE46">
        <f>IF(AD46&gt;0,((D46-J46-2*'Data-PC'!$X$5+2*L46)*AD46),0)/1000</f>
        <v>0</v>
      </c>
      <c r="AF46">
        <f>0.006165*AB46^2*AE46</f>
        <v>0</v>
      </c>
      <c r="AJ46">
        <f>IF(AI46&gt;0,((C46-2*'Data-PC'!$X$5+2*M46)*AI46),0)/1000</f>
        <v>0</v>
      </c>
      <c r="AK46">
        <f>0.006165*AG46^2*AJ46</f>
        <v>0</v>
      </c>
      <c r="AO46">
        <f>IF(AN46&gt;0,((D46-J46-2*'Data-PC'!$X$5+2*M46)*AN46),0)/1000</f>
        <v>0</v>
      </c>
      <c r="AP46">
        <f>0.006165*AL46^2*AO46</f>
        <v>0</v>
      </c>
      <c r="AS46">
        <f>2*(E46-2*'Data-PC'!$X$5)+300+2*'Data-PC'!$X$7*AR46</f>
        <v>180</v>
      </c>
      <c r="AT46">
        <f>AQ46*0.006165*AR46^2*AS46/1000</f>
        <v>0</v>
      </c>
      <c r="AW46">
        <f>IF(AV46&gt;0,(M46+2*L46*AU46)/1000*(ROUND((C46-2*'Data-PC'!$X$5)/AV46,0)+1)*(ROUND((D46-2*'Data-PC'!$X$5)/AV46,0)+1),0)</f>
        <v>0</v>
      </c>
      <c r="AX46">
        <f>0.006165*AU46^2*AW46</f>
        <v>0</v>
      </c>
    </row>
    <row r="47">
      <c r="A47">
        <v>33</v>
      </c>
      <c r="F47">
        <v>0</v>
      </c>
      <c r="G47">
        <f>E47</f>
        <v>0</v>
      </c>
      <c r="H47">
        <v>0</v>
      </c>
      <c r="I47">
        <v>0</v>
      </c>
      <c r="J47">
        <v>0</v>
      </c>
      <c r="K47">
        <v>0</v>
      </c>
      <c r="L47">
        <f>M47/2</f>
        <v>-30</v>
      </c>
      <c r="M47">
        <f>E47-2*$X$5</f>
        <v>-60</v>
      </c>
      <c r="N47">
        <f>(C47*D47-1/2*H47*J47*AVERAGE(I47,K47))/1000000</f>
        <v>0</v>
      </c>
      <c r="O47">
        <f>(2*C47-I47*H47+2*D47-K47*J47+(I47+K47)/2*SQRT(H47^2+J47^2))/1000</f>
        <v>0</v>
      </c>
      <c r="Q47">
        <f>N47*G47/1000</f>
        <v>0</v>
      </c>
      <c r="R47">
        <f>O47*G47/1000</f>
        <v>0</v>
      </c>
      <c r="V47">
        <f>T47*0.006165*U47^2*(O47-(8+(I47+K47))*'Data-PC'!$X$5/1000+2*MAX(6*U47,75)/1000+IF(O47&gt;12,ROUNDDOWN(O47/12,0)*'Data-PC'!$X$6*U47/1000,0))</f>
        <v>0</v>
      </c>
      <c r="Z47">
        <f>IF(Y47&gt;0,((C47-2*'Data-PC'!$X$5+2*L47)*Y47),0)/1000</f>
        <v>0</v>
      </c>
      <c r="AA47">
        <f>0.006165*W47^2*Z47</f>
        <v>0</v>
      </c>
      <c r="AE47">
        <f>IF(AD47&gt;0,((D47-J47-2*'Data-PC'!$X$5+2*L47)*AD47),0)/1000</f>
        <v>0</v>
      </c>
      <c r="AF47">
        <f>0.006165*AB47^2*AE47</f>
        <v>0</v>
      </c>
      <c r="AJ47">
        <f>IF(AI47&gt;0,((C47-2*'Data-PC'!$X$5+2*M47)*AI47),0)/1000</f>
        <v>0</v>
      </c>
      <c r="AK47">
        <f>0.006165*AG47^2*AJ47</f>
        <v>0</v>
      </c>
      <c r="AO47">
        <f>IF(AN47&gt;0,((D47-J47-2*'Data-PC'!$X$5+2*M47)*AN47),0)/1000</f>
        <v>0</v>
      </c>
      <c r="AP47">
        <f>0.006165*AL47^2*AO47</f>
        <v>0</v>
      </c>
      <c r="AS47">
        <f>2*(E47-2*'Data-PC'!$X$5)+300+2*'Data-PC'!$X$7*AR47</f>
        <v>180</v>
      </c>
      <c r="AT47">
        <f>AQ47*0.006165*AR47^2*AS47/1000</f>
        <v>0</v>
      </c>
      <c r="AW47">
        <f>IF(AV47&gt;0,(M47+2*L47*AU47)/1000*(ROUND((C47-2*'Data-PC'!$X$5)/AV47,0)+1)*(ROUND((D47-2*'Data-PC'!$X$5)/AV47,0)+1),0)</f>
        <v>0</v>
      </c>
      <c r="AX47">
        <f>0.006165*AU47^2*AW47</f>
        <v>0</v>
      </c>
    </row>
    <row r="48">
      <c r="A48">
        <v>34</v>
      </c>
      <c r="F48">
        <v>0</v>
      </c>
      <c r="G48">
        <f>E48</f>
        <v>0</v>
      </c>
      <c r="H48">
        <v>0</v>
      </c>
      <c r="I48">
        <v>0</v>
      </c>
      <c r="J48">
        <v>0</v>
      </c>
      <c r="K48">
        <v>0</v>
      </c>
      <c r="L48">
        <f>M48/2</f>
        <v>-30</v>
      </c>
      <c r="M48">
        <f>E48-2*$X$5</f>
        <v>-60</v>
      </c>
      <c r="N48">
        <f>(C48*D48-1/2*H48*J48*AVERAGE(I48,K48))/1000000</f>
        <v>0</v>
      </c>
      <c r="O48">
        <f>(2*C48-I48*H48+2*D48-K48*J48+(I48+K48)/2*SQRT(H48^2+J48^2))/1000</f>
        <v>0</v>
      </c>
      <c r="Q48">
        <f>N48*G48/1000</f>
        <v>0</v>
      </c>
      <c r="R48">
        <f>O48*G48/1000</f>
        <v>0</v>
      </c>
      <c r="V48">
        <f>T48*0.006165*U48^2*(O48-(8+(I48+K48))*'Data-PC'!$X$5/1000+2*MAX(6*U48,75)/1000+IF(O48&gt;12,ROUNDDOWN(O48/12,0)*'Data-PC'!$X$6*U48/1000,0))</f>
        <v>0</v>
      </c>
      <c r="Z48">
        <f>IF(Y48&gt;0,((C48-2*'Data-PC'!$X$5+2*L48)*Y48),0)/1000</f>
        <v>0</v>
      </c>
      <c r="AA48">
        <f>0.006165*W48^2*Z48</f>
        <v>0</v>
      </c>
      <c r="AE48">
        <f>IF(AD48&gt;0,((D48-J48-2*'Data-PC'!$X$5+2*L48)*AD48),0)/1000</f>
        <v>0</v>
      </c>
      <c r="AF48">
        <f>0.006165*AB48^2*AE48</f>
        <v>0</v>
      </c>
      <c r="AJ48">
        <f>IF(AI48&gt;0,((C48-2*'Data-PC'!$X$5+2*M48)*AI48),0)/1000</f>
        <v>0</v>
      </c>
      <c r="AK48">
        <f>0.006165*AG48^2*AJ48</f>
        <v>0</v>
      </c>
      <c r="AO48">
        <f>IF(AN48&gt;0,((D48-J48-2*'Data-PC'!$X$5+2*M48)*AN48),0)/1000</f>
        <v>0</v>
      </c>
      <c r="AP48">
        <f>0.006165*AL48^2*AO48</f>
        <v>0</v>
      </c>
      <c r="AS48">
        <f>2*(E48-2*'Data-PC'!$X$5)+300+2*'Data-PC'!$X$7*AR48</f>
        <v>180</v>
      </c>
      <c r="AT48">
        <f>AQ48*0.006165*AR48^2*AS48/1000</f>
        <v>0</v>
      </c>
      <c r="AW48">
        <f>IF(AV48&gt;0,(M48+2*L48*AU48)/1000*(ROUND((C48-2*'Data-PC'!$X$5)/AV48,0)+1)*(ROUND((D48-2*'Data-PC'!$X$5)/AV48,0)+1),0)</f>
        <v>0</v>
      </c>
      <c r="AX48">
        <f>0.006165*AU48^2*AW48</f>
        <v>0</v>
      </c>
    </row>
    <row r="49">
      <c r="A49">
        <v>35</v>
      </c>
      <c r="F49">
        <v>0</v>
      </c>
      <c r="G49">
        <f>E49</f>
        <v>0</v>
      </c>
      <c r="H49">
        <v>0</v>
      </c>
      <c r="I49">
        <v>0</v>
      </c>
      <c r="J49">
        <v>0</v>
      </c>
      <c r="K49">
        <v>0</v>
      </c>
      <c r="L49">
        <f>M49/2</f>
        <v>-30</v>
      </c>
      <c r="M49">
        <f>E49-2*$X$5</f>
        <v>-60</v>
      </c>
      <c r="N49">
        <f>(C49*D49-1/2*H49*J49*AVERAGE(I49,K49))/1000000</f>
        <v>0</v>
      </c>
      <c r="O49">
        <f>(2*C49-I49*H49+2*D49-K49*J49+(I49+K49)/2*SQRT(H49^2+J49^2))/1000</f>
        <v>0</v>
      </c>
      <c r="Q49">
        <f>N49*G49/1000</f>
        <v>0</v>
      </c>
      <c r="R49">
        <f>O49*G49/1000</f>
        <v>0</v>
      </c>
      <c r="V49">
        <f>T49*0.006165*U49^2*(O49-(8+(I49+K49))*'Data-PC'!$X$5/1000+2*MAX(6*U49,75)/1000+IF(O49&gt;12,ROUNDDOWN(O49/12,0)*'Data-PC'!$X$6*U49/1000,0))</f>
        <v>0</v>
      </c>
      <c r="Z49">
        <f>IF(Y49&gt;0,((C49-2*'Data-PC'!$X$5+2*L49)*Y49),0)/1000</f>
        <v>0</v>
      </c>
      <c r="AA49">
        <f>0.006165*W49^2*Z49</f>
        <v>0</v>
      </c>
      <c r="AE49">
        <f>IF(AD49&gt;0,((D49-J49-2*'Data-PC'!$X$5+2*L49)*AD49),0)/1000</f>
        <v>0</v>
      </c>
      <c r="AF49">
        <f>0.006165*AB49^2*AE49</f>
        <v>0</v>
      </c>
      <c r="AJ49">
        <f>IF(AI49&gt;0,((C49-2*'Data-PC'!$X$5+2*M49)*AI49),0)/1000</f>
        <v>0</v>
      </c>
      <c r="AK49">
        <f>0.006165*AG49^2*AJ49</f>
        <v>0</v>
      </c>
      <c r="AO49">
        <f>IF(AN49&gt;0,((D49-J49-2*'Data-PC'!$X$5+2*M49)*AN49),0)/1000</f>
        <v>0</v>
      </c>
      <c r="AP49">
        <f>0.006165*AL49^2*AO49</f>
        <v>0</v>
      </c>
      <c r="AS49">
        <f>2*(E49-2*'Data-PC'!$X$5)+300+2*'Data-PC'!$X$7*AR49</f>
        <v>180</v>
      </c>
      <c r="AT49">
        <f>AQ49*0.006165*AR49^2*AS49/1000</f>
        <v>0</v>
      </c>
      <c r="AW49">
        <f>IF(AV49&gt;0,(M49+2*L49*AU49)/1000*(ROUND((C49-2*'Data-PC'!$X$5)/AV49,0)+1)*(ROUND((D49-2*'Data-PC'!$X$5)/AV49,0)+1),0)</f>
        <v>0</v>
      </c>
      <c r="AX49">
        <f>0.006165*AU49^2*AW49</f>
        <v>0</v>
      </c>
    </row>
    <row r="50">
      <c r="A50">
        <v>36</v>
      </c>
      <c r="B50" t="str">
        <v>PC.3</v>
      </c>
      <c r="F50">
        <v>0</v>
      </c>
      <c r="G50">
        <f>E50</f>
        <v>0</v>
      </c>
      <c r="H50">
        <v>0</v>
      </c>
      <c r="I50">
        <v>0</v>
      </c>
      <c r="J50">
        <v>0</v>
      </c>
      <c r="K50">
        <v>0</v>
      </c>
      <c r="L50">
        <f>M50/2</f>
        <v>-30</v>
      </c>
      <c r="M50">
        <f>E50-2*$X$5</f>
        <v>-60</v>
      </c>
      <c r="N50">
        <f>(C50*D50-1/2*H50*J50*AVERAGE(I50,K50))/1000000</f>
        <v>0</v>
      </c>
      <c r="O50">
        <f>(2*C50-I50*H50+2*D50-K50*J50+(I50+K50)/2*SQRT(H50^2+J50^2))/1000</f>
        <v>0</v>
      </c>
      <c r="P50">
        <f>(((C50+2*X$3+2*X$4)*(D50+2*X$3+2*X$4))-1/2*H50*J50*AVERAGE(I50,K50))/1000000</f>
        <v>0.64</v>
      </c>
      <c r="Q50">
        <f>N50*G50/1000</f>
        <v>0</v>
      </c>
      <c r="R50">
        <f>O50*G50/1000</f>
        <v>0</v>
      </c>
      <c r="V50">
        <f>T50*0.006165*U50^2*(O50-(8+(I50+K50))*'Data-PC'!$X$5/1000+2*MAX(6*U50,75)/1000+IF(O50&gt;12,ROUNDDOWN(O50/12,0)*'Data-PC'!$X$6*U50/1000,0))</f>
        <v>0</v>
      </c>
      <c r="Z50">
        <f>IF(X50&gt;0,((C50-2*$X$5+2*L50)*(ROUND((D50-J50-2*$X$5)/X50,0)+1)+(C50-I50/2*H50-2*$X$5+2*M50)*(ROUND(J50/X50,0)+1))/1000,0)</f>
        <v>0</v>
      </c>
      <c r="AA50">
        <f>0.006165*W50^2*Z50</f>
        <v>0</v>
      </c>
      <c r="AE50">
        <f>IF(AC50&gt;0,((D50-J50-2*$X$5+2*L50)*(ROUND((C50-2*$X$5)/AC50,0)+1)+J50*(ROUND((C50-I50/2*H50-2*$X$5)/AC50,0)+1))/1000,0)</f>
        <v>0</v>
      </c>
      <c r="AF50">
        <f>0.006165*AB50^2*AE50</f>
        <v>0</v>
      </c>
      <c r="AJ50">
        <f>IF(AH50&gt;0,((C50-2*$X$5+2*M50)*(ROUND((D50-J50-2*$X$5)/AH50,0)+1)+(C50-I50/2*H50-2*$X$5+2*M50)*(ROUND(J50/AH50,0)+1))/1000,0)</f>
        <v>0</v>
      </c>
      <c r="AK50">
        <f>0.006165*AG50^2*AJ50</f>
        <v>0</v>
      </c>
      <c r="AO50">
        <f>IF(AM50&gt;0,((D50-J50-2*$X$5+2*M50)*(ROUND((C50-2*$X$5)/AM50,0)+1)+J50*(ROUND((C50-I50/2*H50-2*$X$5)/AM50,0)+1))/1000,0)</f>
        <v>0</v>
      </c>
      <c r="AP50">
        <f>0.006165*AL50^2*AO50</f>
        <v>0</v>
      </c>
      <c r="AS50">
        <f>2*(E50-2*'Data-PC'!$X$5)+300+2*'Data-PC'!$X$7*AR50</f>
        <v>180</v>
      </c>
      <c r="AT50">
        <f>AQ50*0.006165*AR50^2*AS50/1000</f>
        <v>0</v>
      </c>
      <c r="AW50">
        <f>IF(AV50&gt;0,(M50+2*L50*AU50)/1000*(ROUND((C50-2*'Data-PC'!$X$5)/AV50,0)+1)*(ROUND((D50-2*'Data-PC'!$X$5)/AV50,0)+1),0)</f>
        <v>0</v>
      </c>
      <c r="AX50">
        <f>0.006165*AU50^2*AW50</f>
        <v>0</v>
      </c>
    </row>
    <row r="51">
      <c r="A51">
        <v>37</v>
      </c>
      <c r="B51" t="str">
        <v>PC.5S</v>
      </c>
      <c r="F51">
        <v>0</v>
      </c>
      <c r="G51">
        <f>E51</f>
        <v>0</v>
      </c>
      <c r="H51">
        <v>0</v>
      </c>
      <c r="I51">
        <v>0</v>
      </c>
      <c r="J51">
        <v>0</v>
      </c>
      <c r="K51">
        <v>0</v>
      </c>
      <c r="L51">
        <f>M51/2</f>
        <v>-30</v>
      </c>
      <c r="M51">
        <f>E51-2*$X$5</f>
        <v>-60</v>
      </c>
      <c r="N51">
        <f>(C51*D51-1/2*H51*J51*AVERAGE(I51,K51))/1000000</f>
        <v>0</v>
      </c>
      <c r="O51">
        <f>(2*C51-I51*H51+2*D51-K51*J51+(I51+K51)/2*SQRT(H51^2+J51^2))/1000</f>
        <v>0</v>
      </c>
      <c r="P51">
        <f>(((C51+2*X$3+2*X$4)*(D51+2*X$3+2*X$4))-1/2*H51*J51*AVERAGE(I51,K51))/1000000</f>
        <v>0.64</v>
      </c>
      <c r="Q51">
        <f>N51*G51/1000</f>
        <v>0</v>
      </c>
      <c r="R51">
        <f>O51*G51/1000</f>
        <v>0</v>
      </c>
      <c r="V51">
        <f>T51*0.006165*U51^2*(O51-(8+(I51+K51))*'Data-PC'!$X$5/1000+2*MAX(6*U51,75)/1000+IF(O51&gt;12,ROUNDDOWN(O51/12,0)*'Data-PC'!$X$6*U51/1000,0))</f>
        <v>0</v>
      </c>
      <c r="Y51" t="e">
        <f>ROUNDUP((D51-2*$X$5)/X51,0)+1</f>
        <v>#DIV/0!</v>
      </c>
      <c r="Z51" t="e">
        <f>IF(Y51&gt;0,((C51-2*'Data-PC'!$X$5+2*L51)*Y51),0)/1000</f>
        <v>#DIV/0!</v>
      </c>
      <c r="AA51" t="e">
        <f>0.006165*W51^2*Z51</f>
        <v>#DIV/0!</v>
      </c>
      <c r="AD51" t="e">
        <f>ROUNDUP((C51-2*$X$5)/AC51,0)+1</f>
        <v>#DIV/0!</v>
      </c>
      <c r="AE51" t="e">
        <f>IF(AD51&gt;0,((D51-J51-2*'Data-PC'!$X$5+2*L51)*AD51),0)/1000</f>
        <v>#DIV/0!</v>
      </c>
      <c r="AF51" t="e">
        <f>0.006165*AB51^2*AE51</f>
        <v>#DIV/0!</v>
      </c>
      <c r="AI51" t="e">
        <f>ROUNDUP((D51-2*$X$5)/AH51,0)+1</f>
        <v>#DIV/0!</v>
      </c>
      <c r="AJ51" t="e">
        <f>IF(AI51&gt;0,((C51-2*'Data-PC'!$X$5+2*M51)*AI51),0)/1000</f>
        <v>#DIV/0!</v>
      </c>
      <c r="AK51" t="e">
        <f>0.006165*AG51^2*AJ51</f>
        <v>#DIV/0!</v>
      </c>
      <c r="AN51" t="e">
        <f>ROUNDUP((C51-2*$X$5)/AM51,0)+1</f>
        <v>#DIV/0!</v>
      </c>
      <c r="AO51" t="e">
        <f>IF(AN51&gt;0,((D51-J51-2*'Data-PC'!$X$5+2*M51)*AN51),0)/1000</f>
        <v>#DIV/0!</v>
      </c>
      <c r="AP51" t="e">
        <f>0.006165*AL51^2*AO51</f>
        <v>#DIV/0!</v>
      </c>
      <c r="AS51">
        <f>2*(E51-2*'Data-PC'!$X$5)+300+2*'Data-PC'!$X$7*AR51</f>
        <v>180</v>
      </c>
      <c r="AT51">
        <f>AQ51*0.006165*AR51^2*AS51/1000</f>
        <v>0</v>
      </c>
      <c r="AW51">
        <f>IF(AV51&gt;0,(M51+2*L51*AU51)/1000*(ROUND((C51-2*'Data-PC'!$X$5)/AV51,0)+1)*(ROUND((D51-2*'Data-PC'!$X$5)/AV51,0)+1),0)</f>
        <v>0</v>
      </c>
      <c r="AX51">
        <f>0.006165*AU51^2*AW51</f>
        <v>0</v>
      </c>
    </row>
    <row r="52">
      <c r="A52">
        <v>38</v>
      </c>
      <c r="B52" t="str">
        <v>PC.3S</v>
      </c>
      <c r="F52">
        <v>0</v>
      </c>
      <c r="G52">
        <f>E52</f>
        <v>0</v>
      </c>
      <c r="H52">
        <v>0</v>
      </c>
      <c r="I52">
        <v>0</v>
      </c>
      <c r="J52">
        <v>0</v>
      </c>
      <c r="K52">
        <v>0</v>
      </c>
      <c r="L52">
        <f>M52/2</f>
        <v>-30</v>
      </c>
      <c r="M52">
        <f>E52-2*$X$5</f>
        <v>-60</v>
      </c>
      <c r="N52">
        <f>(C52*D52-1/2*H52*J52*AVERAGE(I52,K52))/1000000</f>
        <v>0</v>
      </c>
      <c r="O52">
        <f>(2*C52-I52*H52+2*D52-K52*J52+(I52+K52)/2*SQRT(H52^2+J52^2))/1000</f>
        <v>0</v>
      </c>
      <c r="P52">
        <f>(((C52+2*X$3+2*X$4)*(D52+2*X$3+2*X$4))-1/2*H52*J52*AVERAGE(I52,K52))/1000000</f>
        <v>0.64</v>
      </c>
      <c r="Q52">
        <f>N52*G52/1000</f>
        <v>0</v>
      </c>
      <c r="R52">
        <f>O52*G52/1000</f>
        <v>0</v>
      </c>
      <c r="V52">
        <f>T52*0.006165*U52^2*(O52-(8+(I52+K52))*'Data-PC'!$X$5/1000+2*MAX(6*U52,75)/1000+IF(O52&gt;12,ROUNDDOWN(O52/12,0)*'Data-PC'!$X$6*U52/1000,0))</f>
        <v>0</v>
      </c>
      <c r="Y52" t="e">
        <f>ROUNDUP((D52-2*$X$5)/X52,0)+1</f>
        <v>#DIV/0!</v>
      </c>
      <c r="Z52">
        <f>IF(X52&gt;0,((C52-2*$X$5+2*L52)*(ROUND((D52-J52-2*$X$5)/X52,0)+1)+(C52-I52/2*H52-2*$X$5+2*M52)*(ROUND(J52/X52,0)+1))/1000,0)</f>
        <v>0</v>
      </c>
      <c r="AA52">
        <f>0.006165*W52^2*Z52</f>
        <v>0</v>
      </c>
      <c r="AD52" t="e">
        <f>ROUNDUP((C52-2*$X$5)/AC52,0)+1</f>
        <v>#DIV/0!</v>
      </c>
      <c r="AE52">
        <f>IF(AC52&gt;0,((D52-J52-2*$X$5+2*L52)*(ROUND((C52-2*$X$5)/AC52,0)+1)+J52*(ROUND((C52-I52/2*H52-2*$X$5)/AC52,0)+1))/1000,0)</f>
        <v>0</v>
      </c>
      <c r="AF52">
        <f>0.006165*AB52^2*AE52</f>
        <v>0</v>
      </c>
      <c r="AI52" t="e">
        <f>ROUNDUP((D52-2*$X$5)/AH52,0)+1</f>
        <v>#DIV/0!</v>
      </c>
      <c r="AJ52">
        <f>IF(AH52&gt;0,((C52-2*$X$5+2*M52)*(ROUND((D52-J52-2*$X$5)/AH52,0)+1)+(C52-I52/2*H52-2*$X$5+2*M52)*(ROUND(J52/AH52,0)+1))/1000,0)</f>
        <v>0</v>
      </c>
      <c r="AK52">
        <v>16</v>
      </c>
      <c r="AN52" t="e">
        <f>ROUNDUP((C52-2*$X$5)/AM52,0)+1</f>
        <v>#DIV/0!</v>
      </c>
      <c r="AO52">
        <f>IF(AM52&gt;0,((D52-J52-2*$X$5+2*M52)*(ROUND((C52-2*$X$5)/AM52,0)+1)+J52*(ROUND((C52-I52/2*H52-2*$X$5)/AM52,0)+1))/1000,0)</f>
        <v>0</v>
      </c>
      <c r="AP52">
        <f>IF(AM52&gt;0,((D52-J52-2*$X$5+2*M52)*(ROUND((C52-2*$X$5)/AM52,0)+1)+J52*(ROUND((C52-I52/2*H52-2*$X$5)/AM52,0)+1))/1000,0)</f>
        <v>0</v>
      </c>
      <c r="AS52">
        <f>2*(E52-2*'Data-PC'!$X$5)+300+2*'Data-PC'!$X$7*AR52</f>
        <v>180</v>
      </c>
      <c r="AT52">
        <f>AQ52*0.006165*AR52^2*AS52/1000</f>
        <v>0</v>
      </c>
      <c r="AW52">
        <f>IF(AV52&gt;0,(M52+2*L52*AU52)/1000*(ROUND((C52-2*'Data-PC'!$X$5)/AV52,0)+1)*(ROUND((D52-2*'Data-PC'!$X$5)/AV52,0)+1),0)</f>
        <v>0</v>
      </c>
      <c r="AX52">
        <f>0.006165*AU52^2*AW52</f>
        <v>0</v>
      </c>
    </row>
    <row r="54">
      <c r="B54" t="str">
        <v>CEK</v>
      </c>
      <c r="C54">
        <v>1000</v>
      </c>
      <c r="D54">
        <v>1000</v>
      </c>
      <c r="E54">
        <v>500</v>
      </c>
      <c r="F54">
        <v>0</v>
      </c>
      <c r="G54">
        <f>E54-F54</f>
        <v>500</v>
      </c>
      <c r="H54">
        <v>400</v>
      </c>
      <c r="I54">
        <v>2</v>
      </c>
      <c r="J54">
        <v>700</v>
      </c>
      <c r="K54">
        <v>2</v>
      </c>
      <c r="L54">
        <f>M54/2</f>
        <v>220</v>
      </c>
      <c r="M54">
        <f>E54-2*'Data-PC'!$X$5</f>
        <v>440</v>
      </c>
      <c r="N54">
        <f>(C54*D54-1/2*H54*J54*AVERAGE(I54,K54))/1000000</f>
        <v>0.72</v>
      </c>
      <c r="O54">
        <f>(2*C54-I54*H54+2*D54-K54*J54+(I54+K54)/2*SQRT(H54^2+J54^2))/1000</f>
        <v>3.4124515496597096</v>
      </c>
      <c r="P54">
        <f>(((C54+2*'Data-PC'!X$3+2*'Data-PC'!X$4)*(D54+2*'Data-PC'!X$3+2*'Data-PC'!X$4))-1/2*H54*J54*AVERAGE(I54,K54))/1000000</f>
        <v>2.96</v>
      </c>
      <c r="Q54">
        <f>N54*G54/1000</f>
        <v>0.36</v>
      </c>
      <c r="R54">
        <f>O54*G54/1000</f>
        <v>1.7062257748298548</v>
      </c>
      <c r="T54">
        <v>1</v>
      </c>
      <c r="U54">
        <v>10</v>
      </c>
      <c r="V54">
        <f>T54*0.006165*U54^2*(O54-(8+(I54+K54))*'Data-PC'!$X$5/1000+2*75/1000+IF(O54&gt;12,'Data-PC'!$X$6*U54/1000,0))</f>
        <v>1.9743113803652113</v>
      </c>
      <c r="W54">
        <v>10</v>
      </c>
      <c r="X54">
        <v>125</v>
      </c>
      <c r="Z54">
        <f>IF(X54&gt;0,((C54-2*'Data-PC'!$X$5+2*L54)*(ROUND((D54-J54-2*'Data-PC'!$X$5)/X54,0)+1)+(C54-I54/2*H54-2*'Data-PC'!$X$5+2*M54)*(ROUND(J54/X54,0)+1))/1000,0)</f>
        <v>14.08</v>
      </c>
      <c r="AA54">
        <f>0.006165*W54^2*Z54</f>
        <v>8.68032</v>
      </c>
      <c r="AB54">
        <v>10</v>
      </c>
      <c r="AC54">
        <v>125</v>
      </c>
      <c r="AE54">
        <f>IF(AC54&gt;0,((D54-J54-2*'Data-PC'!$X$5+2*L54)*(ROUND((C54-2*'Data-PC'!$X$5)/AC54,0)+1)+J54*(ROUND((C54-I54/2*H54-2*'Data-PC'!$X$5)/AC54,0)+1))/1000,0)</f>
        <v>9.62</v>
      </c>
      <c r="AF54">
        <f>0.006165*AB54^2*AE54</f>
        <v>5.93073</v>
      </c>
      <c r="AG54">
        <v>13</v>
      </c>
      <c r="AH54">
        <v>125</v>
      </c>
      <c r="AJ54">
        <f>IF(AH54&gt;0,((C54-2*'Data-PC'!$X$5+2*M54)*(ROUND((D54-J54-2*'Data-PC'!$X$5)/AH54,0)+1)+(C54-I54/2*H54-2*'Data-PC'!$X$5+2*M54)*(ROUND(J54/AH54,0)+1))/1000,0)</f>
        <v>15.4</v>
      </c>
      <c r="AK54">
        <f>0.006165*AG54^2*AJ54</f>
        <v>16.045029</v>
      </c>
      <c r="AL54">
        <v>13</v>
      </c>
      <c r="AM54">
        <v>125</v>
      </c>
      <c r="AO54">
        <f>IF(AM54&gt;0,((D54-J54-2*'Data-PC'!$X$5+2*M54)*(ROUND((C54-2*'Data-PC'!$X$5)/AM54,0)+1)+J54*(ROUND((C54-I54/2*H54-2*'Data-PC'!$X$5)/AM54,0)+1))/1000,0)</f>
        <v>13.58</v>
      </c>
      <c r="AP54">
        <f>0.006165*AL54^2*AO54</f>
        <v>14.1487983</v>
      </c>
      <c r="AQ54">
        <v>4</v>
      </c>
      <c r="AR54">
        <v>16</v>
      </c>
      <c r="AS54">
        <f>2*(E54-2*'Data-PC'!$X$5)+3*(MAX(X54,AC54,AH54,AM54)+'Data-PC'!$X$7*AR54)</f>
        <v>1255</v>
      </c>
      <c r="AT54">
        <f>AQ54*0.006165*AR54^2*AS54/1000</f>
        <v>7.922764800000001</v>
      </c>
      <c r="AU54">
        <v>10</v>
      </c>
      <c r="AV54">
        <v>400</v>
      </c>
      <c r="AW54">
        <f>IF(AV54&gt;0,(M54+2*L54*AU54)/1000*(ROUND((C54-2*'Data-PC'!$X$5)/AV54,0)+1)*(ROUND((D54-2*'Data-PC'!$X$5)/AV54,0)+1),0)</f>
        <v>43.56</v>
      </c>
      <c r="AX54">
        <f>0.006165*AU54^2*AW54</f>
        <v>26.854740000000003</v>
      </c>
    </row>
    <row r="55">
      <c r="AE55">
        <f>IF(AC55&gt;0,((D55-J55-2*'Data-PC'!$X$5+2*M55)*(ROUND(C55/AC55,0)+1)+J55*(ROUND((C55-I55/2*H55)/AC55,0)+1))/1000,0)</f>
        <v>0</v>
      </c>
      <c r="AF55">
        <f>0.006165*AB55^2*AE55</f>
        <v>0</v>
      </c>
    </row>
    <row r="56">
      <c r="AE56">
        <f>IF(AC56&gt;0,((D56-J56-2*'Data-PC'!$X$5+2*M56)*(ROUND(C56/AC56,0)+1)+J56*(ROUND((C56-I56/2*H56)/AC56,0)+1))/1000,0)</f>
        <v>0</v>
      </c>
      <c r="AF56">
        <f>0.006165*AB56^2*AE56</f>
        <v>0</v>
      </c>
    </row>
    <row r="58">
      <c r="B58" t="str">
        <v>Cek Jumlah Tulangan Pile Cap Yang Tidak Kotak</v>
      </c>
    </row>
    <row r="60">
      <c r="B60" t="str">
        <v>P3</v>
      </c>
      <c r="Z60" t="e">
        <f>(ROUND((#REF!-#REF!-2*'Data-PC'!$X$5)/#REF!,0)+1)+(ROUND(#REF!/#REF!,0)+1)</f>
        <v>#REF!</v>
      </c>
      <c r="AE60" t="e">
        <f>(ROUND((#REF!-2*'Data-PC'!$X$5)/#REF!,0)+1)+(ROUND((#REF!-#REF!/2*#REF!-2*'Data-PC'!$X$5)/#REF!,0)+1)</f>
        <v>#REF!</v>
      </c>
      <c r="AJ60" t="e">
        <f>(ROUND((#REF!-#REF!-2*'Data-PC'!$X$5)/#REF!,0)+1)+(ROUND(#REF!/#REF!,0)+1)</f>
        <v>#REF!</v>
      </c>
      <c r="AO60" t="e">
        <f>(ROUND((#REF!-2*'Data-PC'!$X$5)/#REF!,0)+1)+(ROUND((#REF!-#REF!/2*#REF!-2*'Data-PC'!$X$5)/#REF!,0)+1)</f>
        <v>#REF!</v>
      </c>
    </row>
    <row r="61">
      <c r="B61" t="str">
        <v>P3A</v>
      </c>
      <c r="Z61" t="e">
        <f>(ROUND((#REF!-#REF!-2*'Data-PC'!$X$5)/#REF!,0)+1)+(ROUND(#REF!/#REF!,0)+1)</f>
        <v>#REF!</v>
      </c>
      <c r="AE61" t="e">
        <f>(ROUND((#REF!-2*'Data-PC'!$X$5)/#REF!,0)+1)+(ROUND((#REF!-#REF!/2*#REF!-2*'Data-PC'!$X$5)/#REF!,0)+1)</f>
        <v>#REF!</v>
      </c>
      <c r="AJ61" t="e">
        <f>(ROUND((#REF!-#REF!-2*'Data-PC'!$X$5)/#REF!,0)+1)+(ROUND(#REF!/#REF!,0)+1)</f>
        <v>#REF!</v>
      </c>
      <c r="AO61" t="e">
        <f>(ROUND((#REF!-2*'Data-PC'!$X$5)/#REF!,0)+1)+(ROUND((#REF!-#REF!/2*#REF!-2*'Data-PC'!$X$5)/#REF!,0)+1)</f>
        <v>#REF!</v>
      </c>
    </row>
    <row r="62">
      <c r="B62" t="str">
        <v>P3B</v>
      </c>
      <c r="Z62" t="e">
        <f>(ROUND((#REF!-#REF!-2*'Data-PC'!$X$5)/#REF!,0)+1)+(ROUND(#REF!/#REF!,0)+1)</f>
        <v>#REF!</v>
      </c>
      <c r="AE62" t="e">
        <f>(ROUND((#REF!-2*'Data-PC'!$X$5)/#REF!,0)+1)+(ROUND((#REF!-#REF!/2*#REF!-2*'Data-PC'!$X$5)/#REF!,0)+1)</f>
        <v>#REF!</v>
      </c>
      <c r="AJ62" t="e">
        <f>(ROUND((#REF!-#REF!-2*'Data-PC'!$X$5)/#REF!,0)+1)+(ROUND(#REF!/#REF!,0)+1)</f>
        <v>#REF!</v>
      </c>
      <c r="AO62" t="e">
        <f>(ROUND((#REF!-2*'Data-PC'!$X$5)/#REF!,0)+1)+(ROUND((#REF!-#REF!/2*#REF!-2*'Data-PC'!$X$5)/#REF!,0)+1)</f>
        <v>#REF!</v>
      </c>
    </row>
  </sheetData>
  <mergeCells count="28">
    <mergeCell ref="Q9:Q11"/>
    <mergeCell ref="R9:R11"/>
    <mergeCell ref="I2:K2"/>
    <mergeCell ref="W2:AP2"/>
    <mergeCell ref="B9:B12"/>
    <mergeCell ref="C9:C11"/>
    <mergeCell ref="D9:D11"/>
    <mergeCell ref="E9:E11"/>
    <mergeCell ref="F9:F11"/>
    <mergeCell ref="G9:G11"/>
    <mergeCell ref="H9:K9"/>
    <mergeCell ref="L9:L11"/>
    <mergeCell ref="AZ9:BB10"/>
    <mergeCell ref="H10:K10"/>
    <mergeCell ref="W10:AA10"/>
    <mergeCell ref="AB10:AF10"/>
    <mergeCell ref="AG10:AK10"/>
    <mergeCell ref="AL10:AP10"/>
    <mergeCell ref="S9:S11"/>
    <mergeCell ref="T9:V10"/>
    <mergeCell ref="W9:AF9"/>
    <mergeCell ref="AG9:AP9"/>
    <mergeCell ref="AQ9:AT10"/>
    <mergeCell ref="AU9:AX10"/>
    <mergeCell ref="M9:M11"/>
    <mergeCell ref="N9:N11"/>
    <mergeCell ref="O9:O11"/>
    <mergeCell ref="P9:P11"/>
  </mergeCells>
  <pageMargins left="0" right="0" top="1.5" bottom="0.75" header="0.25" footer="0.25"/>
  <ignoredErrors>
    <ignoredError numberStoredAsText="1" sqref="A1:BZ75"/>
  </ignoredErrors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E669"/>
  <sheetViews>
    <sheetView workbookViewId="0" rightToLeft="0"/>
  </sheetViews>
  <sheetData>
    <row r="1">
      <c r="A1" t="str">
        <v>DAFTAR ANALISA HARGA</v>
      </c>
    </row>
    <row r="3">
      <c r="A3" t="str">
        <v>PROYEK             :</v>
      </c>
      <c r="C3" t="str">
        <v>Pembangunan Villa Taman Dayu, Prigen</v>
      </c>
    </row>
    <row r="4">
      <c r="A4" t="str">
        <v>Tanggal</v>
      </c>
      <c r="C4" t="str">
        <v>12 Maret 2018</v>
      </c>
    </row>
    <row r="5">
      <c r="A5" t="str">
        <v>LOKASI               :</v>
      </c>
      <c r="C5" t="str">
        <v>Taman Dayu Golv Vila 3a</v>
      </c>
    </row>
    <row r="6">
      <c r="A6" t="str">
        <v>PAKET                :</v>
      </c>
    </row>
    <row r="7">
      <c r="A7" t="str">
        <v>LOKASI               :</v>
      </c>
    </row>
    <row r="8">
      <c r="N8" t="str">
        <v>Usuk Meranti 4/6, 5/7 &amp; papan</v>
      </c>
      <c r="O8" t="str">
        <v>per m3</v>
      </c>
      <c r="P8">
        <v>2800000</v>
      </c>
    </row>
    <row r="9">
      <c r="A9" t="str">
        <v>No.</v>
      </c>
      <c r="B9" t="str">
        <v>URAIAN PEKERJAAN</v>
      </c>
      <c r="E9" t="str">
        <v xml:space="preserve">HARGA </v>
      </c>
      <c r="F9" t="str">
        <v>MATERIAL</v>
      </c>
      <c r="G9" t="str">
        <v>UPAH</v>
      </c>
      <c r="H9" t="str">
        <v>PERALATAN</v>
      </c>
      <c r="I9" t="str">
        <v xml:space="preserve">JUMLAH </v>
      </c>
      <c r="N9" t="str">
        <v xml:space="preserve">Balok meranti 6/12, 8/12 </v>
      </c>
      <c r="O9" t="str">
        <v>per m3</v>
      </c>
      <c r="P9">
        <v>3700000</v>
      </c>
    </row>
    <row r="10">
      <c r="E10" t="str">
        <v>SATUAN</v>
      </c>
      <c r="I10" t="str">
        <v>HARGA</v>
      </c>
      <c r="N10" t="str">
        <v>Harga Usuk 5/7 per btg</v>
      </c>
      <c r="O10">
        <f>1/(0.05*0.07*4)</f>
        <v>71.42857142857142</v>
      </c>
      <c r="P10">
        <f>P8/O10</f>
        <v>39200.00000000001</v>
      </c>
    </row>
    <row r="11">
      <c r="E11" t="str">
        <v>(Rp.)</v>
      </c>
      <c r="F11" t="str">
        <v>(Rp.)</v>
      </c>
      <c r="G11" t="str">
        <v>(Rp.)</v>
      </c>
      <c r="I11" t="str">
        <v>(Rp.)</v>
      </c>
      <c r="N11" t="str">
        <v>Harga Usuk 4/6 per btg</v>
      </c>
      <c r="O11">
        <f>1/(0.04*0.06*4)</f>
        <v>104.16666666666667</v>
      </c>
      <c r="P11">
        <f>P8/O11</f>
        <v>26880</v>
      </c>
    </row>
    <row r="12">
      <c r="A12" t="str">
        <v>A</v>
      </c>
      <c r="B12" t="str">
        <v xml:space="preserve"> PEKERJAAN PAGAR SENG T. 3m</v>
      </c>
      <c r="N12" t="str">
        <v>Harga papan 2/20 per btg</v>
      </c>
      <c r="O12">
        <f>1/(0.02*0.2*4)</f>
        <v>62.5</v>
      </c>
      <c r="P12">
        <f>P8/O12</f>
        <v>44800</v>
      </c>
    </row>
    <row r="13">
      <c r="C13" t="str">
        <v>4 M'</v>
      </c>
      <c r="D13" t="str">
        <v>Pagar Seng T 3 m</v>
      </c>
      <c r="N13" t="str">
        <v>Harga Balok 6/12 per btg</v>
      </c>
      <c r="O13">
        <f>1/(0.06*0.12*4)</f>
        <v>34.72222222222222</v>
      </c>
      <c r="P13">
        <f>P9/O13</f>
        <v>106560</v>
      </c>
    </row>
    <row r="14">
      <c r="B14">
        <v>1.5</v>
      </c>
      <c r="C14" t="str">
        <v>btg</v>
      </c>
      <c r="D14" t="str">
        <v>Usuk meranti 5/7 (rangka)</v>
      </c>
      <c r="E14">
        <f>E15</f>
        <v>39200.00000000001</v>
      </c>
      <c r="F14">
        <f>B14*E14</f>
        <v>58800.000000000015</v>
      </c>
      <c r="N14" t="str">
        <v>Harga Balok 8/12 per btg</v>
      </c>
      <c r="O14">
        <f>1/(0.08*0.12*4)</f>
        <v>26.041666666666668</v>
      </c>
      <c r="P14">
        <f>P9/O14</f>
        <v>142080</v>
      </c>
    </row>
    <row r="15">
      <c r="B15">
        <v>3</v>
      </c>
      <c r="C15" t="str">
        <v>btg</v>
      </c>
      <c r="D15" t="str">
        <v>Usuk meranti 5/7 (rangka)</v>
      </c>
      <c r="E15">
        <f>P10</f>
        <v>39200.00000000001</v>
      </c>
      <c r="F15">
        <f>B15*E15</f>
        <v>117600.00000000003</v>
      </c>
      <c r="N15" t="str">
        <v>Paku 1 dos @30 kg</v>
      </c>
      <c r="O15">
        <v>390000</v>
      </c>
      <c r="P15">
        <f>O15/30</f>
        <v>13000</v>
      </c>
    </row>
    <row r="16">
      <c r="B16">
        <v>0.5</v>
      </c>
      <c r="C16" t="str">
        <v>kg</v>
      </c>
      <c r="D16" t="str">
        <v>paku</v>
      </c>
      <c r="E16">
        <f>P15</f>
        <v>13000</v>
      </c>
      <c r="F16">
        <f>B16*E16</f>
        <v>6500</v>
      </c>
      <c r="N16" t="str">
        <v>Triplek 18 mm</v>
      </c>
      <c r="O16" t="str">
        <v>per lembar</v>
      </c>
      <c r="P16">
        <v>227500</v>
      </c>
    </row>
    <row r="17">
      <c r="B17">
        <f>(4/0.8)*2</f>
        <v>10</v>
      </c>
      <c r="C17" t="str">
        <v>lbr</v>
      </c>
      <c r="D17" t="str">
        <v>seng gel. BJLS 20, 180x90</v>
      </c>
      <c r="E17">
        <v>52000</v>
      </c>
      <c r="F17">
        <f>B17*E17</f>
        <v>520000</v>
      </c>
      <c r="J17">
        <f>4/0.8</f>
        <v>5</v>
      </c>
      <c r="N17" t="str">
        <v>Triplek 15 mm</v>
      </c>
      <c r="O17" t="str">
        <v>per lembar</v>
      </c>
      <c r="P17">
        <v>197500</v>
      </c>
    </row>
    <row r="18">
      <c r="B18">
        <v>1.5</v>
      </c>
      <c r="C18" t="str">
        <v>bh</v>
      </c>
      <c r="D18" t="str">
        <v>cor pondasi kaki tiang pagar</v>
      </c>
      <c r="E18">
        <v>150000</v>
      </c>
      <c r="F18">
        <f>B18*E18</f>
        <v>225000</v>
      </c>
    </row>
    <row r="19">
      <c r="B19">
        <v>4</v>
      </c>
      <c r="C19" t="str">
        <v>m</v>
      </c>
      <c r="D19" t="str">
        <v>Ongkos pasang</v>
      </c>
      <c r="E19">
        <v>25000</v>
      </c>
      <c r="G19">
        <f>B19*E19</f>
        <v>100000</v>
      </c>
    </row>
    <row r="20">
      <c r="F20">
        <f>SUM(F14:F19)</f>
        <v>927900</v>
      </c>
      <c r="G20">
        <f>SUM(G19)</f>
        <v>100000</v>
      </c>
      <c r="I20">
        <f>SUM(G20:G20)</f>
        <v>100000</v>
      </c>
    </row>
    <row r="21">
      <c r="E21" t="str">
        <v xml:space="preserve">Waste </v>
      </c>
      <c r="I21">
        <f>I20*0.05</f>
        <v>5000</v>
      </c>
    </row>
    <row r="22">
      <c r="E22" t="str">
        <v>Jumlah</v>
      </c>
      <c r="I22">
        <f>SUM(I20:I21)</f>
        <v>105000</v>
      </c>
    </row>
    <row r="23">
      <c r="E23" t="str">
        <v>Harga per M'</v>
      </c>
      <c r="I23">
        <f>I22/4</f>
        <v>26250</v>
      </c>
    </row>
    <row r="25">
      <c r="A25" t="str">
        <v>B</v>
      </c>
      <c r="B25" t="str">
        <v>PEKERJAAN Euitset/Bouwplank</v>
      </c>
    </row>
    <row r="26">
      <c r="C26" t="str">
        <v>4 M'</v>
      </c>
      <c r="D26" t="str">
        <v>Euitset/Bouwplank T 1,5 m</v>
      </c>
    </row>
    <row r="27">
      <c r="B27">
        <v>1</v>
      </c>
      <c r="C27" t="str">
        <v>btg</v>
      </c>
      <c r="D27" t="str">
        <v>Usuk meranti 5/7 (Tiang)</v>
      </c>
      <c r="E27">
        <f>E15</f>
        <v>39200.00000000001</v>
      </c>
      <c r="F27">
        <f>B27*E27</f>
        <v>39200.00000000001</v>
      </c>
    </row>
    <row r="28">
      <c r="B28">
        <v>1</v>
      </c>
      <c r="C28" t="str">
        <v>btg</v>
      </c>
      <c r="D28" t="str">
        <v>Papan meranti 2/20 (rangka)</v>
      </c>
      <c r="E28">
        <f>P12</f>
        <v>44800</v>
      </c>
      <c r="F28">
        <f>B28*E28</f>
        <v>44800</v>
      </c>
    </row>
    <row r="29">
      <c r="B29">
        <v>0.35</v>
      </c>
      <c r="C29" t="str">
        <v>kg</v>
      </c>
      <c r="D29" t="str">
        <v>paku</v>
      </c>
      <c r="E29">
        <f>E16</f>
        <v>13000</v>
      </c>
      <c r="F29">
        <f>B29*E29</f>
        <v>4550</v>
      </c>
    </row>
    <row r="30">
      <c r="B30">
        <v>4</v>
      </c>
      <c r="C30" t="str">
        <v>m'</v>
      </c>
      <c r="D30" t="str">
        <v>Ongkos bouwplank</v>
      </c>
      <c r="E30">
        <v>25000</v>
      </c>
      <c r="G30">
        <f>B30*E30</f>
        <v>100000</v>
      </c>
    </row>
    <row r="31">
      <c r="F31">
        <f>SUM(F25:F30)</f>
        <v>88550</v>
      </c>
      <c r="G31">
        <f>SUM(G30)</f>
        <v>100000</v>
      </c>
      <c r="I31">
        <f>SUM(G31:G31)</f>
        <v>100000</v>
      </c>
    </row>
    <row r="32">
      <c r="E32" t="str">
        <v xml:space="preserve">Waste </v>
      </c>
      <c r="I32">
        <f>I31*0.05</f>
        <v>5000</v>
      </c>
    </row>
    <row r="33">
      <c r="E33" t="str">
        <v>Jumlah</v>
      </c>
      <c r="I33">
        <f>SUM(I31:I32)</f>
        <v>105000</v>
      </c>
    </row>
    <row r="34">
      <c r="E34" t="str">
        <v>Harga per M'</v>
      </c>
      <c r="I34">
        <f>I33/4</f>
        <v>26250</v>
      </c>
    </row>
    <row r="39">
      <c r="A39">
        <v>1</v>
      </c>
      <c r="B39" t="str">
        <v>PERANCAH 1,2 x 1,8 M2, Tinggi 4.5 - 5 M</v>
      </c>
      <c r="N39" t="str">
        <v>Perancah Tinggi lantai 4.5~5.0 m</v>
      </c>
      <c r="Q39" t="str">
        <v>Prosentasi</v>
      </c>
    </row>
    <row r="40">
      <c r="B40">
        <v>1</v>
      </c>
      <c r="C40" t="str">
        <v>btg</v>
      </c>
      <c r="D40" t="str">
        <v>Balok 6/12 meranti (35%)</v>
      </c>
      <c r="E40">
        <f>P13</f>
        <v>106560</v>
      </c>
      <c r="F40">
        <f>B40*E40*0.35</f>
        <v>37296</v>
      </c>
      <c r="K40">
        <f>1/(0.02*0.2*4)</f>
        <v>62.5</v>
      </c>
      <c r="L40">
        <v>1</v>
      </c>
      <c r="M40" t="str">
        <v>btg</v>
      </c>
      <c r="N40" t="str">
        <v>balok 6/12</v>
      </c>
      <c r="O40">
        <v>175000</v>
      </c>
      <c r="P40">
        <f>L40*O40*Q40</f>
        <v>43750</v>
      </c>
      <c r="Q40">
        <v>0.25</v>
      </c>
    </row>
    <row r="41">
      <c r="B41">
        <v>1.5</v>
      </c>
      <c r="C41" t="str">
        <v>btg</v>
      </c>
      <c r="D41" t="str">
        <v>Usuk  5/7 meranti (50%)</v>
      </c>
      <c r="E41">
        <f>E27</f>
        <v>39200.00000000001</v>
      </c>
      <c r="F41">
        <f>B41*E41*0.5</f>
        <v>29400.000000000007</v>
      </c>
      <c r="K41">
        <f>1/(0.04*0.06*4)</f>
        <v>104.16666666666667</v>
      </c>
      <c r="L41">
        <v>2</v>
      </c>
      <c r="M41" t="str">
        <v>btg</v>
      </c>
      <c r="N41" t="str">
        <v>Usuk 5/7</v>
      </c>
      <c r="O41">
        <v>40000</v>
      </c>
      <c r="P41">
        <f>L41*O41*Q41</f>
        <v>40000</v>
      </c>
      <c r="Q41">
        <v>0.5</v>
      </c>
    </row>
    <row r="42">
      <c r="B42">
        <v>3.5</v>
      </c>
      <c r="C42" t="str">
        <v>btg</v>
      </c>
      <c r="D42" t="str">
        <v>Usuk  4/6 meranti</v>
      </c>
      <c r="E42">
        <f>P11</f>
        <v>26880</v>
      </c>
      <c r="F42">
        <f>B42*E42</f>
        <v>94080</v>
      </c>
      <c r="J42">
        <f>2150000/62</f>
        <v>34677.41935483871</v>
      </c>
      <c r="L42">
        <v>2</v>
      </c>
      <c r="M42" t="str">
        <v>set</v>
      </c>
      <c r="N42" t="str">
        <v>Scafolding</v>
      </c>
      <c r="O42">
        <v>460000</v>
      </c>
      <c r="P42">
        <f>L42*O42*Q42</f>
        <v>92000</v>
      </c>
      <c r="Q42">
        <v>0.1</v>
      </c>
    </row>
    <row r="43">
      <c r="B43">
        <v>2.5</v>
      </c>
      <c r="C43" t="str">
        <v>Kg</v>
      </c>
      <c r="D43" t="str">
        <v>Paku</v>
      </c>
      <c r="E43">
        <f>E29</f>
        <v>13000</v>
      </c>
      <c r="F43">
        <f>B43*E43</f>
        <v>32500</v>
      </c>
      <c r="K43">
        <f>2150000/104</f>
        <v>20673.076923076922</v>
      </c>
      <c r="L43">
        <v>4</v>
      </c>
      <c r="M43" t="str">
        <v>bh</v>
      </c>
      <c r="N43" t="str">
        <v>U Head</v>
      </c>
      <c r="O43">
        <v>90000</v>
      </c>
      <c r="P43">
        <f>L43*O43*Q43</f>
        <v>36000</v>
      </c>
      <c r="Q43">
        <v>0.1</v>
      </c>
    </row>
    <row r="44">
      <c r="B44">
        <v>2</v>
      </c>
      <c r="C44" t="str">
        <v>set</v>
      </c>
      <c r="D44" t="str">
        <v>Scafolding (2 FR, 2 CB, 4 JP) (12,5 %)</v>
      </c>
      <c r="E44">
        <f>(185000*2+49000*2+6500*4)</f>
        <v>494000</v>
      </c>
      <c r="F44">
        <f>B44*E44*0.125</f>
        <v>123500</v>
      </c>
      <c r="J44">
        <f>E44*0.125</f>
        <v>61750</v>
      </c>
    </row>
    <row r="45">
      <c r="B45">
        <v>4</v>
      </c>
      <c r="C45" t="str">
        <v>bh</v>
      </c>
      <c r="D45" t="str">
        <v>U Head (5%)</v>
      </c>
      <c r="E45">
        <v>62000</v>
      </c>
      <c r="F45">
        <f>B45*E45*0.05</f>
        <v>12400</v>
      </c>
    </row>
    <row r="46">
      <c r="B46">
        <v>4</v>
      </c>
      <c r="C46" t="str">
        <v>bh</v>
      </c>
      <c r="D46" t="str">
        <v>Jack Base (5%)</v>
      </c>
      <c r="E46">
        <v>65000</v>
      </c>
      <c r="F46">
        <f>B46*E46*0.05</f>
        <v>13000</v>
      </c>
    </row>
    <row r="47">
      <c r="B47">
        <f>1.2*1.8</f>
        <v>2.16</v>
      </c>
      <c r="C47" t="str">
        <v>M2</v>
      </c>
      <c r="D47" t="str">
        <v>Ongkos pasang</v>
      </c>
      <c r="E47">
        <v>30000</v>
      </c>
      <c r="G47">
        <f>B47*E47</f>
        <v>64800.00000000001</v>
      </c>
      <c r="L47">
        <v>4</v>
      </c>
      <c r="M47" t="str">
        <v>bh</v>
      </c>
      <c r="N47" t="str">
        <v>Jack Base</v>
      </c>
      <c r="O47">
        <v>85000</v>
      </c>
      <c r="P47">
        <f>L47*O47*Q47</f>
        <v>34000</v>
      </c>
      <c r="Q47">
        <v>0.1</v>
      </c>
    </row>
    <row r="48">
      <c r="B48">
        <f>B47</f>
        <v>2.16</v>
      </c>
      <c r="C48" t="str">
        <v>M2</v>
      </c>
      <c r="D48" t="str">
        <v>Ongkos bongkar</v>
      </c>
      <c r="E48">
        <v>15000</v>
      </c>
      <c r="G48">
        <f>B48*E48</f>
        <v>32400.000000000004</v>
      </c>
      <c r="L48">
        <v>2.5</v>
      </c>
      <c r="M48" t="str">
        <v>kg</v>
      </c>
      <c r="N48" t="str">
        <v>Paku</v>
      </c>
      <c r="O48">
        <v>15000</v>
      </c>
      <c r="P48">
        <f>L48*O48*Q48</f>
        <v>37500</v>
      </c>
      <c r="Q48">
        <v>1</v>
      </c>
    </row>
    <row r="49">
      <c r="E49" t="str">
        <v>Jumlah</v>
      </c>
      <c r="F49">
        <f>SUM(F40:F46)</f>
        <v>342176</v>
      </c>
      <c r="G49">
        <f>SUM(G47:G48)</f>
        <v>97200.00000000001</v>
      </c>
      <c r="I49">
        <f>G49+F49</f>
        <v>439376</v>
      </c>
      <c r="L49">
        <f>1.2*1.8</f>
        <v>2.16</v>
      </c>
      <c r="M49" t="str">
        <v>m2</v>
      </c>
      <c r="N49" t="str">
        <v>Ongkos pasang</v>
      </c>
      <c r="O49">
        <v>40000</v>
      </c>
      <c r="P49">
        <f>L49*O49*Q49</f>
        <v>86400</v>
      </c>
      <c r="Q49">
        <v>1</v>
      </c>
    </row>
    <row r="50">
      <c r="E50" t="str">
        <v xml:space="preserve">Waste </v>
      </c>
      <c r="I50">
        <v>0</v>
      </c>
      <c r="L50">
        <f>L49</f>
        <v>2.16</v>
      </c>
      <c r="M50" t="str">
        <v>m2</v>
      </c>
      <c r="N50" t="str">
        <v>Ongkos bongkar</v>
      </c>
      <c r="O50">
        <v>20000</v>
      </c>
      <c r="P50">
        <f>L50*O50*Q50</f>
        <v>43200</v>
      </c>
      <c r="Q50">
        <v>1</v>
      </c>
    </row>
    <row r="51">
      <c r="E51" t="str">
        <v>Jumlah</v>
      </c>
      <c r="I51">
        <f>I49+I50</f>
        <v>439376</v>
      </c>
      <c r="P51">
        <f>SUM(P40:P50)</f>
        <v>412850</v>
      </c>
    </row>
    <row r="52">
      <c r="E52" t="str">
        <v>Harga per M2</v>
      </c>
      <c r="I52">
        <f>I51/(1.8*1.2)</f>
        <v>203414.8148148148</v>
      </c>
      <c r="O52" t="str">
        <v>Per m2</v>
      </c>
      <c r="P52">
        <f>P51/(1.2*1.8)</f>
        <v>191134.25925925924</v>
      </c>
    </row>
    <row r="54">
      <c r="A54">
        <v>2</v>
      </c>
      <c r="B54" t="str">
        <v>PERANCAH 1,2 x 1,8 M2, Tinggi 2.5 - 3 M</v>
      </c>
    </row>
    <row r="55">
      <c r="B55">
        <v>1</v>
      </c>
      <c r="C55" t="str">
        <v>btg</v>
      </c>
      <c r="D55" t="str">
        <v>Balok 6/12 meranti (35%)</v>
      </c>
      <c r="E55">
        <f>E40</f>
        <v>106560</v>
      </c>
      <c r="F55">
        <f>B55*E55*0.35</f>
        <v>37296</v>
      </c>
      <c r="K55">
        <f>1/(0.02*0.2*4)</f>
        <v>62.5</v>
      </c>
      <c r="N55" t="str">
        <v>Perancah Tinggi lantai 2.5~3.2 m</v>
      </c>
      <c r="Q55" t="str">
        <v>Prosentasi</v>
      </c>
    </row>
    <row r="56">
      <c r="B56">
        <v>1.5</v>
      </c>
      <c r="C56" t="str">
        <v>btg</v>
      </c>
      <c r="D56" t="str">
        <v>Usuk  5/7 meranti (50%)</v>
      </c>
      <c r="E56">
        <f>E41</f>
        <v>39200.00000000001</v>
      </c>
      <c r="F56">
        <f>B56*E56*0.5</f>
        <v>29400.000000000007</v>
      </c>
      <c r="K56">
        <f>1/(0.04*0.06*4)</f>
        <v>104.16666666666667</v>
      </c>
      <c r="L56">
        <v>1</v>
      </c>
      <c r="M56" t="str">
        <v>btg</v>
      </c>
      <c r="N56" t="str">
        <v>balok 6/12</v>
      </c>
      <c r="O56">
        <v>175000</v>
      </c>
      <c r="P56">
        <f>L56*O56*Q56</f>
        <v>43750</v>
      </c>
      <c r="Q56">
        <v>0.25</v>
      </c>
    </row>
    <row r="57">
      <c r="B57">
        <v>3.5</v>
      </c>
      <c r="C57" t="str">
        <v>btg</v>
      </c>
      <c r="D57" t="str">
        <v>Usuk  4/6 meranti</v>
      </c>
      <c r="E57">
        <f>E42</f>
        <v>26880</v>
      </c>
      <c r="F57">
        <f>B57*E57</f>
        <v>94080</v>
      </c>
      <c r="J57">
        <f>1800000/62</f>
        <v>29032.25806451613</v>
      </c>
      <c r="L57">
        <v>2</v>
      </c>
      <c r="M57" t="str">
        <v>btg</v>
      </c>
      <c r="N57" t="str">
        <v>Usuk 5/7</v>
      </c>
      <c r="O57">
        <v>40000</v>
      </c>
      <c r="P57">
        <f>L57*O57*Q57</f>
        <v>40000</v>
      </c>
      <c r="Q57">
        <v>0.5</v>
      </c>
    </row>
    <row r="58">
      <c r="B58">
        <v>2.5</v>
      </c>
      <c r="C58" t="str">
        <v>Kg</v>
      </c>
      <c r="D58" t="str">
        <v>Paku</v>
      </c>
      <c r="E58">
        <f>E43</f>
        <v>13000</v>
      </c>
      <c r="F58">
        <f>B58*E58</f>
        <v>32500</v>
      </c>
      <c r="K58">
        <f>1550000/104</f>
        <v>14903.846153846154</v>
      </c>
      <c r="L58">
        <v>1</v>
      </c>
      <c r="M58" t="str">
        <v>set</v>
      </c>
      <c r="N58" t="str">
        <v>Scafolding</v>
      </c>
      <c r="O58">
        <v>460000</v>
      </c>
      <c r="P58">
        <f>L58*O58*Q58</f>
        <v>46000</v>
      </c>
      <c r="Q58">
        <v>0.1</v>
      </c>
    </row>
    <row r="59">
      <c r="B59">
        <v>1</v>
      </c>
      <c r="C59" t="str">
        <v>set</v>
      </c>
      <c r="D59" t="str">
        <v>Scafolding (2 FR, 2 CB, 4 JP) (12,5 %)</v>
      </c>
      <c r="E59">
        <f>E44</f>
        <v>494000</v>
      </c>
      <c r="F59">
        <f>B59*E59*0.125</f>
        <v>61750</v>
      </c>
    </row>
    <row r="60">
      <c r="B60">
        <v>4</v>
      </c>
      <c r="C60" t="str">
        <v>bh</v>
      </c>
      <c r="D60" t="str">
        <v>U Head (5%)</v>
      </c>
      <c r="E60">
        <f>E45</f>
        <v>62000</v>
      </c>
      <c r="F60">
        <f>B60*E60*0.05</f>
        <v>12400</v>
      </c>
    </row>
    <row r="61">
      <c r="B61">
        <v>4</v>
      </c>
      <c r="C61" t="str">
        <v>bh</v>
      </c>
      <c r="D61" t="str">
        <v>Jack Base (5%)</v>
      </c>
      <c r="E61">
        <f>E46</f>
        <v>65000</v>
      </c>
      <c r="F61">
        <f>B61*E61*0.05</f>
        <v>13000</v>
      </c>
    </row>
    <row r="62">
      <c r="B62">
        <f>1.2*1.8</f>
        <v>2.16</v>
      </c>
      <c r="C62" t="str">
        <v>M2</v>
      </c>
      <c r="D62" t="str">
        <v>Ongkos pasang</v>
      </c>
      <c r="E62">
        <v>25000</v>
      </c>
      <c r="G62">
        <f>B62*E62</f>
        <v>54000</v>
      </c>
      <c r="L62">
        <v>4</v>
      </c>
      <c r="M62" t="str">
        <v>bh</v>
      </c>
      <c r="N62" t="str">
        <v>U Head</v>
      </c>
      <c r="O62">
        <v>90000</v>
      </c>
      <c r="P62">
        <f>L62*O62*Q62</f>
        <v>36000</v>
      </c>
      <c r="Q62">
        <v>0.1</v>
      </c>
    </row>
    <row r="63">
      <c r="B63">
        <f>B62</f>
        <v>2.16</v>
      </c>
      <c r="C63" t="str">
        <v>M2</v>
      </c>
      <c r="D63" t="str">
        <v>Ongkos bongkar</v>
      </c>
      <c r="E63">
        <v>15000</v>
      </c>
      <c r="G63">
        <f>B63*E63</f>
        <v>32400.000000000004</v>
      </c>
      <c r="L63">
        <v>4</v>
      </c>
      <c r="M63" t="str">
        <v>bh</v>
      </c>
      <c r="N63" t="str">
        <v>Jack Base</v>
      </c>
      <c r="O63">
        <v>85000</v>
      </c>
      <c r="P63">
        <f>L63*O63*Q63</f>
        <v>34000</v>
      </c>
      <c r="Q63">
        <v>0.1</v>
      </c>
    </row>
    <row r="64">
      <c r="E64" t="str">
        <v>Jumlah</v>
      </c>
      <c r="F64">
        <f>SUM(F55:F58)</f>
        <v>193276</v>
      </c>
      <c r="G64">
        <f>SUM(G62:G63)</f>
        <v>86400</v>
      </c>
      <c r="I64">
        <f>G64+F64</f>
        <v>279676</v>
      </c>
      <c r="L64">
        <v>2.5</v>
      </c>
      <c r="M64" t="str">
        <v>kg</v>
      </c>
      <c r="N64" t="str">
        <v>Paku</v>
      </c>
      <c r="O64">
        <v>15000</v>
      </c>
      <c r="P64">
        <f>L64*O64*Q64</f>
        <v>37500</v>
      </c>
      <c r="Q64">
        <v>1</v>
      </c>
    </row>
    <row r="65">
      <c r="E65" t="str">
        <v xml:space="preserve">Waste </v>
      </c>
      <c r="I65">
        <v>0</v>
      </c>
      <c r="L65">
        <f>1.2*1.8</f>
        <v>2.16</v>
      </c>
      <c r="M65" t="str">
        <v>m2</v>
      </c>
      <c r="N65" t="str">
        <v>Ongkos pasang</v>
      </c>
      <c r="O65">
        <v>35000</v>
      </c>
      <c r="P65">
        <f>L65*O65*Q65</f>
        <v>75600</v>
      </c>
      <c r="Q65">
        <v>1</v>
      </c>
    </row>
    <row r="66">
      <c r="E66" t="str">
        <v>Jumlah</v>
      </c>
      <c r="I66">
        <f>I64+I65</f>
        <v>279676</v>
      </c>
      <c r="L66">
        <f>L65</f>
        <v>2.16</v>
      </c>
      <c r="M66" t="str">
        <v>m2</v>
      </c>
      <c r="N66" t="str">
        <v>Ongkos bongkar</v>
      </c>
      <c r="O66">
        <v>15000</v>
      </c>
      <c r="P66">
        <f>L66*O66*Q66</f>
        <v>32400.000000000004</v>
      </c>
      <c r="Q66">
        <v>1</v>
      </c>
    </row>
    <row r="67">
      <c r="E67" t="str">
        <v>Harga per M2</v>
      </c>
      <c r="I67">
        <f>I66/(1.8*1.2)</f>
        <v>129479.62962962962</v>
      </c>
      <c r="P67">
        <f>SUM(P56:P66)</f>
        <v>345250</v>
      </c>
    </row>
    <row r="68">
      <c r="O68" t="str">
        <v>Per m2</v>
      </c>
      <c r="P68">
        <f>P67/(1.2*1.8)</f>
        <v>159837.96296296295</v>
      </c>
    </row>
    <row r="70">
      <c r="A70">
        <v>1</v>
      </c>
      <c r="B70" t="str">
        <v>PERANCAH M', Tinggi 4.5 - 5 M</v>
      </c>
      <c r="M70" t="str">
        <v>4 M'</v>
      </c>
      <c r="N70" t="str">
        <v>Pagar Seng T 3 m</v>
      </c>
    </row>
    <row r="71">
      <c r="B71">
        <v>1</v>
      </c>
      <c r="C71" t="str">
        <v>btg</v>
      </c>
      <c r="D71" t="str">
        <v>Balok 6/12 meranti (35%)</v>
      </c>
      <c r="E71">
        <f>E55</f>
        <v>106560</v>
      </c>
      <c r="F71">
        <f>B71*E71*0.35</f>
        <v>37296</v>
      </c>
      <c r="L71">
        <v>1.5</v>
      </c>
      <c r="M71" t="str">
        <v>btg</v>
      </c>
      <c r="N71" t="str">
        <v>Usuk meranti 6/12 (Tiang)</v>
      </c>
      <c r="O71">
        <f>O56</f>
        <v>175000</v>
      </c>
      <c r="P71">
        <f>L71*O71</f>
        <v>262500</v>
      </c>
    </row>
    <row r="72">
      <c r="B72">
        <v>1.5</v>
      </c>
      <c r="C72" t="str">
        <v>btg</v>
      </c>
      <c r="D72" t="str">
        <v>Usuk  5/7 meranti (50%)</v>
      </c>
      <c r="E72">
        <f>E56</f>
        <v>39200.00000000001</v>
      </c>
      <c r="F72">
        <f>B72*E72*0.5</f>
        <v>29400.000000000007</v>
      </c>
      <c r="L72">
        <v>3</v>
      </c>
      <c r="M72" t="str">
        <v>btg</v>
      </c>
      <c r="N72" t="str">
        <v>Usuk meranti 5/7 (rangka)</v>
      </c>
      <c r="O72">
        <f>O57</f>
        <v>40000</v>
      </c>
      <c r="P72">
        <f>L72*O72</f>
        <v>120000</v>
      </c>
    </row>
    <row r="73">
      <c r="B73">
        <v>1</v>
      </c>
      <c r="C73" t="str">
        <v>btg</v>
      </c>
      <c r="D73" t="str">
        <v>Usuk  4/6 meranti</v>
      </c>
      <c r="E73">
        <f>E57</f>
        <v>26880</v>
      </c>
      <c r="F73">
        <f>B73*E73</f>
        <v>26880</v>
      </c>
      <c r="L73">
        <v>0.5</v>
      </c>
      <c r="M73" t="str">
        <v>kg</v>
      </c>
      <c r="N73" t="str">
        <v>paku</v>
      </c>
      <c r="O73">
        <f>O66</f>
        <v>15000</v>
      </c>
      <c r="P73">
        <f>L73*O73</f>
        <v>7500</v>
      </c>
    </row>
    <row r="74">
      <c r="B74">
        <v>2</v>
      </c>
      <c r="C74" t="str">
        <v>Kg</v>
      </c>
      <c r="D74" t="str">
        <v>Paku</v>
      </c>
      <c r="E74">
        <f>E58</f>
        <v>13000</v>
      </c>
      <c r="F74">
        <f>B74*E74</f>
        <v>26000</v>
      </c>
      <c r="L74">
        <f>2*1.5*4</f>
        <v>12</v>
      </c>
      <c r="M74" t="str">
        <v>lbr</v>
      </c>
      <c r="N74" t="str">
        <v>seng gel. BJLS 20, 180x80</v>
      </c>
      <c r="O74">
        <v>40000</v>
      </c>
      <c r="P74">
        <f>L74*O74</f>
        <v>480000</v>
      </c>
    </row>
    <row r="75">
      <c r="B75">
        <v>3</v>
      </c>
      <c r="C75" t="str">
        <v>set</v>
      </c>
      <c r="D75" t="str">
        <v>Scafolding (2 FR, 2 CB, 4 JP) (12,5 %)</v>
      </c>
      <c r="E75">
        <f>E59</f>
        <v>494000</v>
      </c>
      <c r="F75">
        <f>B75*E75*0.125</f>
        <v>185250</v>
      </c>
      <c r="J75">
        <f>E75*0.125</f>
        <v>61750</v>
      </c>
    </row>
    <row r="76">
      <c r="B76">
        <v>6</v>
      </c>
      <c r="C76" t="str">
        <v>bh</v>
      </c>
      <c r="D76" t="str">
        <v>U Head (5%)</v>
      </c>
      <c r="E76">
        <f>E60</f>
        <v>62000</v>
      </c>
      <c r="F76">
        <f>B76*E76*0.05</f>
        <v>18600</v>
      </c>
    </row>
    <row r="77">
      <c r="B77">
        <v>6</v>
      </c>
      <c r="C77" t="str">
        <v>bh</v>
      </c>
      <c r="D77" t="str">
        <v>Jack Base (5%)</v>
      </c>
      <c r="E77">
        <f>E61</f>
        <v>65000</v>
      </c>
      <c r="F77">
        <f>B77*E77*0.05</f>
        <v>19500</v>
      </c>
    </row>
    <row r="78">
      <c r="B78">
        <f>1.2*1.8</f>
        <v>2.16</v>
      </c>
      <c r="C78" t="str">
        <v>M2</v>
      </c>
      <c r="D78" t="str">
        <v>Ongkos pasang</v>
      </c>
      <c r="E78">
        <f>E47</f>
        <v>30000</v>
      </c>
      <c r="G78">
        <f>B78*E78</f>
        <v>64800.00000000001</v>
      </c>
      <c r="L78">
        <v>4</v>
      </c>
      <c r="M78" t="str">
        <v>m'</v>
      </c>
      <c r="N78" t="str">
        <v>Ongkos pasang</v>
      </c>
      <c r="O78">
        <v>20000</v>
      </c>
      <c r="P78">
        <f>L78*O78</f>
        <v>80000</v>
      </c>
    </row>
    <row r="79">
      <c r="B79">
        <f>B78</f>
        <v>2.16</v>
      </c>
      <c r="C79" t="str">
        <v>M2</v>
      </c>
      <c r="D79" t="str">
        <v>Ongkos bongkar</v>
      </c>
      <c r="E79">
        <f>E48</f>
        <v>15000</v>
      </c>
      <c r="G79">
        <f>B79*E79</f>
        <v>32400.000000000004</v>
      </c>
      <c r="L79">
        <v>1.5</v>
      </c>
      <c r="M79" t="str">
        <v>bh</v>
      </c>
      <c r="N79" t="str">
        <v>Cor pondasi</v>
      </c>
      <c r="O79">
        <v>100000</v>
      </c>
      <c r="P79">
        <f>L79*O79</f>
        <v>150000</v>
      </c>
    </row>
    <row r="80">
      <c r="E80" t="str">
        <v>Jumlah</v>
      </c>
      <c r="F80">
        <f>SUM(F71:F79)</f>
        <v>342926</v>
      </c>
      <c r="G80">
        <f>SUM(G78:G79)</f>
        <v>97200.00000000001</v>
      </c>
      <c r="I80">
        <f>G80+F80</f>
        <v>440126</v>
      </c>
      <c r="P80">
        <f>SUM(P71:P79)</f>
        <v>1100000</v>
      </c>
    </row>
    <row r="81">
      <c r="E81" t="str">
        <v xml:space="preserve">Waste </v>
      </c>
      <c r="I81">
        <v>0</v>
      </c>
      <c r="O81" t="str">
        <v>per m'</v>
      </c>
      <c r="P81">
        <f>P80/4</f>
        <v>275000</v>
      </c>
    </row>
    <row r="82">
      <c r="E82" t="str">
        <v>Jumlah</v>
      </c>
      <c r="I82">
        <f>I80+I81</f>
        <v>440126</v>
      </c>
    </row>
    <row r="83">
      <c r="E83" t="str">
        <v>Harga per M2</v>
      </c>
      <c r="I83">
        <f>I82/(1.2*1.8)</f>
        <v>203762.03703703702</v>
      </c>
      <c r="M83" t="str">
        <v>4 M'</v>
      </c>
      <c r="N83" t="str">
        <v>Euitset/Bouwplank T 1,5 m</v>
      </c>
    </row>
    <row r="84">
      <c r="L84">
        <v>1</v>
      </c>
      <c r="M84" t="str">
        <v>btg</v>
      </c>
      <c r="N84" t="str">
        <v>Usuk meranti 5/7 (Tiang)</v>
      </c>
      <c r="O84">
        <f>O72</f>
        <v>40000</v>
      </c>
      <c r="P84">
        <f>L84*O84</f>
        <v>40000</v>
      </c>
    </row>
    <row r="85">
      <c r="A85">
        <v>2</v>
      </c>
      <c r="B85" t="str">
        <v>PERANCAH M', Tinggi 2.5 - 3 M</v>
      </c>
      <c r="L85">
        <v>1</v>
      </c>
      <c r="M85" t="str">
        <v>btg</v>
      </c>
      <c r="N85" t="str">
        <v>Papan meranti 2/20 (rangka)</v>
      </c>
      <c r="O85">
        <v>43500</v>
      </c>
      <c r="P85">
        <f>L85*O85</f>
        <v>43500</v>
      </c>
    </row>
    <row r="86">
      <c r="B86">
        <v>1</v>
      </c>
      <c r="C86" t="str">
        <v>btg</v>
      </c>
      <c r="D86" t="str">
        <v>Balok 6/12 meranti (35%)</v>
      </c>
      <c r="E86">
        <f>E71</f>
        <v>106560</v>
      </c>
      <c r="F86">
        <f>B86*E86*0.35</f>
        <v>37296</v>
      </c>
      <c r="L86">
        <v>0.35</v>
      </c>
      <c r="M86" t="str">
        <v>kg</v>
      </c>
      <c r="N86" t="str">
        <v>paku</v>
      </c>
      <c r="O86">
        <f>O73</f>
        <v>15000</v>
      </c>
      <c r="P86">
        <f>L86*O86</f>
        <v>5250</v>
      </c>
    </row>
    <row r="87">
      <c r="B87">
        <v>1.5</v>
      </c>
      <c r="C87" t="str">
        <v>btg</v>
      </c>
      <c r="D87" t="str">
        <v>Usuk  5/7 meranti (50%)</v>
      </c>
      <c r="E87">
        <f>E72</f>
        <v>39200.00000000001</v>
      </c>
      <c r="F87">
        <f>B87*E87*0.5</f>
        <v>29400.000000000007</v>
      </c>
      <c r="L87">
        <v>4</v>
      </c>
      <c r="M87" t="str">
        <v>m'</v>
      </c>
      <c r="N87" t="str">
        <v>Ongkos bouwplank</v>
      </c>
      <c r="O87">
        <v>17000</v>
      </c>
      <c r="P87">
        <f>L87*O87</f>
        <v>68000</v>
      </c>
    </row>
    <row r="88">
      <c r="B88">
        <v>1</v>
      </c>
      <c r="C88" t="str">
        <v>btg</v>
      </c>
      <c r="D88" t="str">
        <v>Usuk  4/6 meranti</v>
      </c>
      <c r="E88">
        <f>E73</f>
        <v>26880</v>
      </c>
      <c r="F88">
        <f>B88*E88</f>
        <v>26880</v>
      </c>
      <c r="P88">
        <f>SUM(P84:P87)</f>
        <v>156750</v>
      </c>
    </row>
    <row r="89">
      <c r="B89">
        <v>2</v>
      </c>
      <c r="C89" t="str">
        <v>Kg</v>
      </c>
      <c r="D89" t="str">
        <v>Paku</v>
      </c>
      <c r="E89">
        <f>E74</f>
        <v>13000</v>
      </c>
      <c r="F89">
        <f>B89*E89</f>
        <v>26000</v>
      </c>
      <c r="O89" t="str">
        <v>per m'</v>
      </c>
      <c r="P89">
        <f>P88/4</f>
        <v>39187.5</v>
      </c>
    </row>
    <row r="90">
      <c r="B90">
        <v>1.5</v>
      </c>
      <c r="C90" t="str">
        <v>set</v>
      </c>
      <c r="D90" t="str">
        <v>Scafolding (2 FR, 2 CB, 4 JP) (12,5 %)</v>
      </c>
      <c r="E90">
        <f>E75</f>
        <v>494000</v>
      </c>
      <c r="F90">
        <f>B90*E90*0.125</f>
        <v>92625</v>
      </c>
    </row>
    <row r="91">
      <c r="B91">
        <v>6</v>
      </c>
      <c r="C91" t="str">
        <v>bh</v>
      </c>
      <c r="D91" t="str">
        <v>U Head (5%)</v>
      </c>
      <c r="E91">
        <f>E76</f>
        <v>62000</v>
      </c>
      <c r="F91">
        <f>B91*E91*0.05</f>
        <v>18600</v>
      </c>
    </row>
    <row r="92">
      <c r="B92">
        <v>6</v>
      </c>
      <c r="C92" t="str">
        <v>bh</v>
      </c>
      <c r="D92" t="str">
        <v>Jack Base (5%)</v>
      </c>
      <c r="E92">
        <f>E77</f>
        <v>65000</v>
      </c>
      <c r="F92">
        <f>B92*E92*0.05</f>
        <v>19500</v>
      </c>
    </row>
    <row r="93">
      <c r="B93">
        <f>1.2*1.8</f>
        <v>2.16</v>
      </c>
      <c r="C93" t="str">
        <v>M2</v>
      </c>
      <c r="D93" t="str">
        <v>Ongkos pasang</v>
      </c>
      <c r="E93">
        <f>E62</f>
        <v>25000</v>
      </c>
      <c r="G93">
        <f>B93*E93</f>
        <v>54000</v>
      </c>
    </row>
    <row r="94">
      <c r="B94">
        <f>B93</f>
        <v>2.16</v>
      </c>
      <c r="C94" t="str">
        <v>M2</v>
      </c>
      <c r="D94" t="str">
        <v>Ongkos bongkar</v>
      </c>
      <c r="E94">
        <f>E63</f>
        <v>15000</v>
      </c>
      <c r="G94">
        <f>B94*E94</f>
        <v>32400.000000000004</v>
      </c>
    </row>
    <row r="95">
      <c r="E95" t="str">
        <v>Jumlah</v>
      </c>
      <c r="F95">
        <f>SUM(F86:F94)</f>
        <v>250301</v>
      </c>
      <c r="G95">
        <f>SUM(G93:G94)</f>
        <v>86400</v>
      </c>
      <c r="I95">
        <f>G95+F95</f>
        <v>336701</v>
      </c>
    </row>
    <row r="96">
      <c r="E96" t="str">
        <v xml:space="preserve">Waste </v>
      </c>
      <c r="I96">
        <v>0</v>
      </c>
    </row>
    <row r="97">
      <c r="E97" t="str">
        <v>Jumlah</v>
      </c>
      <c r="I97">
        <f>I95+I96</f>
        <v>336701</v>
      </c>
    </row>
    <row r="98">
      <c r="E98" t="str">
        <v>Harga per M2</v>
      </c>
      <c r="I98">
        <f>I97/(1.2*1.8)</f>
        <v>155880.09259259258</v>
      </c>
    </row>
    <row r="101">
      <c r="B101" t="str">
        <v>1 m2 Bekisting Bata Merah untuk Poer dan Sloof (campuran 1:4)</v>
      </c>
    </row>
    <row r="102">
      <c r="B102">
        <v>70</v>
      </c>
      <c r="C102" t="str">
        <v>pcs</v>
      </c>
      <c r="D102" t="str">
        <v>Bata Biasa (poklu')</v>
      </c>
      <c r="E102">
        <f>Material!$G$76</f>
        <v>750</v>
      </c>
      <c r="F102">
        <f>B102*E102</f>
        <v>52500</v>
      </c>
    </row>
    <row r="103">
      <c r="B103">
        <f>0.3*1.2</f>
        <v>0.36</v>
      </c>
      <c r="C103" t="str">
        <v>sak</v>
      </c>
      <c r="D103" t="str">
        <v>Semen PC @50kg</v>
      </c>
      <c r="E103">
        <f>Material!$G$14</f>
        <v>65000</v>
      </c>
      <c r="F103">
        <f>B103*E103</f>
        <v>23400</v>
      </c>
    </row>
    <row r="104">
      <c r="B104">
        <f>0.06*1.2</f>
        <v>0.072</v>
      </c>
      <c r="C104" t="str">
        <v>m3</v>
      </c>
      <c r="D104" t="str">
        <v>Pasir  Kertosono</v>
      </c>
      <c r="E104">
        <f>Material!$G$8</f>
        <v>350000</v>
      </c>
      <c r="F104">
        <f>B104*E104</f>
        <v>25199.999999999996</v>
      </c>
    </row>
    <row r="105">
      <c r="B105">
        <f>0.25*1.2</f>
        <v>0.3</v>
      </c>
      <c r="C105" t="str">
        <v>m3</v>
      </c>
      <c r="D105" t="str">
        <v>Air Kerja</v>
      </c>
      <c r="E105">
        <f>Material!$G$21</f>
        <v>40000</v>
      </c>
      <c r="F105">
        <f>B105*E105</f>
        <v>12000</v>
      </c>
    </row>
    <row r="107">
      <c r="E107" t="str">
        <v>Jumlah</v>
      </c>
      <c r="F107">
        <f>SUM(F101:F106)</f>
        <v>113100</v>
      </c>
      <c r="G107">
        <f>SUM(G101:G106)</f>
        <v>0</v>
      </c>
      <c r="H107">
        <f>SUM(H101:H106)</f>
        <v>0</v>
      </c>
      <c r="I107">
        <f>SUM(F107:H107)</f>
        <v>113100</v>
      </c>
    </row>
    <row r="109">
      <c r="B109" t="str">
        <v>1 m2 Bekisting Batako POSISI BERDIRI untuk Poer dan Sloof</v>
      </c>
    </row>
    <row r="110">
      <c r="B110">
        <f>14</f>
        <v>14</v>
      </c>
      <c r="C110" t="str">
        <v>pcs</v>
      </c>
      <c r="D110" t="str">
        <v>Batako</v>
      </c>
      <c r="E110">
        <f>Material!$G$20</f>
        <v>4500</v>
      </c>
      <c r="F110">
        <f>B110*E110</f>
        <v>63000</v>
      </c>
    </row>
    <row r="111">
      <c r="B111">
        <f>6.046*(1*0.1*0.015*6+1*0.1*0.015*3)*1.1</f>
        <v>0.08978310000000002</v>
      </c>
      <c r="C111" t="str">
        <v>sak</v>
      </c>
      <c r="D111" t="str">
        <v>Semen PC @50kg</v>
      </c>
      <c r="E111">
        <f>Material!$G$14</f>
        <v>65000</v>
      </c>
      <c r="F111">
        <f>B111*E111</f>
        <v>5835.901500000001</v>
      </c>
    </row>
    <row r="112">
      <c r="B112">
        <f>1.209*(1*0.1*0.015*6+1*0.1*0.015*3)*1.1</f>
        <v>0.017953650000000005</v>
      </c>
      <c r="C112" t="str">
        <v>m3</v>
      </c>
      <c r="D112" t="str">
        <v>Pasir  Kertosono</v>
      </c>
      <c r="E112">
        <f>Material!$G$8</f>
        <v>350000</v>
      </c>
      <c r="F112">
        <f>B112*E112</f>
        <v>6283.777500000002</v>
      </c>
    </row>
    <row r="113">
      <c r="B113">
        <f>0.25*1.2</f>
        <v>0.3</v>
      </c>
      <c r="C113" t="str">
        <v>m3</v>
      </c>
      <c r="D113" t="str">
        <v>Air Kerja</v>
      </c>
      <c r="E113">
        <f>Material!$G$21</f>
        <v>40000</v>
      </c>
      <c r="F113">
        <f>B113*E113</f>
        <v>12000</v>
      </c>
    </row>
    <row r="115">
      <c r="E115" t="str">
        <v>Jumlah</v>
      </c>
      <c r="F115">
        <f>SUM(F109:F114)</f>
        <v>87119.679</v>
      </c>
      <c r="G115">
        <f>SUM(G109:G114)</f>
        <v>0</v>
      </c>
      <c r="H115">
        <f>SUM(H109:H114)</f>
        <v>0</v>
      </c>
      <c r="I115">
        <f>SUM(F115:H115)</f>
        <v>87119.679</v>
      </c>
    </row>
    <row r="117">
      <c r="B117" t="str">
        <v>1 m2 Bekisting Batako POSISI TIDUR untuk Poer dan Sloof</v>
      </c>
    </row>
    <row r="118">
      <c r="B118">
        <v>26</v>
      </c>
      <c r="C118" t="str">
        <v>pcs</v>
      </c>
      <c r="D118" t="str">
        <v>Batako</v>
      </c>
      <c r="E118">
        <f>Material!$G$20</f>
        <v>4500</v>
      </c>
      <c r="F118">
        <f>B118*E118</f>
        <v>117000</v>
      </c>
    </row>
    <row r="119">
      <c r="B119">
        <f>6.046*(1*0.2*0.015*11+1*0.2*0.015*3)*1.1</f>
        <v>0.27932520000000005</v>
      </c>
      <c r="C119" t="str">
        <v>sak</v>
      </c>
      <c r="D119" t="str">
        <v>Semen PC @50kg</v>
      </c>
      <c r="E119">
        <f>Material!$G$14</f>
        <v>65000</v>
      </c>
      <c r="F119">
        <f>B119*E119</f>
        <v>18156.138000000003</v>
      </c>
    </row>
    <row r="120">
      <c r="B120">
        <f>1.209*(1*0.2*0.015*11+1*0.2*0.015*3)*1.1</f>
        <v>0.05585580000000001</v>
      </c>
      <c r="C120" t="str">
        <v>m3</v>
      </c>
      <c r="D120" t="str">
        <v>Pasir  Kertosono</v>
      </c>
      <c r="E120">
        <f>Material!$G$8</f>
        <v>350000</v>
      </c>
      <c r="F120">
        <f>B120*E120</f>
        <v>19549.530000000002</v>
      </c>
    </row>
    <row r="121">
      <c r="B121">
        <f>0.25*1.2</f>
        <v>0.3</v>
      </c>
      <c r="C121" t="str">
        <v>m3</v>
      </c>
      <c r="D121" t="str">
        <v>Air Kerja</v>
      </c>
      <c r="E121">
        <f>Material!$G$21</f>
        <v>40000</v>
      </c>
      <c r="F121">
        <f>B121*E121</f>
        <v>12000</v>
      </c>
    </row>
    <row r="123">
      <c r="E123" t="str">
        <v>Jumlah</v>
      </c>
      <c r="F123">
        <f>SUM(F117:F122)</f>
        <v>166705.668</v>
      </c>
      <c r="G123">
        <f>SUM(G117:G122)</f>
        <v>0</v>
      </c>
      <c r="H123">
        <f>SUM(H117:H122)</f>
        <v>0</v>
      </c>
      <c r="I123">
        <f>SUM(F123:H123)</f>
        <v>166705.668</v>
      </c>
    </row>
    <row r="124">
      <c r="B124" t="str">
        <v>Bekisting Kolom</v>
      </c>
      <c r="D124" t="str">
        <v>17x40 Tinggi 4 m</v>
      </c>
    </row>
    <row r="125">
      <c r="B125">
        <v>2</v>
      </c>
      <c r="C125" t="str">
        <v>lbr</v>
      </c>
      <c r="D125" t="str">
        <v>Multipleks 15 mm</v>
      </c>
      <c r="E125">
        <f>Material!$G$65</f>
        <v>200000</v>
      </c>
      <c r="F125">
        <f>B125*E125*1</f>
        <v>400000</v>
      </c>
    </row>
    <row r="126">
      <c r="B126">
        <v>10</v>
      </c>
      <c r="C126" t="str">
        <v>btg</v>
      </c>
      <c r="D126" t="str">
        <v>Usuk 5/7</v>
      </c>
      <c r="E126">
        <f>Material!$G$53</f>
        <v>58800</v>
      </c>
      <c r="F126">
        <f>B126*E126</f>
        <v>588000</v>
      </c>
    </row>
    <row r="127">
      <c r="B127">
        <v>2</v>
      </c>
      <c r="C127" t="str">
        <v>btg</v>
      </c>
      <c r="D127" t="str">
        <v>Usuk 5/7</v>
      </c>
      <c r="E127">
        <f>Material!$G$53</f>
        <v>58800</v>
      </c>
      <c r="F127">
        <f>B127*E127</f>
        <v>117600</v>
      </c>
    </row>
    <row r="128">
      <c r="B128">
        <v>2</v>
      </c>
      <c r="C128" t="str">
        <v>kg</v>
      </c>
      <c r="D128" t="str">
        <v>Paku</v>
      </c>
      <c r="E128">
        <f>Material!$G$74</f>
        <v>13000</v>
      </c>
      <c r="F128">
        <f>B128*E128</f>
        <v>26000</v>
      </c>
    </row>
    <row r="129">
      <c r="B129">
        <f>0.5*((0.17+0.4)*2*4)</f>
        <v>2.2800000000000002</v>
      </c>
      <c r="C129" t="str">
        <v>ltr</v>
      </c>
      <c r="D129" t="str">
        <v>Form oil</v>
      </c>
      <c r="E129">
        <f>Material!$G$31</f>
        <v>27500</v>
      </c>
      <c r="F129">
        <f>B129*E129</f>
        <v>62700.00000000001</v>
      </c>
    </row>
    <row r="131">
      <c r="E131" t="str">
        <v>Jumlah</v>
      </c>
      <c r="F131">
        <f>SUM(F124:F129)</f>
        <v>1194300</v>
      </c>
      <c r="G131">
        <f>SUM(G124:G129)</f>
        <v>0</v>
      </c>
      <c r="H131">
        <f>SUM(H124:H129)</f>
        <v>0</v>
      </c>
      <c r="I131">
        <f>SUM(F131:H131)</f>
        <v>1194300</v>
      </c>
    </row>
    <row r="132">
      <c r="E132" t="str">
        <v>Harga per m2</v>
      </c>
      <c r="F132">
        <f>F131/((0.17+0.4)*2*4)/$K$132</f>
        <v>130953.94736842104</v>
      </c>
      <c r="G132">
        <f>G131/((0.17+0.4)*2*4)/$K$132</f>
        <v>0</v>
      </c>
      <c r="H132">
        <f>H131/((0.17+0.4)*2*4)/$K$132</f>
        <v>0</v>
      </c>
      <c r="I132">
        <f>I131/((0.17+0.4)*2*4)/$K$132</f>
        <v>130953.94736842104</v>
      </c>
      <c r="J132" t="str">
        <v>JML SIKLUS</v>
      </c>
      <c r="K132">
        <v>2</v>
      </c>
    </row>
    <row r="134">
      <c r="B134" t="str">
        <v>Bekisting Balok</v>
      </c>
      <c r="D134" t="str">
        <v>30x50 panjang 4 m</v>
      </c>
    </row>
    <row r="135">
      <c r="B135">
        <v>2</v>
      </c>
      <c r="C135" t="str">
        <v>lbr</v>
      </c>
      <c r="D135" t="str">
        <v>Multipleks 15 mm</v>
      </c>
      <c r="E135">
        <f>Material!$G$65</f>
        <v>200000</v>
      </c>
      <c r="F135">
        <f>B135*E135*1</f>
        <v>400000</v>
      </c>
    </row>
    <row r="136">
      <c r="B136">
        <v>9</v>
      </c>
      <c r="C136" t="str">
        <v>btg</v>
      </c>
      <c r="D136" t="str">
        <v>Usuk 5/7 (vertikal)</v>
      </c>
      <c r="E136">
        <f>Material!$G$53</f>
        <v>58800</v>
      </c>
      <c r="F136">
        <f>B136*E136</f>
        <v>529200</v>
      </c>
    </row>
    <row r="137">
      <c r="B137">
        <v>3</v>
      </c>
      <c r="C137" t="str">
        <v>btg</v>
      </c>
      <c r="D137" t="str">
        <v>Usuk 5/7 (horizontal)</v>
      </c>
      <c r="E137">
        <f>Material!$G$53</f>
        <v>58800</v>
      </c>
      <c r="F137">
        <f>B137*E137</f>
        <v>176400</v>
      </c>
    </row>
    <row r="138">
      <c r="B138">
        <v>1.5</v>
      </c>
      <c r="C138" t="str">
        <v>kg</v>
      </c>
      <c r="D138" t="str">
        <v>Paku</v>
      </c>
      <c r="E138">
        <f>Material!$G$74</f>
        <v>13000</v>
      </c>
      <c r="F138">
        <f>B138*E138</f>
        <v>19500</v>
      </c>
    </row>
    <row r="139">
      <c r="B139">
        <v>0.5</v>
      </c>
      <c r="C139" t="str">
        <v>ltr</v>
      </c>
      <c r="D139" t="str">
        <v>Form oil</v>
      </c>
      <c r="E139">
        <f>Material!$G$31</f>
        <v>27500</v>
      </c>
      <c r="F139">
        <f>B139*E139</f>
        <v>13750</v>
      </c>
    </row>
    <row r="140">
      <c r="B140">
        <v>1</v>
      </c>
      <c r="C140" t="str">
        <v>m2</v>
      </c>
      <c r="D140" t="str">
        <v>Perancah Bekisting Balok</v>
      </c>
      <c r="E140">
        <f>$I$83</f>
        <v>203762.03703703702</v>
      </c>
      <c r="H140">
        <f>B140*E140</f>
        <v>203762.03703703702</v>
      </c>
    </row>
    <row r="142">
      <c r="E142" t="str">
        <v>Jumlah</v>
      </c>
      <c r="F142">
        <f>SUM(F134:F141)</f>
        <v>1138850</v>
      </c>
      <c r="G142">
        <f>SUM(G134:G141)</f>
        <v>0</v>
      </c>
      <c r="H142">
        <f>SUM(H134:H141)</f>
        <v>203762.03703703702</v>
      </c>
      <c r="I142">
        <f>SUM(F142:H142)</f>
        <v>1342612.037037037</v>
      </c>
    </row>
    <row r="143">
      <c r="E143" t="str">
        <v>Harga per m2</v>
      </c>
      <c r="F143">
        <f>F142/((0.3+0.35*2)*4)/$K$143</f>
        <v>284712.5</v>
      </c>
      <c r="G143">
        <f>G142/((0.3+0.35*2)*4)/$K$143</f>
        <v>0</v>
      </c>
      <c r="H143">
        <f>H142/((0.3+0.35*2)*4)/$K$143</f>
        <v>50940.509259259255</v>
      </c>
      <c r="I143">
        <f>I142/((0.3+0.35*2)*4)/$K$143</f>
        <v>335653.00925925927</v>
      </c>
      <c r="J143" t="str">
        <v>JML SIKLUS</v>
      </c>
      <c r="K143">
        <v>1</v>
      </c>
    </row>
    <row r="145">
      <c r="B145" t="str">
        <v>Bekisting plat</v>
      </c>
      <c r="D145" t="str">
        <v>1,2x2,4 m</v>
      </c>
    </row>
    <row r="146">
      <c r="B146">
        <v>1</v>
      </c>
      <c r="C146" t="str">
        <v>lbr</v>
      </c>
      <c r="D146" t="str">
        <v>Multipleks 15 mm</v>
      </c>
      <c r="E146">
        <f>Material!$G$65</f>
        <v>200000</v>
      </c>
      <c r="F146">
        <f>B146*E146*1</f>
        <v>200000</v>
      </c>
    </row>
    <row r="147">
      <c r="B147">
        <v>5</v>
      </c>
      <c r="C147" t="str">
        <v>btg</v>
      </c>
      <c r="D147" t="str">
        <v>Usuk 5/7</v>
      </c>
      <c r="E147">
        <f>Material!$G$53</f>
        <v>58800</v>
      </c>
      <c r="F147">
        <f>B147*E147</f>
        <v>294000</v>
      </c>
    </row>
    <row r="148">
      <c r="B148">
        <v>1.5</v>
      </c>
      <c r="C148" t="str">
        <v>kg</v>
      </c>
      <c r="D148" t="str">
        <v>Paku</v>
      </c>
      <c r="E148">
        <f>Material!$G$74</f>
        <v>13000</v>
      </c>
      <c r="F148">
        <f>B148*E148</f>
        <v>19500</v>
      </c>
    </row>
    <row r="149">
      <c r="B149">
        <f>0.5*1.2*2.4</f>
        <v>1.44</v>
      </c>
      <c r="C149" t="str">
        <v>ltr</v>
      </c>
      <c r="D149" t="str">
        <v>Form oil</v>
      </c>
      <c r="E149">
        <f>Material!$G$31</f>
        <v>27500</v>
      </c>
      <c r="F149">
        <f>B149*E149</f>
        <v>39600</v>
      </c>
    </row>
    <row r="150">
      <c r="B150">
        <v>1</v>
      </c>
      <c r="C150" t="str">
        <v>m2</v>
      </c>
      <c r="D150" t="str">
        <v>Perancah Bekisting Plat</v>
      </c>
      <c r="E150">
        <f>$I$52</f>
        <v>203414.8148148148</v>
      </c>
      <c r="H150">
        <f>B150*E150</f>
        <v>203414.8148148148</v>
      </c>
    </row>
    <row r="152">
      <c r="E152" t="str">
        <v>Jumlah</v>
      </c>
      <c r="F152">
        <f>SUM(F145:F151)</f>
        <v>553100</v>
      </c>
      <c r="G152">
        <f>SUM(G145:G151)</f>
        <v>0</v>
      </c>
      <c r="H152">
        <f>SUM(H145:H151)</f>
        <v>203414.8148148148</v>
      </c>
      <c r="I152">
        <f>SUM(F152:H152)</f>
        <v>756514.8148148148</v>
      </c>
    </row>
    <row r="153">
      <c r="E153" t="str">
        <v>Harga per m2</v>
      </c>
      <c r="F153">
        <f>F152/(1.2*2.4)/$K$153</f>
        <v>96024.30555555556</v>
      </c>
      <c r="G153">
        <f>G152/(1.2*2.4)/$K$153</f>
        <v>0</v>
      </c>
      <c r="H153">
        <f>H152/(1.2*2.4)/$K$153</f>
        <v>35315.0720164609</v>
      </c>
      <c r="I153">
        <f>I152/(1.2*2.4)/$K$153</f>
        <v>131339.37757201647</v>
      </c>
      <c r="J153" t="str">
        <v>JML SIKLUS</v>
      </c>
      <c r="K153">
        <v>2</v>
      </c>
    </row>
    <row r="155">
      <c r="B155" t="str">
        <v>Bekisting dinding beton</v>
      </c>
      <c r="D155" t="str">
        <v>1,2x2,4 m</v>
      </c>
    </row>
    <row r="156">
      <c r="B156">
        <v>1</v>
      </c>
      <c r="C156" t="str">
        <v>lbr</v>
      </c>
      <c r="D156" t="str">
        <v>Multipleks 15 mm</v>
      </c>
      <c r="E156">
        <f>Material!$G$65</f>
        <v>200000</v>
      </c>
      <c r="F156">
        <f>B156*E156*1</f>
        <v>200000</v>
      </c>
    </row>
    <row r="157">
      <c r="B157">
        <v>6</v>
      </c>
      <c r="C157" t="str">
        <v>btg</v>
      </c>
      <c r="D157" t="str">
        <v>Usuk 5/7</v>
      </c>
      <c r="E157">
        <f>Material!$G$53</f>
        <v>58800</v>
      </c>
      <c r="F157">
        <f>B157*E157</f>
        <v>352800</v>
      </c>
    </row>
    <row r="158">
      <c r="B158">
        <v>1.5</v>
      </c>
      <c r="C158" t="str">
        <v>kg</v>
      </c>
      <c r="D158" t="str">
        <v>Paku</v>
      </c>
      <c r="E158">
        <f>Material!$G$74</f>
        <v>13000</v>
      </c>
      <c r="F158">
        <f>B158*E158</f>
        <v>19500</v>
      </c>
    </row>
    <row r="159">
      <c r="B159">
        <f>0.5*1.2*2.4</f>
        <v>1.44</v>
      </c>
      <c r="C159" t="str">
        <v>ltr</v>
      </c>
      <c r="D159" t="str">
        <v>Form oil</v>
      </c>
      <c r="E159">
        <f>Material!$G$31</f>
        <v>27500</v>
      </c>
      <c r="F159">
        <f>B159*E159</f>
        <v>39600</v>
      </c>
    </row>
    <row r="161">
      <c r="E161" t="str">
        <v>Jumlah</v>
      </c>
      <c r="F161">
        <f>SUM(F155:F160)</f>
        <v>611900</v>
      </c>
      <c r="G161">
        <f>SUM(G155:G160)</f>
        <v>0</v>
      </c>
      <c r="H161">
        <f>SUM(H155:H160)</f>
        <v>0</v>
      </c>
      <c r="I161">
        <f>SUM(F161:H161)</f>
        <v>611900</v>
      </c>
    </row>
    <row r="162">
      <c r="E162" t="str">
        <v>Harga per m2</v>
      </c>
      <c r="F162">
        <f>F161/(1.2*2.4)/$K$162</f>
        <v>106232.63888888889</v>
      </c>
      <c r="G162">
        <f>G161/(1.2*2.4)/$K$162</f>
        <v>0</v>
      </c>
      <c r="H162">
        <f>H161/(1.2*2.4)/$K$162</f>
        <v>0</v>
      </c>
      <c r="I162">
        <f>I161/(1.2*2.4)/$K$162</f>
        <v>106232.63888888889</v>
      </c>
      <c r="J162" t="str">
        <v>JML SIKLUS</v>
      </c>
      <c r="K162">
        <v>2</v>
      </c>
    </row>
    <row r="164">
      <c r="B164" t="str">
        <v>Bekisting bondek</v>
      </c>
    </row>
    <row r="165">
      <c r="B165">
        <v>1.1</v>
      </c>
      <c r="C165" t="str">
        <v>m2</v>
      </c>
      <c r="D165" t="str">
        <v>Structural decking 0,75 mm TCT</v>
      </c>
      <c r="E165">
        <f>Material!$G$50</f>
        <v>150000</v>
      </c>
      <c r="F165">
        <f>B165*E165*1</f>
        <v>165000</v>
      </c>
    </row>
    <row r="166">
      <c r="B166">
        <v>1</v>
      </c>
      <c r="C166" t="str">
        <v>m2</v>
      </c>
      <c r="D166" t="str">
        <v>Ongkos pasang bekisting</v>
      </c>
      <c r="E166">
        <f>Upah!$D$30</f>
        <v>85000</v>
      </c>
      <c r="G166">
        <f>B166*E166</f>
        <v>85000</v>
      </c>
    </row>
    <row r="168">
      <c r="E168" t="str">
        <v>Harga per m2</v>
      </c>
      <c r="F168">
        <f>SUM(F164:F167)</f>
        <v>165000</v>
      </c>
      <c r="G168">
        <f>SUM(G164:G167)</f>
        <v>85000</v>
      </c>
      <c r="I168">
        <f>SUM(F168:G168)</f>
        <v>250000</v>
      </c>
    </row>
    <row r="171">
      <c r="B171" t="str">
        <v>Pengecoran Beton Readymix (KHUSUS POER)</v>
      </c>
    </row>
    <row r="172">
      <c r="B172">
        <v>1.2</v>
      </c>
      <c r="C172" t="str">
        <v>m3</v>
      </c>
      <c r="D172" t="str">
        <v>Beton readymix K-350 slump 18 ± 2 cm</v>
      </c>
      <c r="E172">
        <f>Material!$G$12</f>
        <v>1165500</v>
      </c>
      <c r="F172">
        <f>B172*E172*1</f>
        <v>1398600</v>
      </c>
    </row>
    <row r="173">
      <c r="B173">
        <v>1</v>
      </c>
      <c r="C173" t="str">
        <v>m3</v>
      </c>
      <c r="D173" t="str">
        <v>Sewa vibrator</v>
      </c>
      <c r="E173">
        <f>Upah!$D$21</f>
        <v>15000</v>
      </c>
      <c r="H173">
        <f>B173*E173</f>
        <v>15000</v>
      </c>
    </row>
    <row r="174">
      <c r="B174">
        <v>1</v>
      </c>
      <c r="C174" t="str">
        <v>m3</v>
      </c>
      <c r="D174" t="str">
        <v>Sewa concrete pump</v>
      </c>
      <c r="E174">
        <v>75000</v>
      </c>
      <c r="H174">
        <f>B174*E174</f>
        <v>75000</v>
      </c>
    </row>
    <row r="175">
      <c r="B175">
        <v>1</v>
      </c>
      <c r="C175" t="str">
        <v>m3</v>
      </c>
      <c r="D175" t="str">
        <v>Upah cor, besi, bekisting borongan</v>
      </c>
      <c r="E175">
        <f>Upah!$D$76</f>
        <v>800000</v>
      </c>
      <c r="G175">
        <f>B175*E175</f>
        <v>800000</v>
      </c>
    </row>
    <row r="177">
      <c r="E177" t="str">
        <v>Jumlah</v>
      </c>
      <c r="F177">
        <f>SUM(F171:F176)</f>
        <v>1398600</v>
      </c>
      <c r="G177">
        <f>SUM(G171:G176)</f>
        <v>800000</v>
      </c>
      <c r="H177">
        <f>SUM(H171:H176)</f>
        <v>90000</v>
      </c>
      <c r="I177">
        <f>SUM(F177:H177)</f>
        <v>2288600</v>
      </c>
    </row>
    <row r="179">
      <c r="B179" t="str">
        <v>Pengecoran Beton Readymix (KHUSUS SLOOF)</v>
      </c>
    </row>
    <row r="180">
      <c r="B180">
        <v>1.2</v>
      </c>
      <c r="C180" t="str">
        <v>m3</v>
      </c>
      <c r="D180" t="str">
        <v>Beton readymix K-350 slump 18 ± 2 cm</v>
      </c>
      <c r="E180">
        <f>Material!$G$12</f>
        <v>1165500</v>
      </c>
      <c r="F180">
        <f>B180*E180*1</f>
        <v>1398600</v>
      </c>
    </row>
    <row r="181">
      <c r="B181">
        <v>1</v>
      </c>
      <c r="C181" t="str">
        <v>m3</v>
      </c>
      <c r="D181" t="str">
        <v>Sewa vibrator</v>
      </c>
      <c r="E181">
        <f>Upah!$D$21</f>
        <v>15000</v>
      </c>
      <c r="H181">
        <f>B181*E181</f>
        <v>15000</v>
      </c>
    </row>
    <row r="182">
      <c r="B182">
        <v>1</v>
      </c>
      <c r="C182" t="str">
        <v>m3</v>
      </c>
      <c r="D182" t="str">
        <v>Sewa concrete pump</v>
      </c>
      <c r="E182">
        <v>75000</v>
      </c>
      <c r="H182">
        <f>B182*E182</f>
        <v>75000</v>
      </c>
    </row>
    <row r="183">
      <c r="B183">
        <v>1</v>
      </c>
      <c r="C183" t="str">
        <v>m3</v>
      </c>
      <c r="D183" t="str">
        <v>Upah cor, besi, bekisting borongan</v>
      </c>
      <c r="E183">
        <f>Upah!$D$77</f>
        <v>1100000</v>
      </c>
      <c r="G183">
        <f>B183*E183</f>
        <v>1100000</v>
      </c>
    </row>
    <row r="185">
      <c r="E185" t="str">
        <v>Jumlah</v>
      </c>
      <c r="F185">
        <f>SUM(F179:F184)</f>
        <v>1398600</v>
      </c>
      <c r="G185">
        <f>SUM(G179:G184)</f>
        <v>1100000</v>
      </c>
      <c r="H185">
        <f>SUM(H179:H184)</f>
        <v>90000</v>
      </c>
      <c r="I185">
        <f>SUM(F185:H185)</f>
        <v>2588600</v>
      </c>
    </row>
    <row r="187">
      <c r="B187" t="str">
        <v>Pengecoran Beton Readymix (KHUSUS KOLOM RATA-RATA)</v>
      </c>
    </row>
    <row r="188">
      <c r="B188">
        <v>1.05</v>
      </c>
      <c r="C188" t="str">
        <v>m3</v>
      </c>
      <c r="D188" t="str">
        <v>Beton readymix K-350 slump 18 ± 2 cm</v>
      </c>
      <c r="E188">
        <f>Material!$G$12</f>
        <v>1165500</v>
      </c>
      <c r="F188">
        <f>B188*E188*1</f>
        <v>1223775</v>
      </c>
    </row>
    <row r="189">
      <c r="B189">
        <v>1</v>
      </c>
      <c r="C189" t="str">
        <v>m3</v>
      </c>
      <c r="D189" t="str">
        <v>Sewa vibrator</v>
      </c>
      <c r="E189">
        <f>Upah!$D$21</f>
        <v>15000</v>
      </c>
      <c r="H189">
        <f>B189*E189</f>
        <v>15000</v>
      </c>
    </row>
    <row r="190">
      <c r="B190">
        <v>1</v>
      </c>
      <c r="C190" t="str">
        <v>m3</v>
      </c>
      <c r="D190" t="str">
        <v>Sewa concrete pump</v>
      </c>
      <c r="E190">
        <v>250000</v>
      </c>
      <c r="H190">
        <f>B190*E190</f>
        <v>250000</v>
      </c>
    </row>
    <row r="191">
      <c r="B191">
        <v>1</v>
      </c>
      <c r="C191" t="str">
        <v>m3</v>
      </c>
      <c r="D191" t="str">
        <v>Upah cor, besi, bekisting borongan</v>
      </c>
      <c r="E191">
        <f>Upah!$D$79</f>
        <v>1600000</v>
      </c>
      <c r="G191">
        <f>B191*E191</f>
        <v>1600000</v>
      </c>
    </row>
    <row r="193">
      <c r="E193" t="str">
        <v>Jumlah</v>
      </c>
      <c r="F193">
        <f>SUM(F187:F192)</f>
        <v>1223775</v>
      </c>
      <c r="G193">
        <f>SUM(G187:G192)</f>
        <v>1600000</v>
      </c>
      <c r="H193">
        <f>SUM(H187:H192)</f>
        <v>265000</v>
      </c>
      <c r="I193">
        <f>SUM(F193:H193)</f>
        <v>3088775</v>
      </c>
    </row>
    <row r="195">
      <c r="B195" t="str">
        <v>Pengecoran Beton Readymix (KHUSUS BALOK LT. ATAS RATA-RATA)</v>
      </c>
    </row>
    <row r="196">
      <c r="B196">
        <v>1.05</v>
      </c>
      <c r="C196" t="str">
        <v>m3</v>
      </c>
      <c r="D196" t="str">
        <v>Beton readymix K-350 slump 18 ± 2 cm</v>
      </c>
      <c r="E196">
        <f>Material!$G$11</f>
        <v>1165500</v>
      </c>
      <c r="F196">
        <f>B196*E196*1</f>
        <v>1223775</v>
      </c>
    </row>
    <row r="197">
      <c r="B197">
        <v>1</v>
      </c>
      <c r="C197" t="str">
        <v>m3</v>
      </c>
      <c r="D197" t="str">
        <v>Sewa vibrator</v>
      </c>
      <c r="E197">
        <f>Upah!$D$21</f>
        <v>15000</v>
      </c>
      <c r="H197">
        <f>B197*E197</f>
        <v>15000</v>
      </c>
    </row>
    <row r="198">
      <c r="B198">
        <v>1</v>
      </c>
      <c r="C198" t="str">
        <v>m3</v>
      </c>
      <c r="D198" t="str">
        <v>Sewa concrete pump</v>
      </c>
      <c r="E198">
        <v>75000</v>
      </c>
      <c r="H198">
        <f>B198*E198</f>
        <v>75000</v>
      </c>
    </row>
    <row r="199">
      <c r="B199">
        <v>1</v>
      </c>
      <c r="C199" t="str">
        <v>m3</v>
      </c>
      <c r="D199" t="str">
        <v>Upah cor, besi, bekisting borongan</v>
      </c>
      <c r="E199">
        <f>Upah!$D$78</f>
        <v>1500000</v>
      </c>
      <c r="G199">
        <f>B199*E199</f>
        <v>1500000</v>
      </c>
    </row>
    <row r="201">
      <c r="E201" t="str">
        <v>Jumlah</v>
      </c>
      <c r="F201">
        <f>SUM(F195:F200)</f>
        <v>1223775</v>
      </c>
      <c r="G201">
        <f>SUM(G195:G200)</f>
        <v>1500000</v>
      </c>
      <c r="H201">
        <f>SUM(H195:H200)</f>
        <v>90000</v>
      </c>
      <c r="I201">
        <f>SUM(F201:H201)</f>
        <v>2813775</v>
      </c>
    </row>
    <row r="203">
      <c r="B203" t="str">
        <v>Pengecoran Beton Readymix (KHUSUS PLAT LT. DASAR)</v>
      </c>
    </row>
    <row r="204">
      <c r="B204">
        <v>1.05</v>
      </c>
      <c r="C204" t="str">
        <v>m3</v>
      </c>
      <c r="D204" t="str">
        <v>Beton readymix K-350 slump 18 ± 2 cm</v>
      </c>
      <c r="E204">
        <f>Material!$G$12</f>
        <v>1165500</v>
      </c>
      <c r="F204">
        <f>B204*E204*1</f>
        <v>1223775</v>
      </c>
    </row>
    <row r="205">
      <c r="B205">
        <v>1</v>
      </c>
      <c r="C205" t="str">
        <v>m3</v>
      </c>
      <c r="D205" t="str">
        <v>Sewa vibrator</v>
      </c>
      <c r="E205">
        <f>Upah!$D$21</f>
        <v>15000</v>
      </c>
      <c r="H205">
        <f>B205*E205</f>
        <v>15000</v>
      </c>
    </row>
    <row r="206">
      <c r="B206">
        <v>1</v>
      </c>
      <c r="C206" t="str">
        <v>m3</v>
      </c>
      <c r="D206" t="str">
        <v>Sewa concrete pump</v>
      </c>
      <c r="E206">
        <v>75000</v>
      </c>
      <c r="H206">
        <f>B206*E206</f>
        <v>75000</v>
      </c>
    </row>
    <row r="207">
      <c r="B207">
        <v>1</v>
      </c>
      <c r="C207" t="str">
        <v>m3</v>
      </c>
      <c r="D207" t="str">
        <v>Upah cor, besi, bekisting borongan</v>
      </c>
      <c r="E207">
        <f>Upah!$D$80</f>
        <v>800000</v>
      </c>
      <c r="G207">
        <f>B207*E207</f>
        <v>800000</v>
      </c>
    </row>
    <row r="209">
      <c r="E209" t="str">
        <v>Jumlah</v>
      </c>
      <c r="F209">
        <f>SUM(F203:F208)</f>
        <v>1223775</v>
      </c>
      <c r="G209">
        <f>SUM(G203:G208)</f>
        <v>800000</v>
      </c>
      <c r="H209">
        <f>SUM(H203:H208)</f>
        <v>90000</v>
      </c>
      <c r="I209">
        <f>SUM(F209:H209)</f>
        <v>2113775</v>
      </c>
    </row>
    <row r="211">
      <c r="B211" t="str">
        <v>Pengecoran Beton Readymix (KHUSUS PLAT LT. ATAS RATA-RATA)</v>
      </c>
    </row>
    <row r="212">
      <c r="B212">
        <v>1.05</v>
      </c>
      <c r="C212" t="str">
        <v>m3</v>
      </c>
      <c r="D212" t="str">
        <v>Beton readymix K-350 slump 18 ± 2 cm</v>
      </c>
      <c r="E212">
        <f>Material!$G$11</f>
        <v>1165500</v>
      </c>
      <c r="F212">
        <f>B212*E212*1</f>
        <v>1223775</v>
      </c>
    </row>
    <row r="213">
      <c r="B213">
        <v>1</v>
      </c>
      <c r="C213" t="str">
        <v>m3</v>
      </c>
      <c r="D213" t="str">
        <v>Sewa vibrator</v>
      </c>
      <c r="E213">
        <f>Upah!$D$21</f>
        <v>15000</v>
      </c>
      <c r="H213">
        <f>B213*E213</f>
        <v>15000</v>
      </c>
    </row>
    <row r="214">
      <c r="B214">
        <v>1</v>
      </c>
      <c r="C214" t="str">
        <v>m3</v>
      </c>
      <c r="D214" t="str">
        <v>Sewa concrete pump</v>
      </c>
      <c r="E214">
        <v>75000</v>
      </c>
      <c r="H214">
        <f>B214*E214</f>
        <v>75000</v>
      </c>
    </row>
    <row r="215">
      <c r="B215">
        <v>1</v>
      </c>
      <c r="C215" t="str">
        <v>m3</v>
      </c>
      <c r="D215" t="str">
        <v>Upah cor, besi, bekisting borongan</v>
      </c>
      <c r="E215">
        <f>Upah!$D$81</f>
        <v>1250000</v>
      </c>
      <c r="G215">
        <f>B215*E215</f>
        <v>1250000</v>
      </c>
    </row>
    <row r="217">
      <c r="E217" t="str">
        <v>Jumlah</v>
      </c>
      <c r="F217">
        <f>SUM(F211:F216)</f>
        <v>1223775</v>
      </c>
      <c r="G217">
        <f>SUM(G211:G216)</f>
        <v>1250000</v>
      </c>
      <c r="H217">
        <f>SUM(H211:H216)</f>
        <v>90000</v>
      </c>
      <c r="I217">
        <f>SUM(F217:H217)</f>
        <v>2563775</v>
      </c>
    </row>
    <row r="219">
      <c r="B219" t="str">
        <v>Pengecoran Beton Readymix (KHUSUS DINDING BETON RATA-RATA)</v>
      </c>
    </row>
    <row r="220">
      <c r="B220">
        <v>1.05</v>
      </c>
      <c r="C220" t="str">
        <v>m3</v>
      </c>
      <c r="D220" t="str">
        <v>Beton readymix K-350 slump 18 ± 2 cm</v>
      </c>
      <c r="E220">
        <f>Material!$G$12</f>
        <v>1165500</v>
      </c>
      <c r="F220">
        <f>B220*E220*1</f>
        <v>1223775</v>
      </c>
    </row>
    <row r="221">
      <c r="B221">
        <v>1</v>
      </c>
      <c r="C221" t="str">
        <v>m3</v>
      </c>
      <c r="D221" t="str">
        <v>Sewa vibrator</v>
      </c>
      <c r="E221">
        <f>Upah!$D$21</f>
        <v>15000</v>
      </c>
      <c r="H221">
        <f>B221*E221</f>
        <v>15000</v>
      </c>
    </row>
    <row r="222">
      <c r="B222">
        <v>1</v>
      </c>
      <c r="C222" t="str">
        <v>m3</v>
      </c>
      <c r="D222" t="str">
        <v>Sewa concrete pump</v>
      </c>
      <c r="E222">
        <v>200000</v>
      </c>
      <c r="H222">
        <f>B222*E222</f>
        <v>200000</v>
      </c>
    </row>
    <row r="223">
      <c r="B223">
        <v>1</v>
      </c>
      <c r="C223" t="str">
        <v>m3</v>
      </c>
      <c r="D223" t="str">
        <v>Upah cor, besi, bekisting borongan</v>
      </c>
      <c r="E223">
        <f>Upah!$D$82</f>
        <v>1200000</v>
      </c>
      <c r="G223">
        <f>B223*E223</f>
        <v>1200000</v>
      </c>
    </row>
    <row r="225">
      <c r="E225" t="str">
        <v>Jumlah</v>
      </c>
      <c r="F225">
        <f>SUM(F219:F224)</f>
        <v>1223775</v>
      </c>
      <c r="G225">
        <f>SUM(G219:G224)</f>
        <v>1200000</v>
      </c>
      <c r="H225">
        <f>SUM(H219:H224)</f>
        <v>215000</v>
      </c>
      <c r="I225">
        <f>SUM(F225:H225)</f>
        <v>2638775</v>
      </c>
    </row>
    <row r="228">
      <c r="B228" t="str">
        <v>Pembesian U24 &amp; U40</v>
      </c>
    </row>
    <row r="229">
      <c r="B229">
        <v>1.05</v>
      </c>
      <c r="C229" t="str">
        <v>kg</v>
      </c>
      <c r="D229" t="str">
        <v>Besi beton</v>
      </c>
      <c r="E229">
        <f>Material!$G$33</f>
        <v>9500</v>
      </c>
      <c r="F229">
        <f>B229*E229</f>
        <v>9975</v>
      </c>
    </row>
    <row r="230">
      <c r="B230">
        <v>1</v>
      </c>
      <c r="C230" t="str">
        <v>kg</v>
      </c>
      <c r="D230" t="str">
        <v>Beton decking</v>
      </c>
      <c r="E230">
        <v>100</v>
      </c>
      <c r="F230">
        <f>B230*E230</f>
        <v>100</v>
      </c>
    </row>
    <row r="231">
      <c r="B231">
        <f>2%*B229</f>
        <v>0.021</v>
      </c>
      <c r="C231" t="str">
        <v>kg</v>
      </c>
      <c r="D231" t="str">
        <v>Bendrat</v>
      </c>
      <c r="E231">
        <f>Material!$G$39</f>
        <v>17500</v>
      </c>
      <c r="F231">
        <f>B231*E231</f>
        <v>367.5</v>
      </c>
    </row>
    <row r="233">
      <c r="E233" t="str">
        <v>Jumlah</v>
      </c>
      <c r="F233">
        <f>SUM(F228:F232)</f>
        <v>10442.5</v>
      </c>
      <c r="G233">
        <f>SUM(G228:G232)</f>
        <v>0</v>
      </c>
      <c r="H233">
        <f>SUM(H228:H232)</f>
        <v>0</v>
      </c>
      <c r="I233">
        <f>SUM(F233:H233)</f>
        <v>10442.5</v>
      </c>
    </row>
    <row r="235">
      <c r="B235" t="str">
        <v>Pekerjaan Wiremesh M6 (per 1 lapis)</v>
      </c>
    </row>
    <row r="236">
      <c r="B236">
        <v>1.1</v>
      </c>
      <c r="C236" t="str">
        <v>m2</v>
      </c>
      <c r="D236" t="str">
        <v>Wiremesh M6</v>
      </c>
      <c r="E236">
        <f>Material!$G$37</f>
        <v>41716.5</v>
      </c>
      <c r="F236">
        <f>B236*E236*1</f>
        <v>45888.15</v>
      </c>
    </row>
    <row r="237">
      <c r="B237">
        <f>1%*B236*Material!$M$37</f>
        <v>0.04588815</v>
      </c>
      <c r="C237" t="str">
        <v>kg</v>
      </c>
      <c r="D237" t="str">
        <v>Bendrat</v>
      </c>
      <c r="E237">
        <f>Material!$G$39</f>
        <v>17500</v>
      </c>
      <c r="F237">
        <f>B237*E237*1</f>
        <v>803.042625</v>
      </c>
    </row>
    <row r="239">
      <c r="E239" t="str">
        <v>Jumlah</v>
      </c>
      <c r="F239">
        <f>SUM(F235:F238)</f>
        <v>46691.192625</v>
      </c>
      <c r="G239">
        <f>SUM(G235:G238)</f>
        <v>0</v>
      </c>
      <c r="I239">
        <f>SUM(F239:G239)</f>
        <v>46691.192625</v>
      </c>
    </row>
    <row r="241">
      <c r="B241" t="str">
        <v>Wiremesh M7 (per 1 lapis)</v>
      </c>
    </row>
    <row r="242">
      <c r="B242">
        <v>1.1</v>
      </c>
      <c r="C242" t="str">
        <v>m2</v>
      </c>
      <c r="D242" t="str">
        <v>Wiremesh M7</v>
      </c>
      <c r="E242">
        <f>Material!$G$36</f>
        <v>54486.857142857145</v>
      </c>
      <c r="F242">
        <f>B242*E242*1</f>
        <v>59935.542857142864</v>
      </c>
    </row>
    <row r="243">
      <c r="B243">
        <f>1%*B242*Material!$M$36</f>
        <v>0.059935542857142865</v>
      </c>
      <c r="C243" t="str">
        <v>kg</v>
      </c>
      <c r="D243" t="str">
        <v>Bendrat</v>
      </c>
      <c r="E243">
        <f>Material!$G$39</f>
        <v>17500</v>
      </c>
      <c r="F243">
        <f>B243*E243*1</f>
        <v>1048.872</v>
      </c>
    </row>
    <row r="245">
      <c r="E245" t="str">
        <v>Jumlah</v>
      </c>
      <c r="F245">
        <f>SUM(F241:F244)</f>
        <v>60984.41485714287</v>
      </c>
      <c r="G245">
        <f>SUM(G241:G244)</f>
        <v>0</v>
      </c>
      <c r="I245">
        <f>SUM(F245:G245)</f>
        <v>60984.41485714287</v>
      </c>
    </row>
    <row r="247">
      <c r="B247" t="str">
        <v>Shear Connector D13-300</v>
      </c>
    </row>
    <row r="248">
      <c r="B248">
        <f>0.006165*13^2*0.5*12/3</f>
        <v>2.08377</v>
      </c>
      <c r="C248" t="str">
        <v>kg</v>
      </c>
      <c r="D248" t="str">
        <v>Besi (asumsi total panjang 50 cm)</v>
      </c>
      <c r="E248">
        <f>Material!$G$33</f>
        <v>9500</v>
      </c>
      <c r="F248">
        <f>B248*E248*1</f>
        <v>19795.815</v>
      </c>
    </row>
    <row r="249">
      <c r="B249">
        <f>B248</f>
        <v>2.08377</v>
      </c>
      <c r="C249" t="str">
        <v>kg</v>
      </c>
      <c r="D249" t="str">
        <v>Ongkos pembesian (las)</v>
      </c>
      <c r="E249">
        <f>Upah!$D$24</f>
        <v>2500</v>
      </c>
      <c r="G249">
        <f>B249*E249*1</f>
        <v>5209.425</v>
      </c>
    </row>
    <row r="251">
      <c r="E251" t="str">
        <v>Harga per m2</v>
      </c>
      <c r="F251">
        <f>SUM(F247:F250)</f>
        <v>19795.815</v>
      </c>
      <c r="G251">
        <f>SUM(G247:G250)</f>
        <v>5209.425</v>
      </c>
      <c r="I251">
        <f>SUM(F251:G251)</f>
        <v>25005.239999999998</v>
      </c>
    </row>
    <row r="253">
      <c r="B253" t="str">
        <v>Shear Connector D10-100</v>
      </c>
    </row>
    <row r="254">
      <c r="B254">
        <f>0.006165*10^2*0.5*11</f>
        <v>3.39075</v>
      </c>
      <c r="C254" t="str">
        <v>kg</v>
      </c>
      <c r="D254" t="str">
        <v>Besi (asumsi total panjang 50 cm)</v>
      </c>
      <c r="E254">
        <f>Material!$G$33</f>
        <v>9500</v>
      </c>
      <c r="F254">
        <f>B254*E254*1</f>
        <v>32212.125</v>
      </c>
    </row>
    <row r="255">
      <c r="B255">
        <f>B254</f>
        <v>3.39075</v>
      </c>
      <c r="C255" t="str">
        <v>kg</v>
      </c>
      <c r="D255" t="str">
        <v>Ongkos pembesian (las)</v>
      </c>
      <c r="E255">
        <f>Upah!$D$24</f>
        <v>2500</v>
      </c>
      <c r="G255">
        <f>B255*E255*1</f>
        <v>8476.875</v>
      </c>
    </row>
    <row r="257">
      <c r="E257" t="str">
        <v>Harga per m2</v>
      </c>
      <c r="F257">
        <f>SUM(F253:F256)</f>
        <v>32212.125</v>
      </c>
      <c r="G257">
        <f>SUM(G253:G256)</f>
        <v>8476.875</v>
      </c>
      <c r="I257">
        <f>SUM(F257:G257)</f>
        <v>40689</v>
      </c>
    </row>
    <row r="259">
      <c r="B259" t="str">
        <v>1 m3 Beton Site Mix 1:2:3</v>
      </c>
    </row>
    <row r="260">
      <c r="B260">
        <v>7.42</v>
      </c>
      <c r="C260" t="str">
        <v>sak</v>
      </c>
      <c r="D260" t="str">
        <v>Semen PC @50kg</v>
      </c>
      <c r="E260">
        <f>Material!$G$14</f>
        <v>65000</v>
      </c>
      <c r="F260">
        <f>B260*E260</f>
        <v>482300</v>
      </c>
    </row>
    <row r="261">
      <c r="B261">
        <v>0.4363</v>
      </c>
      <c r="C261" t="str">
        <v>m3</v>
      </c>
      <c r="D261" t="str">
        <v>Pasir  Lumajang</v>
      </c>
      <c r="E261">
        <f>Material!$G$8</f>
        <v>350000</v>
      </c>
      <c r="F261">
        <f>B261*E261</f>
        <v>152705</v>
      </c>
    </row>
    <row r="262">
      <c r="B262">
        <v>0.551</v>
      </c>
      <c r="C262" t="str">
        <v>m3</v>
      </c>
      <c r="D262" t="str">
        <v>Batu split 1:1</v>
      </c>
      <c r="E262">
        <f>Material!$G$10</f>
        <v>275000</v>
      </c>
      <c r="F262">
        <f>B262*E262</f>
        <v>151525</v>
      </c>
    </row>
    <row r="263">
      <c r="B263">
        <v>1</v>
      </c>
      <c r="C263" t="str">
        <v>m2</v>
      </c>
      <c r="D263" t="str">
        <v>Upah cor site mix</v>
      </c>
      <c r="E263">
        <f>Upah!$D$17</f>
        <v>100000</v>
      </c>
      <c r="G263">
        <f>B263*E263</f>
        <v>100000</v>
      </c>
    </row>
    <row r="265">
      <c r="E265" t="str">
        <v>Jumlah</v>
      </c>
      <c r="F265">
        <f>SUM(F260:F263)</f>
        <v>786530</v>
      </c>
      <c r="G265">
        <f>SUM(G263:G263)</f>
        <v>100000</v>
      </c>
      <c r="H265">
        <f>SUM(H263:H263)</f>
        <v>0</v>
      </c>
      <c r="I265">
        <f>SUM(F265:H265)</f>
        <v>886530</v>
      </c>
    </row>
    <row r="267">
      <c r="B267" t="str">
        <v>1 m3 Lantai Kerja (beton site mix 1:3:5)</v>
      </c>
    </row>
    <row r="268">
      <c r="B268">
        <v>4.643</v>
      </c>
      <c r="C268" t="str">
        <v>sak</v>
      </c>
      <c r="D268" t="str">
        <v xml:space="preserve">Semen PC </v>
      </c>
      <c r="E268">
        <f>Material!$G$14</f>
        <v>65000</v>
      </c>
      <c r="F268">
        <f>B268*E268</f>
        <v>301795</v>
      </c>
    </row>
    <row r="269">
      <c r="B269">
        <v>0.557</v>
      </c>
      <c r="C269" t="str">
        <v>m3</v>
      </c>
      <c r="D269" t="str">
        <v>Pasir  Lumajang</v>
      </c>
      <c r="E269">
        <f>Material!$G$8</f>
        <v>350000</v>
      </c>
      <c r="F269">
        <f>B269*E269</f>
        <v>194950.00000000003</v>
      </c>
    </row>
    <row r="270">
      <c r="B270">
        <v>0.929</v>
      </c>
      <c r="C270" t="str">
        <v>m3</v>
      </c>
      <c r="D270" t="str">
        <v>Batu split 1:1</v>
      </c>
      <c r="E270">
        <f>Material!$G$10</f>
        <v>275000</v>
      </c>
      <c r="F270">
        <f>B270*E270</f>
        <v>255475</v>
      </c>
    </row>
    <row r="271">
      <c r="B271">
        <v>0.5</v>
      </c>
      <c r="C271" t="str">
        <v>m3</v>
      </c>
      <c r="D271" t="str">
        <v>Air Kerja</v>
      </c>
      <c r="E271">
        <f>Material!$G$21</f>
        <v>40000</v>
      </c>
      <c r="F271">
        <f>B271*E271</f>
        <v>20000</v>
      </c>
    </row>
    <row r="272">
      <c r="B272">
        <v>1</v>
      </c>
      <c r="C272" t="str">
        <v>ltr</v>
      </c>
      <c r="D272" t="str">
        <v>Bahan Bakar Molen</v>
      </c>
      <c r="E272">
        <f>Material!$G$16</f>
        <v>13000</v>
      </c>
      <c r="F272">
        <f>B272*E272</f>
        <v>13000</v>
      </c>
    </row>
    <row r="273">
      <c r="B273">
        <v>1</v>
      </c>
      <c r="C273" t="str">
        <v>m3</v>
      </c>
      <c r="D273" t="str">
        <v>Ongkos Kerja</v>
      </c>
      <c r="E273">
        <f>Upah!$D$84</f>
        <v>400000</v>
      </c>
      <c r="G273">
        <f>B273*E273</f>
        <v>400000</v>
      </c>
    </row>
    <row r="275">
      <c r="E275" t="str">
        <v>Jumlah</v>
      </c>
      <c r="F275">
        <f>SUM(F267:F274)</f>
        <v>785220</v>
      </c>
      <c r="G275">
        <f>SUM(G267:G274)</f>
        <v>400000</v>
      </c>
      <c r="H275">
        <f>SUM(H267:H274)</f>
        <v>0</v>
      </c>
      <c r="I275">
        <f>SUM(F275:H275)</f>
        <v>1185220</v>
      </c>
    </row>
    <row r="277">
      <c r="B277" t="str">
        <v>1 titik Bored Pile dia. 30 cm, Panjang 14 m</v>
      </c>
    </row>
    <row r="278">
      <c r="B278">
        <f>1/4*PI()*0.3^2*14*1.4</f>
        <v>1.3854423602330987</v>
      </c>
      <c r="C278" t="str">
        <v>m3</v>
      </c>
      <c r="D278" t="str">
        <v>Beton readymix</v>
      </c>
      <c r="E278">
        <f>Material!$G$12</f>
        <v>1165500</v>
      </c>
      <c r="F278">
        <f>B278*E278</f>
        <v>1614733.0708516766</v>
      </c>
    </row>
    <row r="279">
      <c r="B279">
        <f>0.006165*(10^2*6*(14+(50+40)*10/1000)+8^2*((SQRT((PI()*0.24)^2+0.15^2))*(14000/150)+2*PI()*0.24+6*50*10/1000))</f>
        <v>85.2037454730114</v>
      </c>
      <c r="C279" t="str">
        <v>kg</v>
      </c>
      <c r="D279" t="str">
        <v>Pembesian 6D10 + dia. 8-100/150</v>
      </c>
      <c r="E279">
        <f>Material!$G$33</f>
        <v>9500</v>
      </c>
      <c r="F279">
        <f>B279*E279</f>
        <v>809435.5819936083</v>
      </c>
    </row>
    <row r="280">
      <c r="B280">
        <v>14</v>
      </c>
      <c r="C280" t="str">
        <v>m'</v>
      </c>
      <c r="D280" t="str">
        <v>Upah gali, pembesian, dan cor</v>
      </c>
      <c r="E280">
        <v>175000</v>
      </c>
      <c r="G280">
        <f>B280*E280</f>
        <v>2450000</v>
      </c>
    </row>
    <row r="282">
      <c r="E282" t="str">
        <v>Jumlah</v>
      </c>
      <c r="F282">
        <f>SUM(F278:F281)</f>
        <v>2424168.652845285</v>
      </c>
      <c r="G282">
        <f>SUM(G278:G281)</f>
        <v>2450000</v>
      </c>
      <c r="H282">
        <f>SUM(H278:H281)</f>
        <v>0</v>
      </c>
      <c r="I282">
        <f>SUM(F282:H282)</f>
        <v>4874168.652845285</v>
      </c>
    </row>
    <row r="284">
      <c r="B284" t="str">
        <v>1 titik Bored Pile dia. 40 cm, Panjang 14 m</v>
      </c>
    </row>
    <row r="285">
      <c r="B285">
        <f>1/4*PI()*0.4^2*14*1.4</f>
        <v>2.463008640414398</v>
      </c>
      <c r="C285" t="str">
        <v>m3</v>
      </c>
      <c r="D285" t="str">
        <v>Beton readymix</v>
      </c>
      <c r="E285">
        <f>Material!$G$12</f>
        <v>1165500</v>
      </c>
      <c r="F285">
        <f>B285*E285</f>
        <v>2870636.570402981</v>
      </c>
    </row>
    <row r="286">
      <c r="B286">
        <f>0.006165*(13^2*6*14+10^2*(SQRT((PI()*(1/0.1)*0.34)^2+(1)^2)+SQRT((PI()*(13/0.2)*0.34)^2+(13)^2)+2*PI()*0.34+2*(6+50)*13/1000+6*0.9+6*0.69))</f>
        <v>145.77523908270186</v>
      </c>
      <c r="C286" t="str">
        <v>kg</v>
      </c>
      <c r="D286" t="str">
        <v>Pembesian 6D13 + D10-100/150</v>
      </c>
      <c r="E286">
        <f>Material!$G$33</f>
        <v>9500</v>
      </c>
      <c r="F286">
        <f>B286*E286</f>
        <v>1384864.7712856675</v>
      </c>
    </row>
    <row r="287">
      <c r="B287">
        <v>14</v>
      </c>
      <c r="C287" t="str">
        <v>m'</v>
      </c>
      <c r="D287" t="str">
        <v>Upah gali, pembesian, dan cor</v>
      </c>
      <c r="E287">
        <v>200000</v>
      </c>
      <c r="G287">
        <f>B287*E287</f>
        <v>2800000</v>
      </c>
    </row>
    <row r="289">
      <c r="E289" t="str">
        <v>Jumlah</v>
      </c>
      <c r="F289">
        <f>SUM(F285:F288)</f>
        <v>4255501.341688648</v>
      </c>
      <c r="G289">
        <f>SUM(G285:G288)</f>
        <v>2800000</v>
      </c>
      <c r="H289">
        <f>SUM(H285:H288)</f>
        <v>0</v>
      </c>
      <c r="I289">
        <f>SUM(F289:H289)</f>
        <v>7055501.341688648</v>
      </c>
    </row>
    <row r="291">
      <c r="B291" t="str">
        <v>1 titik Bored Pile dia. 40 cm, Panjang 16,2 m</v>
      </c>
    </row>
    <row r="292">
      <c r="B292">
        <f>1/4*PI()*0.4^2*16.2*1.4</f>
        <v>2.85005285533666</v>
      </c>
      <c r="C292" t="str">
        <v>m3</v>
      </c>
      <c r="D292" t="str">
        <v>Beton readymix</v>
      </c>
      <c r="E292">
        <f>Material!$G$12</f>
        <v>1165500</v>
      </c>
      <c r="F292">
        <f>B292*E292</f>
        <v>3321736.602894877</v>
      </c>
    </row>
    <row r="293">
      <c r="B293">
        <f>0.006165*(13^2*6*16+10^2*(SQRT(((PI()*0.34)^2)+0.1^2)*(2300/100)+SQRT(((PI()*0.34)^2)+0.1^2)*(14200/150)+2*PI()*0.34+6*50*10/1000))</f>
        <v>181.01089320845975</v>
      </c>
      <c r="C293" t="str">
        <v>kg</v>
      </c>
      <c r="D293" t="str">
        <v>Pembesian 6D13 + D10-100/150</v>
      </c>
      <c r="E293">
        <f>Material!$G$33</f>
        <v>9500</v>
      </c>
      <c r="F293">
        <f>B293*E293</f>
        <v>1719603.4854803677</v>
      </c>
    </row>
    <row r="294">
      <c r="B294">
        <v>16.2</v>
      </c>
      <c r="C294" t="str">
        <v>m'</v>
      </c>
      <c r="D294" t="str">
        <v>Upah gali, pembesian, dan cor</v>
      </c>
      <c r="E294">
        <v>200000</v>
      </c>
      <c r="G294">
        <f>B294*E294</f>
        <v>3240000</v>
      </c>
    </row>
    <row r="296">
      <c r="E296" t="str">
        <v>Jumlah</v>
      </c>
      <c r="F296">
        <f>SUM(F292:F295)</f>
        <v>5041340.088375244</v>
      </c>
      <c r="G296">
        <f>SUM(G292:G295)</f>
        <v>3240000</v>
      </c>
      <c r="H296">
        <f>SUM(H292:H295)</f>
        <v>0</v>
      </c>
      <c r="I296">
        <f>SUM(F296:H296)</f>
        <v>8281340.088375244</v>
      </c>
    </row>
    <row r="298">
      <c r="B298" t="str">
        <v>1 titik Bored Pile dia. 40 cm, Panjang 12,27 m</v>
      </c>
    </row>
    <row r="299">
      <c r="B299">
        <f>1/4*PI()*0.4^2*12.27*1.4</f>
        <v>2.158651144134619</v>
      </c>
      <c r="C299" t="str">
        <v>m3</v>
      </c>
      <c r="D299" t="str">
        <v>Beton readymix</v>
      </c>
      <c r="E299">
        <f>Material!$G$12</f>
        <v>1165500</v>
      </c>
      <c r="F299">
        <f>B299*E299</f>
        <v>2515907.908488898</v>
      </c>
    </row>
    <row r="300">
      <c r="B300">
        <f>0.006165*(13^2*6*12+10^2*(SQRT(((PI()*0.34)^2)+0.1^2)*(2300/100)+SQRT(((PI()*0.34)^2)+0.1^2)*(10270/150)+2*PI()*0.34+5*50*10/1000))</f>
        <v>138.36901681110268</v>
      </c>
      <c r="C300" t="str">
        <v>kg</v>
      </c>
      <c r="D300" t="str">
        <v>Pembesian 6D13 + D10-100/150</v>
      </c>
      <c r="E300">
        <f>Material!$G$33</f>
        <v>9500</v>
      </c>
      <c r="F300">
        <f>B300*E300</f>
        <v>1314505.6597054754</v>
      </c>
    </row>
    <row r="301">
      <c r="B301">
        <v>12.27</v>
      </c>
      <c r="C301" t="str">
        <v>m'</v>
      </c>
      <c r="D301" t="str">
        <v>Upah gali, pembesian, dan cor</v>
      </c>
      <c r="E301">
        <v>200000</v>
      </c>
      <c r="G301">
        <f>B301*E301</f>
        <v>2454000</v>
      </c>
    </row>
    <row r="303">
      <c r="E303" t="str">
        <v>Jumlah</v>
      </c>
      <c r="F303">
        <f>SUM(F299:F302)</f>
        <v>3830413.5681943735</v>
      </c>
      <c r="G303">
        <f>SUM(G299:G302)</f>
        <v>2454000</v>
      </c>
      <c r="H303">
        <f>SUM(H299:H302)</f>
        <v>0</v>
      </c>
      <c r="I303">
        <f>SUM(F303:H303)</f>
        <v>6284413.5681943735</v>
      </c>
    </row>
    <row r="305">
      <c r="B305" t="str">
        <v>1 titik Bentonite Pile dia. 40 cm, Panjang 10 m</v>
      </c>
    </row>
    <row r="306">
      <c r="B306">
        <f>350*1/4*PI()*0.4^2*10</f>
        <v>439.82297150257114</v>
      </c>
      <c r="C306" t="str">
        <v>kg</v>
      </c>
      <c r="D306" t="str">
        <v>Semen</v>
      </c>
      <c r="E306">
        <f>Material!G14/50</f>
        <v>1300</v>
      </c>
      <c r="F306">
        <f>B306*E306</f>
        <v>571769.8629533425</v>
      </c>
    </row>
    <row r="307">
      <c r="B307">
        <f>70*1/4*PI()*0.4^2*10</f>
        <v>87.96459430051422</v>
      </c>
      <c r="C307" t="str">
        <v>kg</v>
      </c>
      <c r="D307" t="str">
        <v>Bentonite</v>
      </c>
      <c r="E307">
        <f>Material!G15</f>
        <v>3000</v>
      </c>
      <c r="F307">
        <f>B307*E307</f>
        <v>263893.78290154267</v>
      </c>
    </row>
    <row r="308">
      <c r="B308">
        <f>10/4*PI()*0.4^2*10</f>
        <v>12.566370614359174</v>
      </c>
      <c r="C308" t="str">
        <v>m3</v>
      </c>
      <c r="D308" t="str">
        <v>Air</v>
      </c>
      <c r="E308">
        <f>Material!G21</f>
        <v>40000</v>
      </c>
      <c r="F308">
        <f>B308*E308</f>
        <v>502654.82457436697</v>
      </c>
    </row>
    <row r="309">
      <c r="B309">
        <v>10</v>
      </c>
      <c r="C309" t="str">
        <v>m'</v>
      </c>
      <c r="D309" t="str">
        <v>Upah bor dan cor</v>
      </c>
      <c r="E309">
        <v>175000</v>
      </c>
      <c r="G309">
        <f>B309*E309</f>
        <v>1750000</v>
      </c>
    </row>
    <row r="311">
      <c r="E311" t="str">
        <v>Jumlah</v>
      </c>
      <c r="F311">
        <f>SUM(F306:F310)</f>
        <v>1338318.4704292521</v>
      </c>
      <c r="G311">
        <f>SUM(G306:G310)</f>
        <v>1750000</v>
      </c>
      <c r="H311">
        <f>SUM(H306:H310)</f>
        <v>0</v>
      </c>
      <c r="I311">
        <f>SUM(F311:H311)</f>
        <v>3088318.470429252</v>
      </c>
    </row>
    <row r="313">
      <c r="B313" t="str">
        <v>1 ls sistem Secant Pile</v>
      </c>
    </row>
    <row r="314">
      <c r="B314">
        <v>42</v>
      </c>
      <c r="C314" t="str">
        <v>titik</v>
      </c>
      <c r="D314" t="str">
        <v>Bored pile</v>
      </c>
      <c r="E314">
        <f>I289</f>
        <v>7055501.341688648</v>
      </c>
      <c r="F314">
        <f>B314*F289</f>
        <v>178731056.3509232</v>
      </c>
      <c r="G314">
        <f>B314*G289</f>
        <v>117600000</v>
      </c>
    </row>
    <row r="315">
      <c r="B315">
        <v>41</v>
      </c>
      <c r="C315" t="str">
        <v>titik</v>
      </c>
      <c r="D315" t="str">
        <v>Bentonite pile</v>
      </c>
      <c r="E315">
        <f>I311</f>
        <v>3088318.470429252</v>
      </c>
      <c r="F315">
        <f>B315*F311</f>
        <v>54871057.28759934</v>
      </c>
      <c r="G315">
        <f>B315*G311</f>
        <v>71750000</v>
      </c>
    </row>
    <row r="316">
      <c r="B316">
        <v>1</v>
      </c>
      <c r="C316" t="str">
        <v>ls</v>
      </c>
      <c r="D316" t="str">
        <v>Mobdemob</v>
      </c>
      <c r="E316">
        <v>10000000</v>
      </c>
      <c r="G316">
        <f>B316*E316</f>
        <v>10000000</v>
      </c>
    </row>
    <row r="318">
      <c r="E318" t="str">
        <v>Jumlah</v>
      </c>
      <c r="F318">
        <f>SUM(F314:F317)</f>
        <v>233602113.63852257</v>
      </c>
      <c r="G318">
        <f>SUM(G314:G317)</f>
        <v>199350000</v>
      </c>
      <c r="H318">
        <f>SUM(H314:H317)</f>
        <v>0</v>
      </c>
      <c r="I318">
        <f>SUM(F318:H318)</f>
        <v>432952113.63852257</v>
      </c>
    </row>
    <row r="321">
      <c r="B321" t="str">
        <v>1 m2 Pasir Urug tebal 10 cm</v>
      </c>
    </row>
    <row r="322">
      <c r="B322">
        <v>1.2</v>
      </c>
      <c r="C322" t="str">
        <v>m3</v>
      </c>
      <c r="D322" t="str">
        <v>Pasir urug</v>
      </c>
      <c r="E322">
        <f>Material!$G$17</f>
        <v>175000</v>
      </c>
      <c r="F322">
        <f>B322*E322</f>
        <v>210000</v>
      </c>
    </row>
    <row r="323">
      <c r="B323">
        <v>1</v>
      </c>
      <c r="C323" t="str">
        <v>m3</v>
      </c>
      <c r="D323" t="str">
        <v>Upah pasir urug</v>
      </c>
      <c r="E323">
        <v>75000</v>
      </c>
      <c r="G323">
        <f>B323*E323</f>
        <v>75000</v>
      </c>
    </row>
    <row r="325">
      <c r="E325" t="str">
        <v>Jumlah</v>
      </c>
      <c r="F325">
        <f>SUM(F321:F324)</f>
        <v>210000</v>
      </c>
      <c r="G325">
        <f>SUM(G321:G324)</f>
        <v>75000</v>
      </c>
      <c r="I325">
        <f>SUM(F325:G325)</f>
        <v>285000</v>
      </c>
    </row>
    <row r="327">
      <c r="B327" t="str">
        <v>1 m3 Pasangan Aanstamping (batu kosong)</v>
      </c>
    </row>
    <row r="328">
      <c r="B328">
        <v>1.2</v>
      </c>
      <c r="C328" t="str">
        <v>m3</v>
      </c>
      <c r="D328" t="str">
        <v>Batu kali</v>
      </c>
      <c r="E328">
        <f>Material!$G$19</f>
        <v>250000</v>
      </c>
      <c r="F328">
        <f>B328*E328</f>
        <v>300000</v>
      </c>
    </row>
    <row r="329">
      <c r="B329">
        <v>0.43</v>
      </c>
      <c r="C329" t="str">
        <v>m3</v>
      </c>
      <c r="D329" t="str">
        <v>Pasir pasang</v>
      </c>
      <c r="E329">
        <f>Material!$G$8</f>
        <v>350000</v>
      </c>
      <c r="F329">
        <f>B329*E329</f>
        <v>150500</v>
      </c>
    </row>
    <row r="330">
      <c r="B330">
        <v>1</v>
      </c>
      <c r="C330" t="str">
        <v>m3</v>
      </c>
      <c r="D330" t="str">
        <v>Upah aanstamping</v>
      </c>
      <c r="E330">
        <v>200000</v>
      </c>
      <c r="G330">
        <f>B330*E330</f>
        <v>200000</v>
      </c>
    </row>
    <row r="332">
      <c r="E332" t="str">
        <v>Jumlah</v>
      </c>
      <c r="F332">
        <f>SUM(F327:F331)</f>
        <v>450500</v>
      </c>
      <c r="G332">
        <f>SUM(G327:G331)</f>
        <v>200000</v>
      </c>
      <c r="I332">
        <f>SUM(F332:G332)</f>
        <v>650500</v>
      </c>
    </row>
    <row r="334">
      <c r="B334" t="str">
        <v>1 m3 Pasangan Batu Kali (campuran 1 pc : 5 ps)</v>
      </c>
    </row>
    <row r="335">
      <c r="B335">
        <v>1.2</v>
      </c>
      <c r="C335" t="str">
        <v>m3</v>
      </c>
      <c r="D335" t="str">
        <v>Batu kali</v>
      </c>
      <c r="E335">
        <f>Material!$G$19</f>
        <v>250000</v>
      </c>
      <c r="F335">
        <f>B335*E335</f>
        <v>300000</v>
      </c>
    </row>
    <row r="336">
      <c r="B336">
        <f>6.046/2</f>
        <v>3.023</v>
      </c>
      <c r="C336" t="str">
        <v>sak</v>
      </c>
      <c r="D336" t="str">
        <v>Semen</v>
      </c>
      <c r="E336">
        <f>Material!$G$14</f>
        <v>65000</v>
      </c>
      <c r="F336">
        <f>B336*E336</f>
        <v>196495</v>
      </c>
    </row>
    <row r="337">
      <c r="B337">
        <f>1.209/2</f>
        <v>0.6045</v>
      </c>
      <c r="C337" t="str">
        <v>m3</v>
      </c>
      <c r="D337" t="str">
        <v>Pasir pasang</v>
      </c>
      <c r="E337">
        <f>Material!$G$8</f>
        <v>350000</v>
      </c>
      <c r="F337">
        <f>B337*E337</f>
        <v>211575</v>
      </c>
    </row>
    <row r="338">
      <c r="B338">
        <v>1</v>
      </c>
      <c r="C338" t="str">
        <v>m3</v>
      </c>
      <c r="D338" t="str">
        <v>Upah pasangan batu kali</v>
      </c>
      <c r="E338">
        <f>Upah!$D$16</f>
        <v>100000</v>
      </c>
      <c r="G338">
        <f>B338*E338</f>
        <v>100000</v>
      </c>
    </row>
    <row r="340">
      <c r="E340" t="str">
        <v>Jumlah</v>
      </c>
      <c r="F340">
        <f>SUM(F334:F339)</f>
        <v>708070</v>
      </c>
      <c r="G340">
        <f>SUM(G334:G339)</f>
        <v>100000</v>
      </c>
      <c r="I340">
        <f>SUM(F340:G340)</f>
        <v>808070</v>
      </c>
    </row>
    <row r="342">
      <c r="B342" t="str">
        <v>1 m' Kolom Praktis 12 x 12 cm</v>
      </c>
    </row>
    <row r="343">
      <c r="B343">
        <f>0.12*0.12*1.05</f>
        <v>0.01512</v>
      </c>
      <c r="C343" t="str">
        <v>m3</v>
      </c>
      <c r="D343" t="str">
        <v>Beton site mix</v>
      </c>
      <c r="E343">
        <f>$I$265</f>
        <v>886530</v>
      </c>
      <c r="F343">
        <f>B343*F265</f>
        <v>11892.3336</v>
      </c>
    </row>
    <row r="344">
      <c r="B344">
        <f>2*0.2</f>
        <v>0.4</v>
      </c>
      <c r="C344" t="str">
        <v>m2</v>
      </c>
      <c r="D344" t="str">
        <v>Bekisting</v>
      </c>
      <c r="E344">
        <f>Material!$G$51</f>
        <v>40000</v>
      </c>
      <c r="F344">
        <f>B344*E344</f>
        <v>16000</v>
      </c>
    </row>
    <row r="345">
      <c r="B345">
        <f>0.006165*(4*10^2*1.1+5*8^2*0.5+8^2*1)</f>
        <v>4.09356</v>
      </c>
      <c r="C345" t="str">
        <v>kg</v>
      </c>
      <c r="D345" t="str">
        <v>Besi 4D10 + Æ8-200 + stek Æ8</v>
      </c>
      <c r="E345">
        <f>Material!$G$33</f>
        <v>9500</v>
      </c>
      <c r="F345">
        <f>B345*E345</f>
        <v>38888.82</v>
      </c>
    </row>
    <row r="346">
      <c r="B346">
        <f>0.5*2</f>
        <v>1</v>
      </c>
      <c r="C346" t="str">
        <v>m2</v>
      </c>
      <c r="D346" t="str">
        <v>Kawat ayam</v>
      </c>
      <c r="E346">
        <f>Material!$G$75</f>
        <v>15000</v>
      </c>
      <c r="F346">
        <f>B346*E346</f>
        <v>15000</v>
      </c>
    </row>
    <row r="347">
      <c r="B347">
        <v>1</v>
      </c>
      <c r="C347" t="str">
        <v>m2</v>
      </c>
      <c r="D347" t="str">
        <v>Ongkos pasang kolom praktis</v>
      </c>
      <c r="E347">
        <f>Upah!$D$36</f>
        <v>40000</v>
      </c>
      <c r="G347">
        <f>B347*E347</f>
        <v>40000</v>
      </c>
    </row>
    <row r="349">
      <c r="E349" t="str">
        <v>Jumlah</v>
      </c>
      <c r="F349">
        <f>SUM(F342:F348)</f>
        <v>81781.15359999999</v>
      </c>
      <c r="G349">
        <f>SUM(G342:G348)</f>
        <v>40000</v>
      </c>
      <c r="I349">
        <f>SUM(F349:G349)</f>
        <v>121781.15359999999</v>
      </c>
    </row>
    <row r="351">
      <c r="B351" t="str">
        <v>1 m' Kolom Praktis 12 x 17 cm</v>
      </c>
    </row>
    <row r="352">
      <c r="B352">
        <f>0.12*0.17*1.05</f>
        <v>0.02142</v>
      </c>
      <c r="C352" t="str">
        <v>m3</v>
      </c>
      <c r="D352" t="str">
        <v>Beton site mix</v>
      </c>
      <c r="E352">
        <f>$F$265</f>
        <v>786530</v>
      </c>
      <c r="F352">
        <f>B352*E352</f>
        <v>16847.4726</v>
      </c>
    </row>
    <row r="353">
      <c r="B353">
        <f>2*0.2</f>
        <v>0.4</v>
      </c>
      <c r="C353" t="str">
        <v>m2</v>
      </c>
      <c r="D353" t="str">
        <v>Bekisting</v>
      </c>
      <c r="E353">
        <f>Material!$G$51</f>
        <v>40000</v>
      </c>
      <c r="F353">
        <f>B353*E353</f>
        <v>16000</v>
      </c>
    </row>
    <row r="354">
      <c r="B354">
        <f>0.006165*(4*10^2*1.1+5*8^2*0.6+2*8^2*1)</f>
        <v>4.6854000000000005</v>
      </c>
      <c r="C354" t="str">
        <v>kg</v>
      </c>
      <c r="D354" t="str">
        <v>Besi 4D10 + Æ8-200 + stek Æ8</v>
      </c>
      <c r="E354">
        <f>Material!$G$33</f>
        <v>9500</v>
      </c>
      <c r="F354">
        <f>B354*E354</f>
        <v>44511.3</v>
      </c>
    </row>
    <row r="355">
      <c r="B355">
        <f>0.5*2</f>
        <v>1</v>
      </c>
      <c r="C355" t="str">
        <v>m2</v>
      </c>
      <c r="D355" t="str">
        <v>Kawat ayam</v>
      </c>
      <c r="E355">
        <f>Material!$G$75</f>
        <v>15000</v>
      </c>
      <c r="F355">
        <f>B355*E355</f>
        <v>15000</v>
      </c>
    </row>
    <row r="356">
      <c r="B356">
        <v>1</v>
      </c>
      <c r="C356" t="str">
        <v>m2</v>
      </c>
      <c r="D356" t="str">
        <v>Ongkos pasang kolom praktis</v>
      </c>
      <c r="E356">
        <f>Upah!$D$36</f>
        <v>40000</v>
      </c>
      <c r="G356">
        <f>B356*E356</f>
        <v>40000</v>
      </c>
    </row>
    <row r="358">
      <c r="E358" t="str">
        <v>Jumlah</v>
      </c>
      <c r="F358">
        <f>SUM(F351:F357)</f>
        <v>92358.7726</v>
      </c>
      <c r="G358">
        <f>SUM(G351:G357)</f>
        <v>40000</v>
      </c>
      <c r="I358">
        <f>SUM(F358:G358)</f>
        <v>132358.7726</v>
      </c>
    </row>
    <row r="360">
      <c r="B360" t="str">
        <v>1 m' Kolom Praktis 12 x 22 cm</v>
      </c>
    </row>
    <row r="361">
      <c r="B361">
        <f>0.12*0.22*1.05</f>
        <v>0.02772</v>
      </c>
      <c r="C361" t="str">
        <v>m3</v>
      </c>
      <c r="D361" t="str">
        <v>Beton site mix</v>
      </c>
      <c r="E361">
        <f>$F$265</f>
        <v>786530</v>
      </c>
      <c r="F361">
        <f>B361*E361</f>
        <v>21802.6116</v>
      </c>
    </row>
    <row r="362">
      <c r="B362">
        <f>2*0.2</f>
        <v>0.4</v>
      </c>
      <c r="C362" t="str">
        <v>m2</v>
      </c>
      <c r="D362" t="str">
        <v>Bekisting</v>
      </c>
      <c r="E362">
        <f>Material!$G$51</f>
        <v>40000</v>
      </c>
      <c r="F362">
        <f>B362*E362</f>
        <v>16000</v>
      </c>
    </row>
    <row r="363">
      <c r="B363">
        <f>0.006165*(4*10^2*1.1+5*8^2*0.7+2*8^2*1)</f>
        <v>4.882680000000001</v>
      </c>
      <c r="C363" t="str">
        <v>kg</v>
      </c>
      <c r="D363" t="str">
        <v>Besi 4D10 + Æ8-200 + stek Æ8</v>
      </c>
      <c r="E363">
        <f>Material!$G$33</f>
        <v>9500</v>
      </c>
      <c r="F363">
        <f>B363*E363</f>
        <v>46385.46000000001</v>
      </c>
    </row>
    <row r="364">
      <c r="B364">
        <f>0.5*2</f>
        <v>1</v>
      </c>
      <c r="C364" t="str">
        <v>m2</v>
      </c>
      <c r="D364" t="str">
        <v>Kawat ayam</v>
      </c>
      <c r="E364">
        <f>Material!$G$75</f>
        <v>15000</v>
      </c>
      <c r="F364">
        <f>B364*E364</f>
        <v>15000</v>
      </c>
    </row>
    <row r="365">
      <c r="B365">
        <v>1</v>
      </c>
      <c r="C365" t="str">
        <v>m2</v>
      </c>
      <c r="D365" t="str">
        <v>Ongkos pasang kolom praktis</v>
      </c>
      <c r="E365">
        <f>Upah!$D$36</f>
        <v>40000</v>
      </c>
      <c r="G365">
        <f>B365*E365</f>
        <v>40000</v>
      </c>
    </row>
    <row r="367">
      <c r="E367" t="str">
        <v>Jumlah</v>
      </c>
      <c r="F367">
        <f>SUM(F360:F366)</f>
        <v>99188.07160000001</v>
      </c>
      <c r="G367">
        <f>SUM(G360:G366)</f>
        <v>40000</v>
      </c>
      <c r="I367">
        <f>SUM(F367:G367)</f>
        <v>139188.07160000002</v>
      </c>
    </row>
    <row r="369">
      <c r="B369" t="str">
        <v>1 m' Kolom Praktis 15 x 25 cm</v>
      </c>
    </row>
    <row r="370">
      <c r="B370">
        <f>0.15*0.25*1.05</f>
        <v>0.039375</v>
      </c>
      <c r="C370" t="str">
        <v>m3</v>
      </c>
      <c r="D370" t="str">
        <v>Beton site mix</v>
      </c>
      <c r="E370">
        <f>$I$265</f>
        <v>886530</v>
      </c>
      <c r="F370">
        <f>B370*E370</f>
        <v>34907.11875</v>
      </c>
    </row>
    <row r="371">
      <c r="B371">
        <f>2*0.3</f>
        <v>0.6</v>
      </c>
      <c r="C371" t="str">
        <v>m2</v>
      </c>
      <c r="D371" t="str">
        <v>Bekisting</v>
      </c>
      <c r="E371">
        <f>Material!$G$51</f>
        <v>40000</v>
      </c>
      <c r="F371">
        <f>B371*E371</f>
        <v>24000</v>
      </c>
    </row>
    <row r="372">
      <c r="B372">
        <f>0.006165*(4*13^2*1.1+5*8^2*0.9+2*8^2*1)</f>
        <v>7.148934</v>
      </c>
      <c r="C372" t="str">
        <v>kg</v>
      </c>
      <c r="D372" t="str">
        <v>Besi 4D10 + Æ8-200 + stek Æ8</v>
      </c>
      <c r="E372">
        <f>Material!$G$33</f>
        <v>9500</v>
      </c>
      <c r="F372">
        <f>B372*E372</f>
        <v>67914.87299999999</v>
      </c>
    </row>
    <row r="373">
      <c r="B373">
        <f>0.5*2</f>
        <v>1</v>
      </c>
      <c r="C373" t="str">
        <v>m2</v>
      </c>
      <c r="D373" t="str">
        <v>Kawat ayam</v>
      </c>
      <c r="E373">
        <f>Material!$G$75</f>
        <v>15000</v>
      </c>
      <c r="F373">
        <f>B373*E373</f>
        <v>15000</v>
      </c>
    </row>
    <row r="374">
      <c r="B374">
        <v>1</v>
      </c>
      <c r="C374" t="str">
        <v>m2</v>
      </c>
      <c r="D374" t="str">
        <v>Ongkos pasang kolom praktis</v>
      </c>
      <c r="E374">
        <f>Upah!$D$36</f>
        <v>40000</v>
      </c>
      <c r="G374">
        <f>B374*E374</f>
        <v>40000</v>
      </c>
    </row>
    <row r="376">
      <c r="E376" t="str">
        <v>Jumlah</v>
      </c>
      <c r="F376">
        <f>SUM(F369:F375)</f>
        <v>141821.99175</v>
      </c>
      <c r="G376">
        <f>SUM(G369:G375)</f>
        <v>40000</v>
      </c>
      <c r="I376">
        <f>SUM(F376:G376)</f>
        <v>181821.99175</v>
      </c>
    </row>
    <row r="378">
      <c r="B378" t="str">
        <v>1 m' Kolom Praktis 15 x 30 cm</v>
      </c>
    </row>
    <row r="379">
      <c r="B379">
        <f>0.15*0.3*1.05</f>
        <v>0.04725</v>
      </c>
      <c r="C379" t="str">
        <v>m3</v>
      </c>
      <c r="D379" t="str">
        <v>Beton site mix</v>
      </c>
      <c r="E379">
        <f>$I$265</f>
        <v>886530</v>
      </c>
      <c r="F379">
        <f>B379*E379</f>
        <v>41888.5425</v>
      </c>
    </row>
    <row r="380">
      <c r="B380">
        <f>2*0.3</f>
        <v>0.6</v>
      </c>
      <c r="C380" t="str">
        <v>m2</v>
      </c>
      <c r="D380" t="str">
        <v>Bekisting</v>
      </c>
      <c r="E380">
        <f>Material!$G$51</f>
        <v>40000</v>
      </c>
      <c r="F380">
        <f>B380*E380</f>
        <v>24000</v>
      </c>
    </row>
    <row r="381">
      <c r="B381">
        <f>0.006165*(4*13^2*1.1+5*8^2*1+2*8^2*1)</f>
        <v>7.346214</v>
      </c>
      <c r="C381" t="str">
        <v>kg</v>
      </c>
      <c r="D381" t="str">
        <v>Besi 4D10 + Æ8-200 + stek Æ8</v>
      </c>
      <c r="E381">
        <f>Material!$G$33</f>
        <v>9500</v>
      </c>
      <c r="F381">
        <f>B381*E381</f>
        <v>69789.033</v>
      </c>
    </row>
    <row r="382">
      <c r="B382">
        <f>0.5*2</f>
        <v>1</v>
      </c>
      <c r="C382" t="str">
        <v>m2</v>
      </c>
      <c r="D382" t="str">
        <v>Kawat ayam</v>
      </c>
      <c r="E382">
        <f>Material!$G$75</f>
        <v>15000</v>
      </c>
      <c r="F382">
        <f>B382*E382</f>
        <v>15000</v>
      </c>
    </row>
    <row r="383">
      <c r="B383">
        <v>1</v>
      </c>
      <c r="C383" t="str">
        <v>m2</v>
      </c>
      <c r="D383" t="str">
        <v>Ongkos pasang kolom praktis</v>
      </c>
      <c r="E383">
        <f>Upah!$D$36</f>
        <v>40000</v>
      </c>
      <c r="G383">
        <f>B383*E383</f>
        <v>40000</v>
      </c>
    </row>
    <row r="385">
      <c r="E385" t="str">
        <v>Jumlah</v>
      </c>
      <c r="F385">
        <f>SUM(F378:F384)</f>
        <v>150677.5755</v>
      </c>
      <c r="G385">
        <f>SUM(G378:G384)</f>
        <v>40000</v>
      </c>
      <c r="I385">
        <f>SUM(F385:G385)</f>
        <v>190677.5755</v>
      </c>
    </row>
    <row r="387">
      <c r="B387" t="str">
        <v>1 m' Kolom Praktis 15 x 35 cm</v>
      </c>
    </row>
    <row r="388">
      <c r="B388">
        <f>0.15*0.35*1.05</f>
        <v>0.055125</v>
      </c>
      <c r="C388" t="str">
        <v>m3</v>
      </c>
      <c r="D388" t="str">
        <v>Beton site mix</v>
      </c>
      <c r="E388">
        <f>$I$265</f>
        <v>886530</v>
      </c>
      <c r="F388">
        <f>B388*E388</f>
        <v>48869.96625</v>
      </c>
    </row>
    <row r="389">
      <c r="B389">
        <f>2*0.3</f>
        <v>0.6</v>
      </c>
      <c r="C389" t="str">
        <v>m2</v>
      </c>
      <c r="D389" t="str">
        <v>Bekisting</v>
      </c>
      <c r="E389">
        <f>Material!$G$51</f>
        <v>40000</v>
      </c>
      <c r="F389">
        <f>B389*E389</f>
        <v>24000</v>
      </c>
    </row>
    <row r="390">
      <c r="B390">
        <f>0.006165*(4*13^2*1.1+5*8^2*1.1+2*8^2*1)</f>
        <v>7.543494</v>
      </c>
      <c r="C390" t="str">
        <v>kg</v>
      </c>
      <c r="D390" t="str">
        <v>Besi 6D10 + Æ8-200 + stek Æ8</v>
      </c>
      <c r="E390">
        <f>Material!$G$33</f>
        <v>9500</v>
      </c>
      <c r="F390">
        <f>B390*E390</f>
        <v>71663.193</v>
      </c>
    </row>
    <row r="391">
      <c r="B391">
        <f>0.5*2</f>
        <v>1</v>
      </c>
      <c r="C391" t="str">
        <v>m2</v>
      </c>
      <c r="D391" t="str">
        <v>Kawat ayam</v>
      </c>
      <c r="E391">
        <f>Material!$G$75</f>
        <v>15000</v>
      </c>
      <c r="F391">
        <f>B391*E391</f>
        <v>15000</v>
      </c>
    </row>
    <row r="392">
      <c r="B392">
        <v>1</v>
      </c>
      <c r="C392" t="str">
        <v>m2</v>
      </c>
      <c r="D392" t="str">
        <v>Ongkos pasang kolom praktis</v>
      </c>
      <c r="E392">
        <f>Upah!$D$36</f>
        <v>40000</v>
      </c>
      <c r="G392">
        <f>B392*E392</f>
        <v>40000</v>
      </c>
    </row>
    <row r="394">
      <c r="E394" t="str">
        <v>Jumlah</v>
      </c>
      <c r="F394">
        <f>SUM(F387:F393)</f>
        <v>159533.15925</v>
      </c>
      <c r="G394">
        <f>SUM(G387:G393)</f>
        <v>40000</v>
      </c>
      <c r="I394">
        <f>SUM(F394:G394)</f>
        <v>199533.15925</v>
      </c>
    </row>
    <row r="396">
      <c r="B396" t="str">
        <v>1 m' Kolom Praktis 15 x 45 cm</v>
      </c>
    </row>
    <row r="397">
      <c r="B397">
        <f>0.15*0.45*1.05</f>
        <v>0.07087500000000001</v>
      </c>
      <c r="C397" t="str">
        <v>m3</v>
      </c>
      <c r="D397" t="str">
        <v>Beton site mix</v>
      </c>
      <c r="E397">
        <f>$I$265</f>
        <v>886530</v>
      </c>
      <c r="F397">
        <f>B397*E397</f>
        <v>62832.81375000001</v>
      </c>
    </row>
    <row r="398">
      <c r="B398">
        <f>2*0.3</f>
        <v>0.6</v>
      </c>
      <c r="C398" t="str">
        <v>m2</v>
      </c>
      <c r="D398" t="str">
        <v>Bekisting</v>
      </c>
      <c r="E398">
        <f>Material!$G$51</f>
        <v>40000</v>
      </c>
      <c r="F398">
        <f>B398*E398</f>
        <v>24000</v>
      </c>
    </row>
    <row r="399">
      <c r="B399">
        <f>0.006165*(4*13^2*1.1+5*8^2*1.3+2*8^2*1)</f>
        <v>7.938054</v>
      </c>
      <c r="C399" t="str">
        <v>kg</v>
      </c>
      <c r="D399" t="str">
        <v>Besi 6D10 + Æ8-200 + stek Æ8</v>
      </c>
      <c r="E399">
        <f>Material!$G$33</f>
        <v>9500</v>
      </c>
      <c r="F399">
        <f>B399*E399</f>
        <v>75411.513</v>
      </c>
    </row>
    <row r="400">
      <c r="B400">
        <f>0.5*2</f>
        <v>1</v>
      </c>
      <c r="C400" t="str">
        <v>m2</v>
      </c>
      <c r="D400" t="str">
        <v>Kawat ayam</v>
      </c>
      <c r="E400">
        <f>Material!$G$75</f>
        <v>15000</v>
      </c>
      <c r="F400">
        <f>B400*E400</f>
        <v>15000</v>
      </c>
    </row>
    <row r="401">
      <c r="B401">
        <v>1</v>
      </c>
      <c r="C401" t="str">
        <v>m2</v>
      </c>
      <c r="D401" t="str">
        <v>Ongkos pasang kolom praktis</v>
      </c>
      <c r="E401">
        <f>Upah!$D$36</f>
        <v>40000</v>
      </c>
      <c r="G401">
        <f>B401*E401</f>
        <v>40000</v>
      </c>
    </row>
    <row r="403">
      <c r="E403" t="str">
        <v>Jumlah</v>
      </c>
      <c r="F403">
        <f>SUM(F396:F402)</f>
        <v>177244.32675</v>
      </c>
      <c r="G403">
        <f>SUM(G396:G402)</f>
        <v>40000</v>
      </c>
      <c r="I403">
        <f>SUM(F403:G403)</f>
        <v>217244.32675</v>
      </c>
    </row>
    <row r="405">
      <c r="B405" t="str">
        <v>1 m2 Pasangan Dinding Bata Merah 1/4 Batu (finish 10 cm), spesi 1:3</v>
      </c>
    </row>
    <row r="406">
      <c r="B406">
        <f>ROUND(50*1.1,0)</f>
        <v>55</v>
      </c>
      <c r="C406" t="str">
        <v>pcs</v>
      </c>
      <c r="D406" t="str">
        <v>Bata MRH</v>
      </c>
      <c r="E406">
        <f>Material!$G$77</f>
        <v>750</v>
      </c>
      <c r="F406">
        <f>B406*E406</f>
        <v>41250</v>
      </c>
    </row>
    <row r="407">
      <c r="B407">
        <f>0.02*8.977*1.2</f>
        <v>0.215448</v>
      </c>
      <c r="C407" t="str">
        <v>sak</v>
      </c>
      <c r="D407" t="str">
        <v>Semen PC @50kg</v>
      </c>
      <c r="E407">
        <f>Material!$G$14</f>
        <v>65000</v>
      </c>
      <c r="F407">
        <f>B407*E407</f>
        <v>14004.12</v>
      </c>
    </row>
    <row r="408">
      <c r="B408">
        <f>0.02*1.077*1.2</f>
        <v>0.025848</v>
      </c>
      <c r="C408" t="str">
        <v>m3</v>
      </c>
      <c r="D408" t="str">
        <v>Pasir  Lumajang</v>
      </c>
      <c r="E408">
        <f>Material!$G$8</f>
        <v>350000</v>
      </c>
      <c r="F408">
        <f>B408*E408</f>
        <v>9046.8</v>
      </c>
    </row>
    <row r="409">
      <c r="B409">
        <v>0.5</v>
      </c>
      <c r="C409" t="str">
        <v>m'</v>
      </c>
      <c r="D409" t="str">
        <v>Kolom praktis, balok praktis, balok sabuk</v>
      </c>
      <c r="E409">
        <f>$I$349</f>
        <v>121781.15359999999</v>
      </c>
      <c r="F409">
        <f>B409*$F$349</f>
        <v>40890.576799999995</v>
      </c>
      <c r="G409">
        <f>B409*$G$349</f>
        <v>20000</v>
      </c>
    </row>
    <row r="410">
      <c r="B410">
        <v>1</v>
      </c>
      <c r="C410" t="str">
        <v>m2</v>
      </c>
      <c r="D410" t="str">
        <v>Upah pasang bata merah 1/2 batu</v>
      </c>
      <c r="E410">
        <f>Upah!$D$85</f>
        <v>80000</v>
      </c>
      <c r="G410">
        <v>70000</v>
      </c>
    </row>
    <row r="412">
      <c r="E412" t="str">
        <v>Jumlah</v>
      </c>
      <c r="F412">
        <f>SUM(F405:F411)</f>
        <v>105191.4968</v>
      </c>
      <c r="G412">
        <f>SUM(G405:G411)</f>
        <v>90000</v>
      </c>
      <c r="I412">
        <f>SUM(F412:G412)</f>
        <v>195191.4968</v>
      </c>
    </row>
    <row r="414">
      <c r="B414" t="str">
        <v>1 m2 Pasangan Dinding Bata Merah 1/2 Batu (finish 15 cm), spesi 1:3</v>
      </c>
    </row>
    <row r="415">
      <c r="B415">
        <f>ROUND(72.17*1.1,0)</f>
        <v>79</v>
      </c>
      <c r="C415" t="str">
        <v>pcs</v>
      </c>
      <c r="D415" t="str">
        <v>Bata MRH</v>
      </c>
      <c r="E415">
        <f>Material!$G$77</f>
        <v>750</v>
      </c>
      <c r="F415">
        <f>B415*E415</f>
        <v>59250</v>
      </c>
    </row>
    <row r="416">
      <c r="B416">
        <f>0.0302*8.977*1.2</f>
        <v>0.32532648</v>
      </c>
      <c r="C416" t="str">
        <v>sak</v>
      </c>
      <c r="D416" t="str">
        <v>Semen PC @50kg</v>
      </c>
      <c r="E416">
        <f>Material!$G$14</f>
        <v>65000</v>
      </c>
      <c r="F416">
        <f>B416*E416</f>
        <v>21146.2212</v>
      </c>
    </row>
    <row r="417">
      <c r="B417">
        <f>0.0302*1.077*1.2</f>
        <v>0.03903048</v>
      </c>
      <c r="C417" t="str">
        <v>m3</v>
      </c>
      <c r="D417" t="str">
        <v>Pasir  Lumajang</v>
      </c>
      <c r="E417">
        <f>Material!$G$8</f>
        <v>350000</v>
      </c>
      <c r="F417">
        <f>B417*E417</f>
        <v>13660.668</v>
      </c>
    </row>
    <row r="418">
      <c r="B418">
        <v>0.6</v>
      </c>
      <c r="C418" t="str">
        <v>m'</v>
      </c>
      <c r="D418" t="str">
        <v>Kolom praktis, balok praktis, balok sabuk</v>
      </c>
      <c r="E418">
        <f>$I$349</f>
        <v>121781.15359999999</v>
      </c>
      <c r="F418">
        <f>B418*$F$349</f>
        <v>49068.69215999999</v>
      </c>
      <c r="G418">
        <f>B418*$G$349</f>
        <v>24000</v>
      </c>
    </row>
    <row r="419">
      <c r="B419">
        <v>1</v>
      </c>
      <c r="C419" t="str">
        <v>m2</v>
      </c>
      <c r="D419" t="str">
        <v>Upah pasang bata merah 1/2 batu</v>
      </c>
      <c r="E419">
        <f>Upah!$D$85</f>
        <v>80000</v>
      </c>
      <c r="G419">
        <f>B419*E419</f>
        <v>80000</v>
      </c>
    </row>
    <row r="421">
      <c r="E421" t="str">
        <v>Jumlah</v>
      </c>
      <c r="F421">
        <f>SUM(F414:F420)</f>
        <v>143125.58136</v>
      </c>
      <c r="G421">
        <f>SUM(G414:G420)</f>
        <v>104000</v>
      </c>
      <c r="I421">
        <f>SUM(F421:G421)</f>
        <v>247125.58136</v>
      </c>
    </row>
    <row r="423">
      <c r="B423" t="str">
        <v>1 m2 Pasangan Dinding Bata Merah 3/4 Batu (finish 20 cm), spesi 1:3</v>
      </c>
    </row>
    <row r="424">
      <c r="B424">
        <f>ROUND(23*57/(4.07*3.04)*1.1,0)</f>
        <v>117</v>
      </c>
      <c r="C424" t="str">
        <v>pcs</v>
      </c>
      <c r="D424" t="str">
        <v>Bata MRH</v>
      </c>
      <c r="E424">
        <f>Material!$G$77</f>
        <v>750</v>
      </c>
      <c r="F424">
        <f>B424*E424</f>
        <v>87750</v>
      </c>
    </row>
    <row r="425">
      <c r="B425">
        <f>0.044*8.977*1.2</f>
        <v>0.4739856</v>
      </c>
      <c r="C425" t="str">
        <v>sak</v>
      </c>
      <c r="D425" t="str">
        <v>Semen PC @50kg</v>
      </c>
      <c r="E425">
        <f>Material!$G$14</f>
        <v>65000</v>
      </c>
      <c r="F425">
        <f>B425*E425</f>
        <v>30809.064000000002</v>
      </c>
    </row>
    <row r="426">
      <c r="B426">
        <f>0.044*1.077*1.2</f>
        <v>0.05686559999999999</v>
      </c>
      <c r="C426" t="str">
        <v>m3</v>
      </c>
      <c r="D426" t="str">
        <v>Pasir  Lumajang</v>
      </c>
      <c r="E426">
        <f>Material!$G$8</f>
        <v>350000</v>
      </c>
      <c r="F426">
        <f>B426*E426</f>
        <v>19902.959999999995</v>
      </c>
    </row>
    <row r="427">
      <c r="B427">
        <v>0.6</v>
      </c>
      <c r="C427" t="str">
        <v>m'</v>
      </c>
      <c r="D427" t="str">
        <v>Kolom praktis, balok praktis, balok sabuk</v>
      </c>
      <c r="E427">
        <f>$I$358</f>
        <v>132358.7726</v>
      </c>
      <c r="F427">
        <f>B427*$F$358</f>
        <v>55415.26356</v>
      </c>
      <c r="G427">
        <f>B427*$G$358</f>
        <v>24000</v>
      </c>
    </row>
    <row r="428">
      <c r="B428">
        <v>1</v>
      </c>
      <c r="C428" t="str">
        <v>m2</v>
      </c>
      <c r="D428" t="str">
        <v>Upah pasang bata merah 3/4 batu</v>
      </c>
      <c r="E428">
        <f>Upah!$D$86</f>
        <v>100000</v>
      </c>
      <c r="G428">
        <f>B428*E428</f>
        <v>100000</v>
      </c>
    </row>
    <row r="430">
      <c r="E430" t="str">
        <v>Jumlah</v>
      </c>
      <c r="F430">
        <f>SUM(F423:F429)</f>
        <v>193877.28756</v>
      </c>
      <c r="G430">
        <f>SUM(G423:G429)</f>
        <v>124000</v>
      </c>
      <c r="I430">
        <f>SUM(F430:G430)</f>
        <v>317877.28755999997</v>
      </c>
    </row>
    <row r="432">
      <c r="B432" t="str">
        <v>1 m2 Pasangan Dinding Bata Merah 1 Batu (finish 25 cm), spesi 1:3</v>
      </c>
    </row>
    <row r="433">
      <c r="B433">
        <f>ROUND(144.34*1.1,0)</f>
        <v>159</v>
      </c>
      <c r="C433" t="str">
        <v>pcs</v>
      </c>
      <c r="D433" t="str">
        <v>Bata MRH</v>
      </c>
      <c r="E433">
        <f>E415</f>
        <v>750</v>
      </c>
      <c r="F433">
        <f>B433*E433</f>
        <v>119250</v>
      </c>
    </row>
    <row r="434">
      <c r="B434">
        <f>0.0648*8.977*1.2</f>
        <v>0.6980515199999999</v>
      </c>
      <c r="C434" t="str">
        <v>sak</v>
      </c>
      <c r="D434" t="str">
        <v>Semen PC @50kg</v>
      </c>
      <c r="E434">
        <f>E416</f>
        <v>65000</v>
      </c>
      <c r="F434">
        <f>B434*E434</f>
        <v>45373.34879999999</v>
      </c>
    </row>
    <row r="435">
      <c r="B435">
        <f>0.0648*1.077*1.2</f>
        <v>0.08374751999999999</v>
      </c>
      <c r="C435" t="str">
        <v>m3</v>
      </c>
      <c r="D435" t="str">
        <v>Pasir  Lumajang</v>
      </c>
      <c r="E435">
        <f>E417</f>
        <v>350000</v>
      </c>
      <c r="F435">
        <f>B435*E435</f>
        <v>29311.631999999998</v>
      </c>
    </row>
    <row r="436">
      <c r="B436">
        <v>0.3</v>
      </c>
      <c r="C436" t="str">
        <v>m'</v>
      </c>
      <c r="D436" t="str">
        <v>Kolom praktis, balok praktis, balok sabuk</v>
      </c>
      <c r="E436">
        <f>$I$367</f>
        <v>139188.07160000002</v>
      </c>
      <c r="F436">
        <f>B436*$F$367</f>
        <v>29756.42148</v>
      </c>
      <c r="G436">
        <f>B436*$G$367</f>
        <v>12000</v>
      </c>
    </row>
    <row r="437">
      <c r="B437">
        <v>1</v>
      </c>
      <c r="C437" t="str">
        <v>m2</v>
      </c>
      <c r="D437" t="str">
        <v>Upah pasang bata merah 1 batu</v>
      </c>
      <c r="E437">
        <f>Upah!$D$87</f>
        <v>150000</v>
      </c>
      <c r="G437">
        <f>B437*E437</f>
        <v>150000</v>
      </c>
    </row>
    <row r="439">
      <c r="E439" t="str">
        <v>Jumlah</v>
      </c>
      <c r="F439">
        <f>SUM(F432:F438)</f>
        <v>223691.40227999995</v>
      </c>
      <c r="G439">
        <f>SUM(G432:G438)</f>
        <v>162000</v>
      </c>
      <c r="I439">
        <f>SUM(F439:G439)</f>
        <v>385691.4022799999</v>
      </c>
    </row>
    <row r="441">
      <c r="B441" t="str">
        <v>1 m2 Pasangan Dinding Bata Merah finish 30 cm, spesi 1:3</v>
      </c>
    </row>
    <row r="442">
      <c r="B442">
        <v>158</v>
      </c>
      <c r="C442" t="str">
        <v>pcs</v>
      </c>
      <c r="D442" t="str">
        <v>Bata MRH</v>
      </c>
      <c r="E442">
        <f>E433</f>
        <v>750</v>
      </c>
      <c r="F442">
        <f>B442*E442</f>
        <v>118500</v>
      </c>
    </row>
    <row r="443">
      <c r="B443">
        <v>1.1892729599999998</v>
      </c>
      <c r="C443" t="str">
        <v>sak</v>
      </c>
      <c r="D443" t="str">
        <v>Semen PC @50kg</v>
      </c>
      <c r="E443">
        <f>E434</f>
        <v>65000</v>
      </c>
      <c r="F443">
        <f>B443*E443</f>
        <v>77302.74239999999</v>
      </c>
    </row>
    <row r="444">
      <c r="B444">
        <v>0.14268095999999997</v>
      </c>
      <c r="C444" t="str">
        <v>m3</v>
      </c>
      <c r="D444" t="str">
        <v>Pasir  Lumajang</v>
      </c>
      <c r="E444">
        <f>E435</f>
        <v>350000</v>
      </c>
      <c r="F444">
        <f>B444*E444</f>
        <v>49938.33599999999</v>
      </c>
    </row>
    <row r="445">
      <c r="B445">
        <v>0.3</v>
      </c>
      <c r="C445" t="str">
        <v>m'</v>
      </c>
      <c r="D445" t="str">
        <v>Kolom praktis, balok praktis, balok sabuk</v>
      </c>
      <c r="E445">
        <f>$I$376</f>
        <v>181821.99175</v>
      </c>
      <c r="F445">
        <f>B445*$F$376</f>
        <v>42546.597525</v>
      </c>
      <c r="G445">
        <f>B445*$G$376</f>
        <v>12000</v>
      </c>
    </row>
    <row r="446">
      <c r="B446">
        <v>1</v>
      </c>
      <c r="C446" t="str">
        <v>m2</v>
      </c>
      <c r="D446" t="str">
        <v>Upah pasang bata merah</v>
      </c>
      <c r="E446">
        <f>Upah!$D$88</f>
        <v>175000</v>
      </c>
      <c r="G446">
        <f>B446*E446</f>
        <v>175000</v>
      </c>
    </row>
    <row r="448">
      <c r="E448" t="str">
        <v>Jumlah</v>
      </c>
      <c r="F448">
        <f>SUM(F441:F447)</f>
        <v>288287.675925</v>
      </c>
      <c r="G448">
        <f>SUM(G441:G447)</f>
        <v>187000</v>
      </c>
      <c r="I448">
        <f>SUM(F448:G448)</f>
        <v>475287.675925</v>
      </c>
    </row>
    <row r="450">
      <c r="B450" t="str">
        <v>1 m2 Pasangan Dinding Bata Merah finish 35 cm, spesi 1:3</v>
      </c>
    </row>
    <row r="451">
      <c r="B451">
        <f>B415+B424</f>
        <v>196</v>
      </c>
      <c r="C451" t="str">
        <v>pcs</v>
      </c>
      <c r="D451" t="str">
        <v>Bata MRH</v>
      </c>
      <c r="E451">
        <f>E442</f>
        <v>750</v>
      </c>
      <c r="F451">
        <f>B451*E451</f>
        <v>147000</v>
      </c>
    </row>
    <row r="452">
      <c r="B452">
        <f>0.11*8.977*1.2</f>
        <v>1.1849640000000001</v>
      </c>
      <c r="C452" t="str">
        <v>sak</v>
      </c>
      <c r="D452" t="str">
        <v>Semen PC @50kg</v>
      </c>
      <c r="E452">
        <f>E443</f>
        <v>65000</v>
      </c>
      <c r="F452">
        <f>B452*E452</f>
        <v>77022.66</v>
      </c>
    </row>
    <row r="453">
      <c r="B453">
        <f>0.11*1.077*1.2</f>
        <v>0.14216399999999998</v>
      </c>
      <c r="C453" t="str">
        <v>m3</v>
      </c>
      <c r="D453" t="str">
        <v>Pasir  Lumajang</v>
      </c>
      <c r="E453">
        <f>E444</f>
        <v>350000</v>
      </c>
      <c r="F453">
        <f>B453*E453</f>
        <v>49757.399999999994</v>
      </c>
    </row>
    <row r="454">
      <c r="B454">
        <v>0.3</v>
      </c>
      <c r="C454" t="str">
        <v>m'</v>
      </c>
      <c r="D454" t="str">
        <v>Kolom praktis, balok praktis, balok sabuk</v>
      </c>
      <c r="E454">
        <f>$I$385</f>
        <v>190677.5755</v>
      </c>
      <c r="F454">
        <f>B454*$F$385</f>
        <v>45203.27265</v>
      </c>
      <c r="G454">
        <f>B454*$G$385</f>
        <v>12000</v>
      </c>
    </row>
    <row r="455">
      <c r="B455">
        <v>1</v>
      </c>
      <c r="C455" t="str">
        <v>m2</v>
      </c>
      <c r="D455" t="str">
        <v>Upah pasang bata merah</v>
      </c>
      <c r="E455">
        <f>Upah!$D$88</f>
        <v>175000</v>
      </c>
      <c r="G455">
        <f>B455*E455</f>
        <v>175000</v>
      </c>
    </row>
    <row r="457">
      <c r="E457" t="str">
        <v>Jumlah</v>
      </c>
      <c r="F457">
        <f>SUM(F450:F456)</f>
        <v>318983.33265</v>
      </c>
      <c r="G457">
        <f>SUM(G450:G456)</f>
        <v>187000</v>
      </c>
      <c r="I457">
        <f>SUM(F457:G457)</f>
        <v>505983.33265</v>
      </c>
    </row>
    <row r="459">
      <c r="B459" t="str">
        <v>1 m2 Pasangan Dinding Bata Merah finish 40 cm, spesi 1:3</v>
      </c>
    </row>
    <row r="460">
      <c r="B460">
        <v>234</v>
      </c>
      <c r="C460" t="str">
        <v>pcs</v>
      </c>
      <c r="D460" t="str">
        <v>Bata MRH</v>
      </c>
      <c r="E460">
        <f>E433</f>
        <v>750</v>
      </c>
      <c r="F460">
        <f>B460*E460</f>
        <v>175500</v>
      </c>
    </row>
    <row r="461">
      <c r="B461">
        <v>1.2172811999999997</v>
      </c>
      <c r="C461" t="str">
        <v>sak</v>
      </c>
      <c r="D461" t="str">
        <v>Semen PC @50kg</v>
      </c>
      <c r="E461">
        <f>E434</f>
        <v>65000</v>
      </c>
      <c r="F461">
        <f>B461*E461</f>
        <v>79123.27799999998</v>
      </c>
    </row>
    <row r="462">
      <c r="B462">
        <v>0.14604119999999998</v>
      </c>
      <c r="C462" t="str">
        <v>m3</v>
      </c>
      <c r="D462" t="str">
        <v>Pasir  Lumajang</v>
      </c>
      <c r="E462">
        <f>E435</f>
        <v>350000</v>
      </c>
      <c r="F462">
        <f>B462*E462</f>
        <v>51114.41999999999</v>
      </c>
    </row>
    <row r="463">
      <c r="B463">
        <v>0.3</v>
      </c>
      <c r="C463" t="str">
        <v>m'</v>
      </c>
      <c r="D463" t="str">
        <v>Kolom praktis, balok praktis, balok sabuk</v>
      </c>
      <c r="E463">
        <f>$I$394</f>
        <v>199533.15925</v>
      </c>
      <c r="F463">
        <f>B463*$F$394</f>
        <v>47859.947775</v>
      </c>
      <c r="G463">
        <f>B463*$G$394</f>
        <v>12000</v>
      </c>
    </row>
    <row r="464">
      <c r="B464">
        <v>1</v>
      </c>
      <c r="C464" t="str">
        <v>m2</v>
      </c>
      <c r="D464" t="str">
        <v>Upah pasang bata merah</v>
      </c>
      <c r="E464">
        <f>Upah!$D$89</f>
        <v>175000</v>
      </c>
      <c r="G464">
        <f>B464*E464</f>
        <v>175000</v>
      </c>
    </row>
    <row r="466">
      <c r="E466" t="str">
        <v>Jumlah</v>
      </c>
      <c r="F466">
        <f>SUM(F459:F465)</f>
        <v>353597.645775</v>
      </c>
      <c r="G466">
        <f>SUM(G459:G465)</f>
        <v>187000</v>
      </c>
      <c r="I466">
        <f>SUM(F466:G466)</f>
        <v>540597.645775</v>
      </c>
    </row>
    <row r="468">
      <c r="B468" t="str">
        <v>1 m2 Pasangan Dinding Bata Merah finish 50 cm, spesi 1:3</v>
      </c>
    </row>
    <row r="469">
      <c r="B469">
        <f>2*B433</f>
        <v>318</v>
      </c>
      <c r="C469" t="str">
        <v>pcs</v>
      </c>
      <c r="D469" t="str">
        <v>Bata MRH</v>
      </c>
      <c r="E469">
        <f>E442</f>
        <v>750</v>
      </c>
      <c r="F469">
        <f>B469*E469</f>
        <v>238500</v>
      </c>
    </row>
    <row r="470">
      <c r="B470">
        <f>(0.0648*2+0.025)*8.977*1.2</f>
        <v>1.66541304</v>
      </c>
      <c r="C470" t="str">
        <v>sak</v>
      </c>
      <c r="D470" t="str">
        <v>Semen PC @50kg</v>
      </c>
      <c r="E470">
        <f>E443</f>
        <v>65000</v>
      </c>
      <c r="F470">
        <f>B470*E470</f>
        <v>108251.8476</v>
      </c>
    </row>
    <row r="471">
      <c r="B471">
        <f>(0.0648*2+0.025)*1.077*1.2</f>
        <v>0.19980504</v>
      </c>
      <c r="C471" t="str">
        <v>m3</v>
      </c>
      <c r="D471" t="str">
        <v>Pasir  Lumajang</v>
      </c>
      <c r="E471">
        <f>E444</f>
        <v>350000</v>
      </c>
      <c r="F471">
        <f>B471*E471</f>
        <v>69931.764</v>
      </c>
    </row>
    <row r="472">
      <c r="B472">
        <v>0.3</v>
      </c>
      <c r="C472" t="str">
        <v>m'</v>
      </c>
      <c r="D472" t="str">
        <v>Kolom praktis, balok praktis, balok sabuk</v>
      </c>
      <c r="E472">
        <f>$I$403</f>
        <v>217244.32675</v>
      </c>
      <c r="F472">
        <f>B472*$F$403</f>
        <v>53173.298025000004</v>
      </c>
      <c r="G472">
        <f>B472*$G$403</f>
        <v>12000</v>
      </c>
    </row>
    <row r="473">
      <c r="B473">
        <v>1</v>
      </c>
      <c r="C473" t="str">
        <v>m2</v>
      </c>
      <c r="D473" t="str">
        <v>Upah pasang bata merah</v>
      </c>
      <c r="E473">
        <f>Upah!$D$89</f>
        <v>175000</v>
      </c>
      <c r="G473">
        <f>B473*E473</f>
        <v>175000</v>
      </c>
    </row>
    <row r="475">
      <c r="E475" t="str">
        <v>Jumlah</v>
      </c>
      <c r="F475">
        <f>SUM(F468:F474)</f>
        <v>469856.909625</v>
      </c>
      <c r="G475">
        <f>SUM(G468:G474)</f>
        <v>187000</v>
      </c>
      <c r="I475">
        <f>SUM(F475:G475)</f>
        <v>656856.909625</v>
      </c>
    </row>
    <row r="477">
      <c r="B477" t="str">
        <v>1 m2 Pasangan Dinding Bata Ringan 1/2 Batu (10 cm)</v>
      </c>
    </row>
    <row r="478">
      <c r="B478">
        <f>0.1*1.06</f>
        <v>0.10600000000000001</v>
      </c>
      <c r="C478" t="str">
        <v>m3</v>
      </c>
      <c r="D478" t="str">
        <v>Bata Ringan</v>
      </c>
      <c r="E478">
        <f>Material!$G$78</f>
        <v>680000</v>
      </c>
      <c r="F478">
        <f>B478*E478</f>
        <v>72080.00000000001</v>
      </c>
    </row>
    <row r="479">
      <c r="B479">
        <f>40/12*1.25</f>
        <v>4.166666666666667</v>
      </c>
      <c r="C479" t="str">
        <v>kg</v>
      </c>
      <c r="D479" t="str">
        <v>Perekat Mortar Instan</v>
      </c>
      <c r="E479">
        <f>Material!$G$79</f>
        <v>1400</v>
      </c>
      <c r="F479">
        <f>B479*E479</f>
        <v>5833.333333333334</v>
      </c>
    </row>
    <row r="480">
      <c r="B480">
        <v>0.6</v>
      </c>
      <c r="C480" t="str">
        <v>m'</v>
      </c>
      <c r="D480" t="str">
        <v>Kolom praktis</v>
      </c>
      <c r="E480">
        <f>$I$349</f>
        <v>121781.15359999999</v>
      </c>
      <c r="F480">
        <f>B480*$F$349</f>
        <v>49068.69215999999</v>
      </c>
      <c r="G480">
        <f>B480*$G$349</f>
        <v>24000</v>
      </c>
    </row>
    <row r="481">
      <c r="B481">
        <v>1</v>
      </c>
      <c r="C481" t="str">
        <v>m2</v>
      </c>
      <c r="D481" t="str">
        <v>Ongkos pasang bata ringan</v>
      </c>
      <c r="E481">
        <f>Upah!$D$90</f>
        <v>30000</v>
      </c>
      <c r="G481">
        <f>B481*E481</f>
        <v>30000</v>
      </c>
    </row>
    <row r="483">
      <c r="E483" t="str">
        <v>Jumlah</v>
      </c>
      <c r="F483">
        <f>SUM(F477:F482)</f>
        <v>126982.02549333333</v>
      </c>
      <c r="G483">
        <f>SUM(G477:G482)</f>
        <v>54000</v>
      </c>
      <c r="I483">
        <f>SUM(F483:G483)</f>
        <v>180982.02549333335</v>
      </c>
    </row>
    <row r="485">
      <c r="B485" t="str">
        <v>1 m2 Pasangan Dinding Bata Ringan 1 Batu (20 cm)</v>
      </c>
    </row>
    <row r="486">
      <c r="B486">
        <f>0.2*1.06</f>
        <v>0.21200000000000002</v>
      </c>
      <c r="C486" t="str">
        <v>m3</v>
      </c>
      <c r="D486" t="str">
        <v>Bata Ringan</v>
      </c>
      <c r="E486">
        <f>Material!$G$78</f>
        <v>680000</v>
      </c>
      <c r="F486">
        <f>B486*E486</f>
        <v>144160.00000000003</v>
      </c>
    </row>
    <row r="487">
      <c r="B487">
        <f>2.33/0.67*B479</f>
        <v>14.490049751243783</v>
      </c>
      <c r="C487" t="str">
        <v>kg</v>
      </c>
      <c r="D487" t="str">
        <v>Perekat Mortar Instan</v>
      </c>
      <c r="E487">
        <f>Material!$G$79</f>
        <v>1400</v>
      </c>
      <c r="F487">
        <f>B487*E487</f>
        <v>20286.069651741294</v>
      </c>
    </row>
    <row r="488">
      <c r="B488">
        <v>0.5</v>
      </c>
      <c r="C488" t="str">
        <v>m'</v>
      </c>
      <c r="D488" t="str">
        <v>Kolom praktis</v>
      </c>
      <c r="E488">
        <f>$I$367</f>
        <v>139188.07160000002</v>
      </c>
      <c r="F488">
        <f>B488*$F$367</f>
        <v>49594.035800000005</v>
      </c>
      <c r="G488">
        <f>B488*$G$367</f>
        <v>20000</v>
      </c>
    </row>
    <row r="489">
      <c r="B489">
        <v>1</v>
      </c>
      <c r="C489" t="str">
        <v>m2</v>
      </c>
      <c r="D489" t="str">
        <v>Ongkos pasang bata ringan</v>
      </c>
      <c r="E489">
        <f>Upah!$D$91</f>
        <v>60000</v>
      </c>
      <c r="G489">
        <v>75000</v>
      </c>
    </row>
    <row r="491">
      <c r="E491" t="str">
        <v>Jumlah</v>
      </c>
      <c r="F491">
        <f>SUM(F485:F490)</f>
        <v>214040.10545174134</v>
      </c>
      <c r="G491">
        <f>SUM(G485:G490)</f>
        <v>95000</v>
      </c>
      <c r="I491">
        <f>SUM(F491:G491)</f>
        <v>309040.1054517414</v>
      </c>
    </row>
    <row r="493">
      <c r="B493" t="str">
        <v>1 m2 Pasangan Dinding Bata Ringan 1,5 Batu (30 cm)</v>
      </c>
    </row>
    <row r="494">
      <c r="B494">
        <f>0.3*1.06</f>
        <v>0.318</v>
      </c>
      <c r="C494" t="str">
        <v>m3</v>
      </c>
      <c r="D494" t="str">
        <v>Bata Ringan</v>
      </c>
      <c r="E494">
        <f>Material!$G$78</f>
        <v>680000</v>
      </c>
      <c r="F494">
        <f>B494*E494</f>
        <v>216240</v>
      </c>
    </row>
    <row r="495">
      <c r="B495">
        <f>4.33/0.67*B479</f>
        <v>26.927860696517413</v>
      </c>
      <c r="C495" t="str">
        <v>kg</v>
      </c>
      <c r="D495" t="str">
        <v>Perekat Mortar Instan</v>
      </c>
      <c r="E495">
        <f>Material!$G$79</f>
        <v>1400</v>
      </c>
      <c r="F495">
        <f>B495*E495</f>
        <v>37699.00497512438</v>
      </c>
    </row>
    <row r="496">
      <c r="B496">
        <v>0.3</v>
      </c>
      <c r="C496" t="str">
        <v>m'</v>
      </c>
      <c r="D496" t="str">
        <v>Kolom praktis</v>
      </c>
      <c r="E496">
        <f>$I$376</f>
        <v>181821.99175</v>
      </c>
      <c r="F496">
        <f>B496*$F$376</f>
        <v>42546.597525</v>
      </c>
      <c r="G496">
        <f>B496*$G$376</f>
        <v>12000</v>
      </c>
    </row>
    <row r="497">
      <c r="B497">
        <v>1</v>
      </c>
      <c r="C497" t="str">
        <v>m2</v>
      </c>
      <c r="D497" t="str">
        <v>Ongkos pasang bata ringan</v>
      </c>
      <c r="E497">
        <f>Upah!$D$92</f>
        <v>80000</v>
      </c>
      <c r="G497">
        <v>100000</v>
      </c>
    </row>
    <row r="499">
      <c r="E499" t="str">
        <v>Jumlah</v>
      </c>
      <c r="F499">
        <f>SUM(F493:F498)</f>
        <v>296485.60250012437</v>
      </c>
      <c r="G499">
        <f>SUM(G493:G498)</f>
        <v>112000</v>
      </c>
      <c r="I499">
        <f>SUM(F499:G499)</f>
        <v>408485.60250012437</v>
      </c>
    </row>
    <row r="502">
      <c r="B502" t="str">
        <v>1 m' Benangan</v>
      </c>
    </row>
    <row r="503">
      <c r="B503">
        <v>0.04</v>
      </c>
      <c r="C503" t="str">
        <v>sak</v>
      </c>
      <c r="D503" t="str">
        <v>Semen</v>
      </c>
      <c r="E503">
        <f>Material!$G$14</f>
        <v>65000</v>
      </c>
      <c r="F503">
        <f>B503*E503</f>
        <v>2600</v>
      </c>
    </row>
    <row r="504">
      <c r="B504">
        <v>1</v>
      </c>
      <c r="C504" t="str">
        <v>m'</v>
      </c>
      <c r="D504" t="str">
        <v>Upah benangan</v>
      </c>
      <c r="E504">
        <f>Upah!$D$97</f>
        <v>40000</v>
      </c>
      <c r="G504">
        <f>B504*E504</f>
        <v>40000</v>
      </c>
    </row>
    <row r="506">
      <c r="E506" t="str">
        <v>Jumlah</v>
      </c>
      <c r="F506">
        <f>SUM(F502:F505)</f>
        <v>2600</v>
      </c>
      <c r="G506">
        <f>SUM(G502:G505)</f>
        <v>40000</v>
      </c>
      <c r="I506">
        <f>SUM(F506:G506)</f>
        <v>42600</v>
      </c>
    </row>
    <row r="508">
      <c r="B508" t="str">
        <v>1 m2 Plesteran Mortar Instan + Benangan</v>
      </c>
    </row>
    <row r="509">
      <c r="B509">
        <f>50/2.6*1.2</f>
        <v>23.076923076923077</v>
      </c>
      <c r="C509" t="str">
        <v>kg</v>
      </c>
      <c r="D509" t="str">
        <v>Plesteran Mortar Instan</v>
      </c>
      <c r="E509">
        <f>Material!$G$80</f>
        <v>800</v>
      </c>
      <c r="F509">
        <f>B509*E509</f>
        <v>18461.53846153846</v>
      </c>
    </row>
    <row r="510">
      <c r="B510">
        <v>0.6</v>
      </c>
      <c r="C510" t="str">
        <v>m'</v>
      </c>
      <c r="D510" t="str">
        <v>Benangan</v>
      </c>
      <c r="E510">
        <f>$I$506</f>
        <v>42600</v>
      </c>
      <c r="F510">
        <f>B510*F506</f>
        <v>1560</v>
      </c>
      <c r="G510">
        <f>B510*G506</f>
        <v>24000</v>
      </c>
    </row>
    <row r="511">
      <c r="B511">
        <v>1</v>
      </c>
      <c r="C511" t="str">
        <v>m2</v>
      </c>
      <c r="D511" t="str">
        <v>Upah plesteran</v>
      </c>
      <c r="E511">
        <f>Upah!$D$93</f>
        <v>60000</v>
      </c>
      <c r="G511">
        <f>B511*E511</f>
        <v>60000</v>
      </c>
    </row>
    <row r="513">
      <c r="E513" t="str">
        <v>Jumlah</v>
      </c>
      <c r="F513">
        <f>SUM(F508:F512)</f>
        <v>20021.53846153846</v>
      </c>
      <c r="G513">
        <f>SUM(G508:G512)</f>
        <v>84000</v>
      </c>
      <c r="I513">
        <f>SUM(F513:G513)</f>
        <v>104021.53846153847</v>
      </c>
    </row>
    <row r="515">
      <c r="B515" t="str">
        <v>1 m2 Plesteran Konvensional 1:3 + Benangan</v>
      </c>
    </row>
    <row r="516">
      <c r="B516">
        <v>0.215</v>
      </c>
      <c r="C516" t="str">
        <v>sak</v>
      </c>
      <c r="D516" t="str">
        <v xml:space="preserve">Semen PC </v>
      </c>
      <c r="E516">
        <f>Material!$G$14</f>
        <v>65000</v>
      </c>
      <c r="F516">
        <f>B516*E516</f>
        <v>13975</v>
      </c>
    </row>
    <row r="517">
      <c r="B517">
        <v>0.026</v>
      </c>
      <c r="C517" t="str">
        <v>m3</v>
      </c>
      <c r="D517" t="str">
        <v>Pasir  Lumajang</v>
      </c>
      <c r="E517">
        <f>Material!$G$8</f>
        <v>350000</v>
      </c>
      <c r="F517">
        <f>B517*E517</f>
        <v>9100</v>
      </c>
    </row>
    <row r="518">
      <c r="B518">
        <v>0.6</v>
      </c>
      <c r="C518" t="str">
        <v>m'</v>
      </c>
      <c r="D518" t="str">
        <v>Benangan</v>
      </c>
      <c r="E518">
        <f>$I$506</f>
        <v>42600</v>
      </c>
      <c r="F518">
        <f>B518*F506</f>
        <v>1560</v>
      </c>
      <c r="G518">
        <f>B518*G506</f>
        <v>24000</v>
      </c>
    </row>
    <row r="519">
      <c r="B519">
        <v>1</v>
      </c>
      <c r="C519" t="str">
        <v>m2</v>
      </c>
      <c r="D519" t="str">
        <v>Upah plesteran</v>
      </c>
      <c r="E519">
        <f>Upah!$D$93</f>
        <v>60000</v>
      </c>
      <c r="G519">
        <f>B519*E519</f>
        <v>60000</v>
      </c>
    </row>
    <row r="521">
      <c r="E521" t="str">
        <v>Jumlah</v>
      </c>
      <c r="F521">
        <f>SUM(F515:F520)</f>
        <v>24635</v>
      </c>
      <c r="G521">
        <f>SUM(G515:G520)</f>
        <v>84000</v>
      </c>
      <c r="I521">
        <f>SUM(F521:G521)</f>
        <v>108635</v>
      </c>
    </row>
    <row r="524">
      <c r="B524" t="str">
        <v>1 m2 Acian Mortar Instan</v>
      </c>
    </row>
    <row r="525">
      <c r="B525">
        <f>(40/20)*1.25</f>
        <v>2.5</v>
      </c>
      <c r="C525" t="str">
        <v>kg</v>
      </c>
      <c r="D525" t="str">
        <v>Mortar Instan</v>
      </c>
      <c r="E525">
        <f>Material!$G$81</f>
        <v>1600</v>
      </c>
      <c r="F525">
        <f>B525*E525</f>
        <v>4000</v>
      </c>
    </row>
    <row r="526">
      <c r="B526">
        <v>1</v>
      </c>
      <c r="C526" t="str">
        <v>m2</v>
      </c>
      <c r="D526" t="str">
        <v>Upah acian mortar instan</v>
      </c>
      <c r="E526">
        <f>Upah!$D$95</f>
        <v>30000</v>
      </c>
      <c r="G526">
        <f>B526*E526</f>
        <v>30000</v>
      </c>
    </row>
    <row r="528">
      <c r="E528" t="str">
        <v>Jumlah</v>
      </c>
      <c r="F528">
        <f>SUM(F524:F527)</f>
        <v>4000</v>
      </c>
      <c r="G528">
        <f>SUM(G524:G527)</f>
        <v>30000</v>
      </c>
      <c r="I528">
        <f>SUM(F528:G528)</f>
        <v>34000</v>
      </c>
    </row>
    <row r="530">
      <c r="B530" t="str">
        <v>1 m2 Acian Konvensional</v>
      </c>
    </row>
    <row r="531">
      <c r="B531">
        <v>0.19</v>
      </c>
      <c r="C531" t="str">
        <v>sak</v>
      </c>
      <c r="D531" t="str">
        <v xml:space="preserve">Semen PC </v>
      </c>
      <c r="E531">
        <f>Material!$G$14</f>
        <v>65000</v>
      </c>
      <c r="F531">
        <f>B531*E531</f>
        <v>12350</v>
      </c>
    </row>
    <row r="532">
      <c r="B532">
        <v>0.1</v>
      </c>
      <c r="C532" t="str">
        <v>m3</v>
      </c>
      <c r="D532" t="str">
        <v>Air Kerja</v>
      </c>
      <c r="E532">
        <f>Material!$G$21</f>
        <v>40000</v>
      </c>
      <c r="F532">
        <f>B532*E532</f>
        <v>4000</v>
      </c>
    </row>
    <row r="533">
      <c r="B533">
        <v>1</v>
      </c>
      <c r="C533" t="str">
        <v>m2</v>
      </c>
      <c r="D533" t="str">
        <v>Upah acian konvensional</v>
      </c>
      <c r="E533">
        <f>Upah!$D$96</f>
        <v>30000</v>
      </c>
      <c r="G533">
        <f>B533*E533</f>
        <v>30000</v>
      </c>
    </row>
    <row r="535">
      <c r="E535" t="str">
        <v>Jumlah</v>
      </c>
      <c r="F535">
        <f>SUM(F530:F534)</f>
        <v>16350</v>
      </c>
      <c r="G535">
        <f>SUM(G530:G534)</f>
        <v>30000</v>
      </c>
      <c r="I535">
        <f>SUM(F535:G535)</f>
        <v>46350</v>
      </c>
    </row>
    <row r="539">
      <c r="B539" t="str">
        <v>1 m' Pipa Utama PVC AW 8"</v>
      </c>
    </row>
    <row r="540">
      <c r="B540">
        <f>1/4*1.1</f>
        <v>0.275</v>
      </c>
      <c r="C540" t="str">
        <v>btg</v>
      </c>
      <c r="D540" t="str">
        <v>Pipa</v>
      </c>
      <c r="E540">
        <f>Material!$G$83</f>
        <v>1883515</v>
      </c>
      <c r="F540">
        <f>B540*E540</f>
        <v>517966.62500000006</v>
      </c>
    </row>
    <row r="541">
      <c r="B541">
        <v>1</v>
      </c>
      <c r="C541" t="str">
        <v>m'</v>
      </c>
      <c r="D541" t="str">
        <v>Upah pekerjaan</v>
      </c>
      <c r="E541">
        <f>Upah!$D$98</f>
        <v>40000</v>
      </c>
      <c r="G541">
        <f>B541*E541</f>
        <v>40000</v>
      </c>
    </row>
    <row r="543">
      <c r="E543" t="str">
        <v>Jumlah</v>
      </c>
      <c r="F543">
        <f>SUM(F539:F542)</f>
        <v>517966.62500000006</v>
      </c>
      <c r="G543">
        <f>SUM(G539:G542)</f>
        <v>40000</v>
      </c>
      <c r="H543">
        <f>SUM(F543:G543)</f>
        <v>557966.625</v>
      </c>
    </row>
    <row r="545">
      <c r="B545" t="str">
        <v>1 m' Pipa Utama PVC AW 6"</v>
      </c>
    </row>
    <row r="546">
      <c r="B546">
        <f>1/4*1.1</f>
        <v>0.275</v>
      </c>
      <c r="C546" t="str">
        <v>btg</v>
      </c>
      <c r="D546" t="str">
        <v>Pipa</v>
      </c>
      <c r="E546">
        <f>Material!$G$84</f>
        <v>1245335</v>
      </c>
      <c r="F546">
        <f>B546*E546</f>
        <v>342467.125</v>
      </c>
    </row>
    <row r="547">
      <c r="B547">
        <v>1</v>
      </c>
      <c r="C547" t="str">
        <v>m'</v>
      </c>
      <c r="D547" t="str">
        <v>Upah pekerjaan</v>
      </c>
      <c r="E547">
        <f>Upah!$D$98</f>
        <v>40000</v>
      </c>
      <c r="G547">
        <f>B547*E547</f>
        <v>40000</v>
      </c>
    </row>
    <row r="549">
      <c r="E549" t="str">
        <v>Jumlah</v>
      </c>
      <c r="F549">
        <f>SUM(F545:F548)</f>
        <v>342467.125</v>
      </c>
      <c r="G549">
        <f>SUM(G545:G548)</f>
        <v>40000</v>
      </c>
      <c r="H549">
        <f>SUM(F549:G549)</f>
        <v>382467.125</v>
      </c>
    </row>
    <row r="551">
      <c r="B551" t="str">
        <v>1 m' Pipa Air WC PVC AW 5"</v>
      </c>
    </row>
    <row r="552">
      <c r="B552">
        <f>1/4*1.1</f>
        <v>0.275</v>
      </c>
      <c r="C552" t="str">
        <v>btg</v>
      </c>
      <c r="D552" t="str">
        <v>Pipa</v>
      </c>
      <c r="E552">
        <f>Material!$G$85</f>
        <v>829600</v>
      </c>
      <c r="F552">
        <f>B552*E552</f>
        <v>228140.00000000003</v>
      </c>
    </row>
    <row r="553">
      <c r="B553">
        <f>4*0.15*1</f>
        <v>0.6</v>
      </c>
      <c r="C553" t="str">
        <v>m2</v>
      </c>
      <c r="D553" t="str">
        <v>Kawat ayam</v>
      </c>
      <c r="E553">
        <f>Material!$G$75</f>
        <v>15000</v>
      </c>
      <c r="F553">
        <f>B553*E553</f>
        <v>9000</v>
      </c>
    </row>
    <row r="554">
      <c r="B554">
        <f>0.15*0.15*1</f>
        <v>0.0225</v>
      </c>
      <c r="C554" t="str">
        <v>m3</v>
      </c>
      <c r="D554" t="str">
        <v>Cor beton site mix</v>
      </c>
      <c r="E554">
        <f>$I$265</f>
        <v>886530</v>
      </c>
      <c r="F554">
        <f>B554*E554</f>
        <v>19946.925</v>
      </c>
    </row>
    <row r="555">
      <c r="B555">
        <v>1</v>
      </c>
      <c r="C555" t="str">
        <v>m'</v>
      </c>
      <c r="D555" t="str">
        <v>Upah pekerjaan (kawat ayam + cor)</v>
      </c>
      <c r="E555">
        <f>Upah!$D$98</f>
        <v>40000</v>
      </c>
      <c r="G555">
        <f>B555*E555</f>
        <v>40000</v>
      </c>
    </row>
    <row r="557">
      <c r="E557" t="str">
        <v>Jumlah</v>
      </c>
      <c r="F557">
        <f>SUM(F551:F556)</f>
        <v>257086.92500000002</v>
      </c>
      <c r="G557">
        <f>SUM(G551:G556)</f>
        <v>40000</v>
      </c>
      <c r="H557">
        <f>SUM(F557:G557)</f>
        <v>297086.92500000005</v>
      </c>
    </row>
    <row r="559">
      <c r="B559" t="str">
        <v>1 m' Pipa Air WC Vertikal PVC AW 4"</v>
      </c>
    </row>
    <row r="560">
      <c r="B560">
        <f>1/4*1.1</f>
        <v>0.275</v>
      </c>
      <c r="C560" t="str">
        <v>btg</v>
      </c>
      <c r="D560" t="str">
        <v>Pipa</v>
      </c>
      <c r="E560">
        <f>Material!$G$86</f>
        <v>662745</v>
      </c>
      <c r="F560">
        <f>B560*E560</f>
        <v>182254.87500000003</v>
      </c>
    </row>
    <row r="561">
      <c r="B561">
        <f>4*0.15*1</f>
        <v>0.6</v>
      </c>
      <c r="C561" t="str">
        <v>m2</v>
      </c>
      <c r="D561" t="str">
        <v>Kawat ayam</v>
      </c>
      <c r="E561">
        <f>Material!$G$75</f>
        <v>15000</v>
      </c>
      <c r="F561">
        <f>B561*E561</f>
        <v>9000</v>
      </c>
    </row>
    <row r="562">
      <c r="B562">
        <f>0.1*0.15*1</f>
        <v>0.015</v>
      </c>
      <c r="C562" t="str">
        <v>m3</v>
      </c>
      <c r="D562" t="str">
        <v>Cor beton site mix</v>
      </c>
      <c r="E562">
        <f>$I$265</f>
        <v>886530</v>
      </c>
      <c r="F562">
        <f>B562*E562</f>
        <v>13297.949999999999</v>
      </c>
    </row>
    <row r="563">
      <c r="B563">
        <v>1</v>
      </c>
      <c r="C563" t="str">
        <v>m'</v>
      </c>
      <c r="D563" t="str">
        <v>Upah pekerjaan (kawat ayam + cor)</v>
      </c>
      <c r="E563">
        <f>Upah!$D$99</f>
        <v>30000</v>
      </c>
      <c r="G563">
        <f>B563*E563</f>
        <v>30000</v>
      </c>
    </row>
    <row r="565">
      <c r="E565" t="str">
        <v>Jumlah</v>
      </c>
      <c r="F565">
        <f>SUM(F559:F564)</f>
        <v>204552.82500000004</v>
      </c>
      <c r="G565">
        <f>SUM(G559:G564)</f>
        <v>30000</v>
      </c>
      <c r="H565">
        <f>SUM(F565:G565)</f>
        <v>234552.82500000004</v>
      </c>
    </row>
    <row r="567">
      <c r="B567" t="str">
        <v>1 m' Pipa Air WC Horizontal PVC AW 4"</v>
      </c>
    </row>
    <row r="568">
      <c r="B568">
        <f>1/4*1.1</f>
        <v>0.275</v>
      </c>
      <c r="C568" t="str">
        <v>btg</v>
      </c>
      <c r="D568" t="str">
        <v>Pipa</v>
      </c>
      <c r="E568">
        <f>Material!$G$86</f>
        <v>662745</v>
      </c>
      <c r="F568">
        <f>B568*E568</f>
        <v>182254.87500000003</v>
      </c>
    </row>
    <row r="569">
      <c r="B569">
        <v>1</v>
      </c>
      <c r="C569" t="str">
        <v>m'</v>
      </c>
      <c r="D569" t="str">
        <v>Upah pekerjaan</v>
      </c>
      <c r="E569">
        <f>Upah!$D$100</f>
        <v>25000</v>
      </c>
      <c r="G569">
        <f>B569*E569</f>
        <v>25000</v>
      </c>
    </row>
    <row r="571">
      <c r="E571" t="str">
        <v>Jumlah</v>
      </c>
      <c r="F571">
        <f>SUM(F567:F570)</f>
        <v>182254.87500000003</v>
      </c>
      <c r="G571">
        <f>SUM(G567:G570)</f>
        <v>25000</v>
      </c>
      <c r="H571">
        <f>SUM(F571:G571)</f>
        <v>207254.87500000003</v>
      </c>
    </row>
    <row r="573">
      <c r="B573" t="str">
        <v>1 m' Pipa Air Kotor Vertikal PVC AW 3"</v>
      </c>
    </row>
    <row r="574">
      <c r="B574">
        <f>1/4*1.1</f>
        <v>0.275</v>
      </c>
      <c r="C574" t="str">
        <v>btg</v>
      </c>
      <c r="D574" t="str">
        <v>Pipa</v>
      </c>
      <c r="E574">
        <f>Material!$G$87</f>
        <v>428910</v>
      </c>
      <c r="F574">
        <f>B574*E574</f>
        <v>117950.25000000001</v>
      </c>
    </row>
    <row r="575">
      <c r="B575">
        <f>4*0.1*1</f>
        <v>0.4</v>
      </c>
      <c r="C575" t="str">
        <v>m2</v>
      </c>
      <c r="D575" t="str">
        <v>Kawat ayam</v>
      </c>
      <c r="E575">
        <f>Material!$G$75</f>
        <v>15000</v>
      </c>
      <c r="F575">
        <f>B575*E575</f>
        <v>6000</v>
      </c>
    </row>
    <row r="576">
      <c r="B576">
        <f>0.1*0.1*1</f>
        <v>0.010000000000000002</v>
      </c>
      <c r="C576" t="str">
        <v>m3</v>
      </c>
      <c r="D576" t="str">
        <v>Cor beton site mix</v>
      </c>
      <c r="E576">
        <f>$I$265</f>
        <v>886530</v>
      </c>
      <c r="F576">
        <f>B576*E576</f>
        <v>8865.300000000001</v>
      </c>
    </row>
    <row r="577">
      <c r="B577">
        <v>1</v>
      </c>
      <c r="C577" t="str">
        <v>m'</v>
      </c>
      <c r="D577" t="str">
        <v>Upah pekerjaan (kawat ayam + cor)</v>
      </c>
      <c r="E577">
        <f>Upah!$D$99</f>
        <v>30000</v>
      </c>
      <c r="G577">
        <f>B577*E577</f>
        <v>30000</v>
      </c>
    </row>
    <row r="579">
      <c r="E579" t="str">
        <v>Jumlah</v>
      </c>
      <c r="F579">
        <f>SUM(F573:F578)</f>
        <v>132815.55000000002</v>
      </c>
      <c r="G579">
        <f>SUM(G573:G578)</f>
        <v>30000</v>
      </c>
      <c r="H579">
        <f>SUM(F579:G579)</f>
        <v>162815.55000000002</v>
      </c>
    </row>
    <row r="581">
      <c r="B581" t="str">
        <v>1 m' Pipa Air Kotor Horizontal PVC AW 3"</v>
      </c>
    </row>
    <row r="582">
      <c r="B582">
        <f>1/4*1.1</f>
        <v>0.275</v>
      </c>
      <c r="C582" t="str">
        <v>btg</v>
      </c>
      <c r="D582" t="str">
        <v>Pipa</v>
      </c>
      <c r="E582">
        <f>Material!$G$87</f>
        <v>428910</v>
      </c>
      <c r="F582">
        <f>B582*E582</f>
        <v>117950.25000000001</v>
      </c>
    </row>
    <row r="583">
      <c r="B583">
        <f>4*0.1*1</f>
        <v>0.4</v>
      </c>
      <c r="C583" t="str">
        <v>m2</v>
      </c>
      <c r="D583" t="str">
        <v>Kawat ayam</v>
      </c>
      <c r="E583">
        <f>Material!$G$75</f>
        <v>15000</v>
      </c>
      <c r="F583">
        <f>B583*E583</f>
        <v>6000</v>
      </c>
    </row>
    <row r="584">
      <c r="B584">
        <f>0.1*0.1*1</f>
        <v>0.010000000000000002</v>
      </c>
      <c r="C584" t="str">
        <v>m3</v>
      </c>
      <c r="D584" t="str">
        <v>Cor beton site mix</v>
      </c>
      <c r="E584">
        <f>$I$265</f>
        <v>886530</v>
      </c>
      <c r="F584">
        <f>B584*E584</f>
        <v>8865.300000000001</v>
      </c>
    </row>
    <row r="585">
      <c r="B585">
        <v>1</v>
      </c>
      <c r="C585" t="str">
        <v>m'</v>
      </c>
      <c r="D585" t="str">
        <v>Upah pekerjaan</v>
      </c>
      <c r="E585">
        <f>Upah!$D$100</f>
        <v>25000</v>
      </c>
      <c r="G585">
        <f>B585*E585</f>
        <v>25000</v>
      </c>
    </row>
    <row r="587">
      <c r="E587" t="str">
        <v>Jumlah</v>
      </c>
      <c r="F587">
        <f>SUM(F581:F586)</f>
        <v>132815.55000000002</v>
      </c>
      <c r="G587">
        <f>SUM(G581:G586)</f>
        <v>25000</v>
      </c>
      <c r="H587">
        <f>SUM(F587:G587)</f>
        <v>157815.55000000002</v>
      </c>
    </row>
    <row r="589">
      <c r="B589" t="str">
        <v>1 m' Pipa Air Hujan Vertikal PVC AW 2,5"</v>
      </c>
    </row>
    <row r="590">
      <c r="B590">
        <f>1/4*1.1</f>
        <v>0.275</v>
      </c>
      <c r="C590" t="str">
        <v>btg</v>
      </c>
      <c r="D590" t="str">
        <v>Pipa</v>
      </c>
      <c r="E590">
        <f>Material!$G$88</f>
        <v>269280</v>
      </c>
      <c r="F590">
        <f>B590*E590</f>
        <v>74052</v>
      </c>
    </row>
    <row r="591">
      <c r="B591">
        <f>4*0.08*1</f>
        <v>0.32</v>
      </c>
      <c r="C591" t="str">
        <v>m2</v>
      </c>
      <c r="D591" t="str">
        <v>Kawat ayam</v>
      </c>
      <c r="E591">
        <f>Material!$G$75</f>
        <v>15000</v>
      </c>
      <c r="F591">
        <f>B591*E591</f>
        <v>4800</v>
      </c>
    </row>
    <row r="592">
      <c r="B592">
        <f>0.08*0.08*1</f>
        <v>0.0064</v>
      </c>
      <c r="C592" t="str">
        <v>m3</v>
      </c>
      <c r="D592" t="str">
        <v>Cor beton site mix 1:2:3</v>
      </c>
      <c r="E592">
        <f>$I$265</f>
        <v>886530</v>
      </c>
      <c r="F592">
        <f>B592*E592</f>
        <v>5673.792</v>
      </c>
    </row>
    <row r="593">
      <c r="B593">
        <v>1</v>
      </c>
      <c r="C593" t="str">
        <v>m'</v>
      </c>
      <c r="D593" t="str">
        <v>Upah pekerjaan (kawat ayam + cor)</v>
      </c>
      <c r="E593">
        <f>Upah!$D$99</f>
        <v>30000</v>
      </c>
      <c r="G593">
        <f>B593*E593</f>
        <v>30000</v>
      </c>
    </row>
    <row r="595">
      <c r="E595" t="str">
        <v>Jumlah</v>
      </c>
      <c r="F595">
        <f>SUM(F589:F594)</f>
        <v>84525.792</v>
      </c>
      <c r="G595">
        <f>SUM(G589:G594)</f>
        <v>30000</v>
      </c>
      <c r="H595">
        <f>SUM(F595:G595)</f>
        <v>114525.792</v>
      </c>
    </row>
    <row r="597">
      <c r="B597" t="str">
        <v>1 m' Pipa Air Hujan Horizontal PVC AW 2,5"</v>
      </c>
    </row>
    <row r="598">
      <c r="B598">
        <f>1/4*1.1</f>
        <v>0.275</v>
      </c>
      <c r="C598" t="str">
        <v>btg</v>
      </c>
      <c r="D598" t="str">
        <v>Pipa</v>
      </c>
      <c r="E598">
        <f>Material!$G$88</f>
        <v>269280</v>
      </c>
      <c r="F598">
        <f>B598*E598</f>
        <v>74052</v>
      </c>
    </row>
    <row r="599">
      <c r="B599">
        <v>1</v>
      </c>
      <c r="C599" t="str">
        <v>m'</v>
      </c>
      <c r="D599" t="str">
        <v>Upah pekerjaan</v>
      </c>
      <c r="E599">
        <f>Upah!$D$100</f>
        <v>25000</v>
      </c>
      <c r="G599">
        <f>B599*E599</f>
        <v>25000</v>
      </c>
    </row>
    <row r="601">
      <c r="E601" t="str">
        <v>Jumlah</v>
      </c>
      <c r="F601">
        <f>SUM(F597:F600)</f>
        <v>74052</v>
      </c>
      <c r="G601">
        <f>SUM(G597:G600)</f>
        <v>25000</v>
      </c>
      <c r="H601">
        <f>SUM(F601:G601)</f>
        <v>99052</v>
      </c>
    </row>
    <row r="603">
      <c r="B603" t="str">
        <v>1 m' Pipa Hawa Septic Tank PVC AW 2"</v>
      </c>
    </row>
    <row r="604">
      <c r="B604">
        <f>1/4*1.1</f>
        <v>0.275</v>
      </c>
      <c r="C604" t="str">
        <v>btg</v>
      </c>
      <c r="D604" t="str">
        <v>Pipa</v>
      </c>
      <c r="E604">
        <f>Material!$G$89</f>
        <v>209355</v>
      </c>
      <c r="F604">
        <f>B604*E604</f>
        <v>57572.62500000001</v>
      </c>
    </row>
    <row r="605">
      <c r="B605">
        <f>4*0.1*1</f>
        <v>0.4</v>
      </c>
      <c r="C605" t="str">
        <v>m2</v>
      </c>
      <c r="D605" t="str">
        <v>Kawat ayam</v>
      </c>
      <c r="E605">
        <f>Material!$G$75</f>
        <v>15000</v>
      </c>
      <c r="F605">
        <f>B605*E605</f>
        <v>6000</v>
      </c>
    </row>
    <row r="606">
      <c r="B606">
        <f>0.1*0.1*1</f>
        <v>0.010000000000000002</v>
      </c>
      <c r="C606" t="str">
        <v>m3</v>
      </c>
      <c r="D606" t="str">
        <v>Cor beton site mix 1:2:3</v>
      </c>
      <c r="E606">
        <f>$I$265</f>
        <v>886530</v>
      </c>
      <c r="F606">
        <f>B606*E606</f>
        <v>8865.300000000001</v>
      </c>
    </row>
    <row r="607">
      <c r="B607">
        <v>1</v>
      </c>
      <c r="C607" t="str">
        <v>m'</v>
      </c>
      <c r="D607" t="str">
        <v>Upah pekerjaan (kawat ayam + cor)</v>
      </c>
      <c r="E607">
        <f>Upah!$D$99</f>
        <v>30000</v>
      </c>
      <c r="G607">
        <f>B607*E607</f>
        <v>30000</v>
      </c>
    </row>
    <row r="609">
      <c r="E609" t="str">
        <v>Jumlah</v>
      </c>
      <c r="F609">
        <f>SUM(F603:F608)</f>
        <v>72437.925</v>
      </c>
      <c r="G609">
        <f>SUM(G603:G608)</f>
        <v>30000</v>
      </c>
      <c r="H609">
        <f>SUM(F609:G609)</f>
        <v>102437.925</v>
      </c>
    </row>
    <row r="611">
      <c r="B611" t="str">
        <v>1 m' Pipa Hawa Septic Tank PVC AW 1,5"</v>
      </c>
    </row>
    <row r="612">
      <c r="B612">
        <f>1/4*1.1</f>
        <v>0.275</v>
      </c>
      <c r="C612" t="str">
        <v>btg</v>
      </c>
      <c r="D612" t="str">
        <v>Pipa</v>
      </c>
      <c r="E612">
        <f>Material!$G$90</f>
        <v>147475</v>
      </c>
      <c r="F612">
        <f>B612*E612</f>
        <v>40555.625</v>
      </c>
    </row>
    <row r="613">
      <c r="B613">
        <f>4*0.1*1</f>
        <v>0.4</v>
      </c>
      <c r="C613" t="str">
        <v>m2</v>
      </c>
      <c r="D613" t="str">
        <v>Kawat ayam</v>
      </c>
      <c r="E613">
        <f>Material!$G$75</f>
        <v>15000</v>
      </c>
      <c r="F613">
        <f>B613*E613</f>
        <v>6000</v>
      </c>
    </row>
    <row r="614">
      <c r="B614">
        <f>0.1*0.1*1</f>
        <v>0.010000000000000002</v>
      </c>
      <c r="C614" t="str">
        <v>m3</v>
      </c>
      <c r="D614" t="str">
        <v>Cor beton site mix 1:2:3</v>
      </c>
      <c r="E614">
        <f>$I$265</f>
        <v>886530</v>
      </c>
      <c r="F614">
        <f>B614*E614</f>
        <v>8865.300000000001</v>
      </c>
    </row>
    <row r="615">
      <c r="B615">
        <v>1</v>
      </c>
      <c r="C615" t="str">
        <v>m'</v>
      </c>
      <c r="D615" t="str">
        <v>Upah pekerjaan (kawat ayam + cor)</v>
      </c>
      <c r="E615">
        <f>Upah!$D$99</f>
        <v>30000</v>
      </c>
      <c r="G615">
        <f>B615*E615</f>
        <v>30000</v>
      </c>
    </row>
    <row r="617">
      <c r="E617" t="str">
        <v>Jumlah</v>
      </c>
      <c r="F617">
        <f>SUM(F611:F616)</f>
        <v>55420.925</v>
      </c>
      <c r="G617">
        <f>SUM(G611:G616)</f>
        <v>30000</v>
      </c>
      <c r="H617">
        <f>SUM(F617:G617)</f>
        <v>85420.925</v>
      </c>
    </row>
    <row r="619">
      <c r="B619" t="str">
        <v>1 m' Bantalan Pipa di lt. Dasar (asumsi lebar lunas 1m, dalam 30 cm, tebal 10 cm)</v>
      </c>
    </row>
    <row r="620">
      <c r="B620">
        <f>(1.2+2*0.3)*0.1*1.2</f>
        <v>0.216</v>
      </c>
      <c r="C620" t="str">
        <v>m3</v>
      </c>
      <c r="D620" t="str">
        <v>Cor beton site mix 1:2:3</v>
      </c>
      <c r="E620">
        <f>$I$265</f>
        <v>886530</v>
      </c>
      <c r="F620">
        <f>B620*E620</f>
        <v>191490.48</v>
      </c>
    </row>
    <row r="621">
      <c r="B621">
        <f>0.006165*8^2*(1.2+2*0.4)*(1/0.15)</f>
        <v>5.260800000000001</v>
      </c>
      <c r="C621" t="str">
        <v>kg</v>
      </c>
      <c r="D621" t="str">
        <v>Pembesian dia. 8 - 150 (1 lapis)</v>
      </c>
      <c r="E621">
        <f>$I$233</f>
        <v>10442.5</v>
      </c>
      <c r="F621">
        <f>B621*E621</f>
        <v>54935.90400000001</v>
      </c>
    </row>
    <row r="622">
      <c r="B622">
        <f>2*(0.3+0.1)</f>
        <v>0.8</v>
      </c>
      <c r="C622" t="str">
        <v>m2</v>
      </c>
      <c r="D622" t="str">
        <v>Bekisting bata merah (sisi luar)</v>
      </c>
      <c r="E622">
        <f>$I$107</f>
        <v>113100</v>
      </c>
      <c r="F622">
        <f>B622*E622</f>
        <v>90480</v>
      </c>
    </row>
    <row r="623">
      <c r="B623">
        <f>2*0.3</f>
        <v>0.6</v>
      </c>
      <c r="C623" t="str">
        <v>m2</v>
      </c>
      <c r="D623" t="str">
        <v>Bekisting kayu (sisi dalam)</v>
      </c>
      <c r="E623">
        <v>60000</v>
      </c>
      <c r="F623">
        <f>B623*E623</f>
        <v>36000</v>
      </c>
    </row>
    <row r="624">
      <c r="B624">
        <f>0.05*(1+2*0.1)</f>
        <v>0.06</v>
      </c>
      <c r="C624" t="str">
        <v>m3</v>
      </c>
      <c r="D624" t="str">
        <v>Lantai kerja 5 cm</v>
      </c>
      <c r="E624">
        <f>$I$275</f>
        <v>1185220</v>
      </c>
      <c r="F624">
        <f>B624*E624</f>
        <v>71113.2</v>
      </c>
    </row>
    <row r="625">
      <c r="B625">
        <v>1</v>
      </c>
      <c r="C625" t="str">
        <v>m'</v>
      </c>
      <c r="D625" t="str">
        <v>Upah pekerjaan</v>
      </c>
      <c r="E625">
        <f>Upah!$D$98</f>
        <v>40000</v>
      </c>
      <c r="G625">
        <f>B625*E625</f>
        <v>40000</v>
      </c>
    </row>
    <row r="627">
      <c r="E627" t="str">
        <v>Jumlah</v>
      </c>
      <c r="F627">
        <f>SUM(F619:F626)</f>
        <v>444019.58400000003</v>
      </c>
      <c r="G627">
        <f>SUM(G619:G626)</f>
        <v>40000</v>
      </c>
      <c r="H627">
        <f>SUM(F627:G627)</f>
        <v>484019.58400000003</v>
      </c>
    </row>
    <row r="629">
      <c r="B629" t="str">
        <v>1 m' Bantalan Pipa di lt. Dasar (asumsi lebar lunas 50 cm, dalam 30 cm, tebal 10 cm)</v>
      </c>
    </row>
    <row r="630">
      <c r="B630">
        <f>(0.7+2*0.3)*0.1*1.2</f>
        <v>0.15599999999999997</v>
      </c>
      <c r="C630" t="str">
        <v>m3</v>
      </c>
      <c r="D630" t="str">
        <v>Cor beton site mix 1:2:3</v>
      </c>
      <c r="E630">
        <f>$I$265</f>
        <v>886530</v>
      </c>
      <c r="F630">
        <f>B630*E630</f>
        <v>138298.67999999996</v>
      </c>
    </row>
    <row r="631">
      <c r="B631">
        <f>0.006165*8^2*(0.7+2*0.4)*(1/0.15)</f>
        <v>3.9456</v>
      </c>
      <c r="C631" t="str">
        <v>kg</v>
      </c>
      <c r="D631" t="str">
        <v>Pembesian dia. 8 - 150 (1 lapis)</v>
      </c>
      <c r="E631">
        <f>$I$233</f>
        <v>10442.5</v>
      </c>
      <c r="F631">
        <f>B631*E631</f>
        <v>41201.928</v>
      </c>
    </row>
    <row r="632">
      <c r="B632">
        <f>2*(0.3+0.1)</f>
        <v>0.8</v>
      </c>
      <c r="C632" t="str">
        <v>m2</v>
      </c>
      <c r="D632" t="str">
        <v>Bekisting bata merah (sisi luar)</v>
      </c>
      <c r="E632">
        <f>$I$107</f>
        <v>113100</v>
      </c>
      <c r="F632">
        <f>B632*E632</f>
        <v>90480</v>
      </c>
    </row>
    <row r="633">
      <c r="B633">
        <f>2*0.3</f>
        <v>0.6</v>
      </c>
      <c r="C633" t="str">
        <v>m2</v>
      </c>
      <c r="D633" t="str">
        <v>Bekisting kayu (sisi dalam)</v>
      </c>
      <c r="E633">
        <v>60000</v>
      </c>
      <c r="F633">
        <f>B633*E633</f>
        <v>36000</v>
      </c>
    </row>
    <row r="634">
      <c r="B634">
        <f>0.05*(0.5+2*0.1)</f>
        <v>0.034999999999999996</v>
      </c>
      <c r="C634" t="str">
        <v>m3</v>
      </c>
      <c r="D634" t="str">
        <v>Lantai kerja 5 cm</v>
      </c>
      <c r="E634">
        <f>$I$275</f>
        <v>1185220</v>
      </c>
      <c r="F634">
        <f>B634*E634</f>
        <v>41482.7</v>
      </c>
    </row>
    <row r="635">
      <c r="B635">
        <v>1</v>
      </c>
      <c r="C635" t="str">
        <v>m'</v>
      </c>
      <c r="D635" t="str">
        <v>Upah pekerjaan</v>
      </c>
      <c r="E635">
        <f>Upah!$D$98</f>
        <v>40000</v>
      </c>
      <c r="G635">
        <f>B635*E635</f>
        <v>40000</v>
      </c>
    </row>
    <row r="637">
      <c r="E637" t="str">
        <v>Jumlah</v>
      </c>
      <c r="F637">
        <f>SUM(F629:F636)</f>
        <v>347463.30799999996</v>
      </c>
      <c r="G637">
        <f>SUM(G629:G636)</f>
        <v>40000</v>
      </c>
      <c r="H637">
        <f>SUM(F637:G637)</f>
        <v>387463.30799999996</v>
      </c>
    </row>
    <row r="639">
      <c r="B639" t="str">
        <v>Pekerjaan Instalasi Air Hujan</v>
      </c>
    </row>
    <row r="640">
      <c r="B640" t="e">
        <f>#REF!</f>
        <v>#REF!</v>
      </c>
      <c r="C640" t="str">
        <v>m'</v>
      </c>
      <c r="D640" t="str">
        <v>Pipa PVC 2,5" (horizontal)</v>
      </c>
      <c r="E640">
        <f>$H$601</f>
        <v>99052</v>
      </c>
      <c r="F640" t="e">
        <f>$F$601*B640</f>
        <v>#REF!</v>
      </c>
      <c r="G640" t="e">
        <f>$G$601*B640</f>
        <v>#REF!</v>
      </c>
    </row>
    <row r="641">
      <c r="B641" t="e">
        <f>#REF!</f>
        <v>#REF!</v>
      </c>
      <c r="C641" t="str">
        <v>m'</v>
      </c>
      <c r="D641" t="str">
        <v>Pipa PVC 2,5" (vertikal)</v>
      </c>
      <c r="E641">
        <f>$H$595</f>
        <v>114525.792</v>
      </c>
      <c r="F641" t="e">
        <f>$F$595*B641</f>
        <v>#REF!</v>
      </c>
      <c r="G641" t="e">
        <f>$G$595*B641</f>
        <v>#REF!</v>
      </c>
    </row>
    <row r="642">
      <c r="B642" t="e">
        <f>#REF!</f>
        <v>#REF!</v>
      </c>
      <c r="C642" t="str">
        <v>m'</v>
      </c>
      <c r="D642" t="str">
        <v>Pipa PVC 4" (horizontal)</v>
      </c>
      <c r="E642">
        <f>$H$571</f>
        <v>207254.87500000003</v>
      </c>
      <c r="F642" t="e">
        <f>$F$571*B642</f>
        <v>#REF!</v>
      </c>
      <c r="G642" t="e">
        <f>$G$571*B642</f>
        <v>#REF!</v>
      </c>
    </row>
    <row r="643">
      <c r="B643" t="e">
        <f>#REF!</f>
        <v>#REF!</v>
      </c>
      <c r="C643" t="str">
        <v>m'</v>
      </c>
      <c r="D643" t="str">
        <v>Pipa PVC 4" (vertikal)</v>
      </c>
      <c r="E643">
        <f>$H$565</f>
        <v>234552.82500000004</v>
      </c>
      <c r="F643" t="e">
        <f>$F$565*B643</f>
        <v>#REF!</v>
      </c>
      <c r="G643" t="e">
        <f>$G$565*B643</f>
        <v>#REF!</v>
      </c>
    </row>
    <row r="644">
      <c r="B644" t="e">
        <f>#REF!</f>
        <v>#REF!</v>
      </c>
      <c r="C644" t="str">
        <v>m'</v>
      </c>
      <c r="D644" t="str">
        <v>Pipa PVC 6" (PAH utama)</v>
      </c>
      <c r="E644">
        <f>$H$549</f>
        <v>382467.125</v>
      </c>
      <c r="F644" t="e">
        <f>$F$549*B644</f>
        <v>#REF!</v>
      </c>
      <c r="G644" t="e">
        <f>$G$549*B644</f>
        <v>#REF!</v>
      </c>
    </row>
    <row r="645">
      <c r="B645" t="e">
        <f>#REF!</f>
        <v>#REF!</v>
      </c>
      <c r="C645" t="str">
        <v>m'</v>
      </c>
      <c r="D645" t="str">
        <v>Pipa PVC 8" (PAH utama)</v>
      </c>
      <c r="E645">
        <f>$H$543</f>
        <v>557966.625</v>
      </c>
      <c r="F645" t="e">
        <f>$F$543*B645</f>
        <v>#REF!</v>
      </c>
      <c r="G645" t="e">
        <f>$G$543*B645</f>
        <v>#REF!</v>
      </c>
    </row>
    <row r="646">
      <c r="B646" t="e">
        <f>#REF!</f>
        <v>#REF!</v>
      </c>
      <c r="C646" t="str">
        <v>pcs</v>
      </c>
      <c r="D646" t="str">
        <v>Roof drain 3"</v>
      </c>
      <c r="E646">
        <f>SUM(F646:G646)</f>
        <v>275000</v>
      </c>
      <c r="F646">
        <f>Material!$G$93</f>
        <v>225000</v>
      </c>
      <c r="G646">
        <v>50000</v>
      </c>
    </row>
    <row r="647">
      <c r="B647" t="e">
        <f>#REF!</f>
        <v>#REF!</v>
      </c>
      <c r="C647" t="str">
        <v>pcs</v>
      </c>
      <c r="D647" t="str">
        <v>Roof drain 4"</v>
      </c>
      <c r="E647">
        <f>SUM(F647:G647)</f>
        <v>300000</v>
      </c>
      <c r="F647">
        <f>Material!$G$92</f>
        <v>250000</v>
      </c>
      <c r="G647">
        <v>50000</v>
      </c>
    </row>
    <row r="648">
      <c r="B648">
        <v>1</v>
      </c>
      <c r="C648" t="str">
        <v>ls</v>
      </c>
      <c r="D648" t="str">
        <v>Aksesoris pipa</v>
      </c>
      <c r="E648" t="e">
        <f>SUMPRODUCT(B640:B645,E640:E645)*20%</f>
        <v>#REF!</v>
      </c>
      <c r="F648" t="e">
        <f>SUM(F640:F645)*20%</f>
        <v>#REF!</v>
      </c>
      <c r="G648" t="e">
        <f>SUM(G640:G645)*20%</f>
        <v>#REF!</v>
      </c>
    </row>
    <row r="650">
      <c r="E650" t="str">
        <v>Jumlah</v>
      </c>
      <c r="F650" t="e">
        <f>SUM(F639:F649)</f>
        <v>#REF!</v>
      </c>
      <c r="G650" t="e">
        <f>SUM(G639:G649)</f>
        <v>#REF!</v>
      </c>
      <c r="H650" t="e">
        <f>SUM(F650:G650)</f>
        <v>#REF!</v>
      </c>
    </row>
    <row r="652">
      <c r="B652" t="str">
        <v>Pekerjaan Instalasi Air Bekas ( / Air Kotor)</v>
      </c>
    </row>
    <row r="653">
      <c r="B653" t="e">
        <f>#REF!</f>
        <v>#REF!</v>
      </c>
      <c r="C653" t="str">
        <v>m'</v>
      </c>
      <c r="D653" t="str">
        <v>Pipa PVC 3" (horizontal)</v>
      </c>
      <c r="E653">
        <f>$H$587</f>
        <v>157815.55000000002</v>
      </c>
      <c r="F653" t="e">
        <f>$F$587*B653</f>
        <v>#REF!</v>
      </c>
      <c r="G653" t="e">
        <f>$G$587*B653</f>
        <v>#REF!</v>
      </c>
    </row>
    <row r="654">
      <c r="B654" t="e">
        <f>#REF!</f>
        <v>#REF!</v>
      </c>
      <c r="C654" t="str">
        <v>m'</v>
      </c>
      <c r="D654" t="str">
        <v>Pipa PVC 3" (vertikal)</v>
      </c>
      <c r="E654">
        <f>$H$579</f>
        <v>162815.55000000002</v>
      </c>
      <c r="F654" t="e">
        <f>$F$579*B654</f>
        <v>#REF!</v>
      </c>
      <c r="G654" t="e">
        <f>$G$579*B654</f>
        <v>#REF!</v>
      </c>
    </row>
    <row r="655">
      <c r="B655" t="e">
        <f>#REF!</f>
        <v>#REF!</v>
      </c>
      <c r="C655" t="str">
        <v>m'</v>
      </c>
      <c r="D655" t="str">
        <v>Pipa PVC 6" (horizontal)</v>
      </c>
      <c r="E655">
        <f>$H$549</f>
        <v>382467.125</v>
      </c>
      <c r="F655" t="e">
        <f>$F$549*B655</f>
        <v>#REF!</v>
      </c>
      <c r="G655" t="e">
        <f>$G$549*B655</f>
        <v>#REF!</v>
      </c>
    </row>
    <row r="656">
      <c r="B656" t="e">
        <f>#REF!</f>
        <v>#REF!</v>
      </c>
      <c r="C656" t="str">
        <v>m'</v>
      </c>
      <c r="D656" t="str">
        <v>Pipa PVC 5" (overflow kolam renang)</v>
      </c>
      <c r="E656">
        <f>$H$557</f>
        <v>297086.92500000005</v>
      </c>
      <c r="F656" t="e">
        <f>$F$557*B656</f>
        <v>#REF!</v>
      </c>
      <c r="G656" t="e">
        <f>$G$557*B656</f>
        <v>#REF!</v>
      </c>
    </row>
    <row r="657">
      <c r="B657" t="e">
        <f>#REF!</f>
        <v>#REF!</v>
      </c>
      <c r="C657" t="str">
        <v>m'</v>
      </c>
      <c r="D657" t="str">
        <v>Pipa PVC 4" (main drain kolam renang)</v>
      </c>
      <c r="E657">
        <f>$H$565</f>
        <v>234552.82500000004</v>
      </c>
      <c r="F657" t="e">
        <f>$F$565*B657</f>
        <v>#REF!</v>
      </c>
      <c r="G657" t="e">
        <f>$G$565*B657</f>
        <v>#REF!</v>
      </c>
    </row>
    <row r="658">
      <c r="B658">
        <v>1</v>
      </c>
      <c r="C658" t="str">
        <v>ls</v>
      </c>
      <c r="D658" t="str">
        <v>Aksesoris pipa</v>
      </c>
      <c r="E658" t="e">
        <f>SUMPRODUCT(B653:B657,E653:E657)*20%</f>
        <v>#REF!</v>
      </c>
      <c r="F658" t="e">
        <f>SUM(F653:F657)*20%</f>
        <v>#REF!</v>
      </c>
      <c r="G658" t="e">
        <f>SUM(G653:G657)*20%</f>
        <v>#REF!</v>
      </c>
    </row>
    <row r="660">
      <c r="E660" t="str">
        <v>Jumlah</v>
      </c>
      <c r="F660" t="e">
        <f>SUM(F652:F659)</f>
        <v>#REF!</v>
      </c>
      <c r="G660" t="e">
        <f>SUM(G652:G659)</f>
        <v>#REF!</v>
      </c>
      <c r="H660" t="e">
        <f>SUM(F660:G660)</f>
        <v>#REF!</v>
      </c>
    </row>
    <row r="662">
      <c r="B662" t="str">
        <v>Pekerjaan Instalasi Air Buangan ( / Air WC)</v>
      </c>
    </row>
    <row r="663">
      <c r="B663" t="e">
        <f>#REF!</f>
        <v>#REF!</v>
      </c>
      <c r="C663" t="str">
        <v>m'</v>
      </c>
      <c r="D663" t="str">
        <v>Pipa PVC 3" (vertikal)</v>
      </c>
      <c r="E663">
        <f>$H$587</f>
        <v>157815.55000000002</v>
      </c>
      <c r="F663" t="e">
        <f>$F$587*B663</f>
        <v>#REF!</v>
      </c>
      <c r="G663" t="e">
        <f>$G$587*B663</f>
        <v>#REF!</v>
      </c>
    </row>
    <row r="664">
      <c r="B664" t="e">
        <f>#REF!</f>
        <v>#REF!</v>
      </c>
      <c r="C664" t="str">
        <v>m'</v>
      </c>
      <c r="D664" t="str">
        <v>Pipa PVC 3" (horizontal)</v>
      </c>
      <c r="E664">
        <f>$H$579</f>
        <v>162815.55000000002</v>
      </c>
      <c r="F664" t="e">
        <f>$F$579*B664</f>
        <v>#REF!</v>
      </c>
      <c r="G664" t="e">
        <f>$G$579*B664</f>
        <v>#REF!</v>
      </c>
    </row>
    <row r="665">
      <c r="B665" t="e">
        <f>#REF!</f>
        <v>#REF!</v>
      </c>
      <c r="C665" t="str">
        <v>m'</v>
      </c>
      <c r="D665" t="str">
        <v>Pipa vent 1,5" (horizontal)</v>
      </c>
      <c r="E665">
        <f>$H$617</f>
        <v>85420.925</v>
      </c>
      <c r="F665" t="e">
        <f>$F$617*B665</f>
        <v>#REF!</v>
      </c>
      <c r="G665" t="e">
        <f>$G$617*B665</f>
        <v>#REF!</v>
      </c>
    </row>
    <row r="666">
      <c r="B666" t="e">
        <f>#REF!</f>
        <v>#REF!</v>
      </c>
      <c r="C666" t="str">
        <v>m'</v>
      </c>
      <c r="D666" t="str">
        <v>Pipa vent 1,5" (vertikal)</v>
      </c>
      <c r="E666">
        <f>$H$617</f>
        <v>85420.925</v>
      </c>
      <c r="F666" t="e">
        <f>$F$617*B666</f>
        <v>#REF!</v>
      </c>
      <c r="G666" t="e">
        <f>$G$617*B666</f>
        <v>#REF!</v>
      </c>
    </row>
    <row r="667">
      <c r="B667">
        <v>1</v>
      </c>
      <c r="C667" t="str">
        <v>ls</v>
      </c>
      <c r="D667" t="str">
        <v>Aksesoris pipa</v>
      </c>
      <c r="E667" t="e">
        <f>SUMPRODUCT(B663:B666,E663:E666)*20%</f>
        <v>#REF!</v>
      </c>
      <c r="F667" t="e">
        <f>SUM(F663:F666)*20%</f>
        <v>#REF!</v>
      </c>
      <c r="G667" t="e">
        <f>SUM(G663:G666)*20%</f>
        <v>#REF!</v>
      </c>
    </row>
    <row r="669">
      <c r="E669" t="str">
        <v>Jumlah</v>
      </c>
      <c r="F669" t="e">
        <f>SUM(F662:F668)</f>
        <v>#REF!</v>
      </c>
      <c r="G669" t="e">
        <f>SUM(G662:G668)</f>
        <v>#REF!</v>
      </c>
      <c r="H669" t="e">
        <f>SUM(F669:G669)</f>
        <v>#REF!</v>
      </c>
    </row>
  </sheetData>
  <mergeCells count="4">
    <mergeCell ref="B9:D9"/>
    <mergeCell ref="H9:H10"/>
    <mergeCell ref="G9:G10"/>
    <mergeCell ref="F9:F10"/>
  </mergeCells>
  <pageMargins left="0.7" right="0.7" top="0.75" bottom="0.75" header="0.3" footer="0.3"/>
  <ignoredErrors>
    <ignoredError numberStoredAsText="1" sqref="A1:AE66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O289"/>
  <sheetViews>
    <sheetView workbookViewId="0" rightToLeft="0"/>
  </sheetViews>
  <sheetData>
    <row r="1">
      <c r="A1" t="str">
        <v>Estimasi Biaya Pembangunan Fisik Rumah Tinggal</v>
      </c>
    </row>
    <row r="2">
      <c r="A2" t="str">
        <v>Pekerjaan</v>
      </c>
      <c r="B2" t="str">
        <v>: Pekerjaan Fisik Bangunan Utama</v>
      </c>
    </row>
    <row r="3">
      <c r="A3" t="str">
        <v>Lokasi</v>
      </c>
      <c r="B3" t="str">
        <f>'REKAP RAB'!B2</f>
        <v>: Citraland Emerald Mansion</v>
      </c>
    </row>
    <row r="4">
      <c r="A4" t="str">
        <v>Pemilik</v>
      </c>
      <c r="B4" t="str">
        <f>'REKAP RAB'!B3</f>
        <v>: Ms. Ernawati</v>
      </c>
    </row>
    <row r="5">
      <c r="A5" t="str">
        <v xml:space="preserve">Tanggal </v>
      </c>
      <c r="B5" t="str">
        <f>'REKAP RAB'!B4</f>
        <v>: Januari 2026</v>
      </c>
    </row>
    <row r="6">
      <c r="R6" t="str">
        <v>Beton</v>
      </c>
      <c r="V6" t="str">
        <v>Bekisting</v>
      </c>
      <c r="Z6" t="str">
        <v>Besi</v>
      </c>
      <c r="AC6" t="str">
        <v>Wire Mesh</v>
      </c>
    </row>
    <row r="7">
      <c r="A7" t="str">
        <v>NO</v>
      </c>
      <c r="B7" t="str">
        <v>URAIAN PEKERJAAN</v>
      </c>
      <c r="C7" t="str">
        <v>SAT</v>
      </c>
      <c r="D7" t="str">
        <v>VOLUME</v>
      </c>
      <c r="E7" t="str">
        <v>HARGA SATUAN</v>
      </c>
      <c r="F7" t="str">
        <v>TOTAL HARGA</v>
      </c>
      <c r="H7" t="str">
        <v>VOLUME</v>
      </c>
      <c r="I7" t="str">
        <v>Material</v>
      </c>
      <c r="J7" t="str">
        <v>Upah</v>
      </c>
      <c r="K7" t="str">
        <v>Peralatan</v>
      </c>
      <c r="L7" t="str">
        <v>Subkon</v>
      </c>
      <c r="M7" t="str">
        <v>Prelim</v>
      </c>
      <c r="N7" t="str">
        <v>TOTAL HARGA SATUAN</v>
      </c>
      <c r="O7" t="str">
        <v>TOTAL HARGA</v>
      </c>
      <c r="R7" t="str">
        <v>Material</v>
      </c>
      <c r="S7" t="str">
        <v>Upah</v>
      </c>
      <c r="T7" t="str">
        <v>Peralatan</v>
      </c>
      <c r="V7" t="str">
        <v>Rasio</v>
      </c>
      <c r="W7" t="str">
        <v>Material</v>
      </c>
      <c r="X7" t="str">
        <v>Peralatan</v>
      </c>
      <c r="Z7" t="str">
        <v>Rasio</v>
      </c>
      <c r="AA7" t="str">
        <v>Material</v>
      </c>
      <c r="AC7" t="str">
        <v>Rasio</v>
      </c>
      <c r="AD7" t="str">
        <v>Material</v>
      </c>
      <c r="AF7" t="str">
        <v>Harga Jadi MATERIAL / m3</v>
      </c>
      <c r="AG7" t="str">
        <v>Harga Jadi UPAH / m3</v>
      </c>
      <c r="AH7" t="str">
        <v>Harga Jadi PERALATAN / m3</v>
      </c>
      <c r="AJ7" t="str">
        <v>Total Bekisting</v>
      </c>
      <c r="AL7" t="str">
        <v>Total Besi</v>
      </c>
    </row>
    <row r="9">
      <c r="A9" t="str">
        <v>I</v>
      </c>
      <c r="B9" t="str">
        <v>PEKERJAAN PERSIAPAN</v>
      </c>
    </row>
    <row r="11">
      <c r="A11">
        <v>1</v>
      </c>
      <c r="B11" t="str">
        <v>Pagar pengaman</v>
      </c>
      <c r="C11" t="str">
        <v>m1</v>
      </c>
      <c r="D11">
        <f>H11</f>
        <v>68</v>
      </c>
      <c r="E11">
        <f>N11</f>
        <v>200000</v>
      </c>
      <c r="F11">
        <f>D11*E11</f>
        <v>13600000</v>
      </c>
      <c r="H11">
        <f>((22+2)+2*(20+2))</f>
        <v>68</v>
      </c>
      <c r="J11">
        <v>50000</v>
      </c>
      <c r="M11">
        <v>150000</v>
      </c>
      <c r="N11">
        <f>SUM(I11:M11)</f>
        <v>200000</v>
      </c>
      <c r="O11">
        <f>H11*N11</f>
        <v>13600000</v>
      </c>
      <c r="AF11">
        <f>R11+V11*W11+Z11*AA11</f>
        <v>0</v>
      </c>
      <c r="AG11">
        <f>S11</f>
        <v>0</v>
      </c>
      <c r="AH11">
        <f>T11+V11*X11</f>
        <v>0</v>
      </c>
    </row>
    <row r="12">
      <c r="A12">
        <v>2</v>
      </c>
      <c r="B12" t="str">
        <v>Uitzet/Pasang bowplank</v>
      </c>
      <c r="C12" t="str">
        <v>ls</v>
      </c>
      <c r="D12">
        <f>H12</f>
        <v>84</v>
      </c>
      <c r="E12">
        <f>N12</f>
        <v>30000</v>
      </c>
      <c r="F12">
        <f>D12*E12</f>
        <v>2520000</v>
      </c>
      <c r="H12">
        <f>2*(20+22)</f>
        <v>84</v>
      </c>
      <c r="J12">
        <v>30000</v>
      </c>
      <c r="N12">
        <f>SUM(I12:M12)</f>
        <v>30000</v>
      </c>
      <c r="O12">
        <f>H12*N12</f>
        <v>2520000</v>
      </c>
      <c r="AF12">
        <f>R12+V12*W12+Z12*AA12</f>
        <v>0</v>
      </c>
      <c r="AG12">
        <f>S12</f>
        <v>0</v>
      </c>
      <c r="AH12">
        <f>T12+V12*X12</f>
        <v>0</v>
      </c>
    </row>
    <row r="13">
      <c r="A13">
        <v>3</v>
      </c>
      <c r="B13" t="str">
        <v>Pengukuran dan penandaan titik tiang pancang</v>
      </c>
      <c r="C13" t="str">
        <v>titik</v>
      </c>
      <c r="D13">
        <f>H13</f>
        <v>95</v>
      </c>
      <c r="E13">
        <f>N13</f>
        <v>15000</v>
      </c>
      <c r="F13">
        <f>D13*E13</f>
        <v>1425000</v>
      </c>
      <c r="H13">
        <f>'REKAP-PC'!E22+'REKAP-PC'!F22</f>
        <v>95</v>
      </c>
      <c r="J13">
        <v>15000</v>
      </c>
      <c r="N13">
        <f>SUM(I13:M13)</f>
        <v>15000</v>
      </c>
      <c r="O13">
        <f>H13*N13</f>
        <v>1425000</v>
      </c>
    </row>
    <row r="14">
      <c r="A14">
        <v>4</v>
      </c>
      <c r="B14" t="str">
        <v>Direksi keet, gudang material, dan area kerja</v>
      </c>
      <c r="C14" t="str">
        <v>ls</v>
      </c>
      <c r="D14">
        <f>H14</f>
        <v>1</v>
      </c>
      <c r="E14">
        <f>N14</f>
        <v>25000000</v>
      </c>
      <c r="F14">
        <f>D14*E14</f>
        <v>25000000</v>
      </c>
      <c r="H14">
        <v>1</v>
      </c>
      <c r="I14">
        <v>15000000</v>
      </c>
      <c r="J14">
        <v>10000000</v>
      </c>
      <c r="N14">
        <f>SUM(I14:M14)</f>
        <v>25000000</v>
      </c>
      <c r="O14">
        <f>H14*N14</f>
        <v>25000000</v>
      </c>
      <c r="P14" t="str">
        <v>*</v>
      </c>
      <c r="AF14">
        <f>R14+V14*W14+Z14*AA14</f>
        <v>0</v>
      </c>
      <c r="AG14">
        <f>S14</f>
        <v>0</v>
      </c>
      <c r="AH14">
        <f>T14+V14*X14</f>
        <v>0</v>
      </c>
    </row>
    <row r="15">
      <c r="A15">
        <v>5</v>
      </c>
      <c r="B15" t="str">
        <v>Listrik kerja dan penerangan</v>
      </c>
      <c r="C15" t="str">
        <v>bln</v>
      </c>
      <c r="D15">
        <f>H15</f>
        <v>12</v>
      </c>
      <c r="E15">
        <f>N15</f>
        <v>1000000</v>
      </c>
      <c r="F15">
        <f>D15*E15</f>
        <v>12000000</v>
      </c>
      <c r="H15">
        <v>12</v>
      </c>
      <c r="M15">
        <v>1000000</v>
      </c>
      <c r="N15">
        <f>SUM(I15:M15)</f>
        <v>1000000</v>
      </c>
      <c r="O15">
        <f>H15*N15</f>
        <v>12000000</v>
      </c>
      <c r="AF15">
        <f>R15+V15*W15+Z15*AA15</f>
        <v>0</v>
      </c>
      <c r="AG15">
        <f>S15</f>
        <v>0</v>
      </c>
      <c r="AH15">
        <f>T15+V15*X15</f>
        <v>0</v>
      </c>
    </row>
    <row r="16">
      <c r="A16">
        <v>6</v>
      </c>
      <c r="B16" t="str">
        <v>Jaga / keamanan / logistik proyek fisik</v>
      </c>
      <c r="C16" t="str">
        <v>bln</v>
      </c>
      <c r="D16">
        <f>H16</f>
        <v>12</v>
      </c>
      <c r="E16">
        <f>N16</f>
        <v>2000000</v>
      </c>
      <c r="F16">
        <f>D16*E16</f>
        <v>24000000</v>
      </c>
      <c r="H16">
        <f>H15</f>
        <v>12</v>
      </c>
      <c r="M16">
        <v>2000000</v>
      </c>
      <c r="N16">
        <f>SUM(I16:M16)</f>
        <v>2000000</v>
      </c>
      <c r="O16">
        <f>H16*N16</f>
        <v>24000000</v>
      </c>
      <c r="AF16">
        <f>R16+V16*W16+Z16*AA16</f>
        <v>0</v>
      </c>
      <c r="AG16">
        <f>S16</f>
        <v>0</v>
      </c>
      <c r="AH16">
        <f>T16+V16*X16</f>
        <v>0</v>
      </c>
    </row>
    <row r="17">
      <c r="A17">
        <v>7</v>
      </c>
      <c r="B17" t="str">
        <v>Angkut tanah &amp; bongkaran keluar lokasi</v>
      </c>
      <c r="C17" t="str">
        <v>bln</v>
      </c>
      <c r="D17">
        <f>H17</f>
        <v>12</v>
      </c>
      <c r="E17">
        <f>N17</f>
        <v>1500000</v>
      </c>
      <c r="F17">
        <f>D17*E17</f>
        <v>18000000</v>
      </c>
      <c r="H17">
        <f>H16</f>
        <v>12</v>
      </c>
      <c r="M17">
        <v>1500000</v>
      </c>
      <c r="N17">
        <f>SUM(I17:M17)</f>
        <v>1500000</v>
      </c>
      <c r="O17">
        <f>H17*N17</f>
        <v>18000000</v>
      </c>
      <c r="AF17">
        <f>R17+V17*W17+Z17*AA17</f>
        <v>0</v>
      </c>
      <c r="AG17">
        <f>S17</f>
        <v>0</v>
      </c>
      <c r="AH17">
        <f>T17+V17*X17</f>
        <v>0</v>
      </c>
    </row>
    <row r="18">
      <c r="A18">
        <v>8</v>
      </c>
      <c r="B18" t="str">
        <v>Pembersihan lokasi selama proyek fisik berjalan</v>
      </c>
      <c r="C18" t="str">
        <v>bln</v>
      </c>
      <c r="D18">
        <f>H18</f>
        <v>12</v>
      </c>
      <c r="E18">
        <f>N18</f>
        <v>3000000</v>
      </c>
      <c r="F18">
        <f>D18*E18</f>
        <v>36000000</v>
      </c>
      <c r="H18">
        <f>H16</f>
        <v>12</v>
      </c>
      <c r="J18">
        <v>3000000</v>
      </c>
      <c r="N18">
        <f>SUM(I18:M18)</f>
        <v>3000000</v>
      </c>
      <c r="O18">
        <f>H18*N18</f>
        <v>36000000</v>
      </c>
      <c r="AF18">
        <f>R18+V18*W18+Z18*AA18</f>
        <v>0</v>
      </c>
      <c r="AG18">
        <f>S18</f>
        <v>0</v>
      </c>
      <c r="AH18">
        <f>T18+V18*X18</f>
        <v>0</v>
      </c>
    </row>
    <row r="20">
      <c r="A20" t="str">
        <v>Subtotal Pekerjaan Persiapan</v>
      </c>
      <c r="F20">
        <f>SUM(F8:F19)</f>
        <v>132545000</v>
      </c>
      <c r="O20">
        <f>SUM(O8:O19)</f>
        <v>132545000</v>
      </c>
    </row>
    <row r="22">
      <c r="A22" t="str">
        <v>II</v>
      </c>
      <c r="B22" t="str">
        <v>PEKERJAAN TANAH</v>
      </c>
    </row>
    <row r="24">
      <c r="A24">
        <v>1</v>
      </c>
      <c r="B24" t="str">
        <v>Gali tanah poer, sloof, kolam &amp; pit lift</v>
      </c>
      <c r="C24" t="str">
        <v>m3</v>
      </c>
      <c r="D24">
        <f>H24*'REKAP RAB'!$K$3</f>
        <v>210.50076402500002</v>
      </c>
      <c r="E24">
        <f>N24*'REKAP RAB'!$O$2</f>
        <v>137500</v>
      </c>
      <c r="F24">
        <f>D24*E24</f>
        <v>28943855.053437505</v>
      </c>
      <c r="H24">
        <f>SUM('REKAP-PC'!G22,'REKAP Balok'!K334)+8*3.1*1+2.2*2.2*1.5</f>
        <v>210.50076402500002</v>
      </c>
      <c r="J24">
        <v>125000</v>
      </c>
      <c r="N24">
        <f>SUM(I24:M24)</f>
        <v>125000</v>
      </c>
      <c r="O24">
        <f>H24*N24</f>
        <v>26312595.503125004</v>
      </c>
      <c r="AF24">
        <f>R24+V24*W24+Z24*AA24</f>
        <v>0</v>
      </c>
      <c r="AG24">
        <f>S24</f>
        <v>0</v>
      </c>
      <c r="AH24">
        <f>T24+V24*X24</f>
        <v>0</v>
      </c>
    </row>
    <row r="25">
      <c r="A25">
        <v>2</v>
      </c>
      <c r="B25" t="str">
        <v>Urugan sirtu untuk lantai 1 +1.15 dari jalan</v>
      </c>
      <c r="C25" t="str">
        <v>m3</v>
      </c>
      <c r="D25">
        <f>H25*'REKAP RAB'!$K$3</f>
        <v>331.14513202</v>
      </c>
      <c r="E25">
        <f>N25*'REKAP RAB'!$O$2</f>
        <v>209000.00000000003</v>
      </c>
      <c r="F25">
        <f>D25*E25</f>
        <v>69209332.59218001</v>
      </c>
      <c r="H25">
        <f>SUM('REKAP Plat'!D8:D9,'REKAP Plat'!D12:D16)*1.3+SUM('REKAP Plat'!D10:D11)*0.3</f>
        <v>331.14513202</v>
      </c>
      <c r="L25">
        <v>190000</v>
      </c>
      <c r="N25">
        <f>SUM(I25:M25)</f>
        <v>190000</v>
      </c>
      <c r="O25">
        <f>H25*N25</f>
        <v>62917575.0838</v>
      </c>
    </row>
    <row r="26">
      <c r="A26">
        <v>3</v>
      </c>
      <c r="B26" t="str">
        <v>Pemadatan tanah urug</v>
      </c>
      <c r="C26" t="str">
        <v>m2</v>
      </c>
      <c r="D26">
        <f>H26</f>
        <v>440</v>
      </c>
      <c r="E26">
        <f>N26*'REKAP RAB'!$O$2</f>
        <v>22000</v>
      </c>
      <c r="F26">
        <f>D26*E26</f>
        <v>9680000</v>
      </c>
      <c r="H26">
        <f>22*20</f>
        <v>440</v>
      </c>
      <c r="J26">
        <v>20000</v>
      </c>
      <c r="N26">
        <f>SUM(I26:M26)</f>
        <v>20000</v>
      </c>
      <c r="O26">
        <f>H26*N26</f>
        <v>8800000</v>
      </c>
    </row>
    <row r="27">
      <c r="A27">
        <v>4</v>
      </c>
      <c r="B27" t="str">
        <v>Lantai kerja poer, sloof &amp; plat</v>
      </c>
      <c r="C27" t="str">
        <v>m3</v>
      </c>
      <c r="D27">
        <f>H27</f>
        <v>32.554985544999994</v>
      </c>
      <c r="E27">
        <f>N27*'REKAP RAB'!$O$5</f>
        <v>1363003</v>
      </c>
      <c r="F27">
        <f>D27*E27</f>
        <v>44372542.96279163</v>
      </c>
      <c r="H27">
        <f>SUM('REKAP-PC'!I22,'REKAP Balok'!J334,'REKAP Plat'!H55)</f>
        <v>32.554985544999994</v>
      </c>
      <c r="I27">
        <f>AF27</f>
        <v>785220</v>
      </c>
      <c r="J27">
        <f>AG27</f>
        <v>400000</v>
      </c>
      <c r="N27">
        <f>SUM(I27:M27)</f>
        <v>1185220</v>
      </c>
      <c r="O27">
        <f>H27*N27</f>
        <v>38584819.96764489</v>
      </c>
      <c r="R27">
        <f>Analisa!$F$275</f>
        <v>785220</v>
      </c>
      <c r="S27">
        <f>Analisa!$G$275</f>
        <v>400000</v>
      </c>
      <c r="T27">
        <f>Analisa!$H$275</f>
        <v>0</v>
      </c>
      <c r="AF27">
        <f>R27+V27*W27+Z27*AA27</f>
        <v>785220</v>
      </c>
      <c r="AG27">
        <f>S27</f>
        <v>400000</v>
      </c>
      <c r="AH27">
        <f>T27+V27*X27</f>
        <v>0</v>
      </c>
    </row>
    <row r="29">
      <c r="A29" t="str">
        <v>Subtotal Pekerjaan Tanah</v>
      </c>
      <c r="F29">
        <f>SUM(F21:F28)</f>
        <v>152205730.60840914</v>
      </c>
      <c r="O29">
        <f>SUM(O21:O28)</f>
        <v>136614990.5545699</v>
      </c>
    </row>
    <row r="31">
      <c r="A31" t="str">
        <v>III</v>
      </c>
      <c r="B31" t="str">
        <v>PEKERJAAN FISIK LANTAI 1</v>
      </c>
    </row>
    <row r="33">
      <c r="A33" t="str">
        <v>A</v>
      </c>
      <c r="B33" t="str">
        <v>Pekerjaan Beton &amp; Pondasi</v>
      </c>
    </row>
    <row r="34">
      <c r="A34">
        <v>1</v>
      </c>
      <c r="B34" t="str">
        <v>Poer (Readymix K-350) :</v>
      </c>
      <c r="AJ34">
        <f>SUMPRODUCT(H36:H96,V36:V96)</f>
        <v>0</v>
      </c>
      <c r="AL34">
        <f>SUMPRODUCT(H36:H96,Z36:Z96)</f>
        <v>0</v>
      </c>
      <c r="AM34" t="str">
        <v>v</v>
      </c>
    </row>
    <row r="35">
      <c r="B35" t="str">
        <f>CONCATENATE(" - Poer ",G35)</f>
        <v xml:space="preserve"> - Poer PC.1</v>
      </c>
      <c r="G35" t="str">
        <v>PC.1</v>
      </c>
    </row>
    <row r="36">
      <c r="B36" t="str">
        <v>- Beton</v>
      </c>
      <c r="C36" t="str">
        <v>m3</v>
      </c>
      <c r="D36">
        <f>H36*'REKAP RAB'!$K$3</f>
        <v>3.125</v>
      </c>
      <c r="E36">
        <f>N36*'REKAP RAB'!$O$5</f>
        <v>2631890</v>
      </c>
      <c r="F36">
        <f>D36*E36</f>
        <v>8224656.25</v>
      </c>
      <c r="H36">
        <f>'REKAP-PC'!B11</f>
        <v>3.125</v>
      </c>
      <c r="I36">
        <f>AF36</f>
        <v>1398600</v>
      </c>
      <c r="J36">
        <f>AG36</f>
        <v>800000</v>
      </c>
      <c r="K36">
        <f>AH36</f>
        <v>90000</v>
      </c>
      <c r="N36">
        <f>SUM(I36:M36)</f>
        <v>2288600</v>
      </c>
      <c r="O36">
        <f>H36*N36</f>
        <v>7151875</v>
      </c>
      <c r="R36">
        <f>Analisa!$F$177</f>
        <v>1398600</v>
      </c>
      <c r="S36">
        <f>Analisa!$G$177</f>
        <v>800000</v>
      </c>
      <c r="T36">
        <f>Analisa!$H$177</f>
        <v>90000</v>
      </c>
      <c r="AF36">
        <f>R36+V36*W36+Z36*AA36</f>
        <v>1398600</v>
      </c>
      <c r="AG36">
        <f>S36</f>
        <v>800000</v>
      </c>
      <c r="AH36">
        <f>T36+V36*X36</f>
        <v>90000</v>
      </c>
    </row>
    <row r="37">
      <c r="B37" t="str">
        <v>- Besi D13</v>
      </c>
      <c r="C37" t="str">
        <v>kg</v>
      </c>
      <c r="D37">
        <f>H37*'REKAP RAB'!$K$3</f>
        <v>558.2419829999999</v>
      </c>
      <c r="E37">
        <f>N37*'REKAP RAB'!$O$5</f>
        <v>12008.874999999998</v>
      </c>
      <c r="F37">
        <f>D37*E37</f>
        <v>6703858.193599123</v>
      </c>
      <c r="H37">
        <f>'REKAP-PC'!M11</f>
        <v>558.2419829999999</v>
      </c>
      <c r="I37">
        <f>AF37</f>
        <v>10442.5</v>
      </c>
      <c r="J37">
        <f>AG37</f>
        <v>0</v>
      </c>
      <c r="K37">
        <f>AH37</f>
        <v>0</v>
      </c>
      <c r="N37">
        <f>SUM(I37:M37)</f>
        <v>10442.5</v>
      </c>
      <c r="O37">
        <f>H37*N37</f>
        <v>5829441.907477499</v>
      </c>
      <c r="R37">
        <f>Analisa!$F$233</f>
        <v>10442.5</v>
      </c>
      <c r="AF37">
        <f>R37+V37*W37+Z37*AA37</f>
        <v>10442.5</v>
      </c>
      <c r="AG37">
        <f>S37</f>
        <v>0</v>
      </c>
      <c r="AH37">
        <f>T37+V37*X37</f>
        <v>0</v>
      </c>
    </row>
    <row r="38">
      <c r="B38" t="str">
        <v>- Besi D16</v>
      </c>
      <c r="C38" t="str">
        <v>kg</v>
      </c>
      <c r="D38">
        <f>H38*'REKAP RAB'!$K$3</f>
        <v>0</v>
      </c>
      <c r="E38">
        <f>N38*'REKAP RAB'!$O$5</f>
        <v>12008.874999999998</v>
      </c>
      <c r="F38">
        <f>D38*E38</f>
        <v>0</v>
      </c>
      <c r="H38">
        <f>'REKAP-PC'!N11</f>
        <v>0</v>
      </c>
      <c r="I38">
        <f>AF38</f>
        <v>10442.5</v>
      </c>
      <c r="J38">
        <f>AG38</f>
        <v>0</v>
      </c>
      <c r="K38">
        <f>AH38</f>
        <v>0</v>
      </c>
      <c r="N38">
        <f>SUM(I38:M38)</f>
        <v>10442.5</v>
      </c>
      <c r="O38">
        <f>H38*N38</f>
        <v>0</v>
      </c>
      <c r="R38">
        <f>Analisa!$F$233</f>
        <v>10442.5</v>
      </c>
      <c r="AF38">
        <f>R38+V38*W38+Z38*AA38</f>
        <v>10442.5</v>
      </c>
      <c r="AG38">
        <f>S38</f>
        <v>0</v>
      </c>
      <c r="AH38">
        <f>T38+V38*X38</f>
        <v>0</v>
      </c>
    </row>
    <row r="39">
      <c r="B39" t="str">
        <v>- Besi D19</v>
      </c>
      <c r="C39" t="str">
        <v>kg</v>
      </c>
      <c r="D39">
        <f>H39*'REKAP RAB'!$K$3</f>
        <v>0</v>
      </c>
      <c r="E39">
        <f>N39*'REKAP RAB'!$O$5</f>
        <v>12008.874999999998</v>
      </c>
      <c r="F39">
        <f>D39*E39</f>
        <v>0</v>
      </c>
      <c r="H39">
        <f>'REKAP-PC'!O11</f>
        <v>0</v>
      </c>
      <c r="I39">
        <f>AF39</f>
        <v>10442.5</v>
      </c>
      <c r="J39">
        <f>AG39</f>
        <v>0</v>
      </c>
      <c r="K39">
        <f>AH39</f>
        <v>0</v>
      </c>
      <c r="N39">
        <f>SUM(I39:M39)</f>
        <v>10442.5</v>
      </c>
      <c r="O39">
        <f>H39*N39</f>
        <v>0</v>
      </c>
      <c r="R39">
        <f>Analisa!$F$233</f>
        <v>10442.5</v>
      </c>
      <c r="AF39">
        <f>R39+V39*W39+Z39*AA39</f>
        <v>10442.5</v>
      </c>
      <c r="AG39">
        <f>S39</f>
        <v>0</v>
      </c>
      <c r="AH39">
        <f>T39+V39*X39</f>
        <v>0</v>
      </c>
    </row>
    <row r="40">
      <c r="B40" t="str">
        <v>- Bekisting Batako</v>
      </c>
      <c r="C40" t="str">
        <v>m2</v>
      </c>
      <c r="D40">
        <f>H40*'REKAP RAB'!$K$3</f>
        <v>25</v>
      </c>
      <c r="E40">
        <f>N40*'REKAP RAB'!$O$5</f>
        <v>100187.63085</v>
      </c>
      <c r="F40">
        <f>D40*E40</f>
        <v>2504690.77125</v>
      </c>
      <c r="H40">
        <f>'REKAP-PC'!C11</f>
        <v>25</v>
      </c>
      <c r="I40">
        <f>AF40</f>
        <v>87119.679</v>
      </c>
      <c r="J40">
        <f>AG40</f>
        <v>0</v>
      </c>
      <c r="K40">
        <f>AH40</f>
        <v>0</v>
      </c>
      <c r="N40">
        <f>SUM(I40:M40)</f>
        <v>87119.679</v>
      </c>
      <c r="O40">
        <f>H40*N40</f>
        <v>2177991.975</v>
      </c>
      <c r="R40">
        <f>Analisa!F$115</f>
        <v>87119.679</v>
      </c>
      <c r="AF40">
        <f>R40+V40*W40+Z40*AA40</f>
        <v>87119.679</v>
      </c>
      <c r="AG40">
        <f>S40</f>
        <v>0</v>
      </c>
      <c r="AH40">
        <f>T40+V40*X40</f>
        <v>0</v>
      </c>
    </row>
    <row r="41">
      <c r="B41" t="str">
        <f>CONCATENATE(" - Poer ",G41)</f>
        <v xml:space="preserve"> - Poer PC.2</v>
      </c>
      <c r="G41" t="str">
        <v>PC.2</v>
      </c>
    </row>
    <row r="42">
      <c r="B42" t="str">
        <v>- Beton</v>
      </c>
      <c r="C42" t="str">
        <v>m3</v>
      </c>
      <c r="D42">
        <f>H42*'REKAP RAB'!$K$3</f>
        <v>0.33</v>
      </c>
      <c r="E42">
        <f>N42*'REKAP RAB'!$O$5</f>
        <v>2631890</v>
      </c>
      <c r="F42">
        <f>D42*E42</f>
        <v>868523.7000000001</v>
      </c>
      <c r="H42">
        <f>'REKAP-PC'!B12</f>
        <v>0.33</v>
      </c>
      <c r="I42">
        <f>AF42</f>
        <v>1398600</v>
      </c>
      <c r="J42">
        <f>AG42</f>
        <v>800000</v>
      </c>
      <c r="K42">
        <f>AH42</f>
        <v>90000</v>
      </c>
      <c r="N42">
        <f>SUM(I42:M42)</f>
        <v>2288600</v>
      </c>
      <c r="O42">
        <f>H42*N42</f>
        <v>755238</v>
      </c>
      <c r="R42">
        <f>Analisa!$F$177</f>
        <v>1398600</v>
      </c>
      <c r="S42">
        <f>Analisa!$G$177</f>
        <v>800000</v>
      </c>
      <c r="T42">
        <f>Analisa!$H$177</f>
        <v>90000</v>
      </c>
      <c r="AF42">
        <f>R42+V42*W42+Z42*AA42</f>
        <v>1398600</v>
      </c>
      <c r="AG42">
        <f>S42</f>
        <v>800000</v>
      </c>
      <c r="AH42">
        <f>T42+V42*X42</f>
        <v>90000</v>
      </c>
    </row>
    <row r="43">
      <c r="B43" t="str">
        <v>- Besi D13</v>
      </c>
      <c r="C43" t="str">
        <v>kg</v>
      </c>
      <c r="D43">
        <f>H43*'REKAP RAB'!$K$3</f>
        <v>30.08130372</v>
      </c>
      <c r="E43">
        <f>N43*'REKAP RAB'!$O$5</f>
        <v>12008.874999999998</v>
      </c>
      <c r="F43">
        <f>D43*E43</f>
        <v>361242.61621051497</v>
      </c>
      <c r="H43">
        <f>'REKAP-PC'!M12</f>
        <v>30.08130372</v>
      </c>
      <c r="I43">
        <f>AF43</f>
        <v>10442.5</v>
      </c>
      <c r="J43">
        <f>AG43</f>
        <v>0</v>
      </c>
      <c r="K43">
        <f>AH43</f>
        <v>0</v>
      </c>
      <c r="N43">
        <f>SUM(I43:M43)</f>
        <v>10442.5</v>
      </c>
      <c r="O43">
        <f>H43*N43</f>
        <v>314124.0140961</v>
      </c>
      <c r="R43">
        <f>Analisa!$F$233</f>
        <v>10442.5</v>
      </c>
      <c r="AF43">
        <f>R43+V43*W43+Z43*AA43</f>
        <v>10442.5</v>
      </c>
      <c r="AG43">
        <f>S43</f>
        <v>0</v>
      </c>
      <c r="AH43">
        <f>T43+V43*X43</f>
        <v>0</v>
      </c>
    </row>
    <row r="44">
      <c r="B44" t="str">
        <v>- Besi D16</v>
      </c>
      <c r="C44" t="str">
        <v>kg</v>
      </c>
      <c r="D44">
        <f>H44*'REKAP RAB'!$K$3</f>
        <v>19.1913984</v>
      </c>
      <c r="E44">
        <f>N44*'REKAP RAB'!$O$5</f>
        <v>12008.874999999998</v>
      </c>
      <c r="F44">
        <f>D44*E44</f>
        <v>230467.10446079998</v>
      </c>
      <c r="H44">
        <f>'REKAP-PC'!N12</f>
        <v>19.1913984</v>
      </c>
      <c r="I44">
        <f>AF44</f>
        <v>10442.5</v>
      </c>
      <c r="J44">
        <f>AG44</f>
        <v>0</v>
      </c>
      <c r="K44">
        <f>AH44</f>
        <v>0</v>
      </c>
      <c r="N44">
        <f>SUM(I44:M44)</f>
        <v>10442.5</v>
      </c>
      <c r="O44">
        <f>H44*N44</f>
        <v>200406.177792</v>
      </c>
      <c r="R44">
        <f>Analisa!$F$233</f>
        <v>10442.5</v>
      </c>
      <c r="AF44">
        <f>R44+V44*W44+Z44*AA44</f>
        <v>10442.5</v>
      </c>
      <c r="AG44">
        <f>S44</f>
        <v>0</v>
      </c>
      <c r="AH44">
        <f>T44+V44*X44</f>
        <v>0</v>
      </c>
    </row>
    <row r="45">
      <c r="B45" t="str">
        <v>- Besi D19</v>
      </c>
      <c r="C45" t="str">
        <v>kg</v>
      </c>
      <c r="D45">
        <f>H45*'REKAP RAB'!$K$3</f>
        <v>0</v>
      </c>
      <c r="E45">
        <f>N45*'REKAP RAB'!$O$5</f>
        <v>12008.874999999998</v>
      </c>
      <c r="F45">
        <f>D45*E45</f>
        <v>0</v>
      </c>
      <c r="H45">
        <f>'REKAP-PC'!O12</f>
        <v>0</v>
      </c>
      <c r="I45">
        <f>AF45</f>
        <v>10442.5</v>
      </c>
      <c r="J45">
        <f>AG45</f>
        <v>0</v>
      </c>
      <c r="K45">
        <f>AH45</f>
        <v>0</v>
      </c>
      <c r="N45">
        <f>SUM(I45:M45)</f>
        <v>10442.5</v>
      </c>
      <c r="O45">
        <f>H45*N45</f>
        <v>0</v>
      </c>
      <c r="R45">
        <f>Analisa!$F$233</f>
        <v>10442.5</v>
      </c>
      <c r="AF45">
        <f>R45+V45*W45+Z45*AA45</f>
        <v>10442.5</v>
      </c>
      <c r="AG45">
        <f>S45</f>
        <v>0</v>
      </c>
      <c r="AH45">
        <f>T45+V45*X45</f>
        <v>0</v>
      </c>
    </row>
    <row r="46">
      <c r="B46" t="str">
        <v>- Bekisting Batako</v>
      </c>
      <c r="C46" t="str">
        <v>m2</v>
      </c>
      <c r="D46">
        <f>H46*'REKAP RAB'!$K$3</f>
        <v>1.92</v>
      </c>
      <c r="E46">
        <f>N46*'REKAP RAB'!$O$5</f>
        <v>100187.63085</v>
      </c>
      <c r="F46">
        <f>D46*E46</f>
        <v>192360.251232</v>
      </c>
      <c r="H46">
        <f>'REKAP-PC'!C12</f>
        <v>1.92</v>
      </c>
      <c r="I46">
        <f>AF46</f>
        <v>87119.679</v>
      </c>
      <c r="J46">
        <f>AG46</f>
        <v>0</v>
      </c>
      <c r="K46">
        <f>AH46</f>
        <v>0</v>
      </c>
      <c r="N46">
        <f>SUM(I46:M46)</f>
        <v>87119.679</v>
      </c>
      <c r="O46">
        <f>H46*N46</f>
        <v>167269.78368</v>
      </c>
      <c r="R46">
        <f>Analisa!F$115</f>
        <v>87119.679</v>
      </c>
      <c r="AF46">
        <f>R46+V46*W46+Z46*AA46</f>
        <v>87119.679</v>
      </c>
      <c r="AG46">
        <f>S46</f>
        <v>0</v>
      </c>
      <c r="AH46">
        <f>T46+V46*X46</f>
        <v>0</v>
      </c>
    </row>
    <row r="47">
      <c r="B47" t="str">
        <f>CONCATENATE(" - Poer ",G47)</f>
        <v xml:space="preserve"> - Poer PC.3</v>
      </c>
      <c r="G47" t="str">
        <v>PC.3</v>
      </c>
    </row>
    <row r="48">
      <c r="B48" t="str">
        <v>- Beton</v>
      </c>
      <c r="C48" t="str">
        <v>m3</v>
      </c>
      <c r="D48">
        <f>H48*'REKAP RAB'!$K$3</f>
        <v>4.0223424</v>
      </c>
      <c r="E48">
        <f>N48*'REKAP RAB'!$O$5</f>
        <v>2631890</v>
      </c>
      <c r="F48">
        <f>D48*E48</f>
        <v>10586362.739136001</v>
      </c>
      <c r="H48">
        <f>'REKAP-PC'!B13</f>
        <v>4.0223424</v>
      </c>
      <c r="I48">
        <f>AF48</f>
        <v>1398600</v>
      </c>
      <c r="J48">
        <f>AG48</f>
        <v>800000</v>
      </c>
      <c r="K48">
        <f>AH48</f>
        <v>90000</v>
      </c>
      <c r="N48">
        <f>SUM(I48:M48)</f>
        <v>2288600</v>
      </c>
      <c r="O48">
        <f>H48*N48</f>
        <v>9205532.81664</v>
      </c>
      <c r="R48">
        <f>Analisa!$F$177</f>
        <v>1398600</v>
      </c>
      <c r="S48">
        <f>Analisa!$G$177</f>
        <v>800000</v>
      </c>
      <c r="T48">
        <f>Analisa!$H$177</f>
        <v>90000</v>
      </c>
      <c r="AF48">
        <f>R48+V48*W48+Z48*AA48</f>
        <v>1398600</v>
      </c>
      <c r="AG48">
        <f>S48</f>
        <v>800000</v>
      </c>
      <c r="AH48">
        <f>T48+V48*X48</f>
        <v>90000</v>
      </c>
    </row>
    <row r="49">
      <c r="B49" t="str">
        <v>- Besi D13</v>
      </c>
      <c r="C49" t="str">
        <v>kg</v>
      </c>
      <c r="D49">
        <f>H49*'REKAP RAB'!$K$3</f>
        <v>265.1744852152291</v>
      </c>
      <c r="E49">
        <f>N49*'REKAP RAB'!$O$5</f>
        <v>12008.874999999998</v>
      </c>
      <c r="F49">
        <f>D49*E49</f>
        <v>3184447.2461390337</v>
      </c>
      <c r="H49">
        <f>'REKAP-PC'!M13</f>
        <v>265.1744852152291</v>
      </c>
      <c r="I49">
        <f>AF49</f>
        <v>10442.5</v>
      </c>
      <c r="J49">
        <f>AG49</f>
        <v>0</v>
      </c>
      <c r="K49">
        <f>AH49</f>
        <v>0</v>
      </c>
      <c r="N49">
        <f>SUM(I49:M49)</f>
        <v>10442.5</v>
      </c>
      <c r="O49">
        <f>H49*N49</f>
        <v>2769084.5618600296</v>
      </c>
      <c r="R49">
        <f>Analisa!$F$233</f>
        <v>10442.5</v>
      </c>
      <c r="AF49">
        <f>R49+V49*W49+Z49*AA49</f>
        <v>10442.5</v>
      </c>
      <c r="AG49">
        <f>S49</f>
        <v>0</v>
      </c>
      <c r="AH49">
        <f>T49+V49*X49</f>
        <v>0</v>
      </c>
    </row>
    <row r="50">
      <c r="B50" t="str">
        <v>- Besi D16</v>
      </c>
      <c r="C50" t="str">
        <v>kg</v>
      </c>
      <c r="D50">
        <f>H50*'REKAP RAB'!$K$3</f>
        <v>389.72427264</v>
      </c>
      <c r="E50">
        <f>N50*'REKAP RAB'!$O$5</f>
        <v>12008.874999999998</v>
      </c>
      <c r="F50">
        <f>D50*E50</f>
        <v>4680150.074599679</v>
      </c>
      <c r="H50">
        <f>'REKAP-PC'!N13</f>
        <v>389.72427264</v>
      </c>
      <c r="I50">
        <f>AF50</f>
        <v>10442.5</v>
      </c>
      <c r="J50">
        <f>AG50</f>
        <v>0</v>
      </c>
      <c r="K50">
        <f>AH50</f>
        <v>0</v>
      </c>
      <c r="N50">
        <f>SUM(I50:M50)</f>
        <v>10442.5</v>
      </c>
      <c r="O50">
        <f>H50*N50</f>
        <v>4069695.7170431996</v>
      </c>
      <c r="R50">
        <f>Analisa!$F$233</f>
        <v>10442.5</v>
      </c>
      <c r="AF50">
        <f>R50+V50*W50+Z50*AA50</f>
        <v>10442.5</v>
      </c>
      <c r="AG50">
        <f>S50</f>
        <v>0</v>
      </c>
      <c r="AH50">
        <f>T50+V50*X50</f>
        <v>0</v>
      </c>
    </row>
    <row r="51">
      <c r="B51" t="str">
        <v>- Besi D19</v>
      </c>
      <c r="C51" t="str">
        <v>kg</v>
      </c>
      <c r="D51">
        <f>H51*'REKAP RAB'!$K$3</f>
        <v>0</v>
      </c>
      <c r="E51">
        <f>N51*'REKAP RAB'!$O$5</f>
        <v>12008.874999999998</v>
      </c>
      <c r="F51">
        <f>D51*E51</f>
        <v>0</v>
      </c>
      <c r="H51">
        <f>'REKAP-PC'!O13</f>
        <v>0</v>
      </c>
      <c r="I51">
        <f>AF51</f>
        <v>10442.5</v>
      </c>
      <c r="J51">
        <f>AG51</f>
        <v>0</v>
      </c>
      <c r="K51">
        <f>AH51</f>
        <v>0</v>
      </c>
      <c r="N51">
        <f>SUM(I51:M51)</f>
        <v>10442.5</v>
      </c>
      <c r="O51">
        <f>H51*N51</f>
        <v>0</v>
      </c>
      <c r="R51">
        <f>Analisa!$F$233</f>
        <v>10442.5</v>
      </c>
      <c r="AF51">
        <f>R51+V51*W51+Z51*AA51</f>
        <v>10442.5</v>
      </c>
      <c r="AG51">
        <f>S51</f>
        <v>0</v>
      </c>
      <c r="AH51">
        <f>T51+V51*X51</f>
        <v>0</v>
      </c>
    </row>
    <row r="52">
      <c r="B52" t="str">
        <v>- Bekisting Batako</v>
      </c>
      <c r="C52" t="str">
        <v>m2</v>
      </c>
      <c r="D52">
        <f>H52*'REKAP RAB'!$K$3</f>
        <v>17.5086478916279</v>
      </c>
      <c r="E52">
        <f>N52*'REKAP RAB'!$O$5</f>
        <v>100187.63085</v>
      </c>
      <c r="F52">
        <f>D52*E52</f>
        <v>1754149.9516490467</v>
      </c>
      <c r="H52">
        <f>'REKAP-PC'!C13</f>
        <v>17.5086478916279</v>
      </c>
      <c r="I52">
        <f>AF52</f>
        <v>87119.679</v>
      </c>
      <c r="J52">
        <f>AG52</f>
        <v>0</v>
      </c>
      <c r="K52">
        <f>AH52</f>
        <v>0</v>
      </c>
      <c r="N52">
        <f>SUM(I52:M52)</f>
        <v>87119.679</v>
      </c>
      <c r="O52">
        <f>H52*N52</f>
        <v>1525347.7840426494</v>
      </c>
      <c r="R52">
        <f>Analisa!F$115</f>
        <v>87119.679</v>
      </c>
      <c r="AF52">
        <f>R52+V52*W52+Z52*AA52</f>
        <v>87119.679</v>
      </c>
      <c r="AG52">
        <f>S52</f>
        <v>0</v>
      </c>
      <c r="AH52">
        <f>T52+V52*X52</f>
        <v>0</v>
      </c>
    </row>
    <row r="53">
      <c r="B53" t="str">
        <f>CONCATENATE(" - Poer ",G53)</f>
        <v xml:space="preserve"> - Poer PC.4</v>
      </c>
      <c r="G53" t="str">
        <v>PC.4</v>
      </c>
    </row>
    <row r="54">
      <c r="B54" t="str">
        <v>- Beton</v>
      </c>
      <c r="C54" t="str">
        <v>m3</v>
      </c>
      <c r="D54">
        <f>H54*'REKAP RAB'!$K$3</f>
        <v>0.847</v>
      </c>
      <c r="E54">
        <f>N54*'REKAP RAB'!$O$5</f>
        <v>2631890</v>
      </c>
      <c r="F54">
        <f>D54*E54</f>
        <v>2229210.83</v>
      </c>
      <c r="H54">
        <f>'REKAP-PC'!B14</f>
        <v>0.847</v>
      </c>
      <c r="I54">
        <f>AF54</f>
        <v>1398600</v>
      </c>
      <c r="J54">
        <f>AG54</f>
        <v>800000</v>
      </c>
      <c r="K54">
        <f>AH54</f>
        <v>90000</v>
      </c>
      <c r="N54">
        <f>SUM(I54:M54)</f>
        <v>2288600</v>
      </c>
      <c r="O54">
        <f>H54*N54</f>
        <v>1938444.2</v>
      </c>
      <c r="R54">
        <f>Analisa!$F$177</f>
        <v>1398600</v>
      </c>
      <c r="S54">
        <f>Analisa!$G$177</f>
        <v>800000</v>
      </c>
      <c r="T54">
        <f>Analisa!$H$177</f>
        <v>90000</v>
      </c>
      <c r="AF54">
        <f>R54+V54*W54+Z54*AA54</f>
        <v>1398600</v>
      </c>
      <c r="AG54">
        <f>S54</f>
        <v>800000</v>
      </c>
      <c r="AH54">
        <f>T54+V54*X54</f>
        <v>90000</v>
      </c>
    </row>
    <row r="55">
      <c r="B55" t="str">
        <v>- Besi D13</v>
      </c>
      <c r="C55" t="str">
        <v>kg</v>
      </c>
      <c r="D55">
        <f>H55*'REKAP RAB'!$K$3</f>
        <v>41.49619578</v>
      </c>
      <c r="E55">
        <f>N55*'REKAP RAB'!$O$5</f>
        <v>12008.874999999998</v>
      </c>
      <c r="F55">
        <f>D55*E55</f>
        <v>498322.62809754745</v>
      </c>
      <c r="H55">
        <f>'REKAP-PC'!M14</f>
        <v>41.49619578</v>
      </c>
      <c r="I55">
        <f>AF55</f>
        <v>10442.5</v>
      </c>
      <c r="J55">
        <f>AG55</f>
        <v>0</v>
      </c>
      <c r="K55">
        <f>AH55</f>
        <v>0</v>
      </c>
      <c r="N55">
        <f>SUM(I55:M55)</f>
        <v>10442.5</v>
      </c>
      <c r="O55">
        <f>H55*N55</f>
        <v>433324.02443265</v>
      </c>
      <c r="R55">
        <f>Analisa!$F$233</f>
        <v>10442.5</v>
      </c>
      <c r="AF55">
        <f>R55+V55*W55+Z55*AA55</f>
        <v>10442.5</v>
      </c>
      <c r="AG55">
        <f>S55</f>
        <v>0</v>
      </c>
      <c r="AH55">
        <f>T55+V55*X55</f>
        <v>0</v>
      </c>
    </row>
    <row r="56">
      <c r="B56" t="str">
        <v>- Besi D16</v>
      </c>
      <c r="C56" t="str">
        <v>kg</v>
      </c>
      <c r="D56">
        <f>H56*'REKAP RAB'!$K$3</f>
        <v>58.5842688</v>
      </c>
      <c r="E56">
        <f>N56*'REKAP RAB'!$O$5</f>
        <v>12008.874999999998</v>
      </c>
      <c r="F56">
        <f>D56*E56</f>
        <v>703531.1609855999</v>
      </c>
      <c r="H56">
        <f>'REKAP-PC'!N14</f>
        <v>58.5842688</v>
      </c>
      <c r="I56">
        <f>AF56</f>
        <v>10442.5</v>
      </c>
      <c r="J56">
        <f>AG56</f>
        <v>0</v>
      </c>
      <c r="K56">
        <f>AH56</f>
        <v>0</v>
      </c>
      <c r="N56">
        <f>SUM(I56:M56)</f>
        <v>10442.5</v>
      </c>
      <c r="O56">
        <f>H56*N56</f>
        <v>611766.226944</v>
      </c>
      <c r="R56">
        <f>Analisa!$F$233</f>
        <v>10442.5</v>
      </c>
      <c r="AF56">
        <f>R56+V56*W56+Z56*AA56</f>
        <v>10442.5</v>
      </c>
      <c r="AG56">
        <f>S56</f>
        <v>0</v>
      </c>
      <c r="AH56">
        <f>T56+V56*X56</f>
        <v>0</v>
      </c>
    </row>
    <row r="57">
      <c r="B57" t="str">
        <v>- Besi D19</v>
      </c>
      <c r="C57" t="str">
        <v>kg</v>
      </c>
      <c r="D57">
        <f>H57*'REKAP RAB'!$K$3</f>
        <v>0</v>
      </c>
      <c r="E57">
        <f>N57*'REKAP RAB'!$O$5</f>
        <v>12008.874999999998</v>
      </c>
      <c r="F57">
        <f>D57*E57</f>
        <v>0</v>
      </c>
      <c r="H57">
        <f>'REKAP-PC'!O14</f>
        <v>0</v>
      </c>
      <c r="I57">
        <f>AF57</f>
        <v>10442.5</v>
      </c>
      <c r="J57">
        <f>AG57</f>
        <v>0</v>
      </c>
      <c r="K57">
        <f>AH57</f>
        <v>0</v>
      </c>
      <c r="N57">
        <f>SUM(I57:M57)</f>
        <v>10442.5</v>
      </c>
      <c r="O57">
        <f>H57*N57</f>
        <v>0</v>
      </c>
      <c r="R57">
        <f>Analisa!$F$233</f>
        <v>10442.5</v>
      </c>
      <c r="AF57">
        <f>R57+V57*W57+Z57*AA57</f>
        <v>10442.5</v>
      </c>
      <c r="AG57">
        <f>S57</f>
        <v>0</v>
      </c>
      <c r="AH57">
        <f>T57+V57*X57</f>
        <v>0</v>
      </c>
    </row>
    <row r="58">
      <c r="B58" t="str">
        <v>- Bekisting Batako</v>
      </c>
      <c r="C58" t="str">
        <v>m2</v>
      </c>
      <c r="D58">
        <f>H58*'REKAP RAB'!$K$3</f>
        <v>3.0800000000000005</v>
      </c>
      <c r="E58">
        <f>N58*'REKAP RAB'!$O$5</f>
        <v>100187.63085</v>
      </c>
      <c r="F58">
        <f>D58*E58</f>
        <v>308577.90301800007</v>
      </c>
      <c r="H58">
        <f>'REKAP-PC'!C14</f>
        <v>3.0800000000000005</v>
      </c>
      <c r="I58">
        <f>AF58</f>
        <v>87119.679</v>
      </c>
      <c r="J58">
        <f>AG58</f>
        <v>0</v>
      </c>
      <c r="K58">
        <f>AH58</f>
        <v>0</v>
      </c>
      <c r="N58">
        <f>SUM(I58:M58)</f>
        <v>87119.679</v>
      </c>
      <c r="O58">
        <f>H58*N58</f>
        <v>268328.6113200001</v>
      </c>
      <c r="R58">
        <f>Analisa!F$115</f>
        <v>87119.679</v>
      </c>
      <c r="AF58">
        <f>R58+V58*W58+Z58*AA58</f>
        <v>87119.679</v>
      </c>
      <c r="AG58">
        <f>S58</f>
        <v>0</v>
      </c>
      <c r="AH58">
        <f>T58+V58*X58</f>
        <v>0</v>
      </c>
    </row>
    <row r="59">
      <c r="B59" t="str">
        <f>CONCATENATE(" - Poer ",G59)</f>
        <v xml:space="preserve"> - Poer PC.5</v>
      </c>
      <c r="G59" t="str">
        <v>PC.5</v>
      </c>
    </row>
    <row r="60">
      <c r="B60" t="str">
        <v>- Beton</v>
      </c>
      <c r="C60" t="str">
        <v>m3</v>
      </c>
      <c r="D60">
        <f>H60*'REKAP RAB'!$K$3</f>
        <v>2.5515</v>
      </c>
      <c r="E60">
        <f>N60*'REKAP RAB'!$O$5</f>
        <v>2631890</v>
      </c>
      <c r="F60">
        <f>D60*E60</f>
        <v>6715267.335</v>
      </c>
      <c r="H60">
        <f>'REKAP-PC'!B15</f>
        <v>2.5515</v>
      </c>
      <c r="I60">
        <f>AF60</f>
        <v>1398600</v>
      </c>
      <c r="J60">
        <f>AG60</f>
        <v>800000</v>
      </c>
      <c r="K60">
        <f>AH60</f>
        <v>90000</v>
      </c>
      <c r="N60">
        <f>SUM(I60:M60)</f>
        <v>2288600</v>
      </c>
      <c r="O60">
        <f>H60*N60</f>
        <v>5839362.899999999</v>
      </c>
      <c r="R60">
        <f>Analisa!$F$177</f>
        <v>1398600</v>
      </c>
      <c r="S60">
        <f>Analisa!$G$177</f>
        <v>800000</v>
      </c>
      <c r="T60">
        <f>Analisa!$H$177</f>
        <v>90000</v>
      </c>
      <c r="AF60">
        <f>R60+V60*W60+Z60*AA60</f>
        <v>1398600</v>
      </c>
      <c r="AG60">
        <f>S60</f>
        <v>800000</v>
      </c>
      <c r="AH60">
        <f>T60+V60*X60</f>
        <v>90000</v>
      </c>
    </row>
    <row r="61">
      <c r="B61" t="str">
        <v>- Besi D13</v>
      </c>
      <c r="C61" t="str">
        <v>kg</v>
      </c>
      <c r="D61">
        <f>H61*'REKAP RAB'!$K$3</f>
        <v>105.62213376</v>
      </c>
      <c r="E61">
        <f>N61*'REKAP RAB'!$O$5</f>
        <v>12008.874999999998</v>
      </c>
      <c r="F61">
        <f>D61*E61</f>
        <v>1268403.0015571197</v>
      </c>
      <c r="H61">
        <f>'REKAP-PC'!M15</f>
        <v>105.62213376</v>
      </c>
      <c r="I61">
        <f>AF61</f>
        <v>10442.5</v>
      </c>
      <c r="J61">
        <f>AG61</f>
        <v>0</v>
      </c>
      <c r="K61">
        <f>AH61</f>
        <v>0</v>
      </c>
      <c r="N61">
        <f>SUM(I61:M61)</f>
        <v>10442.5</v>
      </c>
      <c r="O61">
        <f>H61*N61</f>
        <v>1102959.1317888</v>
      </c>
      <c r="R61">
        <f>Analisa!$F$233</f>
        <v>10442.5</v>
      </c>
      <c r="AF61">
        <f>R61+V61*W61+Z61*AA61</f>
        <v>10442.5</v>
      </c>
      <c r="AG61">
        <f>S61</f>
        <v>0</v>
      </c>
      <c r="AH61">
        <f>T61+V61*X61</f>
        <v>0</v>
      </c>
    </row>
    <row r="62">
      <c r="B62" t="str">
        <v>- Besi D16</v>
      </c>
      <c r="C62" t="str">
        <v>kg</v>
      </c>
      <c r="D62">
        <f>H62*'REKAP RAB'!$K$3</f>
        <v>146.0187648</v>
      </c>
      <c r="E62">
        <f>N62*'REKAP RAB'!$O$5</f>
        <v>12008.874999999998</v>
      </c>
      <c r="F62">
        <f>D62*E62</f>
        <v>1753521.0941376</v>
      </c>
      <c r="H62">
        <f>'REKAP-PC'!N15</f>
        <v>146.0187648</v>
      </c>
      <c r="I62">
        <f>AF62</f>
        <v>10442.5</v>
      </c>
      <c r="J62">
        <f>AG62</f>
        <v>0</v>
      </c>
      <c r="K62">
        <f>AH62</f>
        <v>0</v>
      </c>
      <c r="N62">
        <f>SUM(I62:M62)</f>
        <v>10442.5</v>
      </c>
      <c r="O62">
        <f>H62*N62</f>
        <v>1524800.951424</v>
      </c>
      <c r="R62">
        <f>Analisa!$F$233</f>
        <v>10442.5</v>
      </c>
      <c r="AF62">
        <f>R62+V62*W62+Z62*AA62</f>
        <v>10442.5</v>
      </c>
      <c r="AG62">
        <f>S62</f>
        <v>0</v>
      </c>
      <c r="AH62">
        <f>T62+V62*X62</f>
        <v>0</v>
      </c>
    </row>
    <row r="63">
      <c r="B63" t="str">
        <v>- Besi D19</v>
      </c>
      <c r="C63" t="str">
        <v>kg</v>
      </c>
      <c r="D63">
        <f>H63*'REKAP RAB'!$K$3</f>
        <v>0</v>
      </c>
      <c r="E63">
        <f>N63*'REKAP RAB'!$O$5</f>
        <v>12008.874999999998</v>
      </c>
      <c r="F63">
        <f>D63*E63</f>
        <v>0</v>
      </c>
      <c r="H63">
        <f>'REKAP-PC'!O15</f>
        <v>0</v>
      </c>
      <c r="I63">
        <f>AF63</f>
        <v>10442.5</v>
      </c>
      <c r="J63">
        <f>AG63</f>
        <v>0</v>
      </c>
      <c r="K63">
        <f>AH63</f>
        <v>0</v>
      </c>
      <c r="N63">
        <f>SUM(I63:M63)</f>
        <v>10442.5</v>
      </c>
      <c r="O63">
        <f>H63*N63</f>
        <v>0</v>
      </c>
      <c r="R63">
        <f>Analisa!$F$233</f>
        <v>10442.5</v>
      </c>
      <c r="AF63">
        <f>R63+V63*W63+Z63*AA63</f>
        <v>10442.5</v>
      </c>
      <c r="AG63">
        <f>S63</f>
        <v>0</v>
      </c>
      <c r="AH63">
        <f>T63+V63*X63</f>
        <v>0</v>
      </c>
    </row>
    <row r="64">
      <c r="B64" t="str">
        <v>- Bekisting Batako</v>
      </c>
      <c r="C64" t="str">
        <v>m2</v>
      </c>
      <c r="D64">
        <f>H64*'REKAP RAB'!$K$3</f>
        <v>7.5600000000000005</v>
      </c>
      <c r="E64">
        <f>N64*'REKAP RAB'!$O$5</f>
        <v>100187.63085</v>
      </c>
      <c r="F64">
        <f>D64*E64</f>
        <v>757418.489226</v>
      </c>
      <c r="H64">
        <f>'REKAP-PC'!C15</f>
        <v>7.5600000000000005</v>
      </c>
      <c r="I64">
        <f>AF64</f>
        <v>87119.679</v>
      </c>
      <c r="J64">
        <f>AG64</f>
        <v>0</v>
      </c>
      <c r="K64">
        <f>AH64</f>
        <v>0</v>
      </c>
      <c r="N64">
        <f>SUM(I64:M64)</f>
        <v>87119.679</v>
      </c>
      <c r="O64">
        <f>H64*N64</f>
        <v>658624.7732400001</v>
      </c>
      <c r="R64">
        <f>Analisa!F$115</f>
        <v>87119.679</v>
      </c>
      <c r="AF64">
        <f>R64+V64*W64+Z64*AA64</f>
        <v>87119.679</v>
      </c>
      <c r="AG64">
        <f>S64</f>
        <v>0</v>
      </c>
      <c r="AH64">
        <f>T64+V64*X64</f>
        <v>0</v>
      </c>
    </row>
    <row r="65">
      <c r="B65" t="str">
        <f>CONCATENATE(" - Poer ",G65)</f>
        <v xml:space="preserve"> - Poer PC.9</v>
      </c>
      <c r="G65" t="str">
        <v>PC.9</v>
      </c>
    </row>
    <row r="66">
      <c r="B66" t="str">
        <v>- Beton</v>
      </c>
      <c r="C66" t="str">
        <v>m3</v>
      </c>
      <c r="D66">
        <f>H66*'REKAP RAB'!$K$3</f>
        <v>5.07</v>
      </c>
      <c r="E66">
        <f>N66*'REKAP RAB'!$O$5</f>
        <v>2631890</v>
      </c>
      <c r="F66">
        <f>D66*E66</f>
        <v>13343682.3</v>
      </c>
      <c r="H66">
        <f>'REKAP-PC'!B16</f>
        <v>5.07</v>
      </c>
      <c r="I66">
        <f>AF66</f>
        <v>1398600</v>
      </c>
      <c r="J66">
        <f>AG66</f>
        <v>800000</v>
      </c>
      <c r="K66">
        <f>AH66</f>
        <v>90000</v>
      </c>
      <c r="N66">
        <f>SUM(I66:M66)</f>
        <v>2288600</v>
      </c>
      <c r="O66">
        <f>H66*N66</f>
        <v>11603202</v>
      </c>
      <c r="R66">
        <f>Analisa!$F$177</f>
        <v>1398600</v>
      </c>
      <c r="S66">
        <f>Analisa!$G$177</f>
        <v>800000</v>
      </c>
      <c r="T66">
        <f>Analisa!$H$177</f>
        <v>90000</v>
      </c>
      <c r="AF66">
        <f>R66+V66*W66+Z66*AA66</f>
        <v>1398600</v>
      </c>
      <c r="AG66">
        <f>S66</f>
        <v>800000</v>
      </c>
      <c r="AH66">
        <f>T66+V66*X66</f>
        <v>90000</v>
      </c>
    </row>
    <row r="67">
      <c r="B67" t="str">
        <v>- Besi D13</v>
      </c>
      <c r="C67" t="str">
        <v>kg</v>
      </c>
      <c r="D67">
        <f>H67*'REKAP RAB'!$K$3</f>
        <v>32.24425698</v>
      </c>
      <c r="E67">
        <f>N67*'REKAP RAB'!$O$5</f>
        <v>12008.874999999998</v>
      </c>
      <c r="F67">
        <f>D67*E67</f>
        <v>387217.25154069747</v>
      </c>
      <c r="H67">
        <f>'REKAP-PC'!M16</f>
        <v>32.24425698</v>
      </c>
      <c r="I67">
        <f>AF67</f>
        <v>10442.5</v>
      </c>
      <c r="J67">
        <f>AG67</f>
        <v>0</v>
      </c>
      <c r="K67">
        <f>AH67</f>
        <v>0</v>
      </c>
      <c r="N67">
        <f>SUM(I67:M67)</f>
        <v>10442.5</v>
      </c>
      <c r="O67">
        <f>H67*N67</f>
        <v>336710.65351365</v>
      </c>
      <c r="R67">
        <f>Analisa!$F$233</f>
        <v>10442.5</v>
      </c>
      <c r="AF67">
        <f>R67+V67*W67+Z67*AA67</f>
        <v>10442.5</v>
      </c>
      <c r="AG67">
        <f>S67</f>
        <v>0</v>
      </c>
      <c r="AH67">
        <f>T67+V67*X67</f>
        <v>0</v>
      </c>
    </row>
    <row r="68">
      <c r="B68" t="str">
        <v>- Besi D16</v>
      </c>
      <c r="C68" t="str">
        <v>kg</v>
      </c>
      <c r="D68">
        <f>H68*'REKAP RAB'!$K$3</f>
        <v>406.238976</v>
      </c>
      <c r="E68">
        <f>N68*'REKAP RAB'!$O$5</f>
        <v>12008.874999999998</v>
      </c>
      <c r="F68">
        <f>D68*E68</f>
        <v>4878473.082911999</v>
      </c>
      <c r="H68">
        <f>'REKAP-PC'!N16</f>
        <v>406.238976</v>
      </c>
      <c r="I68">
        <f>AF68</f>
        <v>10442.5</v>
      </c>
      <c r="J68">
        <f>AG68</f>
        <v>0</v>
      </c>
      <c r="K68">
        <f>AH68</f>
        <v>0</v>
      </c>
      <c r="N68">
        <f>SUM(I68:M68)</f>
        <v>10442.5</v>
      </c>
      <c r="O68">
        <f>H68*N68</f>
        <v>4242150.50688</v>
      </c>
      <c r="R68">
        <f>Analisa!$F$233</f>
        <v>10442.5</v>
      </c>
      <c r="AF68">
        <f>R68+V68*W68+Z68*AA68</f>
        <v>10442.5</v>
      </c>
      <c r="AG68">
        <f>S68</f>
        <v>0</v>
      </c>
      <c r="AH68">
        <f>T68+V68*X68</f>
        <v>0</v>
      </c>
    </row>
    <row r="69">
      <c r="B69" t="str">
        <v>- Besi D19</v>
      </c>
      <c r="C69" t="str">
        <v>kg</v>
      </c>
      <c r="D69">
        <f>H69*'REKAP RAB'!$K$3</f>
        <v>0</v>
      </c>
      <c r="E69">
        <f>N69*'REKAP RAB'!$O$5</f>
        <v>12008.874999999998</v>
      </c>
      <c r="F69">
        <f>D69*E69</f>
        <v>0</v>
      </c>
      <c r="H69">
        <f>'REKAP-PC'!O16</f>
        <v>0</v>
      </c>
      <c r="I69">
        <f>AF69</f>
        <v>10442.5</v>
      </c>
      <c r="J69">
        <f>AG69</f>
        <v>0</v>
      </c>
      <c r="K69">
        <f>AH69</f>
        <v>0</v>
      </c>
      <c r="N69">
        <f>SUM(I69:M69)</f>
        <v>10442.5</v>
      </c>
      <c r="O69">
        <f>H69*N69</f>
        <v>0</v>
      </c>
      <c r="R69">
        <f>Analisa!$F$233</f>
        <v>10442.5</v>
      </c>
      <c r="AF69">
        <f>R69+V69*W69+Z69*AA69</f>
        <v>10442.5</v>
      </c>
      <c r="AG69">
        <f>S69</f>
        <v>0</v>
      </c>
      <c r="AH69">
        <f>T69+V69*X69</f>
        <v>0</v>
      </c>
    </row>
    <row r="70">
      <c r="B70" t="str">
        <v>- Bekisting Batako</v>
      </c>
      <c r="C70" t="str">
        <v>m2</v>
      </c>
      <c r="D70">
        <f>H70*'REKAP RAB'!$K$3</f>
        <v>7.8</v>
      </c>
      <c r="E70">
        <f>N70*'REKAP RAB'!$O$5</f>
        <v>100187.63085</v>
      </c>
      <c r="F70">
        <f>D70*E70</f>
        <v>781463.52063</v>
      </c>
      <c r="H70">
        <f>'REKAP-PC'!C16</f>
        <v>7.8</v>
      </c>
      <c r="I70">
        <f>AF70</f>
        <v>87119.679</v>
      </c>
      <c r="J70">
        <f>AG70</f>
        <v>0</v>
      </c>
      <c r="K70">
        <f>AH70</f>
        <v>0</v>
      </c>
      <c r="N70">
        <f>SUM(I70:M70)</f>
        <v>87119.679</v>
      </c>
      <c r="O70">
        <f>H70*N70</f>
        <v>679533.4962</v>
      </c>
      <c r="R70">
        <f>Analisa!F$115</f>
        <v>87119.679</v>
      </c>
      <c r="AF70">
        <f>R70+V70*W70+Z70*AA70</f>
        <v>87119.679</v>
      </c>
      <c r="AG70">
        <f>S70</f>
        <v>0</v>
      </c>
      <c r="AH70">
        <f>T70+V70*X70</f>
        <v>0</v>
      </c>
    </row>
    <row r="71">
      <c r="B71" t="str">
        <f>CONCATENATE(" - Poer ",G71)</f>
        <v xml:space="preserve"> - Poer PCS.1</v>
      </c>
      <c r="G71" t="str">
        <v>PCS.1</v>
      </c>
    </row>
    <row r="72">
      <c r="B72" t="str">
        <v>- Beton</v>
      </c>
      <c r="C72" t="str">
        <v>m3</v>
      </c>
      <c r="D72">
        <f>H72*'REKAP RAB'!$K$3</f>
        <v>0.576</v>
      </c>
      <c r="E72">
        <f>N72*'REKAP RAB'!$O$5</f>
        <v>2631890</v>
      </c>
      <c r="F72">
        <f>D72*E72</f>
        <v>1515968.64</v>
      </c>
      <c r="H72">
        <f>'REKAP-PC'!B17</f>
        <v>0.576</v>
      </c>
      <c r="I72">
        <f>AF72</f>
        <v>1398600</v>
      </c>
      <c r="J72">
        <f>AG72</f>
        <v>800000</v>
      </c>
      <c r="K72">
        <f>AH72</f>
        <v>90000</v>
      </c>
      <c r="N72">
        <f>SUM(I72:M72)</f>
        <v>2288600</v>
      </c>
      <c r="O72">
        <f>H72*N72</f>
        <v>1318233.5999999999</v>
      </c>
      <c r="R72">
        <f>Analisa!$F$177</f>
        <v>1398600</v>
      </c>
      <c r="S72">
        <f>Analisa!$G$177</f>
        <v>800000</v>
      </c>
      <c r="T72">
        <f>Analisa!$H$177</f>
        <v>90000</v>
      </c>
      <c r="AF72">
        <f>R72+V72*W72+Z72*AA72</f>
        <v>1398600</v>
      </c>
      <c r="AG72">
        <f>S72</f>
        <v>800000</v>
      </c>
      <c r="AH72">
        <f>T72+V72*X72</f>
        <v>90000</v>
      </c>
    </row>
    <row r="73">
      <c r="B73" t="str">
        <v>- Besi D13</v>
      </c>
      <c r="C73" t="str">
        <v>kg</v>
      </c>
      <c r="D73">
        <f>H73*'REKAP RAB'!$K$3</f>
        <v>56.32847064</v>
      </c>
      <c r="E73">
        <f>N73*'REKAP RAB'!$O$5</f>
        <v>12008.874999999998</v>
      </c>
      <c r="F73">
        <f>D73*E73</f>
        <v>676441.5628569298</v>
      </c>
      <c r="H73">
        <f>'REKAP-PC'!M17</f>
        <v>56.32847064</v>
      </c>
      <c r="I73">
        <f>AF73</f>
        <v>10442.5</v>
      </c>
      <c r="J73">
        <f>AG73</f>
        <v>0</v>
      </c>
      <c r="K73">
        <f>AH73</f>
        <v>0</v>
      </c>
      <c r="N73">
        <f>SUM(I73:M73)</f>
        <v>10442.5</v>
      </c>
      <c r="O73">
        <f>H73*N73</f>
        <v>588210.0546582</v>
      </c>
      <c r="R73">
        <f>Analisa!$F$233</f>
        <v>10442.5</v>
      </c>
      <c r="AF73">
        <f>R73+V73*W73+Z73*AA73</f>
        <v>10442.5</v>
      </c>
      <c r="AG73">
        <f>S73</f>
        <v>0</v>
      </c>
      <c r="AH73">
        <f>T73+V73*X73</f>
        <v>0</v>
      </c>
    </row>
    <row r="74">
      <c r="B74" t="str">
        <v>- Besi D16</v>
      </c>
      <c r="C74" t="str">
        <v>kg</v>
      </c>
      <c r="D74">
        <f>H74*'REKAP RAB'!$K$3</f>
        <v>58.710528</v>
      </c>
      <c r="E74">
        <f>N74*'REKAP RAB'!$O$5</f>
        <v>12008.874999999998</v>
      </c>
      <c r="F74">
        <f>D74*E74</f>
        <v>705047.3919359999</v>
      </c>
      <c r="H74">
        <f>'REKAP-PC'!N17</f>
        <v>58.710528</v>
      </c>
      <c r="I74">
        <f>AF74</f>
        <v>10442.5</v>
      </c>
      <c r="J74">
        <f>AG74</f>
        <v>0</v>
      </c>
      <c r="K74">
        <f>AH74</f>
        <v>0</v>
      </c>
      <c r="N74">
        <f>SUM(I74:M74)</f>
        <v>10442.5</v>
      </c>
      <c r="O74">
        <f>H74*N74</f>
        <v>613084.68864</v>
      </c>
      <c r="R74">
        <f>Analisa!$F$233</f>
        <v>10442.5</v>
      </c>
      <c r="AF74">
        <f>R74+V74*W74+Z74*AA74</f>
        <v>10442.5</v>
      </c>
      <c r="AG74">
        <f>S74</f>
        <v>0</v>
      </c>
      <c r="AH74">
        <f>T74+V74*X74</f>
        <v>0</v>
      </c>
    </row>
    <row r="75">
      <c r="B75" t="str">
        <v>- Besi D19</v>
      </c>
      <c r="C75" t="str">
        <v>kg</v>
      </c>
      <c r="D75">
        <f>H75*'REKAP RAB'!$K$3</f>
        <v>0</v>
      </c>
      <c r="E75">
        <f>N75*'REKAP RAB'!$O$5</f>
        <v>12008.874999999998</v>
      </c>
      <c r="F75">
        <f>D75*E75</f>
        <v>0</v>
      </c>
      <c r="H75">
        <f>'REKAP-PC'!O17</f>
        <v>0</v>
      </c>
      <c r="I75">
        <f>AF75</f>
        <v>10442.5</v>
      </c>
      <c r="J75">
        <f>AG75</f>
        <v>0</v>
      </c>
      <c r="K75">
        <f>AH75</f>
        <v>0</v>
      </c>
      <c r="N75">
        <f>SUM(I75:M75)</f>
        <v>10442.5</v>
      </c>
      <c r="O75">
        <f>H75*N75</f>
        <v>0</v>
      </c>
      <c r="R75">
        <f>Analisa!$F$233</f>
        <v>10442.5</v>
      </c>
      <c r="AF75">
        <f>R75+V75*W75+Z75*AA75</f>
        <v>10442.5</v>
      </c>
      <c r="AG75">
        <f>S75</f>
        <v>0</v>
      </c>
      <c r="AH75">
        <f>T75+V75*X75</f>
        <v>0</v>
      </c>
    </row>
    <row r="76">
      <c r="B76" t="str">
        <v>- Bekisting Batako</v>
      </c>
      <c r="C76" t="str">
        <v>m2</v>
      </c>
      <c r="D76">
        <f>H76*'REKAP RAB'!$K$3</f>
        <v>3.36</v>
      </c>
      <c r="E76">
        <f>N76*'REKAP RAB'!$O$5</f>
        <v>100187.63085</v>
      </c>
      <c r="F76">
        <f>D76*E76</f>
        <v>336630.439656</v>
      </c>
      <c r="H76">
        <f>'REKAP-PC'!C17</f>
        <v>3.36</v>
      </c>
      <c r="I76">
        <f>AF76</f>
        <v>87119.679</v>
      </c>
      <c r="J76">
        <f>AG76</f>
        <v>0</v>
      </c>
      <c r="K76">
        <f>AH76</f>
        <v>0</v>
      </c>
      <c r="N76">
        <f>SUM(I76:M76)</f>
        <v>87119.679</v>
      </c>
      <c r="O76">
        <f>H76*N76</f>
        <v>292722.12144</v>
      </c>
      <c r="R76">
        <f>Analisa!F$115</f>
        <v>87119.679</v>
      </c>
      <c r="AF76">
        <f>R76+V76*W76+Z76*AA76</f>
        <v>87119.679</v>
      </c>
      <c r="AG76">
        <f>S76</f>
        <v>0</v>
      </c>
      <c r="AH76">
        <f>T76+V76*X76</f>
        <v>0</v>
      </c>
    </row>
    <row r="77">
      <c r="B77" t="str">
        <f>CONCATENATE(" - Poer ",G77)</f>
        <v xml:space="preserve"> - Poer PCS.2</v>
      </c>
      <c r="G77" t="str">
        <v>PCS.2</v>
      </c>
    </row>
    <row r="78">
      <c r="B78" t="str">
        <v>- Beton</v>
      </c>
      <c r="C78" t="str">
        <v>m3</v>
      </c>
      <c r="D78">
        <f>H78*'REKAP RAB'!$K$3</f>
        <v>2.88</v>
      </c>
      <c r="E78">
        <f>N78*'REKAP RAB'!$O$5</f>
        <v>2631890</v>
      </c>
      <c r="F78">
        <f>D78*E78</f>
        <v>7579843.199999999</v>
      </c>
      <c r="H78">
        <f>'REKAP-PC'!B18</f>
        <v>2.88</v>
      </c>
      <c r="I78">
        <f>AF78</f>
        <v>1398600</v>
      </c>
      <c r="J78">
        <f>AG78</f>
        <v>800000</v>
      </c>
      <c r="K78">
        <f>AH78</f>
        <v>90000</v>
      </c>
      <c r="N78">
        <f>SUM(I78:M78)</f>
        <v>2288600</v>
      </c>
      <c r="O78">
        <f>H78*N78</f>
        <v>6591168</v>
      </c>
      <c r="R78">
        <f>Analisa!$F$177</f>
        <v>1398600</v>
      </c>
      <c r="S78">
        <f>Analisa!$G$177</f>
        <v>800000</v>
      </c>
      <c r="T78">
        <f>Analisa!$H$177</f>
        <v>90000</v>
      </c>
      <c r="AF78">
        <f>R78+V78*W78+Z78*AA78</f>
        <v>1398600</v>
      </c>
      <c r="AG78">
        <f>S78</f>
        <v>800000</v>
      </c>
      <c r="AH78">
        <f>T78+V78*X78</f>
        <v>90000</v>
      </c>
    </row>
    <row r="79">
      <c r="B79" t="str">
        <v>- Besi D13</v>
      </c>
      <c r="C79" t="str">
        <v>kg</v>
      </c>
      <c r="D79">
        <f>H79*'REKAP RAB'!$K$3</f>
        <v>187.67266128</v>
      </c>
      <c r="E79">
        <f>N79*'REKAP RAB'!$O$5</f>
        <v>12008.874999999998</v>
      </c>
      <c r="F79">
        <f>D79*E79</f>
        <v>2253737.5302288597</v>
      </c>
      <c r="H79">
        <f>'REKAP-PC'!M18</f>
        <v>187.67266128</v>
      </c>
      <c r="I79">
        <f>AF79</f>
        <v>10442.5</v>
      </c>
      <c r="J79">
        <f>AG79</f>
        <v>0</v>
      </c>
      <c r="K79">
        <f>AH79</f>
        <v>0</v>
      </c>
      <c r="N79">
        <f>SUM(I79:M79)</f>
        <v>10442.5</v>
      </c>
      <c r="O79">
        <f>H79*N79</f>
        <v>1959771.7654164</v>
      </c>
      <c r="R79">
        <f>Analisa!$F$233</f>
        <v>10442.5</v>
      </c>
      <c r="AF79">
        <f>R79+V79*W79+Z79*AA79</f>
        <v>10442.5</v>
      </c>
      <c r="AG79">
        <f>S79</f>
        <v>0</v>
      </c>
      <c r="AH79">
        <f>T79+V79*X79</f>
        <v>0</v>
      </c>
    </row>
    <row r="80">
      <c r="B80" t="str">
        <v>- Besi D16</v>
      </c>
      <c r="C80" t="str">
        <v>kg</v>
      </c>
      <c r="D80">
        <f>H80*'REKAP RAB'!$K$3</f>
        <v>293.55264</v>
      </c>
      <c r="E80">
        <f>N80*'REKAP RAB'!$O$5</f>
        <v>12008.874999999998</v>
      </c>
      <c r="F80">
        <f>D80*E80</f>
        <v>3525236.9596799994</v>
      </c>
      <c r="H80">
        <f>'REKAP-PC'!N18</f>
        <v>293.55264</v>
      </c>
      <c r="I80">
        <f>AF80</f>
        <v>10442.5</v>
      </c>
      <c r="J80">
        <f>AG80</f>
        <v>0</v>
      </c>
      <c r="K80">
        <f>AH80</f>
        <v>0</v>
      </c>
      <c r="N80">
        <f>SUM(I80:M80)</f>
        <v>10442.5</v>
      </c>
      <c r="O80">
        <f>H80*N80</f>
        <v>3065423.4432</v>
      </c>
      <c r="R80">
        <f>Analisa!$F$233</f>
        <v>10442.5</v>
      </c>
      <c r="AF80">
        <f>R80+V80*W80+Z80*AA80</f>
        <v>10442.5</v>
      </c>
      <c r="AG80">
        <f>S80</f>
        <v>0</v>
      </c>
      <c r="AH80">
        <f>T80+V80*X80</f>
        <v>0</v>
      </c>
    </row>
    <row r="81">
      <c r="B81" t="str">
        <v>- Besi D19</v>
      </c>
      <c r="C81" t="str">
        <v>kg</v>
      </c>
      <c r="D81">
        <f>H81*'REKAP RAB'!$K$3</f>
        <v>0</v>
      </c>
      <c r="E81">
        <f>N81*'REKAP RAB'!$O$5</f>
        <v>12008.874999999998</v>
      </c>
      <c r="F81">
        <f>D81*E81</f>
        <v>0</v>
      </c>
      <c r="H81">
        <f>'REKAP-PC'!O18</f>
        <v>0</v>
      </c>
      <c r="I81">
        <f>AF81</f>
        <v>10442.5</v>
      </c>
      <c r="J81">
        <f>AG81</f>
        <v>0</v>
      </c>
      <c r="K81">
        <f>AH81</f>
        <v>0</v>
      </c>
      <c r="N81">
        <f>SUM(I81:M81)</f>
        <v>10442.5</v>
      </c>
      <c r="O81">
        <f>H81*N81</f>
        <v>0</v>
      </c>
      <c r="R81">
        <f>Analisa!$F$233</f>
        <v>10442.5</v>
      </c>
      <c r="AF81">
        <f>R81+V81*W81+Z81*AA81</f>
        <v>10442.5</v>
      </c>
      <c r="AG81">
        <f>S81</f>
        <v>0</v>
      </c>
      <c r="AH81">
        <f>T81+V81*X81</f>
        <v>0</v>
      </c>
    </row>
    <row r="82">
      <c r="B82" t="str">
        <v>- Bekisting Batako</v>
      </c>
      <c r="C82" t="str">
        <v>m2</v>
      </c>
      <c r="D82">
        <f>H82*'REKAP RAB'!$K$3</f>
        <v>11.04</v>
      </c>
      <c r="E82">
        <f>N82*'REKAP RAB'!$O$5</f>
        <v>100187.63085</v>
      </c>
      <c r="F82">
        <f>D82*E82</f>
        <v>1106071.444584</v>
      </c>
      <c r="H82">
        <f>'REKAP-PC'!C18</f>
        <v>11.04</v>
      </c>
      <c r="I82">
        <f>AF82</f>
        <v>87119.679</v>
      </c>
      <c r="J82">
        <f>AG82</f>
        <v>0</v>
      </c>
      <c r="K82">
        <f>AH82</f>
        <v>0</v>
      </c>
      <c r="N82">
        <f>SUM(I82:M82)</f>
        <v>87119.679</v>
      </c>
      <c r="O82">
        <f>H82*N82</f>
        <v>961801.25616</v>
      </c>
      <c r="R82">
        <f>Analisa!F$115</f>
        <v>87119.679</v>
      </c>
      <c r="AF82">
        <f>R82+V82*W82+Z82*AA82</f>
        <v>87119.679</v>
      </c>
      <c r="AG82">
        <f>S82</f>
        <v>0</v>
      </c>
      <c r="AH82">
        <f>T82+V82*X82</f>
        <v>0</v>
      </c>
    </row>
    <row r="83">
      <c r="B83" t="str">
        <f>CONCATENATE(" - Poer ",G83)</f>
        <v xml:space="preserve"> - Poer PCS.3</v>
      </c>
      <c r="G83" t="str">
        <v>PCS.3</v>
      </c>
    </row>
    <row r="84">
      <c r="B84" t="str">
        <v>- Beton</v>
      </c>
      <c r="C84" t="str">
        <v>m3</v>
      </c>
      <c r="D84">
        <f>H84*'REKAP RAB'!$K$3</f>
        <v>1.344</v>
      </c>
      <c r="E84">
        <f>N84*'REKAP RAB'!$O$5</f>
        <v>2631890</v>
      </c>
      <c r="F84">
        <f>D84*E84</f>
        <v>3537260.16</v>
      </c>
      <c r="H84">
        <f>'REKAP-PC'!B19</f>
        <v>1.344</v>
      </c>
      <c r="I84">
        <f>AF84</f>
        <v>1398600</v>
      </c>
      <c r="J84">
        <f>AG84</f>
        <v>800000</v>
      </c>
      <c r="K84">
        <f>AH84</f>
        <v>90000</v>
      </c>
      <c r="N84">
        <f>SUM(I84:M84)</f>
        <v>2288600</v>
      </c>
      <c r="O84">
        <f>H84*N84</f>
        <v>3075878.4000000004</v>
      </c>
      <c r="R84">
        <f>Analisa!$F$177</f>
        <v>1398600</v>
      </c>
      <c r="S84">
        <f>Analisa!$G$177</f>
        <v>800000</v>
      </c>
      <c r="T84">
        <f>Analisa!$H$177</f>
        <v>90000</v>
      </c>
      <c r="AF84">
        <f>R84+V84*W84+Z84*AA84</f>
        <v>1398600</v>
      </c>
      <c r="AG84">
        <f>S84</f>
        <v>800000</v>
      </c>
      <c r="AH84">
        <f>T84+V84*X84</f>
        <v>90000</v>
      </c>
    </row>
    <row r="85">
      <c r="B85" t="str">
        <v>- Besi D13</v>
      </c>
      <c r="C85" t="str">
        <v>kg</v>
      </c>
      <c r="D85">
        <f>H85*'REKAP RAB'!$K$3</f>
        <v>74.75316498000001</v>
      </c>
      <c r="E85">
        <f>N85*'REKAP RAB'!$O$5</f>
        <v>12008.874999999998</v>
      </c>
      <c r="F85">
        <f>D85*E85</f>
        <v>897701.4140991975</v>
      </c>
      <c r="H85">
        <f>'REKAP-PC'!M19</f>
        <v>74.75316498000001</v>
      </c>
      <c r="I85">
        <f>AF85</f>
        <v>10442.5</v>
      </c>
      <c r="J85">
        <f>AG85</f>
        <v>0</v>
      </c>
      <c r="K85">
        <f>AH85</f>
        <v>0</v>
      </c>
      <c r="N85">
        <f>SUM(I85:M85)</f>
        <v>10442.5</v>
      </c>
      <c r="O85">
        <f>H85*N85</f>
        <v>780609.9253036501</v>
      </c>
      <c r="R85">
        <f>Analisa!$F$233</f>
        <v>10442.5</v>
      </c>
      <c r="AF85">
        <f>R85+V85*W85+Z85*AA85</f>
        <v>10442.5</v>
      </c>
      <c r="AG85">
        <f>S85</f>
        <v>0</v>
      </c>
      <c r="AH85">
        <f>T85+V85*X85</f>
        <v>0</v>
      </c>
    </row>
    <row r="86">
      <c r="B86" t="str">
        <v>- Besi D16</v>
      </c>
      <c r="C86" t="str">
        <v>kg</v>
      </c>
      <c r="D86">
        <f>H86*'REKAP RAB'!$K$3</f>
        <v>128.784384</v>
      </c>
      <c r="E86">
        <f>N86*'REKAP RAB'!$O$5</f>
        <v>12008.874999999998</v>
      </c>
      <c r="F86">
        <f>D86*E86</f>
        <v>1546555.5694079995</v>
      </c>
      <c r="H86">
        <f>'REKAP-PC'!N19</f>
        <v>128.784384</v>
      </c>
      <c r="I86">
        <f>AF86</f>
        <v>10442.5</v>
      </c>
      <c r="J86">
        <f>AG86</f>
        <v>0</v>
      </c>
      <c r="K86">
        <f>AH86</f>
        <v>0</v>
      </c>
      <c r="N86">
        <f>SUM(I86:M86)</f>
        <v>10442.5</v>
      </c>
      <c r="O86">
        <f>H86*N86</f>
        <v>1344830.9299199998</v>
      </c>
      <c r="R86">
        <f>Analisa!$F$233</f>
        <v>10442.5</v>
      </c>
      <c r="AF86">
        <f>R86+V86*W86+Z86*AA86</f>
        <v>10442.5</v>
      </c>
      <c r="AG86">
        <f>S86</f>
        <v>0</v>
      </c>
      <c r="AH86">
        <f>T86+V86*X86</f>
        <v>0</v>
      </c>
    </row>
    <row r="87">
      <c r="B87" t="str">
        <v>- Besi D19</v>
      </c>
      <c r="C87" t="str">
        <v>kg</v>
      </c>
      <c r="D87">
        <f>H87*'REKAP RAB'!$K$3</f>
        <v>0</v>
      </c>
      <c r="E87">
        <f>N87*'REKAP RAB'!$O$5</f>
        <v>12008.874999999998</v>
      </c>
      <c r="F87">
        <f>D87*E87</f>
        <v>0</v>
      </c>
      <c r="H87">
        <f>'REKAP-PC'!O19</f>
        <v>0</v>
      </c>
      <c r="I87">
        <f>AF87</f>
        <v>10442.5</v>
      </c>
      <c r="J87">
        <f>AG87</f>
        <v>0</v>
      </c>
      <c r="K87">
        <f>AH87</f>
        <v>0</v>
      </c>
      <c r="N87">
        <f>SUM(I87:M87)</f>
        <v>10442.5</v>
      </c>
      <c r="O87">
        <f>H87*N87</f>
        <v>0</v>
      </c>
      <c r="R87">
        <f>Analisa!$F$233</f>
        <v>10442.5</v>
      </c>
      <c r="AF87">
        <f>R87+V87*W87+Z87*AA87</f>
        <v>10442.5</v>
      </c>
      <c r="AG87">
        <f>S87</f>
        <v>0</v>
      </c>
      <c r="AH87">
        <f>T87+V87*X87</f>
        <v>0</v>
      </c>
    </row>
    <row r="88">
      <c r="B88" t="str">
        <v>- Bekisting Batako</v>
      </c>
      <c r="C88" t="str">
        <v>m2</v>
      </c>
      <c r="D88">
        <f>H88*'REKAP RAB'!$K$3</f>
        <v>4.48</v>
      </c>
      <c r="E88">
        <f>N88*'REKAP RAB'!$O$5</f>
        <v>100187.63085</v>
      </c>
      <c r="F88">
        <f>D88*E88</f>
        <v>448840.586208</v>
      </c>
      <c r="H88">
        <f>'REKAP-PC'!C19</f>
        <v>4.48</v>
      </c>
      <c r="I88">
        <f>AF88</f>
        <v>87119.679</v>
      </c>
      <c r="J88">
        <f>AG88</f>
        <v>0</v>
      </c>
      <c r="K88">
        <f>AH88</f>
        <v>0</v>
      </c>
      <c r="N88">
        <f>SUM(I88:M88)</f>
        <v>87119.679</v>
      </c>
      <c r="O88">
        <f>H88*N88</f>
        <v>390296.16192000004</v>
      </c>
      <c r="R88">
        <f>Analisa!F$115</f>
        <v>87119.679</v>
      </c>
      <c r="AF88">
        <f>R88+V88*W88+Z88*AA88</f>
        <v>87119.679</v>
      </c>
      <c r="AG88">
        <f>S88</f>
        <v>0</v>
      </c>
      <c r="AH88">
        <f>T88+V88*X88</f>
        <v>0</v>
      </c>
    </row>
    <row r="89">
      <c r="B89" t="str">
        <f>CONCATENATE(" - Poer ",G89)</f>
        <v xml:space="preserve"> - Poer PCS.5</v>
      </c>
      <c r="G89" t="str">
        <v>PCS.5</v>
      </c>
    </row>
    <row r="90">
      <c r="B90" t="str">
        <v>- Beton</v>
      </c>
      <c r="C90" t="str">
        <v>m3</v>
      </c>
      <c r="D90">
        <f>H90*'REKAP RAB'!$K$3</f>
        <v>2.412432</v>
      </c>
      <c r="E90">
        <f>N90*'REKAP RAB'!$O$5</f>
        <v>2631890</v>
      </c>
      <c r="F90">
        <f>D90*E90</f>
        <v>6349255.656479999</v>
      </c>
      <c r="H90">
        <f>'REKAP-PC'!B20</f>
        <v>2.412432</v>
      </c>
      <c r="I90">
        <f>AF90</f>
        <v>1398600</v>
      </c>
      <c r="J90">
        <f>AG90</f>
        <v>800000</v>
      </c>
      <c r="K90">
        <f>AH90</f>
        <v>90000</v>
      </c>
      <c r="N90">
        <f>SUM(I90:M90)</f>
        <v>2288600</v>
      </c>
      <c r="O90">
        <f>H90*N90</f>
        <v>5521091.8752</v>
      </c>
      <c r="R90">
        <f>Analisa!$F$177</f>
        <v>1398600</v>
      </c>
      <c r="S90">
        <f>Analisa!$G$177</f>
        <v>800000</v>
      </c>
      <c r="T90">
        <f>Analisa!$H$177</f>
        <v>90000</v>
      </c>
      <c r="AF90">
        <f>R90+V90*W90+Z90*AA90</f>
        <v>1398600</v>
      </c>
      <c r="AG90">
        <f>S90</f>
        <v>800000</v>
      </c>
      <c r="AH90">
        <f>T90+V90*X90</f>
        <v>90000</v>
      </c>
    </row>
    <row r="91">
      <c r="B91" t="str">
        <v>- Besi D13</v>
      </c>
      <c r="C91" t="str">
        <v>kg</v>
      </c>
      <c r="D91">
        <f>H91*'REKAP RAB'!$K$3</f>
        <v>66.11485209811804</v>
      </c>
      <c r="E91">
        <f>N91*'REKAP RAB'!$O$5</f>
        <v>12008.874999999998</v>
      </c>
      <c r="F91">
        <f>D91*E91</f>
        <v>793964.9944897871</v>
      </c>
      <c r="H91">
        <f>'REKAP-PC'!M20</f>
        <v>66.11485209811804</v>
      </c>
      <c r="I91">
        <f>AF91</f>
        <v>10442.5</v>
      </c>
      <c r="J91">
        <f>AG91</f>
        <v>0</v>
      </c>
      <c r="K91">
        <f>AH91</f>
        <v>0</v>
      </c>
      <c r="N91">
        <f>SUM(I91:M91)</f>
        <v>10442.5</v>
      </c>
      <c r="O91">
        <f>H91*N91</f>
        <v>690404.3430345976</v>
      </c>
      <c r="R91">
        <f>Analisa!$F$233</f>
        <v>10442.5</v>
      </c>
      <c r="AF91">
        <f>R91+V91*W91+Z91*AA91</f>
        <v>10442.5</v>
      </c>
      <c r="AG91">
        <f>S91</f>
        <v>0</v>
      </c>
      <c r="AH91">
        <f>T91+V91*X91</f>
        <v>0</v>
      </c>
    </row>
    <row r="92">
      <c r="B92" t="str">
        <v>- Besi D16</v>
      </c>
      <c r="C92" t="str">
        <v>kg</v>
      </c>
      <c r="D92">
        <f>H92*'REKAP RAB'!$K$3</f>
        <v>192.80884608000002</v>
      </c>
      <c r="E92">
        <f>N92*'REKAP RAB'!$O$5</f>
        <v>12008.874999999998</v>
      </c>
      <c r="F92">
        <f>D92*E92</f>
        <v>2315417.33146896</v>
      </c>
      <c r="H92">
        <f>'REKAP-PC'!N20</f>
        <v>192.80884608000002</v>
      </c>
      <c r="I92">
        <f>AF92</f>
        <v>10442.5</v>
      </c>
      <c r="J92">
        <f>AG92</f>
        <v>0</v>
      </c>
      <c r="K92">
        <f>AH92</f>
        <v>0</v>
      </c>
      <c r="N92">
        <f>SUM(I92:M92)</f>
        <v>10442.5</v>
      </c>
      <c r="O92">
        <f>H92*N92</f>
        <v>2013406.3751904003</v>
      </c>
      <c r="R92">
        <f>Analisa!$F$233</f>
        <v>10442.5</v>
      </c>
      <c r="AF92">
        <f>R92+V92*W92+Z92*AA92</f>
        <v>10442.5</v>
      </c>
      <c r="AG92">
        <f>S92</f>
        <v>0</v>
      </c>
      <c r="AH92">
        <f>T92+V92*X92</f>
        <v>0</v>
      </c>
    </row>
    <row r="93">
      <c r="B93" t="str">
        <v>- Besi D19</v>
      </c>
      <c r="C93" t="str">
        <v>kg</v>
      </c>
      <c r="D93">
        <f>H93*'REKAP RAB'!$K$3</f>
        <v>123.067067805</v>
      </c>
      <c r="E93">
        <f>N93*'REKAP RAB'!$O$5</f>
        <v>12008.874999999998</v>
      </c>
      <c r="F93">
        <f>D93*E93</f>
        <v>1477897.033886769</v>
      </c>
      <c r="H93">
        <f>'REKAP-PC'!O20</f>
        <v>123.067067805</v>
      </c>
      <c r="I93">
        <f>AF93</f>
        <v>10442.5</v>
      </c>
      <c r="J93">
        <f>AG93</f>
        <v>0</v>
      </c>
      <c r="K93">
        <f>AH93</f>
        <v>0</v>
      </c>
      <c r="N93">
        <f>SUM(I93:M93)</f>
        <v>10442.5</v>
      </c>
      <c r="O93">
        <f>H93*N93</f>
        <v>1285127.8555537125</v>
      </c>
      <c r="R93">
        <f>Analisa!$F$233</f>
        <v>10442.5</v>
      </c>
      <c r="AF93">
        <f>R93+V93*W93+Z93*AA93</f>
        <v>10442.5</v>
      </c>
      <c r="AG93">
        <f>S93</f>
        <v>0</v>
      </c>
      <c r="AH93">
        <f>T93+V93*X93</f>
        <v>0</v>
      </c>
    </row>
    <row r="94">
      <c r="B94" t="str">
        <v>- Bekisting Batako</v>
      </c>
      <c r="C94" t="str">
        <v>m2</v>
      </c>
      <c r="D94">
        <f>H94*'REKAP RAB'!$K$3</f>
        <v>5.337239358978687</v>
      </c>
      <c r="E94">
        <f>N94*'REKAP RAB'!$O$5</f>
        <v>100187.63085</v>
      </c>
      <c r="F94">
        <f>D94*E94</f>
        <v>534725.3666554473</v>
      </c>
      <c r="H94">
        <f>'REKAP-PC'!C20</f>
        <v>5.337239358978687</v>
      </c>
      <c r="I94">
        <f>AF94</f>
        <v>87119.679</v>
      </c>
      <c r="J94">
        <f>AG94</f>
        <v>0</v>
      </c>
      <c r="K94">
        <f>AH94</f>
        <v>0</v>
      </c>
      <c r="N94">
        <f>SUM(I94:M94)</f>
        <v>87119.679</v>
      </c>
      <c r="O94">
        <f>H94*N94</f>
        <v>464978.579700389</v>
      </c>
      <c r="R94">
        <f>Analisa!F$115</f>
        <v>87119.679</v>
      </c>
      <c r="AF94">
        <f>R94+V94*W94+Z94*AA94</f>
        <v>87119.679</v>
      </c>
      <c r="AG94">
        <f>S94</f>
        <v>0</v>
      </c>
      <c r="AH94">
        <f>T94+V94*X94</f>
        <v>0</v>
      </c>
    </row>
    <row r="95">
      <c r="B95" t="str">
        <f>CONCATENATE(" - Poer ",G95)</f>
        <v xml:space="preserve"> - Poer PCS.3A</v>
      </c>
      <c r="G95" t="str">
        <v>PCS.3A</v>
      </c>
    </row>
    <row r="96">
      <c r="B96" t="str">
        <v>- Beton</v>
      </c>
      <c r="C96" t="str">
        <v>m3</v>
      </c>
      <c r="D96">
        <f>H96*'REKAP RAB'!$K$3</f>
        <v>1.38228125</v>
      </c>
      <c r="E96">
        <f>N96*'REKAP RAB'!$O$5</f>
        <v>2631890</v>
      </c>
      <c r="F96">
        <f>D96*E96</f>
        <v>3638012.1990624997</v>
      </c>
      <c r="H96">
        <f>'REKAP-PC'!B21</f>
        <v>1.38228125</v>
      </c>
      <c r="I96">
        <f>AF96</f>
        <v>1398600</v>
      </c>
      <c r="J96">
        <f>AG96</f>
        <v>800000</v>
      </c>
      <c r="K96">
        <f>AH96</f>
        <v>90000</v>
      </c>
      <c r="N96">
        <f>SUM(I96:M96)</f>
        <v>2288600</v>
      </c>
      <c r="O96">
        <f>H96*N96</f>
        <v>3163488.86875</v>
      </c>
      <c r="R96">
        <f>Analisa!$F$177</f>
        <v>1398600</v>
      </c>
      <c r="S96">
        <f>Analisa!$G$177</f>
        <v>800000</v>
      </c>
      <c r="T96">
        <f>Analisa!$H$177</f>
        <v>90000</v>
      </c>
      <c r="AF96">
        <f>R96+V96*W96+Z96*AA96</f>
        <v>1398600</v>
      </c>
      <c r="AG96">
        <f>S96</f>
        <v>800000</v>
      </c>
      <c r="AH96">
        <f>T96+V96*X96</f>
        <v>90000</v>
      </c>
    </row>
    <row r="97">
      <c r="B97" t="str">
        <v>- Besi D13</v>
      </c>
      <c r="C97" t="str">
        <v>kg</v>
      </c>
      <c r="D97">
        <f>H97*'REKAP RAB'!$K$3</f>
        <v>17.235322845376828</v>
      </c>
      <c r="E97">
        <f>N97*'REKAP RAB'!$O$5</f>
        <v>12008.874999999998</v>
      </c>
      <c r="F97">
        <f>D97*E97</f>
        <v>206976.83763477462</v>
      </c>
      <c r="H97">
        <f>'REKAP-PC'!M21</f>
        <v>17.235322845376828</v>
      </c>
      <c r="I97">
        <f>AF97</f>
        <v>10442.5</v>
      </c>
      <c r="J97">
        <f>AG97</f>
        <v>0</v>
      </c>
      <c r="K97">
        <f>AH97</f>
        <v>0</v>
      </c>
      <c r="N97">
        <f>SUM(I97:M97)</f>
        <v>10442.5</v>
      </c>
      <c r="O97">
        <f>H97*N97</f>
        <v>179979.85881284752</v>
      </c>
      <c r="R97">
        <f>Analisa!$F$233</f>
        <v>10442.5</v>
      </c>
      <c r="AF97">
        <f>R97+V97*W97+Z97*AA97</f>
        <v>10442.5</v>
      </c>
      <c r="AG97">
        <f>S97</f>
        <v>0</v>
      </c>
      <c r="AH97">
        <f>T97+V97*X97</f>
        <v>0</v>
      </c>
    </row>
    <row r="98">
      <c r="B98" t="str">
        <v>- Besi D16</v>
      </c>
      <c r="C98" t="str">
        <v>kg</v>
      </c>
      <c r="D98">
        <f>H98*'REKAP RAB'!$K$3</f>
        <v>129.6681984</v>
      </c>
      <c r="E98">
        <f>N98*'REKAP RAB'!$O$5</f>
        <v>12008.874999999998</v>
      </c>
      <c r="F98">
        <f>D98*E98</f>
        <v>1557169.1860607998</v>
      </c>
      <c r="H98">
        <f>'REKAP-PC'!N21</f>
        <v>129.6681984</v>
      </c>
      <c r="I98">
        <f>AF98</f>
        <v>10442.5</v>
      </c>
      <c r="J98">
        <f>AG98</f>
        <v>0</v>
      </c>
      <c r="K98">
        <f>AH98</f>
        <v>0</v>
      </c>
      <c r="N98">
        <f>SUM(I98:M98)</f>
        <v>10442.5</v>
      </c>
      <c r="O98">
        <f>H98*N98</f>
        <v>1354060.1617919998</v>
      </c>
      <c r="R98">
        <f>Analisa!$F$233</f>
        <v>10442.5</v>
      </c>
      <c r="AF98">
        <f>R98+V98*W98+Z98*AA98</f>
        <v>10442.5</v>
      </c>
      <c r="AG98">
        <f>S98</f>
        <v>0</v>
      </c>
      <c r="AH98">
        <f>T98+V98*X98</f>
        <v>0</v>
      </c>
    </row>
    <row r="99">
      <c r="B99" t="str">
        <v>- Besi D19</v>
      </c>
      <c r="C99" t="str">
        <v>kg</v>
      </c>
      <c r="D99">
        <f>H99*'REKAP RAB'!$K$3</f>
        <v>150.09210359999997</v>
      </c>
      <c r="E99">
        <f>N99*'REKAP RAB'!$O$5</f>
        <v>12008.874999999998</v>
      </c>
      <c r="F99">
        <f>D99*E99</f>
        <v>1802437.3106194495</v>
      </c>
      <c r="H99">
        <f>'REKAP-PC'!O21</f>
        <v>150.09210359999997</v>
      </c>
      <c r="I99">
        <f>AF99</f>
        <v>10442.5</v>
      </c>
      <c r="J99">
        <f>AG99</f>
        <v>0</v>
      </c>
      <c r="K99">
        <f>AH99</f>
        <v>0</v>
      </c>
      <c r="N99">
        <f>SUM(I99:M99)</f>
        <v>10442.5</v>
      </c>
      <c r="O99">
        <f>H99*N99</f>
        <v>1567336.7918429996</v>
      </c>
      <c r="R99">
        <f>Analisa!$F$233</f>
        <v>10442.5</v>
      </c>
      <c r="AF99">
        <f>R99+V99*W99+Z99*AA99</f>
        <v>10442.5</v>
      </c>
      <c r="AG99">
        <f>S99</f>
        <v>0</v>
      </c>
      <c r="AH99">
        <f>T99+V99*X99</f>
        <v>0</v>
      </c>
    </row>
    <row r="100">
      <c r="B100" t="str">
        <v>- Bekisting Batako</v>
      </c>
      <c r="C100" t="str">
        <v>m2</v>
      </c>
      <c r="D100">
        <f>H100*'REKAP RAB'!$K$3</f>
        <v>3.960703281636579</v>
      </c>
      <c r="E100">
        <f>N100*'REKAP RAB'!$O$5</f>
        <v>100187.63085</v>
      </c>
      <c r="F100">
        <f>D100*E100</f>
        <v>396813.47828698915</v>
      </c>
      <c r="H100">
        <f>'REKAP-PC'!C21</f>
        <v>3.960703281636579</v>
      </c>
      <c r="I100">
        <f>AF100</f>
        <v>87119.679</v>
      </c>
      <c r="J100">
        <f>AG100</f>
        <v>0</v>
      </c>
      <c r="K100">
        <f>AH100</f>
        <v>0</v>
      </c>
      <c r="N100">
        <f>SUM(I100:M100)</f>
        <v>87119.679</v>
      </c>
      <c r="O100">
        <f>H100*N100</f>
        <v>345055.1985104254</v>
      </c>
      <c r="R100">
        <f>Analisa!F$115</f>
        <v>87119.679</v>
      </c>
      <c r="AF100">
        <f>R100+V100*W100+Z100*AA100</f>
        <v>87119.679</v>
      </c>
      <c r="AG100">
        <f>S100</f>
        <v>0</v>
      </c>
      <c r="AH100">
        <f>T100+V100*X100</f>
        <v>0</v>
      </c>
    </row>
    <row r="102">
      <c r="A102">
        <v>2</v>
      </c>
      <c r="B102" t="str">
        <v>Sloof (Readymix K-350) :</v>
      </c>
      <c r="C102" t="str">
        <v xml:space="preserve"> </v>
      </c>
      <c r="AJ102">
        <f>SUMPRODUCT(H103:H110,V103:V110)</f>
        <v>300.41099999999994</v>
      </c>
      <c r="AL102">
        <f>SUMPRODUCT(H103:H110,Z103:Z110)</f>
        <v>5823.663511545001</v>
      </c>
      <c r="AM102" t="str">
        <v>v</v>
      </c>
    </row>
    <row r="103">
      <c r="B103" t="str">
        <f>CONCATENATE(" - Sloof ",G103)</f>
        <v xml:space="preserve"> - Sloof S23-1</v>
      </c>
      <c r="C103" t="str">
        <v>m3</v>
      </c>
      <c r="D103">
        <f>H103*'REKAP RAB'!$K$3</f>
        <v>0.15</v>
      </c>
      <c r="E103">
        <f>N103*'REKAP RAB'!$O$5</f>
        <v>6668749.543378399</v>
      </c>
      <c r="F103">
        <f>D103*E103</f>
        <v>1000312.4315067597</v>
      </c>
      <c r="G103" t="str">
        <v>S23-1</v>
      </c>
      <c r="H103">
        <f>'REKAP Balok'!G266</f>
        <v>0.15</v>
      </c>
      <c r="I103">
        <f>AF103</f>
        <v>4608912.646415999</v>
      </c>
      <c r="J103">
        <f>AG103</f>
        <v>1100000</v>
      </c>
      <c r="K103">
        <f>AH103</f>
        <v>90000</v>
      </c>
      <c r="N103">
        <f>SUM(I103:M103)</f>
        <v>5798912.646415999</v>
      </c>
      <c r="O103">
        <f>H103*N103</f>
        <v>869836.8969623998</v>
      </c>
      <c r="R103">
        <f>Analisa!F$185</f>
        <v>1398600</v>
      </c>
      <c r="S103">
        <f>Analisa!G$185</f>
        <v>1100000</v>
      </c>
      <c r="T103">
        <f>Analisa!H$185</f>
        <v>90000</v>
      </c>
      <c r="V103">
        <f>'REKAP Balok'!W266</f>
        <v>10</v>
      </c>
      <c r="W103">
        <f>Analisa!F$115</f>
        <v>87119.679</v>
      </c>
      <c r="X103">
        <f>Analisa!H$115</f>
        <v>0</v>
      </c>
      <c r="Z103">
        <f>'REKAP Balok'!X266</f>
        <v>223.99960319999997</v>
      </c>
      <c r="AA103">
        <f>Analisa!$F$233</f>
        <v>10442.5</v>
      </c>
      <c r="AF103">
        <f>R103+V103*W103+Z103*AA103</f>
        <v>4608912.646415999</v>
      </c>
      <c r="AG103">
        <f>S103</f>
        <v>1100000</v>
      </c>
      <c r="AH103">
        <f>T103+V103*X103</f>
        <v>90000</v>
      </c>
    </row>
    <row r="104">
      <c r="B104" t="str">
        <f>CONCATENATE(" - Sloof ",G104)</f>
        <v xml:space="preserve"> - Sloof S24-1</v>
      </c>
      <c r="C104" t="str">
        <v>m3</v>
      </c>
      <c r="D104">
        <f>H104*'REKAP RAB'!$K$3</f>
        <v>10.2132</v>
      </c>
      <c r="E104">
        <f>N104*'REKAP RAB'!$O$5</f>
        <v>5697241.380399992</v>
      </c>
      <c r="F104">
        <f>D104*E104</f>
        <v>58187065.6663012</v>
      </c>
      <c r="G104" t="str">
        <v>S24-1</v>
      </c>
      <c r="H104">
        <f>'REKAP Balok'!G267</f>
        <v>10.2132</v>
      </c>
      <c r="I104">
        <f>AF104</f>
        <v>3764122.939478254</v>
      </c>
      <c r="J104">
        <f>AG104</f>
        <v>1100000</v>
      </c>
      <c r="K104">
        <f>AH104</f>
        <v>90000</v>
      </c>
      <c r="N104">
        <f>SUM(I104:M104)</f>
        <v>4954122.939478254</v>
      </c>
      <c r="O104">
        <f>H104*N104</f>
        <v>50597448.405479304</v>
      </c>
      <c r="R104">
        <f>Analisa!F$185</f>
        <v>1398600</v>
      </c>
      <c r="S104">
        <f>Analisa!G$185</f>
        <v>1100000</v>
      </c>
      <c r="T104">
        <f>Analisa!H$185</f>
        <v>90000</v>
      </c>
      <c r="V104">
        <f>'REKAP Balok'!W267</f>
        <v>10</v>
      </c>
      <c r="W104">
        <f>Analisa!F$115</f>
        <v>87119.679</v>
      </c>
      <c r="X104">
        <f>Analisa!H$115</f>
        <v>0</v>
      </c>
      <c r="Z104">
        <f>'REKAP Balok'!X267</f>
        <v>143.1004213050758</v>
      </c>
      <c r="AA104">
        <f>Analisa!$F$233</f>
        <v>10442.5</v>
      </c>
      <c r="AF104">
        <f>R104+V104*W104+Z104*AA104</f>
        <v>3764122.939478254</v>
      </c>
      <c r="AG104">
        <f>S104</f>
        <v>1100000</v>
      </c>
      <c r="AH104">
        <f>T104+V104*X104</f>
        <v>90000</v>
      </c>
    </row>
    <row r="105">
      <c r="B105" t="str">
        <f>CONCATENATE(" - Sloof ",G105)</f>
        <v xml:space="preserve"> - Sloof S24-2</v>
      </c>
      <c r="C105" t="str">
        <v>m3</v>
      </c>
      <c r="D105">
        <f>H105*'REKAP RAB'!$K$3</f>
        <v>4.80855</v>
      </c>
      <c r="E105">
        <f>N105*'REKAP RAB'!$O$5</f>
        <v>6563850.528113164</v>
      </c>
      <c r="F105">
        <f>D105*E105</f>
        <v>31562603.45695856</v>
      </c>
      <c r="G105" t="str">
        <v>S24-2</v>
      </c>
      <c r="H105">
        <f>'REKAP Balok'!G268</f>
        <v>4.80855</v>
      </c>
      <c r="I105">
        <f>AF105</f>
        <v>4517696.111402752</v>
      </c>
      <c r="J105">
        <f>AG105</f>
        <v>1100000</v>
      </c>
      <c r="K105">
        <f>AH105</f>
        <v>90000</v>
      </c>
      <c r="N105">
        <f>SUM(I105:M105)</f>
        <v>5707696.111402752</v>
      </c>
      <c r="O105">
        <f>H105*N105</f>
        <v>27445742.136485703</v>
      </c>
      <c r="R105">
        <f>Analisa!F$185</f>
        <v>1398600</v>
      </c>
      <c r="S105">
        <f>Analisa!G$185</f>
        <v>1100000</v>
      </c>
      <c r="T105">
        <f>Analisa!H$185</f>
        <v>90000</v>
      </c>
      <c r="V105">
        <f>'REKAP Balok'!W268</f>
        <v>10</v>
      </c>
      <c r="W105">
        <f>Analisa!F$115</f>
        <v>87119.679</v>
      </c>
      <c r="X105">
        <f>Analisa!H$115</f>
        <v>0</v>
      </c>
      <c r="Z105">
        <f>'REKAP Balok'!X268</f>
        <v>215.26447894687587</v>
      </c>
      <c r="AA105">
        <f>Analisa!$F$233</f>
        <v>10442.5</v>
      </c>
      <c r="AF105">
        <f>R105+V105*W105+Z105*AA105</f>
        <v>4517696.111402752</v>
      </c>
      <c r="AG105">
        <f>S105</f>
        <v>1100000</v>
      </c>
      <c r="AH105">
        <f>T105+V105*X105</f>
        <v>90000</v>
      </c>
    </row>
    <row r="106">
      <c r="B106" t="str">
        <f>CONCATENATE(" - Sloof ",G106)</f>
        <v xml:space="preserve"> - Sloof S25-1</v>
      </c>
      <c r="C106" t="str">
        <v>m3</v>
      </c>
      <c r="D106">
        <f>H106*'REKAP RAB'!$K$3</f>
        <v>6.601200000000001</v>
      </c>
      <c r="E106">
        <f>N106*'REKAP RAB'!$O$5</f>
        <v>6448722.166450896</v>
      </c>
      <c r="F106">
        <f>D106*E106</f>
        <v>42569304.76517566</v>
      </c>
      <c r="G106" t="str">
        <v>S25-1</v>
      </c>
      <c r="H106">
        <f>'REKAP Balok'!G269</f>
        <v>6.601200000000001</v>
      </c>
      <c r="I106">
        <f>AF106</f>
        <v>4417584.492565997</v>
      </c>
      <c r="J106">
        <f>AG106</f>
        <v>1100000</v>
      </c>
      <c r="K106">
        <f>AH106</f>
        <v>90000</v>
      </c>
      <c r="N106">
        <f>SUM(I106:M106)</f>
        <v>5607584.492565997</v>
      </c>
      <c r="O106">
        <f>H106*N106</f>
        <v>37016786.75232667</v>
      </c>
      <c r="R106">
        <f>Analisa!F$185</f>
        <v>1398600</v>
      </c>
      <c r="S106">
        <f>Analisa!G$185</f>
        <v>1100000</v>
      </c>
      <c r="T106">
        <f>Analisa!H$185</f>
        <v>90000</v>
      </c>
      <c r="V106">
        <f>'REKAP Balok'!W269</f>
        <v>9.999999999999998</v>
      </c>
      <c r="W106">
        <f>Analisa!F$115</f>
        <v>87119.679</v>
      </c>
      <c r="X106">
        <f>Analisa!H$115</f>
        <v>0</v>
      </c>
      <c r="Z106">
        <f>'REKAP Balok'!X269</f>
        <v>205.67753914924558</v>
      </c>
      <c r="AA106">
        <f>Analisa!$F$233</f>
        <v>10442.5</v>
      </c>
      <c r="AF106">
        <f>R106+V106*W106+Z106*AA106</f>
        <v>4417584.492565997</v>
      </c>
      <c r="AG106">
        <f>S106</f>
        <v>1100000</v>
      </c>
      <c r="AH106">
        <f>T106+V106*X106</f>
        <v>90000</v>
      </c>
    </row>
    <row r="107">
      <c r="B107" t="str">
        <f>CONCATENATE(" - Sloof ",G107)</f>
        <v xml:space="preserve"> - Sloof S36-1</v>
      </c>
      <c r="C107" t="str">
        <v>m3</v>
      </c>
      <c r="D107">
        <f>H107*'REKAP RAB'!$K$3</f>
        <v>6.939000000000001</v>
      </c>
      <c r="E107">
        <f>N107*'REKAP RAB'!$O$5</f>
        <v>5320594.128282229</v>
      </c>
      <c r="F107">
        <f>D107*E107</f>
        <v>36919602.65615039</v>
      </c>
      <c r="G107" t="str">
        <v>S36-1</v>
      </c>
      <c r="H107">
        <f>'REKAP Balok'!G270</f>
        <v>6.939000000000001</v>
      </c>
      <c r="I107">
        <f>AF107</f>
        <v>3436603.589810635</v>
      </c>
      <c r="J107">
        <f>AG107</f>
        <v>1100000</v>
      </c>
      <c r="K107">
        <f>AH107</f>
        <v>90000</v>
      </c>
      <c r="N107">
        <f>SUM(I107:M107)</f>
        <v>4626603.589810635</v>
      </c>
      <c r="O107">
        <f>H107*N107</f>
        <v>32104002.309696</v>
      </c>
      <c r="R107">
        <f>Analisa!F$185</f>
        <v>1398600</v>
      </c>
      <c r="S107">
        <f>Analisa!G$185</f>
        <v>1100000</v>
      </c>
      <c r="T107">
        <f>Analisa!H$185</f>
        <v>90000</v>
      </c>
      <c r="V107">
        <f>'REKAP Balok'!W270</f>
        <v>6.666666666666666</v>
      </c>
      <c r="W107">
        <f>Analisa!F$115</f>
        <v>87119.679</v>
      </c>
      <c r="X107">
        <f>Analisa!H$115</f>
        <v>0</v>
      </c>
      <c r="Z107">
        <f>'REKAP Balok'!X270</f>
        <v>139.54567678339816</v>
      </c>
      <c r="AA107">
        <f>Analisa!$F$233</f>
        <v>10442.5</v>
      </c>
      <c r="AF107">
        <f>R107+V107*W107+Z107*AA107</f>
        <v>3436603.589810635</v>
      </c>
      <c r="AG107">
        <f>S107</f>
        <v>1100000</v>
      </c>
      <c r="AH107">
        <f>T107+V107*X107</f>
        <v>90000</v>
      </c>
    </row>
    <row r="108">
      <c r="B108" t="str">
        <f>CONCATENATE(" - Balok ",G108)</f>
        <v xml:space="preserve"> - Balok B24-1</v>
      </c>
      <c r="C108" t="str">
        <v>m3</v>
      </c>
      <c r="D108">
        <f>H108*'REKAP RAB'!$K$3</f>
        <v>0.309</v>
      </c>
      <c r="E108">
        <f>N108*'REKAP RAB'!$O$5</f>
        <v>6865702.316238689</v>
      </c>
      <c r="F108">
        <f>D108*E108</f>
        <v>2121502.015717755</v>
      </c>
      <c r="G108" t="str">
        <v>B24-1</v>
      </c>
      <c r="H108">
        <f>'REKAP Balok'!G274</f>
        <v>0.309</v>
      </c>
      <c r="I108">
        <f>AF108</f>
        <v>4780175.927164078</v>
      </c>
      <c r="J108">
        <f>AG108</f>
        <v>1100000</v>
      </c>
      <c r="K108">
        <f>AH108</f>
        <v>90000</v>
      </c>
      <c r="N108">
        <f>SUM(I108:M108)</f>
        <v>5970175.927164078</v>
      </c>
      <c r="O108">
        <f>H108*N108</f>
        <v>1844784.3614937</v>
      </c>
      <c r="R108">
        <f>Analisa!F$185</f>
        <v>1398600</v>
      </c>
      <c r="S108">
        <f>Analisa!G$185</f>
        <v>1100000</v>
      </c>
      <c r="T108">
        <f>Analisa!H$185</f>
        <v>90000</v>
      </c>
      <c r="V108">
        <f>'REKAP Balok'!W274</f>
        <v>10</v>
      </c>
      <c r="W108">
        <f>Analisa!F$115</f>
        <v>87119.679</v>
      </c>
      <c r="X108">
        <f>Analisa!H$115</f>
        <v>0</v>
      </c>
      <c r="Z108">
        <f>'REKAP Balok'!X274</f>
        <v>240.40020466019422</v>
      </c>
      <c r="AA108">
        <f>Analisa!$F$233</f>
        <v>10442.5</v>
      </c>
      <c r="AF108">
        <f>R108+V108*W108+Z108*AA108</f>
        <v>4780175.927164078</v>
      </c>
      <c r="AG108">
        <f>S108</f>
        <v>1100000</v>
      </c>
      <c r="AH108">
        <f>T108+V108*X108</f>
        <v>90000</v>
      </c>
    </row>
    <row r="109">
      <c r="B109" t="str">
        <f>CONCATENATE(" - Balok ",G109)</f>
        <v xml:space="preserve"> - Balok B24-2</v>
      </c>
      <c r="C109" t="str">
        <v>m3</v>
      </c>
      <c r="D109">
        <f>H109*'REKAP RAB'!$K$3</f>
        <v>0.1835</v>
      </c>
      <c r="E109">
        <f>N109*'REKAP RAB'!$O$5</f>
        <v>8183521.715380191</v>
      </c>
      <c r="F109">
        <f>D109*E109</f>
        <v>1501676.234772265</v>
      </c>
      <c r="G109" t="str">
        <v>B24-2</v>
      </c>
      <c r="H109">
        <f>'REKAP Balok'!G275</f>
        <v>0.1835</v>
      </c>
      <c r="I109">
        <f>AF109</f>
        <v>5926105.839461036</v>
      </c>
      <c r="J109">
        <f>AG109</f>
        <v>1100000</v>
      </c>
      <c r="K109">
        <f>AH109</f>
        <v>90000</v>
      </c>
      <c r="N109">
        <f>SUM(I109:M109)</f>
        <v>7116105.839461036</v>
      </c>
      <c r="O109">
        <f>H109*N109</f>
        <v>1305805.4215411001</v>
      </c>
      <c r="R109">
        <f>Analisa!F$185</f>
        <v>1398600</v>
      </c>
      <c r="S109">
        <f>Analisa!G$185</f>
        <v>1100000</v>
      </c>
      <c r="T109">
        <f>Analisa!H$185</f>
        <v>90000</v>
      </c>
      <c r="V109">
        <f>'REKAP Balok'!W275</f>
        <v>10</v>
      </c>
      <c r="W109">
        <f>Analisa!F$115</f>
        <v>87119.679</v>
      </c>
      <c r="X109">
        <f>Analisa!H$115</f>
        <v>0</v>
      </c>
      <c r="Z109">
        <f>'REKAP Balok'!X275</f>
        <v>350.137328174387</v>
      </c>
      <c r="AA109">
        <f>Analisa!$F$233</f>
        <v>10442.5</v>
      </c>
      <c r="AF109">
        <f>R109+V109*W109+Z109*AA109</f>
        <v>5926105.839461036</v>
      </c>
      <c r="AG109">
        <f>S109</f>
        <v>1100000</v>
      </c>
      <c r="AH109">
        <f>T109+V109*X109</f>
        <v>90000</v>
      </c>
    </row>
    <row r="110">
      <c r="B110" t="str">
        <f>CONCATENATE(" - Balok ",G110)</f>
        <v xml:space="preserve"> - Balok B25-1</v>
      </c>
      <c r="C110" t="str">
        <v>m3</v>
      </c>
      <c r="D110">
        <f>H110*'REKAP RAB'!$K$3</f>
        <v>3.1496500000000003</v>
      </c>
      <c r="E110">
        <f>N110*'REKAP RAB'!$O$5</f>
        <v>7139092.612163801</v>
      </c>
      <c r="F110">
        <f>D110*E110</f>
        <v>22485643.045901716</v>
      </c>
      <c r="G110" t="str">
        <v>B25-1</v>
      </c>
      <c r="H110">
        <f>'REKAP Balok'!G277</f>
        <v>3.1496500000000003</v>
      </c>
      <c r="I110">
        <f>AF110</f>
        <v>5017906.619272871</v>
      </c>
      <c r="J110">
        <f>AG110</f>
        <v>1100000</v>
      </c>
      <c r="K110">
        <f>AH110</f>
        <v>90000</v>
      </c>
      <c r="N110">
        <f>SUM(I110:M110)</f>
        <v>6207906.619272871</v>
      </c>
      <c r="O110">
        <f>H110*N110</f>
        <v>19552733.0833928</v>
      </c>
      <c r="R110">
        <f>Analisa!F$185</f>
        <v>1398600</v>
      </c>
      <c r="S110">
        <f>Analisa!G$185</f>
        <v>1100000</v>
      </c>
      <c r="T110">
        <f>Analisa!H$185</f>
        <v>90000</v>
      </c>
      <c r="V110">
        <f>'REKAP Balok'!W277</f>
        <v>9.999999999999998</v>
      </c>
      <c r="W110">
        <f>Analisa!F$115</f>
        <v>87119.679</v>
      </c>
      <c r="X110">
        <f>Analisa!H$115</f>
        <v>0</v>
      </c>
      <c r="Z110">
        <f>'REKAP Balok'!X277</f>
        <v>263.16589219754576</v>
      </c>
      <c r="AA110">
        <f>Analisa!$F$233</f>
        <v>10442.5</v>
      </c>
      <c r="AF110">
        <f>R110+V110*W110+Z110*AA110</f>
        <v>5017906.619272871</v>
      </c>
      <c r="AG110">
        <f>S110</f>
        <v>1100000</v>
      </c>
      <c r="AH110">
        <f>T110+V110*X110</f>
        <v>90000</v>
      </c>
    </row>
    <row r="112">
      <c r="A112">
        <v>3</v>
      </c>
      <c r="B112" t="str">
        <v>Kolom (Readymix K-350) :</v>
      </c>
      <c r="AJ112">
        <f>SUMPRODUCT(H113:H121,V113:V121)</f>
        <v>388.6190429006285</v>
      </c>
      <c r="AL112">
        <f>SUMPRODUCT(H113:H121,Z113:Z121)</f>
        <v>7128.955938411359</v>
      </c>
      <c r="AM112" t="str">
        <v>v</v>
      </c>
    </row>
    <row r="113">
      <c r="B113" t="str">
        <f>CONCATENATE(" - Kolom ",G113)</f>
        <v xml:space="preserve"> - Kolom K24</v>
      </c>
      <c r="C113" t="str">
        <v>m3</v>
      </c>
      <c r="D113">
        <f>H113*'REKAP RAB'!$K$3</f>
        <v>0.8160000000000001</v>
      </c>
      <c r="E113">
        <f>N113*'REKAP RAB'!$O$5</f>
        <v>9571635.803800188</v>
      </c>
      <c r="F113">
        <f>D113*E113</f>
        <v>7810454.815900954</v>
      </c>
      <c r="G113" t="str">
        <v>K24</v>
      </c>
      <c r="H113">
        <f>'Hasil-Kolom'!F152</f>
        <v>0.8160000000000001</v>
      </c>
      <c r="I113">
        <f>AF113</f>
        <v>6458161.568521903</v>
      </c>
      <c r="J113">
        <f>AG113</f>
        <v>1600000</v>
      </c>
      <c r="K113">
        <f>AH113</f>
        <v>265000</v>
      </c>
      <c r="N113">
        <f>SUM(I113:M113)</f>
        <v>8323161.568521903</v>
      </c>
      <c r="O113">
        <f>H113*N113</f>
        <v>6791699.839913873</v>
      </c>
      <c r="R113">
        <f>Analisa!$F$193</f>
        <v>1223775</v>
      </c>
      <c r="S113">
        <f>Analisa!$G$193</f>
        <v>1600000</v>
      </c>
      <c r="T113">
        <f>Analisa!$H$193</f>
        <v>265000</v>
      </c>
      <c r="V113">
        <f>'Hasil-Kolom'!V152</f>
        <v>14.999999999999996</v>
      </c>
      <c r="W113">
        <f>Analisa!$F$132</f>
        <v>130953.94736842104</v>
      </c>
      <c r="Z113">
        <f>'Hasil-Kolom'!W152</f>
        <v>313.15081235294116</v>
      </c>
      <c r="AA113">
        <f>Analisa!$F$233</f>
        <v>10442.5</v>
      </c>
      <c r="AF113">
        <f>R113+V113*W113+Z113*AA113</f>
        <v>6458161.568521903</v>
      </c>
      <c r="AG113">
        <f>S113</f>
        <v>1600000</v>
      </c>
      <c r="AH113">
        <f>T113+V113*X113</f>
        <v>265000</v>
      </c>
    </row>
    <row r="114">
      <c r="B114" t="str">
        <f>CONCATENATE(" - Kolom ",G114)</f>
        <v xml:space="preserve"> - Kolom K25</v>
      </c>
      <c r="C114" t="str">
        <v>m3</v>
      </c>
      <c r="D114">
        <f>H114*'REKAP RAB'!$K$3</f>
        <v>1.6500000000000001</v>
      </c>
      <c r="E114">
        <f>N114*'REKAP RAB'!$O$5</f>
        <v>8971745.282967852</v>
      </c>
      <c r="F114">
        <f>D114*E114</f>
        <v>14803379.716896957</v>
      </c>
      <c r="G114" t="str">
        <v>K25</v>
      </c>
      <c r="H114">
        <f>'Hasil-Kolom'!F153</f>
        <v>1.6500000000000001</v>
      </c>
      <c r="I114">
        <f>AF114</f>
        <v>5936517.63736335</v>
      </c>
      <c r="J114">
        <f>AG114</f>
        <v>1600000</v>
      </c>
      <c r="K114">
        <f>AH114</f>
        <v>265000</v>
      </c>
      <c r="N114">
        <f>SUM(I114:M114)</f>
        <v>7801517.63736335</v>
      </c>
      <c r="O114">
        <f>H114*N114</f>
        <v>12872504.101649528</v>
      </c>
      <c r="R114">
        <f>Analisa!$F$193</f>
        <v>1223775</v>
      </c>
      <c r="S114">
        <f>Analisa!$G$193</f>
        <v>1600000</v>
      </c>
      <c r="T114">
        <f>Analisa!$H$193</f>
        <v>265000</v>
      </c>
      <c r="V114">
        <f>'Hasil-Kolom'!V153</f>
        <v>14</v>
      </c>
      <c r="W114">
        <f>Analisa!$F$132</f>
        <v>130953.94736842104</v>
      </c>
      <c r="Z114">
        <f>'Hasil-Kolom'!W153</f>
        <v>275.7373592727273</v>
      </c>
      <c r="AA114">
        <f>Analisa!$F$233</f>
        <v>10442.5</v>
      </c>
      <c r="AF114">
        <f>R114+V114*W114+Z114*AA114</f>
        <v>5936517.63736335</v>
      </c>
      <c r="AG114">
        <f>S114</f>
        <v>1600000</v>
      </c>
      <c r="AH114">
        <f>T114+V114*X114</f>
        <v>265000</v>
      </c>
    </row>
    <row r="115">
      <c r="B115" t="str">
        <f>CONCATENATE(" - Kolom ",G115)</f>
        <v xml:space="preserve"> - Kolom K26</v>
      </c>
      <c r="C115" t="str">
        <v>m3</v>
      </c>
      <c r="D115">
        <f>H115*'REKAP RAB'!$K$3</f>
        <v>5.388</v>
      </c>
      <c r="E115">
        <f>N115*'REKAP RAB'!$O$5</f>
        <v>8701418.357222734</v>
      </c>
      <c r="F115">
        <f>D115*E115</f>
        <v>46883242.10871609</v>
      </c>
      <c r="G115" t="str">
        <v>K26</v>
      </c>
      <c r="H115">
        <f>'Hasil-Kolom'!F154</f>
        <v>5.388</v>
      </c>
      <c r="I115">
        <f>AF115</f>
        <v>5701450.745411074</v>
      </c>
      <c r="J115">
        <f>AG115</f>
        <v>1600000</v>
      </c>
      <c r="K115">
        <f>AH115</f>
        <v>265000</v>
      </c>
      <c r="N115">
        <f>SUM(I115:M115)</f>
        <v>7566450.745411074</v>
      </c>
      <c r="O115">
        <f>H115*N115</f>
        <v>40768036.61627486</v>
      </c>
      <c r="R115">
        <f>Analisa!$F$193</f>
        <v>1223775</v>
      </c>
      <c r="S115">
        <f>Analisa!$G$193</f>
        <v>1600000</v>
      </c>
      <c r="T115">
        <f>Analisa!$H$193</f>
        <v>265000</v>
      </c>
      <c r="V115">
        <f>'Hasil-Kolom'!V154</f>
        <v>13.333333333333334</v>
      </c>
      <c r="W115">
        <f>Analisa!$F$132</f>
        <v>130953.94736842104</v>
      </c>
      <c r="Z115">
        <f>'Hasil-Kolom'!W154</f>
        <v>261.5870829621381</v>
      </c>
      <c r="AA115">
        <f>Analisa!$F$233</f>
        <v>10442.5</v>
      </c>
      <c r="AF115">
        <f>R115+V115*W115+Z115*AA115</f>
        <v>5701450.745411074</v>
      </c>
      <c r="AG115">
        <f>S115</f>
        <v>1600000</v>
      </c>
      <c r="AH115">
        <f>T115+V115*X115</f>
        <v>265000</v>
      </c>
    </row>
    <row r="116">
      <c r="B116" t="str">
        <f>CONCATENATE(" - Kolom ",G116)</f>
        <v xml:space="preserve"> - Kolom K2A5</v>
      </c>
      <c r="C116" t="str">
        <v>m3</v>
      </c>
      <c r="D116">
        <f>H116*'REKAP RAB'!$K$3</f>
        <v>1.15</v>
      </c>
      <c r="E116">
        <f>N116*'REKAP RAB'!$O$5</f>
        <v>8161146.485155211</v>
      </c>
      <c r="F116">
        <f>D116*E116</f>
        <v>9385318.457928492</v>
      </c>
      <c r="G116" t="str">
        <v>K2A5</v>
      </c>
      <c r="H116">
        <f>'Hasil-Kolom'!F155</f>
        <v>1.15</v>
      </c>
      <c r="I116">
        <f>AF116</f>
        <v>5231649.11752627</v>
      </c>
      <c r="J116">
        <f>AG116</f>
        <v>1600000</v>
      </c>
      <c r="K116">
        <f>AH116</f>
        <v>265000</v>
      </c>
      <c r="N116">
        <f>SUM(I116:M116)</f>
        <v>7096649.11752627</v>
      </c>
      <c r="O116">
        <f>H116*N116</f>
        <v>8161146.485155211</v>
      </c>
      <c r="R116">
        <f>Analisa!$F$193</f>
        <v>1223775</v>
      </c>
      <c r="S116">
        <f>Analisa!$G$193</f>
        <v>1600000</v>
      </c>
      <c r="T116">
        <f>Analisa!$H$193</f>
        <v>265000</v>
      </c>
      <c r="V116">
        <f>'Hasil-Kolom'!V155</f>
        <v>12.000000000000002</v>
      </c>
      <c r="W116">
        <f>Analisa!$F$132</f>
        <v>130953.94736842104</v>
      </c>
      <c r="Z116">
        <f>'Hasil-Kolom'!W155</f>
        <v>233.31833843478265</v>
      </c>
      <c r="AA116">
        <f>Analisa!$F$233</f>
        <v>10442.5</v>
      </c>
      <c r="AF116">
        <f>R116+V116*W116+Z116*AA116</f>
        <v>5231649.11752627</v>
      </c>
      <c r="AG116">
        <f>S116</f>
        <v>1600000</v>
      </c>
      <c r="AH116">
        <f>T116+V116*X116</f>
        <v>265000</v>
      </c>
    </row>
    <row r="117">
      <c r="B117" t="str">
        <f>CONCATENATE(" - Kolom ",G117)</f>
        <v xml:space="preserve"> - Kolom K2A6</v>
      </c>
      <c r="C117" t="str">
        <v>m3</v>
      </c>
      <c r="D117">
        <f>H117*'REKAP RAB'!$K$3</f>
        <v>0.69</v>
      </c>
      <c r="E117">
        <f>N117*'REKAP RAB'!$O$5</f>
        <v>8045116.619030921</v>
      </c>
      <c r="F117">
        <f>D117*E117</f>
        <v>5551130.467131335</v>
      </c>
      <c r="G117" t="str">
        <v>K2A6</v>
      </c>
      <c r="H117">
        <f>'Hasil-Kolom'!F156</f>
        <v>0.69</v>
      </c>
      <c r="I117">
        <f>AF117</f>
        <v>5130753.581766019</v>
      </c>
      <c r="J117">
        <f>AG117</f>
        <v>1600000</v>
      </c>
      <c r="K117">
        <f>AH117</f>
        <v>265000</v>
      </c>
      <c r="N117">
        <f>SUM(I117:M117)</f>
        <v>6995753.581766019</v>
      </c>
      <c r="O117">
        <f>H117*N117</f>
        <v>4827069.971418552</v>
      </c>
      <c r="R117">
        <f>Analisa!$F$193</f>
        <v>1223775</v>
      </c>
      <c r="S117">
        <f>Analisa!$G$193</f>
        <v>1600000</v>
      </c>
      <c r="T117">
        <f>Analisa!$H$193</f>
        <v>265000</v>
      </c>
      <c r="V117">
        <f>'Hasil-Kolom'!V156</f>
        <v>11.333333333333334</v>
      </c>
      <c r="W117">
        <f>Analisa!$F$132</f>
        <v>130953.94736842104</v>
      </c>
      <c r="Z117">
        <f>'Hasil-Kolom'!W156</f>
        <v>232.01664782608697</v>
      </c>
      <c r="AA117">
        <f>Analisa!$F$233</f>
        <v>10442.5</v>
      </c>
      <c r="AF117">
        <f>R117+V117*W117+Z117*AA117</f>
        <v>5130753.581766019</v>
      </c>
      <c r="AG117">
        <f>S117</f>
        <v>1600000</v>
      </c>
      <c r="AH117">
        <f>T117+V117*X117</f>
        <v>265000</v>
      </c>
    </row>
    <row r="118">
      <c r="B118" t="str">
        <f>CONCATENATE(" - Kolom ",G118)</f>
        <v xml:space="preserve"> - Kolom K4</v>
      </c>
      <c r="C118" t="str">
        <v>m3</v>
      </c>
      <c r="D118">
        <f>H118*'REKAP RAB'!$K$3</f>
        <v>5.664399999999999</v>
      </c>
      <c r="E118">
        <f>N118*'REKAP RAB'!$O$5</f>
        <v>9547918.757351287</v>
      </c>
      <c r="F118">
        <f>D118*E118</f>
        <v>54083231.00914062</v>
      </c>
      <c r="G118" t="str">
        <v>K4</v>
      </c>
      <c r="H118">
        <f>'Hasil-Kolom'!F157</f>
        <v>5.664399999999999</v>
      </c>
      <c r="I118">
        <f>AF118</f>
        <v>6437538.049870685</v>
      </c>
      <c r="J118">
        <f>AG118</f>
        <v>1600000</v>
      </c>
      <c r="K118">
        <f>AH118</f>
        <v>265000</v>
      </c>
      <c r="N118">
        <f>SUM(I118:M118)</f>
        <v>8302538.049870685</v>
      </c>
      <c r="O118">
        <f>H118*N118</f>
        <v>47028896.529687494</v>
      </c>
      <c r="R118">
        <f>Analisa!$F$193</f>
        <v>1223775</v>
      </c>
      <c r="S118">
        <f>Analisa!$G$193</f>
        <v>1600000</v>
      </c>
      <c r="T118">
        <f>Analisa!$H$193</f>
        <v>265000</v>
      </c>
      <c r="V118">
        <f>'Hasil-Kolom'!V157</f>
        <v>16.764705882352942</v>
      </c>
      <c r="W118">
        <f>Analisa!$F$132</f>
        <v>130953.94736842104</v>
      </c>
      <c r="Z118">
        <f>'Hasil-Kolom'!W157</f>
        <v>289.04559617964844</v>
      </c>
      <c r="AA118">
        <f>Analisa!$F$233</f>
        <v>10442.5</v>
      </c>
      <c r="AF118">
        <f>R118+V118*W118+Z118*AA118</f>
        <v>6437538.049870685</v>
      </c>
      <c r="AG118">
        <f>S118</f>
        <v>1600000</v>
      </c>
      <c r="AH118">
        <f>T118+V118*X118</f>
        <v>265000</v>
      </c>
    </row>
    <row r="119">
      <c r="B119" t="str">
        <f>CONCATENATE(" - Kolom ",G119)</f>
        <v xml:space="preserve"> - Kolom KB2A</v>
      </c>
      <c r="C119" t="str">
        <v>m3</v>
      </c>
      <c r="D119">
        <f>H119*'REKAP RAB'!$K$3</f>
        <v>3.966260725157114</v>
      </c>
      <c r="E119">
        <f>N119*'REKAP RAB'!$O$5</f>
        <v>5460988.74378949</v>
      </c>
      <c r="F119">
        <f>D119*E119</f>
        <v>21659705.175017342</v>
      </c>
      <c r="G119" t="str">
        <v>KB2A</v>
      </c>
      <c r="H119">
        <f>'Hasil-Kolom'!F161</f>
        <v>3.966260725157114</v>
      </c>
      <c r="I119">
        <f>AF119</f>
        <v>2883685.8641647743</v>
      </c>
      <c r="J119">
        <f>AG119</f>
        <v>1600000</v>
      </c>
      <c r="K119">
        <f>AH119</f>
        <v>265000</v>
      </c>
      <c r="N119">
        <f>SUM(I119:M119)</f>
        <v>4748685.864164774</v>
      </c>
      <c r="O119">
        <f>H119*N119</f>
        <v>18834526.239145514</v>
      </c>
      <c r="R119">
        <f>Analisa!$F$193</f>
        <v>1223775</v>
      </c>
      <c r="S119">
        <f>Analisa!$G$193</f>
        <v>1600000</v>
      </c>
      <c r="T119">
        <f>Analisa!$H$193</f>
        <v>265000</v>
      </c>
      <c r="V119">
        <f>'Hasil-Kolom'!V161</f>
        <v>4</v>
      </c>
      <c r="W119">
        <f>Analisa!$F$132</f>
        <v>130953.94736842104</v>
      </c>
      <c r="Z119">
        <f>'Hasil-Kolom'!W161</f>
        <v>108.79531478966626</v>
      </c>
      <c r="AA119">
        <f>Analisa!$F$233</f>
        <v>10442.5</v>
      </c>
      <c r="AF119">
        <f>R119+V119*W119+Z119*AA119</f>
        <v>2883685.8641647743</v>
      </c>
      <c r="AG119">
        <f>S119</f>
        <v>1600000</v>
      </c>
      <c r="AH119">
        <f>T119+V119*X119</f>
        <v>265000</v>
      </c>
    </row>
    <row r="120">
      <c r="B120" t="str">
        <f>CONCATENATE(" - Kolom ",G120)</f>
        <v xml:space="preserve"> - Kolom KL55</v>
      </c>
      <c r="C120" t="str">
        <v>m3</v>
      </c>
      <c r="D120">
        <f>H120*'REKAP RAB'!$K$3</f>
        <v>6.579000000000001</v>
      </c>
      <c r="E120">
        <f>N120*'REKAP RAB'!$O$5</f>
        <v>8877172.006772073</v>
      </c>
      <c r="F120">
        <f>D120*E120</f>
        <v>58402914.63255347</v>
      </c>
      <c r="G120" t="str">
        <v>KL55</v>
      </c>
      <c r="H120">
        <f>'Hasil-Kolom'!F162</f>
        <v>6.579000000000001</v>
      </c>
      <c r="I120">
        <f>AF120</f>
        <v>5854280.00588876</v>
      </c>
      <c r="J120">
        <f>AG120</f>
        <v>1600000</v>
      </c>
      <c r="K120">
        <f>AH120</f>
        <v>265000</v>
      </c>
      <c r="N120">
        <f>SUM(I120:M120)</f>
        <v>7719280.00588876</v>
      </c>
      <c r="O120">
        <f>H120*N120</f>
        <v>50785143.15874216</v>
      </c>
      <c r="R120">
        <f>Analisa!$F$193</f>
        <v>1223775</v>
      </c>
      <c r="S120">
        <f>Analisa!$G$193</f>
        <v>1600000</v>
      </c>
      <c r="T120">
        <f>Analisa!$H$193</f>
        <v>265000</v>
      </c>
      <c r="V120">
        <f>'Hasil-Kolom'!V162</f>
        <v>15.764705882352937</v>
      </c>
      <c r="W120">
        <f>Analisa!$F$132</f>
        <v>130953.94736842104</v>
      </c>
      <c r="Z120">
        <f>'Hasil-Kolom'!W162</f>
        <v>245.73182106703152</v>
      </c>
      <c r="AA120">
        <f>Analisa!$F$233</f>
        <v>10442.5</v>
      </c>
      <c r="AF120">
        <f>R120+V120*W120+Z120*AA120</f>
        <v>5854280.00588876</v>
      </c>
      <c r="AG120">
        <f>S120</f>
        <v>1600000</v>
      </c>
      <c r="AH120">
        <f>T120+V120*X120</f>
        <v>265000</v>
      </c>
    </row>
    <row r="121">
      <c r="B121" t="str">
        <f>CONCATENATE(" - Kolom ",G121)</f>
        <v xml:space="preserve"> - Kolom KL66</v>
      </c>
      <c r="C121" t="str">
        <v>m3</v>
      </c>
      <c r="D121">
        <f>H121*'REKAP RAB'!$K$3</f>
        <v>2.9988</v>
      </c>
      <c r="E121">
        <f>N121*'REKAP RAB'!$O$5</f>
        <v>9410570.74524309</v>
      </c>
      <c r="F121">
        <f>D121*E121</f>
        <v>28220419.550834976</v>
      </c>
      <c r="G121" t="str">
        <v>KL66</v>
      </c>
      <c r="H121">
        <f>'Hasil-Kolom'!F163</f>
        <v>2.9988</v>
      </c>
      <c r="I121">
        <f>AF121</f>
        <v>6318104.995863556</v>
      </c>
      <c r="J121">
        <f>AG121</f>
        <v>1600000</v>
      </c>
      <c r="K121">
        <f>AH121</f>
        <v>265000</v>
      </c>
      <c r="N121">
        <f>SUM(I121:M121)</f>
        <v>8183104.995863556</v>
      </c>
      <c r="O121">
        <f>H121*N121</f>
        <v>24539495.261595633</v>
      </c>
      <c r="R121">
        <f>Analisa!$F$193</f>
        <v>1223775</v>
      </c>
      <c r="S121">
        <f>Analisa!$G$193</f>
        <v>1600000</v>
      </c>
      <c r="T121">
        <f>Analisa!$H$193</f>
        <v>265000</v>
      </c>
      <c r="V121">
        <f>'Hasil-Kolom'!V163</f>
        <v>15.098039215686272</v>
      </c>
      <c r="W121">
        <f>Analisa!$F$132</f>
        <v>130953.94736842104</v>
      </c>
      <c r="Z121">
        <f>'Hasil-Kolom'!W163</f>
        <v>298.5091848739496</v>
      </c>
      <c r="AA121">
        <f>Analisa!$F$233</f>
        <v>10442.5</v>
      </c>
      <c r="AF121">
        <f>R121+V121*W121+Z121*AA121</f>
        <v>6318104.995863556</v>
      </c>
      <c r="AG121">
        <f>S121</f>
        <v>1600000</v>
      </c>
      <c r="AH121">
        <f>T121+V121*X121</f>
        <v>265000</v>
      </c>
    </row>
    <row r="123">
      <c r="A123">
        <v>4</v>
      </c>
      <c r="B123" t="str">
        <v>Plat lantai (Readymix K-350) :</v>
      </c>
      <c r="AJ123">
        <f>SUMPRODUCT(H124:H125,V124:V125)</f>
        <v>42.014415</v>
      </c>
      <c r="AL123">
        <f>SUMPRODUCT(H124:H125,Z124:Z125)</f>
        <v>5672.730824969627</v>
      </c>
      <c r="AM123" t="str">
        <v>v</v>
      </c>
    </row>
    <row r="124">
      <c r="B124" t="str">
        <v xml:space="preserve"> - Plat lantai - tebal 15 cm, besi D10-200 (2 lapis)</v>
      </c>
      <c r="C124" t="str">
        <v>m3</v>
      </c>
      <c r="D124">
        <f>H124</f>
        <v>46.99062981</v>
      </c>
      <c r="E124">
        <f>N124*'REKAP RAB'!$O$5</f>
        <v>3852853.815718624</v>
      </c>
      <c r="F124">
        <f>D124*E124</f>
        <v>181048027.3664798</v>
      </c>
      <c r="H124">
        <f>SUM('REKAP Plat'!G8:G16)</f>
        <v>46.99062981</v>
      </c>
      <c r="I124">
        <f>AF124</f>
        <v>2460307.6658422817</v>
      </c>
      <c r="J124">
        <f>AG124</f>
        <v>800000</v>
      </c>
      <c r="K124">
        <f>AH124</f>
        <v>90000</v>
      </c>
      <c r="N124">
        <f>SUM(I124:M124)</f>
        <v>3350307.6658422817</v>
      </c>
      <c r="O124">
        <f>H124*N124</f>
        <v>157433067.27519983</v>
      </c>
      <c r="R124">
        <f>Analisa!F$209</f>
        <v>1223775</v>
      </c>
      <c r="S124">
        <f>Analisa!G$209</f>
        <v>800000</v>
      </c>
      <c r="T124">
        <f>Analisa!H$209</f>
        <v>90000</v>
      </c>
      <c r="V124">
        <f>'REKAP Plat'!U8</f>
        <v>0.8002534793010471</v>
      </c>
      <c r="W124">
        <f>Analisa!$F$107</f>
        <v>113100</v>
      </c>
      <c r="Z124">
        <f>'REKAP Plat'!V8</f>
        <v>109.74613333333332</v>
      </c>
      <c r="AA124">
        <f>Analisa!$F$233</f>
        <v>10442.5</v>
      </c>
      <c r="AF124">
        <f>R124+V124*W124+Z124*AA124</f>
        <v>2460307.6658422817</v>
      </c>
      <c r="AG124">
        <f>S124</f>
        <v>800000</v>
      </c>
      <c r="AH124">
        <f>T124+V124*X124</f>
        <v>90000</v>
      </c>
    </row>
    <row r="125">
      <c r="B125" t="str">
        <v xml:space="preserve"> - Plat kolam renang - tebal 20 cm, besi D10-150 (2 lapis)</v>
      </c>
      <c r="C125" t="str">
        <v>m3</v>
      </c>
      <c r="D125">
        <f>H125</f>
        <v>4.9137356</v>
      </c>
      <c r="E125">
        <f>N125*'REKAP RAB'!$O$5</f>
        <v>3807890.1518232855</v>
      </c>
      <c r="F125">
        <f>D125*E125</f>
        <v>18710965.399903484</v>
      </c>
      <c r="H125">
        <f>SUM('REKAP Plat'!G6)</f>
        <v>4.9137356</v>
      </c>
      <c r="I125">
        <f>AF125</f>
        <v>2421208.8276724224</v>
      </c>
      <c r="J125">
        <f>AG125</f>
        <v>800000</v>
      </c>
      <c r="K125">
        <f>AH125</f>
        <v>90000</v>
      </c>
      <c r="N125">
        <f>SUM(I125:M125)</f>
        <v>3311208.8276724224</v>
      </c>
      <c r="O125">
        <f>H125*N125</f>
        <v>16270404.695568247</v>
      </c>
      <c r="R125">
        <f>Analisa!F$209</f>
        <v>1223775</v>
      </c>
      <c r="S125">
        <f>Analisa!G$209</f>
        <v>800000</v>
      </c>
      <c r="T125">
        <f>Analisa!H$209</f>
        <v>90000</v>
      </c>
      <c r="V125">
        <f>'REKAP Plat'!U6</f>
        <v>0.8974841869798612</v>
      </c>
      <c r="W125">
        <f>Analisa!$F$107</f>
        <v>113100</v>
      </c>
      <c r="Z125">
        <f>'REKAP Plat'!V6</f>
        <v>104.94885000000001</v>
      </c>
      <c r="AA125">
        <f>Analisa!$F$233</f>
        <v>10442.5</v>
      </c>
      <c r="AF125">
        <f>R125+V125*W125+Z125*AA125</f>
        <v>2421208.8276724224</v>
      </c>
      <c r="AG125">
        <f>S125</f>
        <v>800000</v>
      </c>
      <c r="AH125">
        <f>T125+V125*X125</f>
        <v>90000</v>
      </c>
    </row>
    <row r="127">
      <c r="A127">
        <v>5</v>
      </c>
      <c r="B127" t="str">
        <v>Dinding Beton (Readymix K-350) :</v>
      </c>
      <c r="AJ127">
        <f>SUMPRODUCT(H128:H128,V128:V128)</f>
        <v>114.31125</v>
      </c>
      <c r="AL127">
        <f>SUMPRODUCT(H128:H128,Z128:Z128)</f>
        <v>1424.2567950000002</v>
      </c>
      <c r="AM127" t="str">
        <v>v</v>
      </c>
    </row>
    <row r="128">
      <c r="B128" t="str">
        <v xml:space="preserve"> - Dinding penahan tanah</v>
      </c>
      <c r="C128" t="str">
        <v>m3</v>
      </c>
      <c r="D128">
        <f>H128*'REKAP RAB'!$K$3</f>
        <v>8.573343750000001</v>
      </c>
      <c r="E128">
        <f>N128*'REKAP RAB'!$O$5</f>
        <v>6658480.1699527595</v>
      </c>
      <c r="F128">
        <f>D128*E128</f>
        <v>57085439.349563435</v>
      </c>
      <c r="H128">
        <f>'Retaining Wall'!C162</f>
        <v>8.573343750000001</v>
      </c>
      <c r="I128">
        <f>AF128</f>
        <v>4374982.756480661</v>
      </c>
      <c r="J128">
        <f>AG128</f>
        <v>1200000</v>
      </c>
      <c r="K128">
        <f>AH128</f>
        <v>215000</v>
      </c>
      <c r="N128">
        <f>SUM(I128:M128)</f>
        <v>5789982.756480661</v>
      </c>
      <c r="O128">
        <f>H128*N128</f>
        <v>49639512.47788125</v>
      </c>
      <c r="R128">
        <f>Analisa!$F$225</f>
        <v>1223775</v>
      </c>
      <c r="S128">
        <f>Analisa!$G$225</f>
        <v>1200000</v>
      </c>
      <c r="T128">
        <f>Analisa!$H$225</f>
        <v>215000</v>
      </c>
      <c r="V128">
        <f>'Retaining Wall'!L162</f>
        <v>13.333333333333332</v>
      </c>
      <c r="W128">
        <f>Analisa!F$162</f>
        <v>106232.63888888889</v>
      </c>
      <c r="Z128">
        <f>'Retaining Wall'!M162</f>
        <v>166.12617393301184</v>
      </c>
      <c r="AA128">
        <f>Analisa!$F$233</f>
        <v>10442.5</v>
      </c>
      <c r="AF128">
        <f>R128+V128*W128+Z128*AA128</f>
        <v>4374982.756480661</v>
      </c>
      <c r="AG128">
        <f>S128</f>
        <v>1200000</v>
      </c>
      <c r="AH128">
        <f>T128+V128*X128</f>
        <v>215000</v>
      </c>
    </row>
    <row r="129">
      <c r="B129" t="str">
        <v xml:space="preserve"> - Dinding pagar alas</v>
      </c>
      <c r="C129" t="str">
        <v>m3</v>
      </c>
      <c r="D129">
        <f>H129*'REKAP RAB'!$K$3</f>
        <v>31.741349999999997</v>
      </c>
      <c r="E129">
        <f>N129*'REKAP RAB'!$O$5</f>
        <v>5542208.076342575</v>
      </c>
      <c r="F129">
        <f>D129*E129</f>
        <v>175917166.3240164</v>
      </c>
      <c r="H129">
        <f>'Retaining Wall'!C163</f>
        <v>31.741349999999997</v>
      </c>
      <c r="I129">
        <f>AF129</f>
        <v>3404311.3707326744</v>
      </c>
      <c r="J129">
        <f>AG129</f>
        <v>1200000</v>
      </c>
      <c r="K129">
        <f>AH129</f>
        <v>215000</v>
      </c>
      <c r="N129">
        <f>SUM(I129:M129)</f>
        <v>4819311.370732674</v>
      </c>
      <c r="O129">
        <f>H129*N129</f>
        <v>152971448.97740555</v>
      </c>
      <c r="R129">
        <f>Analisa!$F$225</f>
        <v>1223775</v>
      </c>
      <c r="S129">
        <f>Analisa!$G$225</f>
        <v>1200000</v>
      </c>
      <c r="T129">
        <f>Analisa!$H$225</f>
        <v>215000</v>
      </c>
      <c r="V129">
        <f>'Retaining Wall'!L163</f>
        <v>13.178866053271207</v>
      </c>
      <c r="W129">
        <f>Analisa!F$162</f>
        <v>106232.63888888889</v>
      </c>
      <c r="Z129">
        <f>'Retaining Wall'!M163</f>
        <v>74.74365835101534</v>
      </c>
      <c r="AA129">
        <f>Analisa!$F$233</f>
        <v>10442.5</v>
      </c>
      <c r="AF129">
        <f>R129+V129*W129+Z129*AA129</f>
        <v>3404311.3707326744</v>
      </c>
      <c r="AG129">
        <f>S129</f>
        <v>1200000</v>
      </c>
      <c r="AH129">
        <f>T129+V129*X129</f>
        <v>215000</v>
      </c>
    </row>
    <row r="130">
      <c r="B130" t="str">
        <v xml:space="preserve"> - Dinding kolam renang</v>
      </c>
      <c r="C130" t="str">
        <v>m3</v>
      </c>
      <c r="D130">
        <f>H130*'REKAP RAB'!$K$3</f>
        <v>7.497</v>
      </c>
      <c r="E130">
        <f>N130*'REKAP RAB'!$O$5</f>
        <v>6170343.532011778</v>
      </c>
      <c r="F130">
        <f>D130*E130</f>
        <v>46259065.459492296</v>
      </c>
      <c r="H130">
        <f>'Retaining Wall'!C164</f>
        <v>7.497</v>
      </c>
      <c r="I130">
        <f>AF130</f>
        <v>3950516.114792851</v>
      </c>
      <c r="J130">
        <f>AG130</f>
        <v>1200000</v>
      </c>
      <c r="K130">
        <f>AH130</f>
        <v>215000</v>
      </c>
      <c r="N130">
        <f>SUM(I130:M130)</f>
        <v>5365516.114792851</v>
      </c>
      <c r="O130">
        <f>H130*N130</f>
        <v>40225274.312602</v>
      </c>
      <c r="R130">
        <f>Analisa!$F$225</f>
        <v>1223775</v>
      </c>
      <c r="S130">
        <f>Analisa!$G$225</f>
        <v>1200000</v>
      </c>
      <c r="T130">
        <f>Analisa!$H$225</f>
        <v>215000</v>
      </c>
      <c r="V130">
        <f>'Retaining Wall'!L164</f>
        <v>10</v>
      </c>
      <c r="W130">
        <f>Analisa!F$162</f>
        <v>106232.63888888889</v>
      </c>
      <c r="Z130">
        <f>'Retaining Wall'!M164</f>
        <v>159.38853013205284</v>
      </c>
      <c r="AA130">
        <f>Analisa!$F$233</f>
        <v>10442.5</v>
      </c>
      <c r="AF130">
        <f>R130+V130*W130+Z130*AA130</f>
        <v>3950516.114792851</v>
      </c>
      <c r="AG130">
        <f>S130</f>
        <v>1200000</v>
      </c>
      <c r="AH130">
        <f>T130+V130*X130</f>
        <v>215000</v>
      </c>
    </row>
    <row r="131">
      <c r="B131" t="str">
        <v xml:space="preserve"> - Dinding tanggulan kamar mandi</v>
      </c>
      <c r="C131" t="str">
        <v>m3</v>
      </c>
      <c r="D131">
        <f>H131*'REKAP RAB'!$K$3</f>
        <v>0.2685</v>
      </c>
      <c r="E131">
        <f>N131*'REKAP RAB'!$O$5</f>
        <v>8418995.660030002</v>
      </c>
      <c r="F131">
        <f>D131*E131</f>
        <v>2260500.3347180556</v>
      </c>
      <c r="H131">
        <f>'Retaining Wall'!C165</f>
        <v>0.2685</v>
      </c>
      <c r="I131">
        <f>AF131</f>
        <v>5905865.791330436</v>
      </c>
      <c r="J131">
        <f>AG131</f>
        <v>1200000</v>
      </c>
      <c r="K131">
        <f>AH131</f>
        <v>215000</v>
      </c>
      <c r="N131">
        <f>SUM(I131:M131)</f>
        <v>7320865.791330436</v>
      </c>
      <c r="O131">
        <f>H131*N131</f>
        <v>1965652.4649722222</v>
      </c>
      <c r="R131">
        <f>Analisa!$F$225</f>
        <v>1223775</v>
      </c>
      <c r="S131">
        <f>Analisa!$G$225</f>
        <v>1200000</v>
      </c>
      <c r="T131">
        <f>Analisa!$H$225</f>
        <v>215000</v>
      </c>
      <c r="V131">
        <f>'Retaining Wall'!L165</f>
        <v>13.333333333333332</v>
      </c>
      <c r="W131">
        <f>Analisa!F$162</f>
        <v>106232.63888888889</v>
      </c>
      <c r="Z131">
        <f>'Retaining Wall'!M165</f>
        <v>312.727374301676</v>
      </c>
      <c r="AA131">
        <f>Analisa!$F$233</f>
        <v>10442.5</v>
      </c>
      <c r="AF131">
        <f>R131+V131*W131+Z131*AA131</f>
        <v>5905865.791330436</v>
      </c>
      <c r="AG131">
        <f>S131</f>
        <v>1200000</v>
      </c>
      <c r="AH131">
        <f>T131+V131*X131</f>
        <v>215000</v>
      </c>
    </row>
    <row r="132">
      <c r="B132" t="str">
        <v xml:space="preserve"> - Penebalan sloof</v>
      </c>
      <c r="C132" t="str">
        <v>m3</v>
      </c>
      <c r="D132">
        <f>H132*'REKAP RAB'!$K$3</f>
        <v>2.9974000000000003</v>
      </c>
      <c r="E132">
        <f>N132*'REKAP RAB'!$O$5</f>
        <v>8080716.948335384</v>
      </c>
      <c r="F132">
        <f>D132*E132</f>
        <v>24221140.980940484</v>
      </c>
      <c r="H132">
        <f>'Retaining Wall'!C166</f>
        <v>2.9974000000000003</v>
      </c>
      <c r="I132">
        <f>AF132</f>
        <v>5611710.389856856</v>
      </c>
      <c r="J132">
        <f>AG132</f>
        <v>1200000</v>
      </c>
      <c r="K132">
        <f>AH132</f>
        <v>215000</v>
      </c>
      <c r="N132">
        <f>SUM(I132:M132)</f>
        <v>7026710.389856856</v>
      </c>
      <c r="O132">
        <f>H132*N132</f>
        <v>21061861.722556945</v>
      </c>
      <c r="R132">
        <f>Analisa!$F$225</f>
        <v>1223775</v>
      </c>
      <c r="S132">
        <f>Analisa!$G$225</f>
        <v>1200000</v>
      </c>
      <c r="T132">
        <f>Analisa!$H$225</f>
        <v>215000</v>
      </c>
      <c r="V132">
        <f>'Retaining Wall'!L166</f>
        <v>8.7362380729966</v>
      </c>
      <c r="W132">
        <f>Analisa!F$162</f>
        <v>106232.63888888889</v>
      </c>
      <c r="Z132">
        <f>'Retaining Wall'!M166</f>
        <v>331.3250433709213</v>
      </c>
      <c r="AA132">
        <f>Analisa!$F$233</f>
        <v>10442.5</v>
      </c>
      <c r="AF132">
        <f>R132+V132*W132+Z132*AA132</f>
        <v>5611710.389856856</v>
      </c>
      <c r="AG132">
        <f>S132</f>
        <v>1200000</v>
      </c>
      <c r="AH132">
        <f>T132+V132*X132</f>
        <v>215000</v>
      </c>
    </row>
    <row r="133">
      <c r="B133" t="str">
        <v xml:space="preserve"> - Dinding lift</v>
      </c>
      <c r="C133" t="str">
        <v>m3</v>
      </c>
      <c r="D133">
        <f>H133*'REKAP RAB'!$K$3</f>
        <v>4.896</v>
      </c>
      <c r="E133">
        <f>N133*'REKAP RAB'!$O$5</f>
        <v>7757930.711745445</v>
      </c>
      <c r="F133">
        <f>D133*E133</f>
        <v>37982828.764705695</v>
      </c>
      <c r="H133">
        <f>'Retaining Wall'!C173</f>
        <v>4.896</v>
      </c>
      <c r="I133">
        <f>AF133</f>
        <v>5331026.705865605</v>
      </c>
      <c r="J133">
        <f>AG133</f>
        <v>1200000</v>
      </c>
      <c r="K133">
        <f>AH133</f>
        <v>215000</v>
      </c>
      <c r="N133">
        <f>SUM(I133:M133)</f>
        <v>6746026.705865605</v>
      </c>
      <c r="O133">
        <f>H133*N133</f>
        <v>33028546.751918</v>
      </c>
      <c r="R133">
        <f>Analisa!$F$225</f>
        <v>1223775</v>
      </c>
      <c r="S133">
        <f>Analisa!$G$225</f>
        <v>1200000</v>
      </c>
      <c r="T133">
        <f>Analisa!$H$225</f>
        <v>215000</v>
      </c>
      <c r="V133">
        <f>'Retaining Wall'!L173</f>
        <v>11.764705882352942</v>
      </c>
      <c r="W133">
        <f>Analisa!F$162</f>
        <v>106232.63888888889</v>
      </c>
      <c r="Z133">
        <f>'Retaining Wall'!M173</f>
        <v>273.6371514705882</v>
      </c>
      <c r="AA133">
        <f>Analisa!$F$233</f>
        <v>10442.5</v>
      </c>
      <c r="AF133">
        <f>R133+V133*W133+Z133*AA133</f>
        <v>5331026.705865605</v>
      </c>
      <c r="AG133">
        <f>S133</f>
        <v>1200000</v>
      </c>
      <c r="AH133">
        <f>T133+V133*X133</f>
        <v>215000</v>
      </c>
    </row>
    <row r="135">
      <c r="A135" t="str">
        <v>B</v>
      </c>
      <c r="B135" t="str">
        <v>Pekerjaan Beton Lain - Lain</v>
      </c>
    </row>
    <row r="136">
      <c r="A136">
        <v>1</v>
      </c>
      <c r="B136" t="str">
        <v>Tangga Depan</v>
      </c>
      <c r="C136" t="str">
        <v>m3</v>
      </c>
      <c r="D136">
        <f>H136</f>
        <v>1.2319999999999998</v>
      </c>
      <c r="E136">
        <f>N136*'REKAP RAB'!$O$5</f>
        <v>8625000</v>
      </c>
      <c r="F136">
        <f>D136*E136</f>
        <v>10625999.999999998</v>
      </c>
      <c r="H136">
        <f>(0.125*2*0.35*8/2)+(2.1*0.15*2)*1.4</f>
        <v>1.2319999999999998</v>
      </c>
      <c r="I136">
        <f>R136</f>
        <v>5250000</v>
      </c>
      <c r="J136">
        <f>S136</f>
        <v>2250000</v>
      </c>
      <c r="N136">
        <f>SUM(I136:M136)</f>
        <v>7500000</v>
      </c>
      <c r="O136">
        <f>H136*N136</f>
        <v>9239999.999999998</v>
      </c>
      <c r="R136">
        <f>0.7*7500000</f>
        <v>5250000</v>
      </c>
      <c r="S136">
        <f>0.3*7500000</f>
        <v>2250000</v>
      </c>
      <c r="AF136">
        <f>R136+V136*W136+Z136*AA136</f>
        <v>5250000</v>
      </c>
      <c r="AG136">
        <f>S136</f>
        <v>2250000</v>
      </c>
      <c r="AH136">
        <f>T136+V136*X136</f>
        <v>0</v>
      </c>
    </row>
    <row r="137">
      <c r="A137">
        <v>2</v>
      </c>
      <c r="B137" t="str">
        <v>Tangga Utama</v>
      </c>
      <c r="C137" t="str">
        <v>m3</v>
      </c>
      <c r="D137">
        <f>H137</f>
        <v>3.88208526</v>
      </c>
      <c r="E137">
        <f>N137*'REKAP RAB'!$O$5</f>
        <v>8625000</v>
      </c>
      <c r="F137">
        <f>D137*E137</f>
        <v>33482985.367500003</v>
      </c>
      <c r="H137">
        <f>(4.5/2*1.325*0.35)+14.557168*0.15*1.3</f>
        <v>3.88208526</v>
      </c>
      <c r="I137">
        <f>R137</f>
        <v>5250000</v>
      </c>
      <c r="J137">
        <f>S137</f>
        <v>2250000</v>
      </c>
      <c r="N137">
        <f>SUM(I137:M137)</f>
        <v>7500000</v>
      </c>
      <c r="O137">
        <f>H137*N137</f>
        <v>29115639.450000003</v>
      </c>
      <c r="R137">
        <f>0.7*7500000</f>
        <v>5250000</v>
      </c>
      <c r="S137">
        <f>0.3*7500000</f>
        <v>2250000</v>
      </c>
      <c r="AF137">
        <f>R137+V137*W137+Z137*AA137</f>
        <v>5250000</v>
      </c>
      <c r="AG137">
        <f>S137</f>
        <v>2250000</v>
      </c>
      <c r="AH137">
        <f>T137+V137*X137</f>
        <v>0</v>
      </c>
    </row>
    <row r="139">
      <c r="A139" t="str">
        <v>Subtotal Pekerjaan Fisik Lantai 1</v>
      </c>
      <c r="F139">
        <f>SUM(F30:F138)</f>
        <v>1146859627.3426077</v>
      </c>
      <c r="O139">
        <f>SUM(O30:O136)</f>
        <v>968153601.7174847</v>
      </c>
    </row>
    <row r="141">
      <c r="A141" t="str">
        <v>IV</v>
      </c>
      <c r="B141" t="str">
        <v>PEKERJAAN FISIK LANTAI 2</v>
      </c>
    </row>
    <row r="143">
      <c r="A143" t="str">
        <v>A</v>
      </c>
      <c r="B143" t="str">
        <v>Pekerjaan Beton &amp; Pondasi</v>
      </c>
    </row>
    <row r="144">
      <c r="A144">
        <v>1</v>
      </c>
      <c r="B144" t="str">
        <v>Plat lantai (Readymix K-350) :</v>
      </c>
      <c r="AJ144">
        <f>SUMPRODUCT(H145:H145,V145:V145)</f>
        <v>256.53003980226947</v>
      </c>
      <c r="AL144">
        <f>SUMPRODUCT(H145:H145,Z145:Z145)</f>
        <v>3517.3379311492804</v>
      </c>
      <c r="AM144" t="str">
        <v>v</v>
      </c>
    </row>
    <row r="145">
      <c r="B145" t="str">
        <v xml:space="preserve"> - Plat lantai - tebal 15 cm, besi D10-200 (2 lapis)</v>
      </c>
      <c r="C145" t="str">
        <v>m3</v>
      </c>
      <c r="D145">
        <f>H145</f>
        <v>32.04976635</v>
      </c>
      <c r="E145">
        <f>N145*'REKAP RAB'!$O$5</f>
        <v>5475212.765476997</v>
      </c>
      <c r="F145">
        <f>D145*E145</f>
        <v>175479289.8500751</v>
      </c>
      <c r="H145">
        <f>SUM('REKAP Plat'!G22:G34)</f>
        <v>32.04976635</v>
      </c>
      <c r="I145">
        <f>AF145</f>
        <v>3138388.6543419235</v>
      </c>
      <c r="J145">
        <f>AG145</f>
        <v>1250000</v>
      </c>
      <c r="K145">
        <f>AH145</f>
        <v>372665.924333727</v>
      </c>
      <c r="N145">
        <f>SUM(I145:M145)</f>
        <v>4761054.57867565</v>
      </c>
      <c r="O145">
        <f>H145*N145</f>
        <v>152590686.82615227</v>
      </c>
      <c r="R145">
        <f>Analisa!F$217</f>
        <v>1223775</v>
      </c>
      <c r="S145">
        <f>Analisa!G$217</f>
        <v>1250000</v>
      </c>
      <c r="T145">
        <f>Analisa!H$217</f>
        <v>90000</v>
      </c>
      <c r="V145">
        <f>'REKAP Plat'!U22</f>
        <v>8.004115755504392</v>
      </c>
      <c r="W145">
        <f>Analisa!$F$153</f>
        <v>96024.30555555556</v>
      </c>
      <c r="X145">
        <f>Analisa!$H$153</f>
        <v>35315.0720164609</v>
      </c>
      <c r="Z145">
        <f>'REKAP Plat'!V22</f>
        <v>109.74613333333335</v>
      </c>
      <c r="AA145">
        <f>Analisa!$F$233</f>
        <v>10442.5</v>
      </c>
      <c r="AF145">
        <f>R145+V145*W145+Z145*AA145</f>
        <v>3138388.6543419235</v>
      </c>
      <c r="AG145">
        <f>S145</f>
        <v>1250000</v>
      </c>
      <c r="AH145">
        <f>T145+V145*X145</f>
        <v>372665.924333727</v>
      </c>
    </row>
    <row r="147">
      <c r="A147">
        <v>2</v>
      </c>
      <c r="B147" t="str">
        <v>Balok (Readymix K-350) :</v>
      </c>
      <c r="C147" t="str">
        <v xml:space="preserve"> </v>
      </c>
      <c r="AJ147">
        <f>SUMPRODUCT(H148:H155,V148:V155)</f>
        <v>187.7165</v>
      </c>
      <c r="AL147">
        <f>SUMPRODUCT(H148:H155,Z148:Z155)</f>
        <v>4575.412506186</v>
      </c>
      <c r="AM147" t="str">
        <v>v</v>
      </c>
    </row>
    <row r="148">
      <c r="B148" t="str">
        <f>CONCATENATE(" - Balok ",G148)</f>
        <v xml:space="preserve"> - Balok B4-1</v>
      </c>
      <c r="C148" t="str">
        <v>m3</v>
      </c>
      <c r="D148">
        <f>H148*'REKAP RAB'!$K$3</f>
        <v>0.572</v>
      </c>
      <c r="E148">
        <f>N148*'REKAP RAB'!$O$5</f>
        <v>11615648.79726244</v>
      </c>
      <c r="F148">
        <f>D148*E148</f>
        <v>6644151.112034115</v>
      </c>
      <c r="G148" t="str">
        <v>B4-1</v>
      </c>
      <c r="H148">
        <f>'REKAP Balok'!G288</f>
        <v>0.572</v>
      </c>
      <c r="I148">
        <f>AF148</f>
        <v>7599512.755934266</v>
      </c>
      <c r="J148">
        <f>AG148</f>
        <v>1500000</v>
      </c>
      <c r="K148">
        <f>AH148</f>
        <v>1001051.4155982906</v>
      </c>
      <c r="N148">
        <f>SUM(I148:M148)</f>
        <v>10100564.171532556</v>
      </c>
      <c r="O148">
        <f>H148*N148</f>
        <v>5777522.706116621</v>
      </c>
      <c r="R148">
        <f>Analisa!$F$201</f>
        <v>1223775</v>
      </c>
      <c r="S148">
        <f>Analisa!$G$201</f>
        <v>1500000</v>
      </c>
      <c r="T148">
        <f>Analisa!$H$201</f>
        <v>90000</v>
      </c>
      <c r="V148">
        <f>'REKAP Balok'!W288</f>
        <v>17.884615384615387</v>
      </c>
      <c r="W148">
        <f>Analisa!$F$143</f>
        <v>284712.5</v>
      </c>
      <c r="X148">
        <f>Analisa!$H$143</f>
        <v>50940.509259259255</v>
      </c>
      <c r="Z148">
        <f>'REKAP Balok'!X288</f>
        <v>122.93648055944057</v>
      </c>
      <c r="AA148">
        <f>Analisa!$F$233</f>
        <v>10442.5</v>
      </c>
      <c r="AF148">
        <f>R148+V148*W148+Z148*AA148</f>
        <v>7599512.755934266</v>
      </c>
      <c r="AG148">
        <f>S148</f>
        <v>1500000</v>
      </c>
      <c r="AH148">
        <f>T148+V148*X148</f>
        <v>1001051.4155982906</v>
      </c>
    </row>
    <row r="149">
      <c r="B149" t="str">
        <f>CONCATENATE(" - Balok ",G149)</f>
        <v xml:space="preserve"> - Balok B23-1</v>
      </c>
      <c r="C149" t="str">
        <v>m3</v>
      </c>
      <c r="D149">
        <f>H149*'REKAP RAB'!$K$3</f>
        <v>0.2952</v>
      </c>
      <c r="E149">
        <f>N149*'REKAP RAB'!$O$5</f>
        <v>11684957.833742611</v>
      </c>
      <c r="F149">
        <f>D149*E149</f>
        <v>3449399.552520819</v>
      </c>
      <c r="G149" t="str">
        <v>B23-1</v>
      </c>
      <c r="H149">
        <f>'REKAP Balok'!G290</f>
        <v>0.2952</v>
      </c>
      <c r="I149">
        <f>AF149</f>
        <v>8061427.806314025</v>
      </c>
      <c r="J149">
        <f>AG149</f>
        <v>1500000</v>
      </c>
      <c r="K149">
        <f>AH149</f>
        <v>599405.0925925926</v>
      </c>
      <c r="N149">
        <f>SUM(I149:M149)</f>
        <v>10160832.898906618</v>
      </c>
      <c r="O149">
        <f>H149*N149</f>
        <v>2999477.871757234</v>
      </c>
      <c r="R149">
        <f>Analisa!$F$201</f>
        <v>1223775</v>
      </c>
      <c r="S149">
        <f>Analisa!$G$201</f>
        <v>1500000</v>
      </c>
      <c r="T149">
        <f>Analisa!$H$201</f>
        <v>90000</v>
      </c>
      <c r="V149">
        <f>'REKAP Balok'!W290</f>
        <v>10</v>
      </c>
      <c r="W149">
        <f>Analisa!$F$143</f>
        <v>284712.5</v>
      </c>
      <c r="X149">
        <f>Analisa!$H$143</f>
        <v>50940.509259259255</v>
      </c>
      <c r="Z149">
        <f>'REKAP Balok'!X290</f>
        <v>382.1429548780488</v>
      </c>
      <c r="AA149">
        <f>Analisa!$F$233</f>
        <v>10442.5</v>
      </c>
      <c r="AF149">
        <f>R149+V149*W149+Z149*AA149</f>
        <v>8061427.806314025</v>
      </c>
      <c r="AG149">
        <f>S149</f>
        <v>1500000</v>
      </c>
      <c r="AH149">
        <f>T149+V149*X149</f>
        <v>599405.0925925926</v>
      </c>
    </row>
    <row r="150">
      <c r="B150" t="str">
        <f>CONCATENATE(" - Balok ",G150)</f>
        <v xml:space="preserve"> - Balok B24-1</v>
      </c>
      <c r="C150" t="str">
        <v>m3</v>
      </c>
      <c r="D150">
        <f>H150*'REKAP RAB'!$K$3</f>
        <v>2.7522</v>
      </c>
      <c r="E150">
        <f>N150*'REKAP RAB'!$O$5</f>
        <v>9995237.982218938</v>
      </c>
      <c r="F150">
        <f>D150*E150</f>
        <v>27508893.974662963</v>
      </c>
      <c r="G150" t="str">
        <v>B24-1</v>
      </c>
      <c r="H150">
        <f>'REKAP Balok'!G291</f>
        <v>2.7522</v>
      </c>
      <c r="I150">
        <f>AF150</f>
        <v>6537263.986811868</v>
      </c>
      <c r="J150">
        <f>AG150</f>
        <v>1500000</v>
      </c>
      <c r="K150">
        <f>AH150</f>
        <v>654247.3020741655</v>
      </c>
      <c r="N150">
        <f>SUM(I150:M150)</f>
        <v>8691511.288886033</v>
      </c>
      <c r="O150">
        <f>H150*N150</f>
        <v>23920777.369272143</v>
      </c>
      <c r="R150">
        <f>Analisa!$F$201</f>
        <v>1223775</v>
      </c>
      <c r="S150">
        <f>Analisa!$G$201</f>
        <v>1500000</v>
      </c>
      <c r="T150">
        <f>Analisa!$H$201</f>
        <v>90000</v>
      </c>
      <c r="V150">
        <f>'REKAP Balok'!W291</f>
        <v>11.076593270837876</v>
      </c>
      <c r="W150">
        <f>Analisa!$F$143</f>
        <v>284712.5</v>
      </c>
      <c r="X150">
        <f>Analisa!$H$143</f>
        <v>50940.509259259255</v>
      </c>
      <c r="Z150">
        <f>'REKAP Balok'!X291</f>
        <v>206.83212115761935</v>
      </c>
      <c r="AA150">
        <f>Analisa!$F$233</f>
        <v>10442.5</v>
      </c>
      <c r="AF150">
        <f>R150+V150*W150+Z150*AA150</f>
        <v>6537263.986811868</v>
      </c>
      <c r="AG150">
        <f>S150</f>
        <v>1500000</v>
      </c>
      <c r="AH150">
        <f>T150+V150*X150</f>
        <v>654247.3020741655</v>
      </c>
    </row>
    <row r="151">
      <c r="B151" t="str">
        <f>CONCATENATE(" - Balok ",G151)</f>
        <v xml:space="preserve"> - Balok B24-2</v>
      </c>
      <c r="C151" t="str">
        <v>m3</v>
      </c>
      <c r="D151">
        <f>H151*'REKAP RAB'!$K$3</f>
        <v>1.0412499999999998</v>
      </c>
      <c r="E151">
        <f>N151*'REKAP RAB'!$O$5</f>
        <v>10746321.917173157</v>
      </c>
      <c r="F151">
        <f>D151*E151</f>
        <v>11189607.696256546</v>
      </c>
      <c r="G151" t="str">
        <v>B24-2</v>
      </c>
      <c r="H151">
        <f>'REKAP Balok'!G292</f>
        <v>1.0412499999999998</v>
      </c>
      <c r="I151">
        <f>AF151</f>
        <v>7245222.661471022</v>
      </c>
      <c r="J151">
        <f>AG151</f>
        <v>1500000</v>
      </c>
      <c r="K151">
        <f>AH151</f>
        <v>599405.0925925928</v>
      </c>
      <c r="N151">
        <f>SUM(I151:M151)</f>
        <v>9344627.754063616</v>
      </c>
      <c r="O151">
        <f>H151*N151</f>
        <v>9730093.648918739</v>
      </c>
      <c r="R151">
        <f>Analisa!$F$201</f>
        <v>1223775</v>
      </c>
      <c r="S151">
        <f>Analisa!$G$201</f>
        <v>1500000</v>
      </c>
      <c r="T151">
        <f>Analisa!$H$201</f>
        <v>90000</v>
      </c>
      <c r="V151">
        <f>'REKAP Balok'!W292</f>
        <v>10.000000000000004</v>
      </c>
      <c r="W151">
        <f>Analisa!$F$143</f>
        <v>284712.5</v>
      </c>
      <c r="X151">
        <f>Analisa!$H$143</f>
        <v>50940.509259259255</v>
      </c>
      <c r="Z151">
        <f>'REKAP Balok'!X292</f>
        <v>303.98110236734703</v>
      </c>
      <c r="AA151">
        <f>Analisa!$F$233</f>
        <v>10442.5</v>
      </c>
      <c r="AF151">
        <f>R151+V151*W151+Z151*AA151</f>
        <v>7245222.661471022</v>
      </c>
      <c r="AG151">
        <f>S151</f>
        <v>1500000</v>
      </c>
      <c r="AH151">
        <f>T151+V151*X151</f>
        <v>599405.0925925928</v>
      </c>
    </row>
    <row r="152">
      <c r="B152" t="str">
        <f>CONCATENATE(" - Balok ",G152)</f>
        <v xml:space="preserve"> - Balok CL24-1</v>
      </c>
      <c r="C152" t="str">
        <v>m3</v>
      </c>
      <c r="D152">
        <f>H152*'REKAP RAB'!$K$3</f>
        <v>0.7932499999999999</v>
      </c>
      <c r="E152">
        <f>N152*'REKAP RAB'!$O$5</f>
        <v>11344326.6643897</v>
      </c>
      <c r="F152">
        <f>D152*E152</f>
        <v>8998887.126527129</v>
      </c>
      <c r="G152" t="str">
        <v>CL24-1</v>
      </c>
      <c r="H152">
        <f>'REKAP Balok'!G293</f>
        <v>0.7932499999999999</v>
      </c>
      <c r="I152">
        <f>AF152</f>
        <v>7765226.789485408</v>
      </c>
      <c r="J152">
        <f>AG152</f>
        <v>1500000</v>
      </c>
      <c r="K152">
        <f>AH152</f>
        <v>599405.0925925926</v>
      </c>
      <c r="N152">
        <f>SUM(I152:M152)</f>
        <v>9864631.882078001</v>
      </c>
      <c r="O152">
        <f>H152*N152</f>
        <v>7825119.240458374</v>
      </c>
      <c r="R152">
        <f>Analisa!$F$201</f>
        <v>1223775</v>
      </c>
      <c r="S152">
        <f>Analisa!$G$201</f>
        <v>1500000</v>
      </c>
      <c r="T152">
        <f>Analisa!$H$201</f>
        <v>90000</v>
      </c>
      <c r="V152">
        <f>'REKAP Balok'!W293</f>
        <v>10</v>
      </c>
      <c r="W152">
        <f>Analisa!$F$143</f>
        <v>284712.5</v>
      </c>
      <c r="X152">
        <f>Analisa!$H$143</f>
        <v>50940.509259259255</v>
      </c>
      <c r="Z152">
        <f>'REKAP Balok'!X293</f>
        <v>353.7780023447841</v>
      </c>
      <c r="AA152">
        <f>Analisa!$F$233</f>
        <v>10442.5</v>
      </c>
      <c r="AF152">
        <f>R152+V152*W152+Z152*AA152</f>
        <v>7765226.789485408</v>
      </c>
      <c r="AG152">
        <f>S152</f>
        <v>1500000</v>
      </c>
      <c r="AH152">
        <f>T152+V152*X152</f>
        <v>599405.0925925926</v>
      </c>
    </row>
    <row r="153">
      <c r="B153" t="str">
        <f>CONCATENATE(" - Balok ",G153)</f>
        <v xml:space="preserve"> - Balok B25-1</v>
      </c>
      <c r="C153" t="str">
        <v>m3</v>
      </c>
      <c r="D153">
        <f>H153*'REKAP RAB'!$K$3</f>
        <v>6.7695500000000015</v>
      </c>
      <c r="E153">
        <f>N153*'REKAP RAB'!$O$5</f>
        <v>10272741.677966965</v>
      </c>
      <c r="F153">
        <f>D153*E153</f>
        <v>69541838.42608128</v>
      </c>
      <c r="G153" t="str">
        <v>B25-1</v>
      </c>
      <c r="H153">
        <f>'REKAP Balok'!G294</f>
        <v>6.7695500000000015</v>
      </c>
      <c r="I153">
        <f>AF153</f>
        <v>6817874.740948183</v>
      </c>
      <c r="J153">
        <f>AG153</f>
        <v>1500000</v>
      </c>
      <c r="K153">
        <f>AH153</f>
        <v>614944.1094578746</v>
      </c>
      <c r="N153">
        <f>SUM(I153:M153)</f>
        <v>8932818.850406058</v>
      </c>
      <c r="O153">
        <f>H153*N153</f>
        <v>60471163.84876634</v>
      </c>
      <c r="R153">
        <f>Analisa!$F$201</f>
        <v>1223775</v>
      </c>
      <c r="S153">
        <f>Analisa!$G$201</f>
        <v>1500000</v>
      </c>
      <c r="T153">
        <f>Analisa!$H$201</f>
        <v>90000</v>
      </c>
      <c r="V153">
        <f>'REKAP Balok'!W294</f>
        <v>10.305042432658004</v>
      </c>
      <c r="W153">
        <f>Analisa!$F$143</f>
        <v>284712.5</v>
      </c>
      <c r="X153">
        <f>Analisa!$H$143</f>
        <v>50940.509259259255</v>
      </c>
      <c r="Z153">
        <f>'REKAP Balok'!X294</f>
        <v>254.74027745655172</v>
      </c>
      <c r="AA153">
        <f>Analisa!$F$233</f>
        <v>10442.5</v>
      </c>
      <c r="AF153">
        <f>R153+V153*W153+Z153*AA153</f>
        <v>6817874.740948183</v>
      </c>
      <c r="AG153">
        <f>S153</f>
        <v>1500000</v>
      </c>
      <c r="AH153">
        <f>T153+V153*X153</f>
        <v>614944.1094578746</v>
      </c>
    </row>
    <row r="154">
      <c r="B154" t="str">
        <f>CONCATENATE(" - Balok ",G154)</f>
        <v xml:space="preserve"> - Balok B26-1</v>
      </c>
      <c r="C154" t="str">
        <v>m3</v>
      </c>
      <c r="D154">
        <f>H154*'REKAP RAB'!$K$3</f>
        <v>2.72025</v>
      </c>
      <c r="E154">
        <f>N154*'REKAP RAB'!$O$5</f>
        <v>9956016.27963354</v>
      </c>
      <c r="F154">
        <f>D154*E154</f>
        <v>27082853.28467314</v>
      </c>
      <c r="G154" t="str">
        <v>B26-1</v>
      </c>
      <c r="H154">
        <f>'REKAP Balok'!G295</f>
        <v>2.72025</v>
      </c>
      <c r="I154">
        <f>AF154</f>
        <v>6558000.367958313</v>
      </c>
      <c r="J154">
        <f>AG154</f>
        <v>1500000</v>
      </c>
      <c r="K154">
        <f>AH154</f>
        <v>599405.0925925925</v>
      </c>
      <c r="N154">
        <f>SUM(I154:M154)</f>
        <v>8657405.460550906</v>
      </c>
      <c r="O154">
        <f>H154*N154</f>
        <v>23550307.2040636</v>
      </c>
      <c r="R154">
        <f>Analisa!$F$201</f>
        <v>1223775</v>
      </c>
      <c r="S154">
        <f>Analisa!$G$201</f>
        <v>1500000</v>
      </c>
      <c r="T154">
        <f>Analisa!$H$201</f>
        <v>90000</v>
      </c>
      <c r="V154">
        <f>'REKAP Balok'!W295</f>
        <v>9.999999999999998</v>
      </c>
      <c r="W154">
        <f>Analisa!$F$143</f>
        <v>284712.5</v>
      </c>
      <c r="X154">
        <f>Analisa!$H$143</f>
        <v>50940.509259259255</v>
      </c>
      <c r="Z154">
        <f>'REKAP Balok'!X295</f>
        <v>238.17097131513648</v>
      </c>
      <c r="AA154">
        <f>Analisa!$F$233</f>
        <v>10442.5</v>
      </c>
      <c r="AF154">
        <f>R154+V154*W154+Z154*AA154</f>
        <v>6558000.367958313</v>
      </c>
      <c r="AG154">
        <f>S154</f>
        <v>1500000</v>
      </c>
      <c r="AH154">
        <f>T154+V154*X154</f>
        <v>599405.0925925925</v>
      </c>
    </row>
    <row r="155">
      <c r="B155" t="str">
        <f>CONCATENATE(" - Balok ",G155)</f>
        <v xml:space="preserve"> - Balok B36-1</v>
      </c>
      <c r="C155" t="str">
        <v>m3</v>
      </c>
      <c r="D155">
        <f>H155*'REKAP RAB'!$K$3</f>
        <v>4.311225</v>
      </c>
      <c r="E155">
        <f>N155*'REKAP RAB'!$O$5</f>
        <v>8186665.181620711</v>
      </c>
      <c r="F155">
        <f>D155*E155</f>
        <v>35294555.59763275</v>
      </c>
      <c r="G155" t="str">
        <v>B36-1</v>
      </c>
      <c r="H155">
        <f>'REKAP Balok'!G297</f>
        <v>4.311225</v>
      </c>
      <c r="I155">
        <f>AF155</f>
        <v>5189235.893304108</v>
      </c>
      <c r="J155">
        <f>AG155</f>
        <v>1500000</v>
      </c>
      <c r="K155">
        <f>AH155</f>
        <v>429603.39506172837</v>
      </c>
      <c r="N155">
        <f>SUM(I155:M155)</f>
        <v>7118839.288365836</v>
      </c>
      <c r="O155">
        <f>H155*N155</f>
        <v>30690917.910985004</v>
      </c>
      <c r="R155">
        <f>Analisa!$F$201</f>
        <v>1223775</v>
      </c>
      <c r="S155">
        <f>Analisa!$G$201</f>
        <v>1500000</v>
      </c>
      <c r="T155">
        <f>Analisa!$H$201</f>
        <v>90000</v>
      </c>
      <c r="V155">
        <f>'REKAP Balok'!W297</f>
        <v>6.666666666666667</v>
      </c>
      <c r="W155">
        <f>Analisa!$F$143</f>
        <v>284712.5</v>
      </c>
      <c r="X155">
        <f>Analisa!$H$143</f>
        <v>50940.509259259255</v>
      </c>
      <c r="Z155">
        <f>'REKAP Balok'!X297</f>
        <v>197.97726214706958</v>
      </c>
      <c r="AA155">
        <f>Analisa!$F$233</f>
        <v>10442.5</v>
      </c>
      <c r="AF155">
        <f>R155+V155*W155+Z155*AA155</f>
        <v>5189235.893304108</v>
      </c>
      <c r="AG155">
        <f>S155</f>
        <v>1500000</v>
      </c>
      <c r="AH155">
        <f>T155+V155*X155</f>
        <v>429603.39506172837</v>
      </c>
    </row>
    <row r="157">
      <c r="A157">
        <v>3</v>
      </c>
      <c r="B157" t="str">
        <v>Kolom (Readymix K-350) :</v>
      </c>
      <c r="AJ157">
        <f>SUMPRODUCT(H158:H162,V158:V162)</f>
        <v>236.46000000000004</v>
      </c>
      <c r="AL157">
        <f>SUMPRODUCT(H158:H162,Z158:Z162)</f>
        <v>4052.3514138</v>
      </c>
      <c r="AM157" t="str">
        <v>v</v>
      </c>
    </row>
    <row r="158">
      <c r="B158" t="str">
        <f>CONCATENATE(" - Kolom ",G158)</f>
        <v xml:space="preserve"> - Kolom K4</v>
      </c>
      <c r="C158" t="str">
        <v>m3</v>
      </c>
      <c r="D158">
        <f>H158*'REKAP RAB'!$K$3</f>
        <v>2.686</v>
      </c>
      <c r="E158">
        <f>N158*'REKAP RAB'!$O$5</f>
        <v>9427175.382657705</v>
      </c>
      <c r="F158">
        <f>D158*E158</f>
        <v>25321393.077818595</v>
      </c>
      <c r="G158" t="str">
        <v>K4</v>
      </c>
      <c r="H158">
        <f>'Hasil-Kolom'!F175</f>
        <v>2.686</v>
      </c>
      <c r="I158">
        <f>AF158</f>
        <v>6332543.811006701</v>
      </c>
      <c r="J158">
        <f>AG158</f>
        <v>1600000</v>
      </c>
      <c r="K158">
        <f>AH158</f>
        <v>265000</v>
      </c>
      <c r="N158">
        <f>SUM(I158:M158)</f>
        <v>8197543.811006701</v>
      </c>
      <c r="O158">
        <f>H158*N158</f>
        <v>22018602.676363997</v>
      </c>
      <c r="R158">
        <f>Analisa!$F$193</f>
        <v>1223775</v>
      </c>
      <c r="S158">
        <f>Analisa!$G$193</f>
        <v>1600000</v>
      </c>
      <c r="T158">
        <f>Analisa!$H$193</f>
        <v>265000</v>
      </c>
      <c r="V158">
        <f>'Hasil-Kolom'!V175</f>
        <v>16.764705882352942</v>
      </c>
      <c r="W158">
        <f>Analisa!$F$132</f>
        <v>130953.94736842104</v>
      </c>
      <c r="Z158">
        <f>'Hasil-Kolom'!W175</f>
        <v>278.99108443782575</v>
      </c>
      <c r="AA158">
        <f>Analisa!$F$233</f>
        <v>10442.5</v>
      </c>
      <c r="AF158">
        <f>R158+V158*W158+Z158*AA158</f>
        <v>6332543.811006701</v>
      </c>
      <c r="AG158">
        <f>S158</f>
        <v>1600000</v>
      </c>
      <c r="AH158">
        <f>T158+V158*X158</f>
        <v>265000</v>
      </c>
    </row>
    <row r="159">
      <c r="B159" t="str">
        <f>CONCATENATE(" - Kolom ",G159)</f>
        <v xml:space="preserve"> - Kolom K5</v>
      </c>
      <c r="C159" t="str">
        <v>m3</v>
      </c>
      <c r="D159">
        <f>H159*'REKAP RAB'!$K$3</f>
        <v>4.2075</v>
      </c>
      <c r="E159">
        <f>N159*'REKAP RAB'!$O$5</f>
        <v>9602751.908889256</v>
      </c>
      <c r="F159">
        <f>D159*E159</f>
        <v>40403578.65665154</v>
      </c>
      <c r="G159" t="str">
        <v>K5</v>
      </c>
      <c r="H159">
        <f>'Hasil-Kolom'!F176</f>
        <v>4.2075</v>
      </c>
      <c r="I159">
        <f>AF159</f>
        <v>6485219.05120805</v>
      </c>
      <c r="J159">
        <f>AG159</f>
        <v>1600000</v>
      </c>
      <c r="K159">
        <f>AH159</f>
        <v>265000</v>
      </c>
      <c r="N159">
        <f>SUM(I159:M159)</f>
        <v>8350219.05120805</v>
      </c>
      <c r="O159">
        <f>H159*N159</f>
        <v>35133546.65795787</v>
      </c>
      <c r="R159">
        <f>Analisa!$F$193</f>
        <v>1223775</v>
      </c>
      <c r="S159">
        <f>Analisa!$G$193</f>
        <v>1600000</v>
      </c>
      <c r="T159">
        <f>Analisa!$H$193</f>
        <v>265000</v>
      </c>
      <c r="V159">
        <f>'Hasil-Kolom'!V176</f>
        <v>15.764705882352942</v>
      </c>
      <c r="W159">
        <f>Analisa!$F$132</f>
        <v>130953.94736842104</v>
      </c>
      <c r="Z159">
        <f>'Hasil-Kolom'!W176</f>
        <v>306.15212705882357</v>
      </c>
      <c r="AA159">
        <f>Analisa!$F$233</f>
        <v>10442.5</v>
      </c>
      <c r="AF159">
        <f>R159+V159*W159+Z159*AA159</f>
        <v>6485219.05120805</v>
      </c>
      <c r="AG159">
        <f>S159</f>
        <v>1600000</v>
      </c>
      <c r="AH159">
        <f>T159+V159*X159</f>
        <v>265000</v>
      </c>
    </row>
    <row r="160">
      <c r="B160" t="str">
        <f>CONCATENATE(" - Kolom ",G160)</f>
        <v xml:space="preserve"> - Kolom K6</v>
      </c>
      <c r="C160" t="str">
        <v>m3</v>
      </c>
      <c r="D160">
        <f>H160*'REKAP RAB'!$K$3</f>
        <v>1.377</v>
      </c>
      <c r="E160">
        <f>N160*'REKAP RAB'!$O$5</f>
        <v>9473125.816075722</v>
      </c>
      <c r="F160">
        <f>D160*E160</f>
        <v>13044494.24873627</v>
      </c>
      <c r="G160" t="str">
        <v>K6</v>
      </c>
      <c r="H160">
        <f>'Hasil-Kolom'!F177</f>
        <v>1.377</v>
      </c>
      <c r="I160">
        <f>AF160</f>
        <v>6372500.709631063</v>
      </c>
      <c r="J160">
        <f>AG160</f>
        <v>1600000</v>
      </c>
      <c r="K160">
        <f>AH160</f>
        <v>265000</v>
      </c>
      <c r="N160">
        <f>SUM(I160:M160)</f>
        <v>8237500.709631063</v>
      </c>
      <c r="O160">
        <f>H160*N160</f>
        <v>11343038.477161974</v>
      </c>
      <c r="R160">
        <f>Analisa!$F$193</f>
        <v>1223775</v>
      </c>
      <c r="S160">
        <f>Analisa!$G$193</f>
        <v>1600000</v>
      </c>
      <c r="T160">
        <f>Analisa!$H$193</f>
        <v>265000</v>
      </c>
      <c r="V160">
        <f>'Hasil-Kolom'!V177</f>
        <v>15.098039215686274</v>
      </c>
      <c r="W160">
        <f>Analisa!$F$132</f>
        <v>130953.94736842104</v>
      </c>
      <c r="Z160">
        <f>'Hasil-Kolom'!W177</f>
        <v>303.7182549019608</v>
      </c>
      <c r="AA160">
        <f>Analisa!$F$233</f>
        <v>10442.5</v>
      </c>
      <c r="AF160">
        <f>R160+V160*W160+Z160*AA160</f>
        <v>6372500.709631063</v>
      </c>
      <c r="AG160">
        <f>S160</f>
        <v>1600000</v>
      </c>
      <c r="AH160">
        <f>T160+V160*X160</f>
        <v>265000</v>
      </c>
    </row>
    <row r="161">
      <c r="B161" t="str">
        <f>CONCATENATE(" - Kolom ",G161)</f>
        <v xml:space="preserve"> - Kolom K7</v>
      </c>
      <c r="C161" t="str">
        <v>m3</v>
      </c>
      <c r="D161">
        <f>H161*'REKAP RAB'!$K$3</f>
        <v>0.5355</v>
      </c>
      <c r="E161">
        <f>N161*'REKAP RAB'!$O$5</f>
        <v>9010326.232012274</v>
      </c>
      <c r="F161">
        <f>D161*E161</f>
        <v>4825029.697242572</v>
      </c>
      <c r="G161" t="str">
        <v>K7</v>
      </c>
      <c r="H161">
        <f>'Hasil-Kolom'!F178</f>
        <v>0.5355</v>
      </c>
      <c r="I161">
        <f>AF161</f>
        <v>5970066.288706325</v>
      </c>
      <c r="J161">
        <f>AG161</f>
        <v>1600000</v>
      </c>
      <c r="K161">
        <f>AH161</f>
        <v>265000</v>
      </c>
      <c r="N161">
        <f>SUM(I161:M161)</f>
        <v>7835066.288706325</v>
      </c>
      <c r="O161">
        <f>H161*N161</f>
        <v>4195677.997602236</v>
      </c>
      <c r="R161">
        <f>Analisa!$F$193</f>
        <v>1223775</v>
      </c>
      <c r="S161">
        <f>Analisa!$G$193</f>
        <v>1600000</v>
      </c>
      <c r="T161">
        <f>Analisa!$H$193</f>
        <v>265000</v>
      </c>
      <c r="V161">
        <f>'Hasil-Kolom'!V178</f>
        <v>14.6218487394958</v>
      </c>
      <c r="W161">
        <f>Analisa!$F$132</f>
        <v>130953.94736842104</v>
      </c>
      <c r="Z161">
        <f>'Hasil-Kolom'!W178</f>
        <v>271.1517815126051</v>
      </c>
      <c r="AA161">
        <f>Analisa!$F$233</f>
        <v>10442.5</v>
      </c>
      <c r="AF161">
        <f>R161+V161*W161+Z161*AA161</f>
        <v>5970066.288706325</v>
      </c>
      <c r="AG161">
        <f>S161</f>
        <v>1600000</v>
      </c>
      <c r="AH161">
        <f>T161+V161*X161</f>
        <v>265000</v>
      </c>
    </row>
    <row r="162">
      <c r="B162" t="str">
        <f>CONCATENATE(" - Kolom ",G162)</f>
        <v xml:space="preserve"> - Kolom KL55</v>
      </c>
      <c r="C162" t="str">
        <v>m3</v>
      </c>
      <c r="D162">
        <f>H162*'REKAP RAB'!$K$3</f>
        <v>6.119999999999999</v>
      </c>
      <c r="E162">
        <f>N162*'REKAP RAB'!$O$5</f>
        <v>8774244.420816317</v>
      </c>
      <c r="F162">
        <f>D162*E162</f>
        <v>53698375.85539585</v>
      </c>
      <c r="G162" t="str">
        <v>KL55</v>
      </c>
      <c r="H162">
        <f>'Hasil-Kolom'!F180</f>
        <v>6.119999999999999</v>
      </c>
      <c r="I162">
        <f>AF162</f>
        <v>5764777.75723158</v>
      </c>
      <c r="J162">
        <f>AG162</f>
        <v>1600000</v>
      </c>
      <c r="K162">
        <f>AH162</f>
        <v>265000</v>
      </c>
      <c r="N162">
        <f>SUM(I162:M162)</f>
        <v>7629777.75723158</v>
      </c>
      <c r="O162">
        <f>H162*N162</f>
        <v>46694239.87425727</v>
      </c>
      <c r="R162">
        <f>Analisa!$F$193</f>
        <v>1223775</v>
      </c>
      <c r="S162">
        <f>Analisa!$G$193</f>
        <v>1600000</v>
      </c>
      <c r="T162">
        <f>Analisa!$H$193</f>
        <v>265000</v>
      </c>
      <c r="V162">
        <f>'Hasil-Kolom'!V180</f>
        <v>15.764705882352944</v>
      </c>
      <c r="W162">
        <f>Analisa!$F$132</f>
        <v>130953.94736842104</v>
      </c>
      <c r="Z162">
        <f>'Hasil-Kolom'!W180</f>
        <v>237.16086117647066</v>
      </c>
      <c r="AA162">
        <f>Analisa!$F$233</f>
        <v>10442.5</v>
      </c>
      <c r="AF162">
        <f>R162+V162*W162+Z162*AA162</f>
        <v>5764777.75723158</v>
      </c>
      <c r="AG162">
        <f>S162</f>
        <v>1600000</v>
      </c>
      <c r="AH162">
        <f>T162+V162*X162</f>
        <v>265000</v>
      </c>
    </row>
    <row r="164">
      <c r="A164">
        <v>5</v>
      </c>
      <c r="B164" t="str">
        <v>Dinding Beton (Readymix K-350) :</v>
      </c>
      <c r="AJ164" t="e">
        <f>SUMPRODUCT(#REF!,#REF!)</f>
        <v>#REF!</v>
      </c>
      <c r="AL164" t="e">
        <f>SUMPRODUCT(#REF!,#REF!)</f>
        <v>#REF!</v>
      </c>
      <c r="AM164" t="str">
        <v>v</v>
      </c>
    </row>
    <row r="165">
      <c r="B165" t="str">
        <v xml:space="preserve"> - Dinding Pagar Alas</v>
      </c>
      <c r="C165" t="str">
        <v>m3</v>
      </c>
      <c r="D165">
        <f>H165*'REKAP RAB'!$K$3</f>
        <v>11.139000000000001</v>
      </c>
      <c r="E165">
        <f>N165*'REKAP RAB'!$O$5</f>
        <v>4949654.34738818</v>
      </c>
      <c r="F165">
        <f>D165*E165</f>
        <v>55134199.775556944</v>
      </c>
      <c r="H165">
        <f>'Retaining Wall'!C167</f>
        <v>11.139000000000001</v>
      </c>
      <c r="I165">
        <f>AF165</f>
        <v>2889047.258598418</v>
      </c>
      <c r="J165">
        <f>AG165</f>
        <v>1200000</v>
      </c>
      <c r="K165">
        <f>AH165</f>
        <v>215000</v>
      </c>
      <c r="N165">
        <f>SUM(I165:M165)</f>
        <v>4304047.258598418</v>
      </c>
      <c r="O165">
        <f>H165*N165</f>
        <v>47942782.41352778</v>
      </c>
      <c r="R165">
        <f>Analisa!$F$225</f>
        <v>1223775</v>
      </c>
      <c r="S165">
        <f>Analisa!$G$225</f>
        <v>1200000</v>
      </c>
      <c r="T165">
        <f>Analisa!$H$225</f>
        <v>215000</v>
      </c>
      <c r="V165">
        <f>'Retaining Wall'!L167</f>
        <v>10.101445372115988</v>
      </c>
      <c r="W165">
        <f>Analisa!F$162</f>
        <v>106232.63888888889</v>
      </c>
      <c r="Z165">
        <f>'Retaining Wall'!M167</f>
        <v>56.70759493670885</v>
      </c>
      <c r="AA165">
        <f>Analisa!$F$233</f>
        <v>10442.5</v>
      </c>
      <c r="AF165">
        <f>R165+V165*W165+Z165*AA165</f>
        <v>2889047.258598418</v>
      </c>
      <c r="AG165">
        <f>S165</f>
        <v>1200000</v>
      </c>
      <c r="AH165">
        <f>T165+V165*X165</f>
        <v>215000</v>
      </c>
    </row>
    <row r="166">
      <c r="B166" t="str">
        <v xml:space="preserve"> - Dinding tanggulan</v>
      </c>
      <c r="C166" t="str">
        <v>m3</v>
      </c>
      <c r="D166">
        <f>H166*'REKAP RAB'!$K$3</f>
        <v>1.7430000000000003</v>
      </c>
      <c r="E166">
        <f>N166*'REKAP RAB'!$O$5</f>
        <v>8321477.715243512</v>
      </c>
      <c r="F166">
        <f>D166*E166</f>
        <v>14504335.657669444</v>
      </c>
      <c r="H166">
        <f>'Retaining Wall'!C168</f>
        <v>1.7430000000000003</v>
      </c>
      <c r="I166">
        <f>AF166</f>
        <v>5821067.57847262</v>
      </c>
      <c r="J166">
        <f>AG166</f>
        <v>1200000</v>
      </c>
      <c r="K166">
        <f>AH166</f>
        <v>215000</v>
      </c>
      <c r="N166">
        <f>SUM(I166:M166)</f>
        <v>7236067.57847262</v>
      </c>
      <c r="O166">
        <f>H166*N166</f>
        <v>12612465.789277779</v>
      </c>
      <c r="R166">
        <f>Analisa!$F$225</f>
        <v>1223775</v>
      </c>
      <c r="S166">
        <f>Analisa!$G$225</f>
        <v>1200000</v>
      </c>
      <c r="T166">
        <f>Analisa!$H$225</f>
        <v>215000</v>
      </c>
      <c r="V166">
        <f>'Retaining Wall'!L168</f>
        <v>13.333333333333332</v>
      </c>
      <c r="W166">
        <f>Analisa!F$162</f>
        <v>106232.63888888889</v>
      </c>
      <c r="Z166">
        <f>'Retaining Wall'!M168</f>
        <v>304.60688468158344</v>
      </c>
      <c r="AA166">
        <f>Analisa!$F$233</f>
        <v>10442.5</v>
      </c>
      <c r="AF166">
        <f>R166+V166*W166+Z166*AA166</f>
        <v>5821067.57847262</v>
      </c>
      <c r="AG166">
        <f>S166</f>
        <v>1200000</v>
      </c>
      <c r="AH166">
        <f>T166+V166*X166</f>
        <v>215000</v>
      </c>
    </row>
    <row r="167">
      <c r="B167" t="str">
        <v xml:space="preserve"> - Dinding lift</v>
      </c>
      <c r="C167" t="str">
        <v>m3</v>
      </c>
      <c r="D167">
        <f>H167*'REKAP RAB'!$K$3</f>
        <v>3.672</v>
      </c>
      <c r="E167">
        <f>N167*'REKAP RAB'!$O$5</f>
        <v>7853626.628662908</v>
      </c>
      <c r="F167">
        <f>D167*E167</f>
        <v>28838516.9804502</v>
      </c>
      <c r="H167">
        <f>'Retaining Wall'!C174</f>
        <v>3.672</v>
      </c>
      <c r="I167">
        <f>AF167</f>
        <v>5414240.546663399</v>
      </c>
      <c r="J167">
        <f>AG167</f>
        <v>1200000</v>
      </c>
      <c r="K167">
        <f>AH167</f>
        <v>215000</v>
      </c>
      <c r="N167">
        <f>SUM(I167:M167)</f>
        <v>6829240.546663399</v>
      </c>
      <c r="O167">
        <f>H167*N167</f>
        <v>25076971.287348002</v>
      </c>
      <c r="R167">
        <f>Analisa!$F$225</f>
        <v>1223775</v>
      </c>
      <c r="S167">
        <f>Analisa!$G$225</f>
        <v>1200000</v>
      </c>
      <c r="T167">
        <f>Analisa!$H$225</f>
        <v>215000</v>
      </c>
      <c r="V167">
        <f>'Retaining Wall'!L174</f>
        <v>11.764705882352942</v>
      </c>
      <c r="W167">
        <f>Analisa!F$162</f>
        <v>106232.63888888889</v>
      </c>
      <c r="Z167">
        <f>'Retaining Wall'!M174</f>
        <v>281.60591764705885</v>
      </c>
      <c r="AA167">
        <f>Analisa!$F$233</f>
        <v>10442.5</v>
      </c>
      <c r="AF167">
        <f>R167+V167*W167+Z167*AA167</f>
        <v>5414240.546663399</v>
      </c>
      <c r="AG167">
        <f>S167</f>
        <v>1200000</v>
      </c>
      <c r="AH167">
        <f>T167+V167*X167</f>
        <v>215000</v>
      </c>
    </row>
    <row r="169">
      <c r="A169" t="str">
        <v>B</v>
      </c>
      <c r="B169" t="str">
        <v>Pekerjaan Beton Lain - Lain</v>
      </c>
    </row>
    <row r="170">
      <c r="A170">
        <v>1</v>
      </c>
      <c r="B170" t="str">
        <v>Tangga Utama</v>
      </c>
      <c r="C170" t="str">
        <v>m3</v>
      </c>
      <c r="D170">
        <v>0.8570168177777777</v>
      </c>
      <c r="E170">
        <v>8325000.000000001</v>
      </c>
      <c r="F170">
        <f>D170*E170</f>
        <v>7134665.008</v>
      </c>
      <c r="H170">
        <f>(4.5/2*1.325*0.35)+14.557168*0.15*1.3</f>
        <v>3.88208526</v>
      </c>
      <c r="I170">
        <f>R170</f>
        <v>5250000</v>
      </c>
      <c r="J170">
        <f>S170</f>
        <v>2250000</v>
      </c>
      <c r="N170">
        <f>SUM(I170:M170)</f>
        <v>7500000</v>
      </c>
      <c r="O170">
        <f>H170*N170</f>
        <v>29115639.450000003</v>
      </c>
      <c r="R170">
        <f>0.7*7500000</f>
        <v>5250000</v>
      </c>
      <c r="S170">
        <f>0.3*7500000</f>
        <v>2250000</v>
      </c>
      <c r="AF170">
        <f>R170+V170*W170+Z170*AA170</f>
        <v>5250000</v>
      </c>
      <c r="AG170">
        <f>S170</f>
        <v>2250000</v>
      </c>
      <c r="AH170">
        <f>T170+V170*X170</f>
        <v>0</v>
      </c>
    </row>
    <row r="172">
      <c r="A172" t="str">
        <v>Subtotal Pekerjaan Fisik Lantai 2</v>
      </c>
      <c r="F172">
        <f>SUM(F140:F171)</f>
        <v>608094065.5779852</v>
      </c>
      <c r="O172">
        <f>SUM(O140:O170)</f>
        <v>551689031.2499872</v>
      </c>
    </row>
    <row r="174">
      <c r="A174" t="str">
        <v>V</v>
      </c>
      <c r="B174" t="str">
        <v>PEKERJAAN FISIK LANTAI 3</v>
      </c>
    </row>
    <row r="176">
      <c r="A176" t="str">
        <v>A</v>
      </c>
      <c r="B176" t="str">
        <v>Pekerjaan Beton &amp; Pondasi</v>
      </c>
    </row>
    <row r="177">
      <c r="A177">
        <v>1</v>
      </c>
      <c r="B177" t="str">
        <v>Plat lantai (Readymix K-350) :</v>
      </c>
      <c r="AJ177">
        <f>SUMPRODUCT(H178:H178,V178:V178)</f>
        <v>236.81025699999998</v>
      </c>
      <c r="AL177">
        <f>SUMPRODUCT(H178:H178,Z178:Z178)</f>
        <v>3504.91244100944</v>
      </c>
      <c r="AM177" t="str">
        <v>v</v>
      </c>
    </row>
    <row r="178">
      <c r="B178" t="str">
        <v xml:space="preserve"> - Plat lantai - tebal 15 cm, besi D10-200 (2 lapis)</v>
      </c>
      <c r="C178" t="str">
        <v>m3</v>
      </c>
      <c r="D178">
        <f>H178</f>
        <v>31.936546049999997</v>
      </c>
      <c r="E178">
        <f>N178*'REKAP RAB'!$O$5</f>
        <v>5386236.186689119</v>
      </c>
      <c r="F178">
        <f>D178*E178</f>
        <v>172017780.01237342</v>
      </c>
      <c r="H178">
        <f>SUM('REKAP Plat'!G40:G42)</f>
        <v>31.936546049999997</v>
      </c>
      <c r="I178">
        <f>AF178</f>
        <v>3081821.532308046</v>
      </c>
      <c r="J178">
        <f>AG178</f>
        <v>1250000</v>
      </c>
      <c r="K178">
        <f>AH178</f>
        <v>351862.108291188</v>
      </c>
      <c r="N178">
        <f>SUM(I178:M178)</f>
        <v>4683683.640599234</v>
      </c>
      <c r="O178">
        <f>H178*N178</f>
        <v>149580678.27162907</v>
      </c>
      <c r="R178">
        <f>Analisa!F$209</f>
        <v>1223775</v>
      </c>
      <c r="S178">
        <f>Analisa!G$217</f>
        <v>1250000</v>
      </c>
      <c r="T178">
        <f>Analisa!H$217</f>
        <v>90000</v>
      </c>
      <c r="V178">
        <f>'REKAP Plat'!U40</f>
        <v>7.4150240489140185</v>
      </c>
      <c r="W178">
        <f>Analisa!$F$153</f>
        <v>96024.30555555556</v>
      </c>
      <c r="X178">
        <f>Analisa!$H$153</f>
        <v>35315.0720164609</v>
      </c>
      <c r="Z178">
        <f>'REKAP Plat'!V40</f>
        <v>109.74613333333335</v>
      </c>
      <c r="AA178">
        <f>Analisa!$F$233</f>
        <v>10442.5</v>
      </c>
      <c r="AF178">
        <f>R178+V178*W178+Z178*AA178</f>
        <v>3081821.532308046</v>
      </c>
      <c r="AG178">
        <f>S178</f>
        <v>1250000</v>
      </c>
      <c r="AH178">
        <f>T178+V178*X178</f>
        <v>351862.108291188</v>
      </c>
    </row>
    <row r="180">
      <c r="A180">
        <v>2</v>
      </c>
      <c r="B180" t="str">
        <v>Balok (Readymix K-350) :</v>
      </c>
      <c r="C180" t="str">
        <v xml:space="preserve"> </v>
      </c>
      <c r="AJ180">
        <f>SUMPRODUCT(H181:H187,V181:V187)</f>
        <v>215.99360000000001</v>
      </c>
      <c r="AL180">
        <f>SUMPRODUCT(H181:H187,Z181:Z187)</f>
        <v>5327.671909536</v>
      </c>
      <c r="AM180" t="str">
        <v>v</v>
      </c>
    </row>
    <row r="181">
      <c r="B181" t="str">
        <f>CONCATENATE(" - Balok ",G181)</f>
        <v xml:space="preserve"> - Balok B4-1</v>
      </c>
      <c r="C181" t="str">
        <v>m3</v>
      </c>
      <c r="D181">
        <f>H181*'REKAP RAB'!$K$3</f>
        <v>0.9006400000000001</v>
      </c>
      <c r="E181">
        <f>N181*'REKAP RAB'!$O$5</f>
        <v>11628081.923118815</v>
      </c>
      <c r="F181">
        <f>D181*E181</f>
        <v>10472715.703237731</v>
      </c>
      <c r="G181" t="str">
        <v>B4-1</v>
      </c>
      <c r="H181">
        <f>'REKAP Balok'!G305</f>
        <v>0.9006400000000001</v>
      </c>
      <c r="I181">
        <f>AF181</f>
        <v>7610324.169722419</v>
      </c>
      <c r="J181">
        <f>AG181</f>
        <v>1500000</v>
      </c>
      <c r="K181">
        <f>AH181</f>
        <v>1001051.4155982905</v>
      </c>
      <c r="N181">
        <f>SUM(I181:M181)</f>
        <v>10111375.58532071</v>
      </c>
      <c r="O181">
        <f>H181*N181</f>
        <v>9106709.307163244</v>
      </c>
      <c r="R181">
        <f>Analisa!$F$201</f>
        <v>1223775</v>
      </c>
      <c r="S181">
        <f>Analisa!$G$201</f>
        <v>1500000</v>
      </c>
      <c r="T181">
        <f>Analisa!$H$201</f>
        <v>90000</v>
      </c>
      <c r="V181">
        <f>'REKAP Balok'!W305</f>
        <v>17.884615384615383</v>
      </c>
      <c r="W181">
        <f>Analisa!$F$143</f>
        <v>284712.5</v>
      </c>
      <c r="X181">
        <f>Analisa!$H$143</f>
        <v>50940.509259259255</v>
      </c>
      <c r="Z181">
        <f>'REKAP Balok'!X305</f>
        <v>123.97180866939065</v>
      </c>
      <c r="AA181">
        <f>Analisa!$F$233</f>
        <v>10442.5</v>
      </c>
      <c r="AF181">
        <f>R181+V181*W181+Z181*AA181</f>
        <v>7610324.169722419</v>
      </c>
      <c r="AG181">
        <f>S181</f>
        <v>1500000</v>
      </c>
      <c r="AH181">
        <f>T181+V181*X181</f>
        <v>1001051.4155982905</v>
      </c>
    </row>
    <row r="182">
      <c r="B182" t="str">
        <f>CONCATENATE(" - Balok ",G182)</f>
        <v xml:space="preserve"> - Balok B23-1</v>
      </c>
      <c r="C182" t="str">
        <v>m3</v>
      </c>
      <c r="D182">
        <f>H182*'REKAP RAB'!$K$3</f>
        <v>0.2505</v>
      </c>
      <c r="E182">
        <f>N182*'REKAP RAB'!$O$5</f>
        <v>11355177.622694926</v>
      </c>
      <c r="F182">
        <f>D182*E182</f>
        <v>2844471.994485079</v>
      </c>
      <c r="G182" t="str">
        <v>B23-1</v>
      </c>
      <c r="H182">
        <f>'REKAP Balok'!G307</f>
        <v>0.2505</v>
      </c>
      <c r="I182">
        <f>AF182</f>
        <v>7774662.405402995</v>
      </c>
      <c r="J182">
        <f>AG182</f>
        <v>1500000</v>
      </c>
      <c r="K182">
        <f>AH182</f>
        <v>599405.0925925926</v>
      </c>
      <c r="N182">
        <f>SUM(I182:M182)</f>
        <v>9874067.497995589</v>
      </c>
      <c r="O182">
        <f>H182*N182</f>
        <v>2473453.908247895</v>
      </c>
      <c r="R182">
        <f>Analisa!$F$201</f>
        <v>1223775</v>
      </c>
      <c r="S182">
        <f>Analisa!$G$201</f>
        <v>1500000</v>
      </c>
      <c r="T182">
        <f>Analisa!$H$201</f>
        <v>90000</v>
      </c>
      <c r="V182">
        <f>'REKAP Balok'!W307</f>
        <v>10</v>
      </c>
      <c r="W182">
        <f>Analisa!$F$143</f>
        <v>284712.5</v>
      </c>
      <c r="X182">
        <f>Analisa!$H$143</f>
        <v>50940.509259259255</v>
      </c>
      <c r="Z182">
        <f>'REKAP Balok'!X307</f>
        <v>354.68158059880244</v>
      </c>
      <c r="AA182">
        <f>Analisa!$F$233</f>
        <v>10442.5</v>
      </c>
      <c r="AF182">
        <f>R182+V182*W182+Z182*AA182</f>
        <v>7774662.405402995</v>
      </c>
      <c r="AG182">
        <f>S182</f>
        <v>1500000</v>
      </c>
      <c r="AH182">
        <f>T182+V182*X182</f>
        <v>599405.0925925926</v>
      </c>
    </row>
    <row r="183">
      <c r="B183" t="str">
        <f>CONCATENATE(" - Balok ",G183)</f>
        <v xml:space="preserve"> - Balok B24-1</v>
      </c>
      <c r="C183" t="str">
        <v>m3</v>
      </c>
      <c r="D183">
        <f>H183*'REKAP RAB'!$K$3</f>
        <v>1.7806500000000003</v>
      </c>
      <c r="E183">
        <f>N183*'REKAP RAB'!$O$5</f>
        <v>9991466.045727715</v>
      </c>
      <c r="F183">
        <f>D183*E183</f>
        <v>17791304.01432506</v>
      </c>
      <c r="G183" t="str">
        <v>B24-1</v>
      </c>
      <c r="H183">
        <f>'REKAP Balok'!G308</f>
        <v>1.7806500000000003</v>
      </c>
      <c r="I183">
        <f>AF183</f>
        <v>6544169.449253166</v>
      </c>
      <c r="J183">
        <f>AG183</f>
        <v>1500000</v>
      </c>
      <c r="K183">
        <f>AH183</f>
        <v>644061.8948578909</v>
      </c>
      <c r="N183">
        <f>SUM(I183:M183)</f>
        <v>8688231.344111057</v>
      </c>
      <c r="O183">
        <f>H183*N183</f>
        <v>15470699.142891357</v>
      </c>
      <c r="R183">
        <f>Analisa!$F$201</f>
        <v>1223775</v>
      </c>
      <c r="S183">
        <f>Analisa!$G$201</f>
        <v>1500000</v>
      </c>
      <c r="T183">
        <f>Analisa!$H$201</f>
        <v>90000</v>
      </c>
      <c r="V183">
        <f>'REKAP Balok'!W308</f>
        <v>10.876646168533961</v>
      </c>
      <c r="W183">
        <f>Analisa!$F$143</f>
        <v>284712.5</v>
      </c>
      <c r="X183">
        <f>Analisa!$H$143</f>
        <v>50940.509259259255</v>
      </c>
      <c r="Z183">
        <f>'REKAP Balok'!X308</f>
        <v>212.94491998989133</v>
      </c>
      <c r="AA183">
        <f>Analisa!$F$233</f>
        <v>10442.5</v>
      </c>
      <c r="AF183">
        <f>R183+V183*W183+Z183*AA183</f>
        <v>6544169.449253166</v>
      </c>
      <c r="AG183">
        <f>S183</f>
        <v>1500000</v>
      </c>
      <c r="AH183">
        <f>T183+V183*X183</f>
        <v>644061.8948578909</v>
      </c>
    </row>
    <row r="184">
      <c r="B184" t="str">
        <f>CONCATENATE(" - Balok ",G184)</f>
        <v xml:space="preserve"> - Balok B24-2</v>
      </c>
      <c r="C184" t="str">
        <v>m3</v>
      </c>
      <c r="D184">
        <f>H184*'REKAP RAB'!$K$3</f>
        <v>2.49125</v>
      </c>
      <c r="E184">
        <f>N184*'REKAP RAB'!$O$5</f>
        <v>10669208.273506235</v>
      </c>
      <c r="F184">
        <f>D184*E184</f>
        <v>26579665.111372408</v>
      </c>
      <c r="G184" t="str">
        <v>B24-2</v>
      </c>
      <c r="H184">
        <f>'REKAP Balok'!G309</f>
        <v>2.49125</v>
      </c>
      <c r="I184">
        <f>AF184</f>
        <v>7178167.31915196</v>
      </c>
      <c r="J184">
        <f>AG184</f>
        <v>1500000</v>
      </c>
      <c r="K184">
        <f>AH184</f>
        <v>599405.0925925926</v>
      </c>
      <c r="N184">
        <f>SUM(I184:M184)</f>
        <v>9277572.411744554</v>
      </c>
      <c r="O184">
        <f>H184*N184</f>
        <v>23112752.270758618</v>
      </c>
      <c r="R184">
        <f>Analisa!$F$201</f>
        <v>1223775</v>
      </c>
      <c r="S184">
        <f>Analisa!$G$201</f>
        <v>1500000</v>
      </c>
      <c r="T184">
        <f>Analisa!$H$201</f>
        <v>90000</v>
      </c>
      <c r="V184">
        <f>'REKAP Balok'!W309</f>
        <v>10</v>
      </c>
      <c r="W184">
        <f>Analisa!$F$143</f>
        <v>284712.5</v>
      </c>
      <c r="X184">
        <f>Analisa!$H$143</f>
        <v>50940.509259259255</v>
      </c>
      <c r="Z184">
        <f>'REKAP Balok'!X309</f>
        <v>297.5597145465128</v>
      </c>
      <c r="AA184">
        <f>Analisa!$F$233</f>
        <v>10442.5</v>
      </c>
      <c r="AF184">
        <f>R184+V184*W184+Z184*AA184</f>
        <v>7178167.31915196</v>
      </c>
      <c r="AG184">
        <f>S184</f>
        <v>1500000</v>
      </c>
      <c r="AH184">
        <f>T184+V184*X184</f>
        <v>599405.0925925926</v>
      </c>
    </row>
    <row r="185">
      <c r="B185" t="str">
        <f>CONCATENATE(" - Balok ",G185)</f>
        <v xml:space="preserve"> - Balok CL24-1</v>
      </c>
      <c r="C185" t="str">
        <v>m3</v>
      </c>
      <c r="D185">
        <f>H185*'REKAP RAB'!$K$3</f>
        <v>3.04175</v>
      </c>
      <c r="E185">
        <f>N185*'REKAP RAB'!$O$5</f>
        <v>11273413.267689716</v>
      </c>
      <c r="F185">
        <f>D185*E185</f>
        <v>34290904.80699519</v>
      </c>
      <c r="G185" t="str">
        <v>CL24-1</v>
      </c>
      <c r="H185">
        <f>'REKAP Balok'!G310</f>
        <v>3.04175</v>
      </c>
      <c r="I185">
        <f>AF185</f>
        <v>7697366.537098663</v>
      </c>
      <c r="J185">
        <f>AG185</f>
        <v>1500000</v>
      </c>
      <c r="K185">
        <f>AH185</f>
        <v>605601.5217619608</v>
      </c>
      <c r="N185">
        <f>SUM(I185:M185)</f>
        <v>9802968.058860624</v>
      </c>
      <c r="O185">
        <f>H185*N185</f>
        <v>29818178.093039304</v>
      </c>
      <c r="R185">
        <f>Analisa!$F$201</f>
        <v>1223775</v>
      </c>
      <c r="S185">
        <f>Analisa!$G$201</f>
        <v>1500000</v>
      </c>
      <c r="T185">
        <f>Analisa!$H$201</f>
        <v>90000</v>
      </c>
      <c r="V185">
        <f>'REKAP Balok'!W310</f>
        <v>10.121640502999918</v>
      </c>
      <c r="W185">
        <f>Analisa!$F$143</f>
        <v>284712.5</v>
      </c>
      <c r="X185">
        <f>Analisa!$H$143</f>
        <v>50940.509259259255</v>
      </c>
      <c r="Z185">
        <f>'REKAP Balok'!X310</f>
        <v>343.96303235703124</v>
      </c>
      <c r="AA185">
        <f>Analisa!$F$233</f>
        <v>10442.5</v>
      </c>
      <c r="AF185">
        <f>R185+V185*W185+Z185*AA185</f>
        <v>7697366.537098663</v>
      </c>
      <c r="AG185">
        <f>S185</f>
        <v>1500000</v>
      </c>
      <c r="AH185">
        <f>T185+V185*X185</f>
        <v>605601.5217619608</v>
      </c>
    </row>
    <row r="186">
      <c r="B186" t="str">
        <f>CONCATENATE(" - Balok ",G186)</f>
        <v xml:space="preserve"> - Balok B25-1</v>
      </c>
      <c r="C186" t="str">
        <v>m3</v>
      </c>
      <c r="D186">
        <f>H186*'REKAP RAB'!$K$3</f>
        <v>3.9059999999999997</v>
      </c>
      <c r="E186">
        <f>N186*'REKAP RAB'!$O$5</f>
        <v>10420083.225459557</v>
      </c>
      <c r="F186">
        <f>D186*E186</f>
        <v>40700845.07864503</v>
      </c>
      <c r="G186" t="str">
        <v>B25-1</v>
      </c>
      <c r="H186">
        <f>'REKAP Balok'!G311</f>
        <v>3.9059999999999997</v>
      </c>
      <c r="I186">
        <f>AF186</f>
        <v>6961536.842589632</v>
      </c>
      <c r="J186">
        <f>AG186</f>
        <v>1500000</v>
      </c>
      <c r="K186">
        <f>AH186</f>
        <v>599405.0925925926</v>
      </c>
      <c r="N186">
        <f>SUM(I186:M186)</f>
        <v>9060941.935182225</v>
      </c>
      <c r="O186">
        <f>H186*N186</f>
        <v>35392039.19882177</v>
      </c>
      <c r="R186">
        <f>Analisa!$F$201</f>
        <v>1223775</v>
      </c>
      <c r="S186">
        <f>Analisa!$G$201</f>
        <v>1500000</v>
      </c>
      <c r="T186">
        <f>Analisa!$H$201</f>
        <v>90000</v>
      </c>
      <c r="V186">
        <f>'REKAP Balok'!W311</f>
        <v>10.000000000000002</v>
      </c>
      <c r="W186">
        <f>Analisa!$F$143</f>
        <v>284712.5</v>
      </c>
      <c r="X186">
        <f>Analisa!$H$143</f>
        <v>50940.509259259255</v>
      </c>
      <c r="Z186">
        <f>'REKAP Balok'!X311</f>
        <v>276.8146365898618</v>
      </c>
      <c r="AA186">
        <f>Analisa!$F$233</f>
        <v>10442.5</v>
      </c>
      <c r="AF186">
        <f>R186+V186*W186+Z186*AA186</f>
        <v>6961536.842589632</v>
      </c>
      <c r="AG186">
        <f>S186</f>
        <v>1500000</v>
      </c>
      <c r="AH186">
        <f>T186+V186*X186</f>
        <v>599405.0925925926</v>
      </c>
    </row>
    <row r="187">
      <c r="B187" t="str">
        <f>CONCATENATE(" - Balok ",G187)</f>
        <v xml:space="preserve"> - Balok B26-1</v>
      </c>
      <c r="C187" t="str">
        <v>m3</v>
      </c>
      <c r="D187">
        <f>H187*'REKAP RAB'!$K$3</f>
        <v>8.198850000000002</v>
      </c>
      <c r="E187">
        <f>N187*'REKAP RAB'!$O$5</f>
        <v>9907885.373811016</v>
      </c>
      <c r="F187">
        <f>D187*E187</f>
        <v>81233265.99707046</v>
      </c>
      <c r="G187" t="str">
        <v>B26-1</v>
      </c>
      <c r="H187">
        <f>'REKAP Balok'!G312</f>
        <v>8.198850000000002</v>
      </c>
      <c r="I187">
        <f>AF187</f>
        <v>6508287.798719636</v>
      </c>
      <c r="J187">
        <f>AG187</f>
        <v>1500000</v>
      </c>
      <c r="K187">
        <f>AH187</f>
        <v>607264.7002464661</v>
      </c>
      <c r="N187">
        <f>SUM(I187:M187)</f>
        <v>8615552.498966102</v>
      </c>
      <c r="O187">
        <f>H187*N187</f>
        <v>70637622.60614824</v>
      </c>
      <c r="R187">
        <f>Analisa!$F$201</f>
        <v>1223775</v>
      </c>
      <c r="S187">
        <f>Analisa!$G$201</f>
        <v>1500000</v>
      </c>
      <c r="T187">
        <f>Analisa!$H$201</f>
        <v>90000</v>
      </c>
      <c r="V187">
        <f>'REKAP Balok'!W312</f>
        <v>10.154289930904941</v>
      </c>
      <c r="W187">
        <f>Analisa!$F$143</f>
        <v>284712.5</v>
      </c>
      <c r="X187">
        <f>Analisa!$H$143</f>
        <v>50940.509259259255</v>
      </c>
      <c r="Z187">
        <f>'REKAP Balok'!X312</f>
        <v>229.20368941985762</v>
      </c>
      <c r="AA187">
        <f>Analisa!$F$233</f>
        <v>10442.5</v>
      </c>
      <c r="AF187">
        <f>R187+V187*W187+Z187*AA187</f>
        <v>6508287.798719636</v>
      </c>
      <c r="AG187">
        <f>S187</f>
        <v>1500000</v>
      </c>
      <c r="AH187">
        <f>T187+V187*X187</f>
        <v>607264.7002464661</v>
      </c>
    </row>
    <row r="189">
      <c r="A189">
        <v>3</v>
      </c>
      <c r="B189" t="str">
        <v>Kolom (Readymix K-350) :</v>
      </c>
      <c r="AJ189">
        <f>SUMPRODUCT(H190:H193,V190:V193)</f>
        <v>138.67</v>
      </c>
      <c r="AL189">
        <f>SUMPRODUCT(H190:H193,Z190:Z193)</f>
        <v>2095.3776099600004</v>
      </c>
      <c r="AM189" t="str">
        <v>v</v>
      </c>
    </row>
    <row r="190">
      <c r="B190" t="str">
        <f>CONCATENATE(" - Kolom ",G190)</f>
        <v xml:space="preserve"> - Kolom K1A4</v>
      </c>
      <c r="C190" t="str">
        <v>m3</v>
      </c>
      <c r="D190">
        <f>H190*'REKAP RAB'!$K$3</f>
        <v>1.8199999999999996</v>
      </c>
      <c r="E190">
        <f>N190*'REKAP RAB'!$O$5</f>
        <v>10689095.758179363</v>
      </c>
      <c r="F190">
        <f>D190*E190</f>
        <v>19454154.279886436</v>
      </c>
      <c r="G190" t="str">
        <v>K1A4</v>
      </c>
      <c r="H190">
        <f>'Hasil-Kolom'!F186</f>
        <v>1.8199999999999996</v>
      </c>
      <c r="I190">
        <f>AF190</f>
        <v>7429865.876677706</v>
      </c>
      <c r="J190">
        <f>AG190</f>
        <v>1600000</v>
      </c>
      <c r="K190">
        <f>AH190</f>
        <v>265000</v>
      </c>
      <c r="N190">
        <f>SUM(I190:M190)</f>
        <v>9294865.876677707</v>
      </c>
      <c r="O190">
        <f>H190*N190</f>
        <v>16916655.89555342</v>
      </c>
      <c r="R190">
        <f>Analisa!$F$193</f>
        <v>1223775</v>
      </c>
      <c r="S190">
        <f>Analisa!$G$193</f>
        <v>1600000</v>
      </c>
      <c r="T190">
        <f>Analisa!$H$193</f>
        <v>265000</v>
      </c>
      <c r="V190">
        <f>'Hasil-Kolom'!V186</f>
        <v>20.38461538461539</v>
      </c>
      <c r="W190">
        <f>Analisa!$F$132</f>
        <v>130953.94736842104</v>
      </c>
      <c r="Z190">
        <f>'Hasil-Kolom'!W186</f>
        <v>338.67800109890123</v>
      </c>
      <c r="AA190">
        <f>Analisa!$F$233</f>
        <v>10442.5</v>
      </c>
      <c r="AF190">
        <f>R190+V190*W190+Z190*AA190</f>
        <v>7429865.876677706</v>
      </c>
      <c r="AG190">
        <f>S190</f>
        <v>1600000</v>
      </c>
      <c r="AH190">
        <f>T190+V190*X190</f>
        <v>265000</v>
      </c>
    </row>
    <row r="191">
      <c r="B191" t="str">
        <f>CONCATENATE(" - Kolom ",G191)</f>
        <v xml:space="preserve"> - Kolom K1A5</v>
      </c>
      <c r="C191" t="str">
        <v>m3</v>
      </c>
      <c r="D191">
        <f>H191*'REKAP RAB'!$K$3</f>
        <v>2.275</v>
      </c>
      <c r="E191">
        <f>N191*'REKAP RAB'!$O$5</f>
        <v>9930796.660126882</v>
      </c>
      <c r="F191">
        <f>D191*E191</f>
        <v>22592562.401788656</v>
      </c>
      <c r="G191" t="str">
        <v>K1A5</v>
      </c>
      <c r="H191">
        <f>'Hasil-Kolom'!F187</f>
        <v>2.275</v>
      </c>
      <c r="I191">
        <f>AF191</f>
        <v>6770475.356632073</v>
      </c>
      <c r="J191">
        <f>AG191</f>
        <v>1600000</v>
      </c>
      <c r="K191">
        <f>AH191</f>
        <v>265000</v>
      </c>
      <c r="N191">
        <f>SUM(I191:M191)</f>
        <v>8635475.356632072</v>
      </c>
      <c r="O191">
        <f>H191*N191</f>
        <v>19645706.436337963</v>
      </c>
      <c r="R191">
        <f>Analisa!$F$193</f>
        <v>1223775</v>
      </c>
      <c r="S191">
        <f>Analisa!$G$193</f>
        <v>1600000</v>
      </c>
      <c r="T191">
        <f>Analisa!$H$193</f>
        <v>265000</v>
      </c>
      <c r="V191">
        <f>'Hasil-Kolom'!V187</f>
        <v>19.384615384615383</v>
      </c>
      <c r="W191">
        <f>Analisa!$F$132</f>
        <v>130953.94736842104</v>
      </c>
      <c r="Z191">
        <f>'Hasil-Kolom'!W187</f>
        <v>288.0735890637363</v>
      </c>
      <c r="AA191">
        <f>Analisa!$F$233</f>
        <v>10442.5</v>
      </c>
      <c r="AF191">
        <f>R191+V191*W191+Z191*AA191</f>
        <v>6770475.356632073</v>
      </c>
      <c r="AG191">
        <f>S191</f>
        <v>1600000</v>
      </c>
      <c r="AH191">
        <f>T191+V191*X191</f>
        <v>265000</v>
      </c>
    </row>
    <row r="192">
      <c r="B192" t="str">
        <f>CONCATENATE(" - Kolom ",G192)</f>
        <v xml:space="preserve"> - Kolom K4</v>
      </c>
      <c r="C192" t="str">
        <v>m3</v>
      </c>
      <c r="D192">
        <f>H192*'REKAP RAB'!$K$3</f>
        <v>1.19</v>
      </c>
      <c r="E192">
        <f>N192*'REKAP RAB'!$O$5</f>
        <v>9131886.76278166</v>
      </c>
      <c r="F192">
        <f>D192*E192</f>
        <v>10866945.247710174</v>
      </c>
      <c r="G192" t="str">
        <v>K4</v>
      </c>
      <c r="H192">
        <f>'Hasil-Kolom'!F193</f>
        <v>1.19</v>
      </c>
      <c r="I192">
        <f>AF192</f>
        <v>6075771.098071009</v>
      </c>
      <c r="J192">
        <f>AG192</f>
        <v>1600000</v>
      </c>
      <c r="K192">
        <f>AH192</f>
        <v>265000</v>
      </c>
      <c r="N192">
        <f>SUM(I192:M192)</f>
        <v>7940771.098071009</v>
      </c>
      <c r="O192">
        <f>H192*N192</f>
        <v>9449517.6067045</v>
      </c>
      <c r="R192">
        <f>Analisa!$F$193</f>
        <v>1223775</v>
      </c>
      <c r="S192">
        <f>Analisa!$G$193</f>
        <v>1600000</v>
      </c>
      <c r="T192">
        <f>Analisa!$H$193</f>
        <v>265000</v>
      </c>
      <c r="V192">
        <f>'Hasil-Kolom'!V193</f>
        <v>16.764705882352946</v>
      </c>
      <c r="W192">
        <f>Analisa!$F$132</f>
        <v>130953.94736842104</v>
      </c>
      <c r="Z192">
        <f>'Hasil-Kolom'!W193</f>
        <v>254.4018852100841</v>
      </c>
      <c r="AA192">
        <f>Analisa!$F$233</f>
        <v>10442.5</v>
      </c>
      <c r="AF192">
        <f>R192+V192*W192+Z192*AA192</f>
        <v>6075771.098071009</v>
      </c>
      <c r="AG192">
        <f>S192</f>
        <v>1600000</v>
      </c>
      <c r="AH192">
        <f>T192+V192*X192</f>
        <v>265000</v>
      </c>
    </row>
    <row r="193">
      <c r="B193" t="str">
        <f>CONCATENATE(" - Kolom ",G193)</f>
        <v xml:space="preserve"> - Kolom KL55</v>
      </c>
      <c r="C193" t="str">
        <v>m3</v>
      </c>
      <c r="D193">
        <f>H193*'REKAP RAB'!$K$3</f>
        <v>2.38</v>
      </c>
      <c r="E193">
        <f>N193*'REKAP RAB'!$O$5</f>
        <v>8554427.210709628</v>
      </c>
      <c r="F193">
        <f>D193*E193</f>
        <v>20359536.761488914</v>
      </c>
      <c r="G193" t="str">
        <v>KL55</v>
      </c>
      <c r="H193">
        <f>'Hasil-Kolom'!F198</f>
        <v>2.38</v>
      </c>
      <c r="I193">
        <f>AF193</f>
        <v>5573632.357138807</v>
      </c>
      <c r="J193">
        <f>AG193</f>
        <v>1600000</v>
      </c>
      <c r="K193">
        <f>AH193</f>
        <v>265000</v>
      </c>
      <c r="N193">
        <f>SUM(I193:M193)</f>
        <v>7438632.357138807</v>
      </c>
      <c r="O193">
        <f>H193*N193</f>
        <v>17703945.00999036</v>
      </c>
      <c r="R193">
        <f>Analisa!$F$193</f>
        <v>1223775</v>
      </c>
      <c r="S193">
        <f>Analisa!$G$193</f>
        <v>1600000</v>
      </c>
      <c r="T193">
        <f>Analisa!$H$193</f>
        <v>265000</v>
      </c>
      <c r="V193">
        <f>'Hasil-Kolom'!V198</f>
        <v>15.764705882352944</v>
      </c>
      <c r="W193">
        <f>Analisa!$F$132</f>
        <v>130953.94736842104</v>
      </c>
      <c r="Z193">
        <f>'Hasil-Kolom'!W198</f>
        <v>218.85629808403365</v>
      </c>
      <c r="AA193">
        <f>Analisa!$F$233</f>
        <v>10442.5</v>
      </c>
      <c r="AF193">
        <f>R193+V193*W193+Z193*AA193</f>
        <v>5573632.357138807</v>
      </c>
      <c r="AG193">
        <f>S193</f>
        <v>1600000</v>
      </c>
      <c r="AH193">
        <f>T193+V193*X193</f>
        <v>265000</v>
      </c>
    </row>
    <row r="195">
      <c r="A195">
        <v>5</v>
      </c>
      <c r="B195" t="str">
        <v>Dinding Beton (Readymix K-350) :</v>
      </c>
      <c r="AJ195">
        <f>SUMPRODUCT(H196:H196,V196:V196)</f>
        <v>47.075</v>
      </c>
      <c r="AL195">
        <f>SUMPRODUCT(H196:H196,Z196:Z196)</f>
        <v>121.28096250000002</v>
      </c>
      <c r="AM195" t="str">
        <v>v</v>
      </c>
    </row>
    <row r="196">
      <c r="B196" t="str">
        <v xml:space="preserve"> - Dinding Pagar Alas</v>
      </c>
      <c r="C196" t="str">
        <v>m3</v>
      </c>
      <c r="D196">
        <f>H196*'REKAP RAB'!$K$3</f>
        <v>2.35375</v>
      </c>
      <c r="E196">
        <f>N196*'REKAP RAB'!$O$5</f>
        <v>6096719.605004057</v>
      </c>
      <c r="F196">
        <f>D196*E196</f>
        <v>14350153.7702783</v>
      </c>
      <c r="H196">
        <f>'Retaining Wall'!C169</f>
        <v>2.35375</v>
      </c>
      <c r="I196">
        <f>AF196</f>
        <v>3886495.3086991804</v>
      </c>
      <c r="J196">
        <f>AG196</f>
        <v>1200000</v>
      </c>
      <c r="K196">
        <f>AH196</f>
        <v>215000</v>
      </c>
      <c r="N196">
        <f>SUM(I196:M196)</f>
        <v>5301495.30869918</v>
      </c>
      <c r="O196">
        <f>H196*N196</f>
        <v>12478394.582850695</v>
      </c>
      <c r="R196">
        <f>Analisa!$F$225</f>
        <v>1223775</v>
      </c>
      <c r="S196">
        <f>Analisa!$G$225</f>
        <v>1200000</v>
      </c>
      <c r="T196">
        <f>Analisa!$H$225</f>
        <v>215000</v>
      </c>
      <c r="V196">
        <f>'Retaining Wall'!L169</f>
        <v>20.000000000000004</v>
      </c>
      <c r="W196">
        <f>Analisa!F$162</f>
        <v>106232.63888888889</v>
      </c>
      <c r="Z196">
        <f>'Retaining Wall'!M169</f>
        <v>51.52669676048859</v>
      </c>
      <c r="AA196">
        <f>Analisa!$F$233</f>
        <v>10442.5</v>
      </c>
      <c r="AF196">
        <f>R196+V196*W196+Z196*AA196</f>
        <v>3886495.3086991804</v>
      </c>
      <c r="AG196">
        <f>S196</f>
        <v>1200000</v>
      </c>
      <c r="AH196">
        <f>T196+V196*X196</f>
        <v>215000</v>
      </c>
    </row>
    <row r="197">
      <c r="B197" t="str">
        <v xml:space="preserve"> - Dinding lengkung</v>
      </c>
      <c r="C197" t="str">
        <v>m3</v>
      </c>
      <c r="D197">
        <f>H197*'REKAP RAB'!$K$3</f>
        <v>4.8345</v>
      </c>
      <c r="E197">
        <f>N197*'REKAP RAB'!$O$5</f>
        <v>6250310.847007331</v>
      </c>
      <c r="F197">
        <f>D197*E197</f>
        <v>30217127.789856944</v>
      </c>
      <c r="H197">
        <f>'Retaining Wall'!C170</f>
        <v>4.8345</v>
      </c>
      <c r="I197">
        <f>AF197</f>
        <v>4020052.9104411583</v>
      </c>
      <c r="J197">
        <f>AG197</f>
        <v>1200000</v>
      </c>
      <c r="K197">
        <f>AH197</f>
        <v>215000</v>
      </c>
      <c r="N197">
        <f>SUM(I197:M197)</f>
        <v>5435052.910441158</v>
      </c>
      <c r="O197">
        <f>H197*N197</f>
        <v>26275763.295527782</v>
      </c>
      <c r="R197">
        <f>Analisa!$F$225</f>
        <v>1223775</v>
      </c>
      <c r="S197">
        <f>Analisa!$G$225</f>
        <v>1200000</v>
      </c>
      <c r="T197">
        <f>Analisa!$H$225</f>
        <v>215000</v>
      </c>
      <c r="V197">
        <f>'Retaining Wall'!L170</f>
        <v>13.333333333333332</v>
      </c>
      <c r="W197">
        <f>Analisa!F$162</f>
        <v>106232.63888888889</v>
      </c>
      <c r="Z197">
        <f>'Retaining Wall'!M170</f>
        <v>132.13720136518774</v>
      </c>
      <c r="AA197">
        <f>Analisa!$F$233</f>
        <v>10442.5</v>
      </c>
      <c r="AF197">
        <f>R197+V197*W197+Z197*AA197</f>
        <v>4020052.9104411583</v>
      </c>
      <c r="AG197">
        <f>S197</f>
        <v>1200000</v>
      </c>
      <c r="AH197">
        <f>T197+V197*X197</f>
        <v>215000</v>
      </c>
    </row>
    <row r="198">
      <c r="B198" t="str">
        <v xml:space="preserve"> - Dinding tanggulan</v>
      </c>
      <c r="C198" t="str">
        <v>m3</v>
      </c>
      <c r="D198">
        <f>H198*'REKAP RAB'!$K$3</f>
        <v>0.2775</v>
      </c>
      <c r="E198">
        <f>N198*'REKAP RAB'!$O$5</f>
        <v>8713390.683098096</v>
      </c>
      <c r="F198">
        <f>D198*E198</f>
        <v>2417965.914559722</v>
      </c>
      <c r="H198">
        <f>'Retaining Wall'!C171</f>
        <v>0.2775</v>
      </c>
      <c r="I198">
        <f>AF198</f>
        <v>6161861.463563563</v>
      </c>
      <c r="J198">
        <f>AG198</f>
        <v>1200000</v>
      </c>
      <c r="K198">
        <f>AH198</f>
        <v>215000</v>
      </c>
      <c r="N198">
        <f>SUM(I198:M198)</f>
        <v>7576861.463563563</v>
      </c>
      <c r="O198">
        <f>H198*N198</f>
        <v>2102579.056138889</v>
      </c>
      <c r="R198">
        <f>Analisa!$F$225</f>
        <v>1223775</v>
      </c>
      <c r="S198">
        <f>Analisa!$G$225</f>
        <v>1200000</v>
      </c>
      <c r="T198">
        <f>Analisa!$H$225</f>
        <v>215000</v>
      </c>
      <c r="V198">
        <f>'Retaining Wall'!L171</f>
        <v>13.333333333333332</v>
      </c>
      <c r="W198">
        <f>Analisa!F$162</f>
        <v>106232.63888888889</v>
      </c>
      <c r="Z198">
        <f>'Retaining Wall'!M171</f>
        <v>337.2421621621621</v>
      </c>
      <c r="AA198">
        <f>Analisa!$F$233</f>
        <v>10442.5</v>
      </c>
      <c r="AF198">
        <f>R198+V198*W198+Z198*AA198</f>
        <v>6161861.463563563</v>
      </c>
      <c r="AG198">
        <f>S198</f>
        <v>1200000</v>
      </c>
      <c r="AH198">
        <f>T198+V198*X198</f>
        <v>215000</v>
      </c>
    </row>
    <row r="199">
      <c r="B199" t="str">
        <v xml:space="preserve"> - Dinding lift</v>
      </c>
      <c r="C199" t="str">
        <v>m3</v>
      </c>
      <c r="D199">
        <f>H199*'REKAP RAB'!$K$3</f>
        <v>3.672</v>
      </c>
      <c r="E199">
        <f>N199*'REKAP RAB'!$O$5</f>
        <v>7853626.628662908</v>
      </c>
      <c r="F199">
        <f>D199*E199</f>
        <v>28838516.9804502</v>
      </c>
      <c r="H199">
        <f>'Retaining Wall'!C175</f>
        <v>3.672</v>
      </c>
      <c r="I199">
        <f>AF199</f>
        <v>5414240.546663399</v>
      </c>
      <c r="J199">
        <f>AG199</f>
        <v>1200000</v>
      </c>
      <c r="K199">
        <f>AH199</f>
        <v>215000</v>
      </c>
      <c r="N199">
        <f>SUM(I199:M199)</f>
        <v>6829240.546663399</v>
      </c>
      <c r="O199">
        <f>H199*N199</f>
        <v>25076971.287348002</v>
      </c>
      <c r="R199">
        <f>Analisa!$F$225</f>
        <v>1223775</v>
      </c>
      <c r="S199">
        <f>Analisa!$G$225</f>
        <v>1200000</v>
      </c>
      <c r="T199">
        <f>Analisa!$H$225</f>
        <v>215000</v>
      </c>
      <c r="V199">
        <f>'Retaining Wall'!L175</f>
        <v>11.764705882352942</v>
      </c>
      <c r="W199">
        <f>Analisa!F$162</f>
        <v>106232.63888888889</v>
      </c>
      <c r="Z199">
        <f>'Retaining Wall'!M175</f>
        <v>281.60591764705885</v>
      </c>
      <c r="AA199">
        <f>Analisa!$F$233</f>
        <v>10442.5</v>
      </c>
      <c r="AF199">
        <f>R199+V199*W199+Z199*AA199</f>
        <v>5414240.546663399</v>
      </c>
      <c r="AG199">
        <f>S199</f>
        <v>1200000</v>
      </c>
      <c r="AH199">
        <f>T199+V199*X199</f>
        <v>215000</v>
      </c>
    </row>
    <row r="201">
      <c r="A201" t="str">
        <v>Subtotal Pekerjaan Fisik Lantai 3</v>
      </c>
      <c r="F201">
        <f>SUM(F173:F200)</f>
        <v>535027915.86452377</v>
      </c>
      <c r="O201">
        <f>SUM(O173:O198)</f>
        <v>440164694.681803</v>
      </c>
    </row>
    <row r="203">
      <c r="A203" t="str">
        <v>VI</v>
      </c>
      <c r="B203" t="str">
        <v>PEKERJAAN FISIK LANTAI ATAP</v>
      </c>
    </row>
    <row r="205">
      <c r="A205" t="str">
        <v>A</v>
      </c>
      <c r="B205" t="str">
        <v>Pekerjaan Beton</v>
      </c>
    </row>
    <row r="206">
      <c r="A206">
        <v>1</v>
      </c>
      <c r="B206" t="str">
        <v>Plat lantai (Readymix K-350) :</v>
      </c>
      <c r="AJ206">
        <f>SUMPRODUCT(H207:H207,V207:V207)</f>
        <v>45.939786</v>
      </c>
      <c r="AL206">
        <f>SUMPRODUCT(H207:H207,Z207:Z207)</f>
        <v>668.21461830912</v>
      </c>
      <c r="AM206" t="str">
        <v>v</v>
      </c>
    </row>
    <row r="207">
      <c r="B207" t="str">
        <v xml:space="preserve"> - Plat lantai - tebal 15 cm, besi D10-200 (2 lapis)</v>
      </c>
      <c r="C207" t="str">
        <v>m3</v>
      </c>
      <c r="D207">
        <f>H207</f>
        <v>6.088730400000001</v>
      </c>
      <c r="E207">
        <f>N207*'REKAP RAB'!$O$5</f>
        <v>5405875.608613301</v>
      </c>
      <c r="F207">
        <f>D207*E207</f>
        <v>32914919.156782314</v>
      </c>
      <c r="H207">
        <f>SUM('REKAP Plat'!G48:G49)</f>
        <v>6.088730400000001</v>
      </c>
      <c r="I207">
        <f>AF207</f>
        <v>3094307.3526418274</v>
      </c>
      <c r="J207">
        <f>AG207</f>
        <v>1250000</v>
      </c>
      <c r="K207">
        <f>AH207</f>
        <v>356454.0461523476</v>
      </c>
      <c r="N207">
        <f>SUM(I207:M207)</f>
        <v>4700761.398794175</v>
      </c>
      <c r="O207">
        <f>H207*N207</f>
        <v>28621668.831984624</v>
      </c>
      <c r="R207">
        <f>Analisa!F$217</f>
        <v>1223775</v>
      </c>
      <c r="S207">
        <f>Analisa!G$217</f>
        <v>1250000</v>
      </c>
      <c r="T207">
        <f>Analisa!H$217</f>
        <v>90000</v>
      </c>
      <c r="V207">
        <f>'REKAP Plat'!U48</f>
        <v>7.545051756602655</v>
      </c>
      <c r="W207">
        <f>Analisa!F$153</f>
        <v>96024.30555555556</v>
      </c>
      <c r="X207">
        <f>Analisa!H$153</f>
        <v>35315.0720164609</v>
      </c>
      <c r="Z207">
        <f>'REKAP Plat'!V48</f>
        <v>109.74613333333332</v>
      </c>
      <c r="AA207">
        <f>Analisa!$F$233</f>
        <v>10442.5</v>
      </c>
      <c r="AF207">
        <f>R207+V207*W207+Z207*AA207</f>
        <v>3094307.3526418274</v>
      </c>
      <c r="AG207">
        <f>S207</f>
        <v>1250000</v>
      </c>
      <c r="AH207">
        <f>T207+V207*X207</f>
        <v>356454.0461523476</v>
      </c>
    </row>
    <row r="209">
      <c r="A209">
        <v>2</v>
      </c>
      <c r="B209" t="str">
        <v>Balok (Readymix K-350) :</v>
      </c>
      <c r="C209" t="str">
        <v xml:space="preserve"> </v>
      </c>
      <c r="AJ209">
        <f>SUMPRODUCT(H210:H218,V210:V218)</f>
        <v>196.34635</v>
      </c>
      <c r="AL209">
        <f>SUMPRODUCT(H210:H218,Z210:Z218)</f>
        <v>2553.9420549015003</v>
      </c>
      <c r="AM209" t="str">
        <v>v</v>
      </c>
    </row>
    <row r="210">
      <c r="B210" t="str">
        <f>CONCATENATE(" - Balok ",G210)</f>
        <v xml:space="preserve"> - Balok B4-1</v>
      </c>
      <c r="C210" t="str">
        <v>m3</v>
      </c>
      <c r="D210">
        <f>H210*'REKAP RAB'!$K$3</f>
        <v>1.8280599999999998</v>
      </c>
      <c r="E210">
        <f>N210*'REKAP RAB'!$O$5</f>
        <v>11697682.870949915</v>
      </c>
      <c r="F210">
        <f>D210*E210</f>
        <v>21384066.1490687</v>
      </c>
      <c r="G210" t="str">
        <v>B4-1</v>
      </c>
      <c r="H210">
        <f>'REKAP Balok'!G322</f>
        <v>1.8280599999999998</v>
      </c>
      <c r="I210">
        <f>AF210</f>
        <v>7670846.733053812</v>
      </c>
      <c r="J210">
        <f>AG210</f>
        <v>1500000</v>
      </c>
      <c r="K210">
        <f>AH210</f>
        <v>1001051.4155982906</v>
      </c>
      <c r="N210">
        <f>SUM(I210:M210)</f>
        <v>10171898.148652101</v>
      </c>
      <c r="O210">
        <f>H210*N210</f>
        <v>18594840.12962496</v>
      </c>
      <c r="R210">
        <f>Analisa!$F$201</f>
        <v>1223775</v>
      </c>
      <c r="S210">
        <f>Analisa!$G$201</f>
        <v>1500000</v>
      </c>
      <c r="T210">
        <f>Analisa!$H$201</f>
        <v>90000</v>
      </c>
      <c r="V210">
        <f>'REKAP Balok'!W322</f>
        <v>17.884615384615387</v>
      </c>
      <c r="W210">
        <f>Analisa!$F$143</f>
        <v>284712.5</v>
      </c>
      <c r="X210">
        <f>Analisa!$H$143</f>
        <v>50940.509259259255</v>
      </c>
      <c r="Z210">
        <f>'REKAP Balok'!X322</f>
        <v>129.76760118376862</v>
      </c>
      <c r="AA210">
        <f>Analisa!$F$233</f>
        <v>10442.5</v>
      </c>
      <c r="AF210">
        <f>R210+V210*W210+Z210*AA210</f>
        <v>7670846.733053812</v>
      </c>
      <c r="AG210">
        <f>S210</f>
        <v>1500000</v>
      </c>
      <c r="AH210">
        <f>T210+V210*X210</f>
        <v>1001051.4155982906</v>
      </c>
    </row>
    <row r="211">
      <c r="B211" t="str">
        <f>CONCATENATE(" - Balok ",G211)</f>
        <v xml:space="preserve"> - Balok B5-1</v>
      </c>
      <c r="C211" t="str">
        <v>m3</v>
      </c>
      <c r="D211">
        <f>H211*'REKAP RAB'!$K$3</f>
        <v>1.42748125</v>
      </c>
      <c r="E211">
        <f>N211*'REKAP RAB'!$O$5</f>
        <v>11667610.348047236</v>
      </c>
      <c r="F211">
        <f>D211*E211</f>
        <v>16655295.004143404</v>
      </c>
      <c r="G211" t="str">
        <v>B5-1</v>
      </c>
      <c r="H211">
        <f>'REKAP Balok'!G323</f>
        <v>1.42748125</v>
      </c>
      <c r="I211">
        <f>AF211</f>
        <v>7715613.011488802</v>
      </c>
      <c r="J211">
        <f>AG211</f>
        <v>1500000</v>
      </c>
      <c r="K211">
        <f>AH211</f>
        <v>930135.1172479239</v>
      </c>
      <c r="N211">
        <f>SUM(I211:M211)</f>
        <v>10145748.128736727</v>
      </c>
      <c r="O211">
        <f>H211*N211</f>
        <v>14482865.220994264</v>
      </c>
      <c r="R211">
        <f>Analisa!$F$201</f>
        <v>1223775</v>
      </c>
      <c r="S211">
        <f>Analisa!$G$201</f>
        <v>1500000</v>
      </c>
      <c r="T211">
        <f>Analisa!$H$201</f>
        <v>90000</v>
      </c>
      <c r="V211">
        <f>'REKAP Balok'!W323</f>
        <v>16.492475820610604</v>
      </c>
      <c r="W211">
        <f>Analisa!$F$143</f>
        <v>284712.5</v>
      </c>
      <c r="X211">
        <f>Analisa!$H$143</f>
        <v>50940.509259259255</v>
      </c>
      <c r="Z211">
        <f>'REKAP Balok'!X323</f>
        <v>172.01091591220546</v>
      </c>
      <c r="AA211">
        <f>Analisa!$F$233</f>
        <v>10442.5</v>
      </c>
      <c r="AF211">
        <f>R211+V211*W211+Z211*AA211</f>
        <v>7715613.011488802</v>
      </c>
      <c r="AG211">
        <f>S211</f>
        <v>1500000</v>
      </c>
      <c r="AH211">
        <f>T211+V211*X211</f>
        <v>930135.1172479239</v>
      </c>
    </row>
    <row r="212">
      <c r="B212" t="str">
        <f>CONCATENATE(" - Balok ",G212)</f>
        <v xml:space="preserve"> - Balok B24-1</v>
      </c>
      <c r="C212" t="str">
        <v>m3</v>
      </c>
      <c r="D212">
        <f>H212*'REKAP RAB'!$K$3</f>
        <v>5.28285</v>
      </c>
      <c r="E212">
        <f>N212*'REKAP RAB'!$O$5</f>
        <v>9844113.502824249</v>
      </c>
      <c r="F212">
        <f>D212*E212</f>
        <v>52004975.01839508</v>
      </c>
      <c r="G212" t="str">
        <v>B24-1</v>
      </c>
      <c r="H212">
        <f>'REKAP Balok'!G325</f>
        <v>5.28285</v>
      </c>
      <c r="I212">
        <f>AF212</f>
        <v>6385828.312370863</v>
      </c>
      <c r="J212">
        <f>AG212</f>
        <v>1500000</v>
      </c>
      <c r="K212">
        <f>AH212</f>
        <v>674270.3857371811</v>
      </c>
      <c r="N212">
        <f>SUM(I212:M212)</f>
        <v>8560098.698108044</v>
      </c>
      <c r="O212">
        <f>H212*N212</f>
        <v>45221717.40730008</v>
      </c>
      <c r="R212">
        <f>Analisa!$F$201</f>
        <v>1223775</v>
      </c>
      <c r="S212">
        <f>Analisa!$G$201</f>
        <v>1500000</v>
      </c>
      <c r="T212">
        <f>Analisa!$H$201</f>
        <v>90000</v>
      </c>
      <c r="V212">
        <f>'REKAP Balok'!W325</f>
        <v>11.469661262386781</v>
      </c>
      <c r="W212">
        <f>Analisa!$F$143</f>
        <v>284712.5</v>
      </c>
      <c r="X212">
        <f>Analisa!$H$143</f>
        <v>50940.509259259255</v>
      </c>
      <c r="Z212">
        <f>'REKAP Balok'!X325</f>
        <v>181.6133473979954</v>
      </c>
      <c r="AA212">
        <f>Analisa!$F$233</f>
        <v>10442.5</v>
      </c>
      <c r="AF212">
        <f>R212+V212*W212+Z212*AA212</f>
        <v>6385828.312370863</v>
      </c>
      <c r="AG212">
        <f>S212</f>
        <v>1500000</v>
      </c>
      <c r="AH212">
        <f>T212+V212*X212</f>
        <v>674270.3857371811</v>
      </c>
    </row>
    <row r="213">
      <c r="B213" t="str">
        <f>CONCATENATE(" - Balok ",G213)</f>
        <v xml:space="preserve"> - Balok B25-1</v>
      </c>
      <c r="C213" t="str">
        <v>m3</v>
      </c>
      <c r="D213">
        <f>H213*'REKAP RAB'!$K$3</f>
        <v>1.065</v>
      </c>
      <c r="E213">
        <f>N213*'REKAP RAB'!$O$5</f>
        <v>10145941.397503821</v>
      </c>
      <c r="F213">
        <f>D213*E213</f>
        <v>10805427.58834157</v>
      </c>
      <c r="G213" t="str">
        <v>B25-1</v>
      </c>
      <c r="H213">
        <f>'REKAP Balok'!G328</f>
        <v>1.065</v>
      </c>
      <c r="I213">
        <f>AF213</f>
        <v>6621271.625848733</v>
      </c>
      <c r="J213">
        <f>AG213</f>
        <v>1500000</v>
      </c>
      <c r="K213">
        <f>AH213</f>
        <v>701286.111111111</v>
      </c>
      <c r="N213">
        <f>SUM(I213:M213)</f>
        <v>8822557.736959845</v>
      </c>
      <c r="O213">
        <f>H213*N213</f>
        <v>9396023.989862233</v>
      </c>
      <c r="R213">
        <f>Analisa!$F$201</f>
        <v>1223775</v>
      </c>
      <c r="S213">
        <f>Analisa!$G$201</f>
        <v>1500000</v>
      </c>
      <c r="T213">
        <f>Analisa!$H$201</f>
        <v>90000</v>
      </c>
      <c r="V213">
        <f>'REKAP Balok'!W328</f>
        <v>12</v>
      </c>
      <c r="W213">
        <f>Analisa!$F$143</f>
        <v>284712.5</v>
      </c>
      <c r="X213">
        <f>Analisa!$H$143</f>
        <v>50940.509259259255</v>
      </c>
      <c r="Z213">
        <f>'REKAP Balok'!X328</f>
        <v>189.70041904225354</v>
      </c>
      <c r="AA213">
        <f>Analisa!$F$233</f>
        <v>10442.5</v>
      </c>
      <c r="AF213">
        <f>R213+V213*W213+Z213*AA213</f>
        <v>6621271.625848733</v>
      </c>
      <c r="AG213">
        <f>S213</f>
        <v>1500000</v>
      </c>
      <c r="AH213">
        <f>T213+V213*X213</f>
        <v>701286.111111111</v>
      </c>
    </row>
    <row r="214">
      <c r="B214" t="str">
        <f>CONCATENATE(" - Balok ",G214)</f>
        <v xml:space="preserve"> - Balok B2A4A-1</v>
      </c>
      <c r="C214" t="str">
        <v>m3</v>
      </c>
      <c r="D214">
        <f>H214*'REKAP RAB'!$K$3</f>
        <v>4.91625</v>
      </c>
      <c r="E214">
        <f>N214*'REKAP RAB'!$O$5</f>
        <v>8519462.316884626</v>
      </c>
      <c r="F214">
        <f>D214*E214</f>
        <v>41883806.61538404</v>
      </c>
      <c r="G214" t="str">
        <v>B2A4A-1</v>
      </c>
      <c r="H214">
        <f>'REKAP Balok'!G330</f>
        <v>4.91625</v>
      </c>
      <c r="I214">
        <f>AF214</f>
        <v>5297502.895877488</v>
      </c>
      <c r="J214">
        <f>AG214</f>
        <v>1500000</v>
      </c>
      <c r="K214">
        <f>AH214</f>
        <v>610725.2057613169</v>
      </c>
      <c r="N214">
        <f>SUM(I214:M214)</f>
        <v>7408228.101638805</v>
      </c>
      <c r="O214">
        <f>H214*N214</f>
        <v>36420701.40468177</v>
      </c>
      <c r="R214">
        <f>Analisa!$F$201</f>
        <v>1223775</v>
      </c>
      <c r="S214">
        <f>Analisa!$G$201</f>
        <v>1500000</v>
      </c>
      <c r="T214">
        <f>Analisa!$H$201</f>
        <v>90000</v>
      </c>
      <c r="V214">
        <f>'REKAP Balok'!W330</f>
        <v>10.222222222222223</v>
      </c>
      <c r="W214">
        <f>Analisa!$F$143</f>
        <v>284712.5</v>
      </c>
      <c r="X214">
        <f>Analisa!$H$143</f>
        <v>50940.509259259255</v>
      </c>
      <c r="Z214">
        <f>'REKAP Balok'!X330</f>
        <v>111.40373008695653</v>
      </c>
      <c r="AA214">
        <f>Analisa!$F$233</f>
        <v>10442.5</v>
      </c>
      <c r="AF214">
        <f>R214+V214*W214+Z214*AA214</f>
        <v>5297502.895877488</v>
      </c>
      <c r="AG214">
        <f>S214</f>
        <v>1500000</v>
      </c>
      <c r="AH214">
        <f>T214+V214*X214</f>
        <v>610725.2057613169</v>
      </c>
    </row>
    <row r="216">
      <c r="A216">
        <v>5</v>
      </c>
      <c r="B216" t="str">
        <v>Dinding Beton (Readymix K-350) :</v>
      </c>
      <c r="AJ216" t="e">
        <f>SUMPRODUCT(#REF!,#REF!)</f>
        <v>#REF!</v>
      </c>
      <c r="AL216" t="e">
        <f>SUMPRODUCT(#REF!,#REF!)</f>
        <v>#REF!</v>
      </c>
      <c r="AM216" t="str">
        <v>v</v>
      </c>
    </row>
    <row r="217">
      <c r="B217" t="str">
        <v xml:space="preserve"> - Dinding tanggulan</v>
      </c>
      <c r="C217" t="str">
        <v>m3</v>
      </c>
      <c r="D217">
        <f>H217*'REKAP RAB'!$K$3</f>
        <v>1.2361499999999999</v>
      </c>
      <c r="E217">
        <f>N217*'REKAP RAB'!$O$5</f>
        <v>8180432.61619376</v>
      </c>
      <c r="F217">
        <f>D217*E217</f>
        <v>10112241.778507916</v>
      </c>
      <c r="H217">
        <f>'Retaining Wall'!C172</f>
        <v>1.2361499999999999</v>
      </c>
      <c r="I217">
        <f>AF217</f>
        <v>5698419.666255444</v>
      </c>
      <c r="J217">
        <f>AG217</f>
        <v>1200000</v>
      </c>
      <c r="K217">
        <f>AH217</f>
        <v>215000</v>
      </c>
      <c r="N217">
        <f>SUM(I217:M217)</f>
        <v>7113419.666255444</v>
      </c>
      <c r="O217">
        <f>H217*N217</f>
        <v>8793253.720441667</v>
      </c>
      <c r="R217">
        <f>Analisa!$F$225</f>
        <v>1223775</v>
      </c>
      <c r="S217">
        <f>Analisa!$G$225</f>
        <v>1200000</v>
      </c>
      <c r="T217">
        <f>Analisa!$H$225</f>
        <v>215000</v>
      </c>
      <c r="V217">
        <f>'Retaining Wall'!L172</f>
        <v>13.333333333333334</v>
      </c>
      <c r="W217">
        <f>Analisa!F$162</f>
        <v>106232.63888888889</v>
      </c>
      <c r="Z217">
        <f>'Retaining Wall'!M172</f>
        <v>292.86181288678563</v>
      </c>
      <c r="AA217">
        <f>Analisa!$F$233</f>
        <v>10442.5</v>
      </c>
      <c r="AF217">
        <f>R217+V217*W217+Z217*AA217</f>
        <v>5698419.666255444</v>
      </c>
      <c r="AG217">
        <f>S217</f>
        <v>1200000</v>
      </c>
      <c r="AH217">
        <f>T217+V217*X217</f>
        <v>215000</v>
      </c>
    </row>
    <row r="219">
      <c r="A219" t="str">
        <v>Subtotal Pekerjaan Fisik Lantai Atap</v>
      </c>
      <c r="F219">
        <f>SUM(F202:F218)</f>
        <v>185760731.31062302</v>
      </c>
      <c r="O219">
        <f>SUM(O202:O218)</f>
        <v>161531070.7048896</v>
      </c>
    </row>
    <row r="221">
      <c r="A221" t="str">
        <v>VII</v>
      </c>
      <c r="B221" t="str">
        <v>PEKERJAAN BAJA DAN PENUTUP ATAP</v>
      </c>
    </row>
    <row r="223">
      <c r="A223" t="str">
        <v>A</v>
      </c>
      <c r="B223" t="str">
        <v>Pekerjaan Rangka Penutup Atap</v>
      </c>
    </row>
    <row r="224">
      <c r="A224">
        <v>1</v>
      </c>
      <c r="B224" t="str">
        <v>WF.150.75</v>
      </c>
      <c r="C224" t="str">
        <v>kg</v>
      </c>
      <c r="D224">
        <f>H224*'REKAP RAB'!$K$3</f>
        <v>1175.916</v>
      </c>
      <c r="E224">
        <f>N224*'REKAP RAB'!$O$6</f>
        <v>34500</v>
      </c>
      <c r="F224">
        <f>D224*E224</f>
        <v>40569102</v>
      </c>
      <c r="H224">
        <f>'PROSES BAJA'!F25</f>
        <v>1175.916</v>
      </c>
      <c r="L224">
        <v>30000</v>
      </c>
      <c r="N224">
        <f>SUM(I224:M224)</f>
        <v>30000</v>
      </c>
      <c r="O224">
        <f>(ROUNDUP(H224/'TABEL BAJA'!I15,0)*'TABEL BAJA'!I15)*N224</f>
        <v>35280000</v>
      </c>
    </row>
    <row r="225">
      <c r="A225">
        <v>2</v>
      </c>
      <c r="B225" t="str">
        <v>CNP.150.65</v>
      </c>
      <c r="C225" t="str">
        <v>kg</v>
      </c>
      <c r="D225">
        <f>H225*'REKAP RAB'!$K$3</f>
        <v>914.1</v>
      </c>
      <c r="E225">
        <f>N225*'REKAP RAB'!$O$6</f>
        <v>29899.999999999996</v>
      </c>
      <c r="F225">
        <f>D225*E225</f>
        <v>27331589.999999996</v>
      </c>
      <c r="H225">
        <f>'PROSES BAJA'!F27</f>
        <v>914.1</v>
      </c>
      <c r="L225">
        <v>26000</v>
      </c>
      <c r="N225">
        <f>SUM(I225:M225)</f>
        <v>26000</v>
      </c>
      <c r="O225">
        <f>(ROUNDUP(H225/'TABEL BAJA'!I112,0)*'TABEL BAJA'!I112)*N225</f>
        <v>23936640.000000004</v>
      </c>
    </row>
    <row r="226">
      <c r="A226">
        <v>3</v>
      </c>
      <c r="B226" t="str">
        <v>Angkur D16</v>
      </c>
      <c r="C226" t="str">
        <v>pcs</v>
      </c>
      <c r="D226">
        <f>H226*'REKAP RAB'!$K$3</f>
        <v>88</v>
      </c>
      <c r="E226">
        <f>N226*'REKAP RAB'!$O$6</f>
        <v>106374.99999999999</v>
      </c>
      <c r="F226">
        <f>D226*E226</f>
        <v>9360999.999999998</v>
      </c>
      <c r="H226">
        <f>'PROSES BAJA'!H28</f>
        <v>88</v>
      </c>
      <c r="L226">
        <v>92500</v>
      </c>
      <c r="N226">
        <f>SUM(I226:M226)</f>
        <v>92500</v>
      </c>
      <c r="O226">
        <f>H226*N226</f>
        <v>8140000</v>
      </c>
    </row>
    <row r="227">
      <c r="A227">
        <v>4</v>
      </c>
      <c r="B227" t="str">
        <v>Sambungan profil baja, termasuk plat, baut, dan lain - lain</v>
      </c>
      <c r="C227" t="str">
        <v>ls</v>
      </c>
      <c r="D227">
        <f>H227</f>
        <v>1</v>
      </c>
      <c r="E227">
        <f>N227*'REKAP RAB'!$O$6</f>
        <v>13619827.2</v>
      </c>
      <c r="F227">
        <f>D227*E227</f>
        <v>13619827.2</v>
      </c>
      <c r="H227">
        <v>1</v>
      </c>
      <c r="L227">
        <f>20%*SUM(O224:O225)</f>
        <v>11843328</v>
      </c>
      <c r="N227">
        <f>SUM(I227:M227)</f>
        <v>11843328</v>
      </c>
      <c r="O227">
        <f>H227*N227</f>
        <v>11843328</v>
      </c>
    </row>
    <row r="229">
      <c r="A229" t="str">
        <v>B</v>
      </c>
      <c r="B229" t="str">
        <v>Pekerjaan Penutup Atap</v>
      </c>
    </row>
    <row r="230">
      <c r="A230">
        <v>1</v>
      </c>
      <c r="B230" t="str">
        <v>Rangka atap aspal usuk baja ringan</v>
      </c>
      <c r="C230" t="str">
        <v>m2</v>
      </c>
      <c r="D230">
        <f>H230*'REKAP RAB'!$K$3</f>
        <v>144.6054885</v>
      </c>
      <c r="E230">
        <f>N230*'REKAP RAB'!$O$6</f>
        <v>287500</v>
      </c>
      <c r="F230">
        <f>D230*E230</f>
        <v>41574077.94375</v>
      </c>
      <c r="H230">
        <f>H231</f>
        <v>144.6054885</v>
      </c>
      <c r="L230">
        <v>250000</v>
      </c>
      <c r="N230">
        <f>SUM(I230:M230)</f>
        <v>250000</v>
      </c>
      <c r="O230">
        <f>H230*N230</f>
        <v>36151372.125</v>
      </c>
    </row>
    <row r="231">
      <c r="A231">
        <v>2</v>
      </c>
      <c r="B231" t="str">
        <v>Penutup atap aspal ex. GAF Royal Souvereign + multipleks dan segala aksesoris nya</v>
      </c>
      <c r="C231" t="str">
        <v>m2</v>
      </c>
      <c r="D231">
        <f>H231*'REKAP RAB'!$K$3</f>
        <v>144.6054885</v>
      </c>
      <c r="E231">
        <f>N231*'REKAP RAB'!$O$6</f>
        <v>747500</v>
      </c>
      <c r="F231">
        <f>D231*E231</f>
        <v>108092602.65375</v>
      </c>
      <c r="H231">
        <f>131.459535*1.1</f>
        <v>144.6054885</v>
      </c>
      <c r="L231">
        <v>650000</v>
      </c>
      <c r="N231">
        <f>SUM(I231:M231)</f>
        <v>650000</v>
      </c>
      <c r="O231">
        <f>H231*N231</f>
        <v>93993567.525</v>
      </c>
    </row>
    <row r="233">
      <c r="A233" t="str">
        <v>C</v>
      </c>
      <c r="B233" t="str">
        <v>Pekerjaan Penutup Atap Tegak</v>
      </c>
    </row>
    <row r="234">
      <c r="A234">
        <v>1</v>
      </c>
      <c r="B234" t="str">
        <v>Rangka atap aspal Hollow + usuk reng Baja Ringan</v>
      </c>
      <c r="C234" t="str">
        <v>m2</v>
      </c>
      <c r="D234">
        <f>H234*'REKAP RAB'!$K$3</f>
        <v>198.70965</v>
      </c>
      <c r="E234">
        <f>N234*'REKAP RAB'!$O$6</f>
        <v>575000</v>
      </c>
      <c r="F234">
        <f>D234*E234</f>
        <v>114258048.75</v>
      </c>
      <c r="H234">
        <f>H235</f>
        <v>198.70965</v>
      </c>
      <c r="L234">
        <v>500000</v>
      </c>
      <c r="N234">
        <f>SUM(I234:M234)</f>
        <v>500000</v>
      </c>
      <c r="O234">
        <f>H234*N234</f>
        <v>99354825</v>
      </c>
    </row>
    <row r="235">
      <c r="A235">
        <v>2</v>
      </c>
      <c r="B235" t="str">
        <v>Penutup atap aspal ex. GAF Royal Souvereign + multipleks dan segala aksesoris nya</v>
      </c>
      <c r="C235" t="str">
        <v>m2</v>
      </c>
      <c r="D235">
        <f>H235*'REKAP RAB'!$K$3</f>
        <v>198.70965</v>
      </c>
      <c r="E235">
        <f>N235*'REKAP RAB'!$O$6</f>
        <v>747500</v>
      </c>
      <c r="F235">
        <f>D235*E235</f>
        <v>148535463.375</v>
      </c>
      <c r="H235">
        <f>(57.597)*3.45</f>
        <v>198.70965</v>
      </c>
      <c r="L235">
        <v>650000</v>
      </c>
      <c r="N235">
        <f>SUM(I235:M235)</f>
        <v>650000</v>
      </c>
      <c r="O235">
        <f>H235*N235</f>
        <v>129161272.5</v>
      </c>
      <c r="P235">
        <f>74000000/140.1</f>
        <v>528194.1470378301</v>
      </c>
    </row>
    <row r="237">
      <c r="A237" t="str">
        <v>Subtotal Pekerjaan Baja dan Penutup Atap</v>
      </c>
      <c r="F237">
        <f>SUM(F221:F236)</f>
        <v>503341711.9225</v>
      </c>
      <c r="O237">
        <f>SUM(O221:O236)</f>
        <v>437861005.15</v>
      </c>
    </row>
    <row r="239">
      <c r="A239" t="str">
        <v>VIII</v>
      </c>
      <c r="B239" t="str">
        <v>PEKERJAAN PASANGAN DINDING BATA MERAH</v>
      </c>
    </row>
    <row r="241">
      <c r="A241" t="str">
        <v>A</v>
      </c>
      <c r="B241" t="str">
        <v>Lantai 1</v>
      </c>
    </row>
    <row r="242">
      <c r="A242">
        <v>1</v>
      </c>
      <c r="B242" t="str">
        <v>Pasangan dinding bata merah tebal 10 cm; termasuk kolom praktis, balok praktis, dan balok latei</v>
      </c>
      <c r="C242" t="str">
        <v>m2</v>
      </c>
      <c r="D242">
        <f>H242*'REKAP RAB'!$K$3</f>
        <v>188.0775</v>
      </c>
      <c r="E242">
        <f>N242*'REKAP RAB'!$O$7</f>
        <v>224470.22131999998</v>
      </c>
      <c r="F242">
        <f>D242*E242</f>
        <v>42217798.050312296</v>
      </c>
      <c r="H242">
        <f>'Pas. Dinding'!H131</f>
        <v>188.0775</v>
      </c>
      <c r="I242">
        <f>Analisa!$F$412</f>
        <v>105191.4968</v>
      </c>
      <c r="J242">
        <f>Analisa!$G$412</f>
        <v>90000</v>
      </c>
      <c r="K242">
        <f>Analisa!H$421</f>
        <v>0</v>
      </c>
      <c r="N242">
        <f>SUM(I242:M242)</f>
        <v>195191.4968</v>
      </c>
      <c r="O242">
        <f>H242*N242</f>
        <v>36711128.739401996</v>
      </c>
      <c r="AF242">
        <f>R242+V242*W242+Z242*AA242</f>
        <v>0</v>
      </c>
      <c r="AG242">
        <f>S242</f>
        <v>0</v>
      </c>
      <c r="AH242">
        <f>T242+V242*X242</f>
        <v>0</v>
      </c>
    </row>
    <row r="243">
      <c r="A243">
        <v>2</v>
      </c>
      <c r="B243" t="str">
        <v>Pasangan dinding bata merah tebal 15 cm; termasuk kolom praktis, balok praktis, dan balok latei</v>
      </c>
      <c r="C243" t="str">
        <v>m2</v>
      </c>
      <c r="D243">
        <f>H243*'REKAP RAB'!$K$3</f>
        <v>148.67</v>
      </c>
      <c r="E243">
        <f>N243*'REKAP RAB'!$O$7</f>
        <v>284194.418564</v>
      </c>
      <c r="F243">
        <f>D243*E243</f>
        <v>42251184.207909875</v>
      </c>
      <c r="H243">
        <f>'Pas. Dinding'!B131</f>
        <v>148.67</v>
      </c>
      <c r="I243">
        <f>Analisa!$F$421</f>
        <v>143125.58136</v>
      </c>
      <c r="J243">
        <f>Analisa!G$421</f>
        <v>104000</v>
      </c>
      <c r="K243">
        <f>Analisa!H$421</f>
        <v>0</v>
      </c>
      <c r="N243">
        <f>SUM(I243:M243)</f>
        <v>247125.58136</v>
      </c>
      <c r="O243">
        <f>H243*N243</f>
        <v>36740160.1807912</v>
      </c>
      <c r="AF243">
        <f>R243+V243*W243+Z243*AA243</f>
        <v>0</v>
      </c>
      <c r="AG243">
        <f>S243</f>
        <v>0</v>
      </c>
      <c r="AH243">
        <f>T243+V243*X243</f>
        <v>0</v>
      </c>
    </row>
    <row r="244">
      <c r="A244">
        <v>3</v>
      </c>
      <c r="B244" t="str">
        <v>Pasangan dinding bata merah tebal 20 cm; termasuk kolom praktis, balok praktis, dan balok latei</v>
      </c>
      <c r="C244" t="str">
        <v>m2</v>
      </c>
      <c r="D244">
        <f>H244*'REKAP RAB'!$K$3</f>
        <v>294.96000000000004</v>
      </c>
      <c r="E244">
        <f>N244*'REKAP RAB'!$O$7</f>
        <v>365558.88069399993</v>
      </c>
      <c r="F244">
        <f>D244*E244</f>
        <v>107825247.44950223</v>
      </c>
      <c r="H244">
        <f>'Pas. Dinding'!C131</f>
        <v>294.96000000000004</v>
      </c>
      <c r="I244">
        <f>Analisa!$F$430</f>
        <v>193877.28756</v>
      </c>
      <c r="J244">
        <f>Analisa!G$430</f>
        <v>124000</v>
      </c>
      <c r="K244">
        <f>Analisa!H$430</f>
        <v>0</v>
      </c>
      <c r="N244">
        <f>SUM(I244:M244)</f>
        <v>317877.28755999997</v>
      </c>
      <c r="O244">
        <f>H244*N244</f>
        <v>93761084.7386976</v>
      </c>
      <c r="AF244">
        <f>R244+V244*W244+Z244*AA244</f>
        <v>0</v>
      </c>
      <c r="AG244">
        <f>S244</f>
        <v>0</v>
      </c>
      <c r="AH244">
        <f>T244+V244*X244</f>
        <v>0</v>
      </c>
    </row>
    <row r="245">
      <c r="A245">
        <v>4</v>
      </c>
      <c r="B245" t="str">
        <v>Pasangan dinding bata merah tebal 40 cm; termasuk kolom praktis, balok praktis, dan balok latei</v>
      </c>
      <c r="C245" t="str">
        <v>m2</v>
      </c>
      <c r="D245">
        <f>H245*'REKAP RAB'!$K$3</f>
        <v>11.462499999999999</v>
      </c>
      <c r="E245">
        <f>N245*'REKAP RAB'!$O$7</f>
        <v>621687.29264125</v>
      </c>
      <c r="F245">
        <f>D245*E245</f>
        <v>7126090.591900326</v>
      </c>
      <c r="H245">
        <f>'Pas. Dinding'!G131</f>
        <v>11.462499999999999</v>
      </c>
      <c r="I245">
        <f>Analisa!$F$466</f>
        <v>353597.645775</v>
      </c>
      <c r="J245">
        <f>Analisa!G$466</f>
        <v>187000</v>
      </c>
      <c r="K245">
        <f>Analisa!H$466</f>
        <v>0</v>
      </c>
      <c r="N245">
        <f>SUM(I245:M245)</f>
        <v>540597.645775</v>
      </c>
      <c r="O245">
        <f>H245*N245</f>
        <v>6196600.514695937</v>
      </c>
      <c r="AF245">
        <f>R245+V245*W245+Z245*AA245</f>
        <v>0</v>
      </c>
      <c r="AG245">
        <f>S245</f>
        <v>0</v>
      </c>
      <c r="AH245">
        <f>T245+V245*X245</f>
        <v>0</v>
      </c>
    </row>
    <row r="246">
      <c r="A246">
        <v>5</v>
      </c>
      <c r="B246" t="str">
        <v>Plesteran dinding bata; termasuk benangan sudut</v>
      </c>
      <c r="C246" t="str">
        <v>m2</v>
      </c>
      <c r="D246">
        <f>H246*'REKAP RAB'!$K$3</f>
        <v>1188.2625</v>
      </c>
      <c r="E246">
        <f>N246*'REKAP RAB'!$O$7</f>
        <v>124930.24999999999</v>
      </c>
      <c r="F246">
        <f>D246*E246</f>
        <v>148449931.19062498</v>
      </c>
      <c r="H246">
        <f>'Pas. Dinding'!I131</f>
        <v>1188.2625</v>
      </c>
      <c r="I246">
        <f>Analisa!$F$521</f>
        <v>24635</v>
      </c>
      <c r="J246">
        <f>Analisa!$G$521</f>
        <v>84000</v>
      </c>
      <c r="N246">
        <f>SUM(I246:M246)</f>
        <v>108635</v>
      </c>
      <c r="O246">
        <f>H246*N246</f>
        <v>129086896.6875</v>
      </c>
      <c r="AF246">
        <f>R246+V246*W246+Z246*AA246</f>
        <v>0</v>
      </c>
      <c r="AG246">
        <f>S246</f>
        <v>0</v>
      </c>
      <c r="AH246">
        <f>T246+V246*X246</f>
        <v>0</v>
      </c>
    </row>
    <row r="247">
      <c r="A247">
        <v>6</v>
      </c>
      <c r="B247" t="str">
        <v>Plesteran dinding beton</v>
      </c>
      <c r="C247" t="str">
        <v>m2</v>
      </c>
      <c r="D247">
        <f>H247*'REKAP RAB'!$K$3</f>
        <v>250.46125</v>
      </c>
      <c r="E247">
        <f>N247*'REKAP RAB'!$O$7</f>
        <v>124930.24999999999</v>
      </c>
      <c r="F247">
        <f>D247*E247</f>
        <v>31290186.577812497</v>
      </c>
      <c r="H247">
        <f>SUM('Retaining Wall'!D162,'Retaining Wall'!D164,'Retaining Wall'!D165,'Retaining Wall'!D173)</f>
        <v>250.46125</v>
      </c>
      <c r="I247">
        <f>Analisa!$F$521</f>
        <v>24635</v>
      </c>
      <c r="J247">
        <f>Analisa!$G$521</f>
        <v>84000</v>
      </c>
      <c r="N247">
        <f>SUM(I247:M247)</f>
        <v>108635</v>
      </c>
      <c r="O247">
        <f>H247*N247</f>
        <v>27208857.89375</v>
      </c>
      <c r="AF247">
        <f>R247+V247*W247+Z247*AA247</f>
        <v>0</v>
      </c>
      <c r="AG247">
        <f>S247</f>
        <v>0</v>
      </c>
      <c r="AH247">
        <f>T247+V247*X247</f>
        <v>0</v>
      </c>
    </row>
    <row r="248">
      <c r="A248">
        <v>7</v>
      </c>
      <c r="B248" t="str">
        <v>Acian konvensional</v>
      </c>
      <c r="C248" t="str">
        <v>m2</v>
      </c>
      <c r="D248">
        <f>H248*'REKAP RAB'!$K$3</f>
        <v>1438.72375</v>
      </c>
      <c r="E248">
        <f>N248*'REKAP RAB'!$O$7</f>
        <v>53302.49999999999</v>
      </c>
      <c r="F248">
        <f>D248*E248</f>
        <v>76687572.68437499</v>
      </c>
      <c r="H248">
        <f>SUM(H246:H247)</f>
        <v>1438.72375</v>
      </c>
      <c r="I248">
        <f>Analisa!$F$535</f>
        <v>16350</v>
      </c>
      <c r="J248">
        <f>Analisa!$G$535</f>
        <v>30000</v>
      </c>
      <c r="N248">
        <f>SUM(I248:M248)</f>
        <v>46350</v>
      </c>
      <c r="O248">
        <f>H248*N248</f>
        <v>66684845.81250001</v>
      </c>
      <c r="AF248">
        <f>R248+V248*W248+Z248*AA248</f>
        <v>0</v>
      </c>
      <c r="AG248">
        <f>S248</f>
        <v>0</v>
      </c>
      <c r="AH248">
        <f>T248+V248*X248</f>
        <v>0</v>
      </c>
    </row>
    <row r="250">
      <c r="A250" t="str">
        <v>B</v>
      </c>
      <c r="B250" t="str">
        <v>Lantai 2</v>
      </c>
    </row>
    <row r="251">
      <c r="A251">
        <v>1</v>
      </c>
      <c r="B251" t="str">
        <v>Pasangan dinding bata merah tebal 10 cm; termasuk kolom praktis, balok praktis, dan balok latei</v>
      </c>
      <c r="C251" t="str">
        <v>m2</v>
      </c>
      <c r="D251">
        <f>H251*'REKAP RAB'!$K$3</f>
        <v>108</v>
      </c>
      <c r="E251">
        <f>N251*'REKAP RAB'!$O$7</f>
        <v>224470.22131999998</v>
      </c>
      <c r="F251">
        <f>D251*E251</f>
        <v>24242783.90256</v>
      </c>
      <c r="H251">
        <f>'Pas. Dinding'!H132</f>
        <v>108</v>
      </c>
      <c r="I251">
        <f>Analisa!$F$412</f>
        <v>105191.4968</v>
      </c>
      <c r="J251">
        <f>Analisa!$G$412</f>
        <v>90000</v>
      </c>
      <c r="K251">
        <f>Analisa!H$421</f>
        <v>0</v>
      </c>
      <c r="N251">
        <f>SUM(I251:M251)</f>
        <v>195191.4968</v>
      </c>
      <c r="O251">
        <f>H251*N251</f>
        <v>21080681.6544</v>
      </c>
      <c r="AF251">
        <f>R251+V251*W251+Z251*AA251</f>
        <v>0</v>
      </c>
      <c r="AG251">
        <f>S251</f>
        <v>0</v>
      </c>
      <c r="AH251">
        <f>T251+V251*X251</f>
        <v>0</v>
      </c>
    </row>
    <row r="252">
      <c r="A252">
        <v>2</v>
      </c>
      <c r="B252" t="str">
        <v>Pasangan dinding bata merah tebal 15 cm; termasuk kolom praktis, balok praktis, dan balok latei</v>
      </c>
      <c r="C252" t="str">
        <v>m2</v>
      </c>
      <c r="D252">
        <f>H252*'REKAP RAB'!$K$3</f>
        <v>294.87749999999994</v>
      </c>
      <c r="E252">
        <f>N252*'REKAP RAB'!$O$7</f>
        <v>284194.418564</v>
      </c>
      <c r="F252">
        <f>D252*E252</f>
        <v>83802539.66010588</v>
      </c>
      <c r="H252">
        <f>'Pas. Dinding'!B132</f>
        <v>294.87749999999994</v>
      </c>
      <c r="I252">
        <f>Analisa!$F$421</f>
        <v>143125.58136</v>
      </c>
      <c r="J252">
        <f>Analisa!G$421</f>
        <v>104000</v>
      </c>
      <c r="K252">
        <f>Analisa!H$421</f>
        <v>0</v>
      </c>
      <c r="N252">
        <f>SUM(I252:M252)</f>
        <v>247125.58136</v>
      </c>
      <c r="O252">
        <f>H252*N252</f>
        <v>72871773.61748339</v>
      </c>
      <c r="AF252">
        <f>R252+V252*W252+Z252*AA252</f>
        <v>0</v>
      </c>
      <c r="AG252">
        <f>S252</f>
        <v>0</v>
      </c>
      <c r="AH252">
        <f>T252+V252*X252</f>
        <v>0</v>
      </c>
    </row>
    <row r="253">
      <c r="A253">
        <v>3</v>
      </c>
      <c r="B253" t="str">
        <v>Pasangan dinding bata merah tebal 20 cm; termasuk kolom praktis, balok praktis, dan balok latei</v>
      </c>
      <c r="C253" t="str">
        <v>m2</v>
      </c>
      <c r="D253">
        <f>H253*'REKAP RAB'!$K$3</f>
        <v>195.74599999999998</v>
      </c>
      <c r="E253">
        <f>N253*'REKAP RAB'!$O$7</f>
        <v>365558.88069399993</v>
      </c>
      <c r="F253">
        <f>D253*E253</f>
        <v>71556688.6603277</v>
      </c>
      <c r="H253">
        <f>'Pas. Dinding'!C132</f>
        <v>195.74599999999998</v>
      </c>
      <c r="I253">
        <f>Analisa!$F$430</f>
        <v>193877.28756</v>
      </c>
      <c r="J253">
        <f>Analisa!G$430</f>
        <v>124000</v>
      </c>
      <c r="K253">
        <f>Analisa!H$430</f>
        <v>0</v>
      </c>
      <c r="N253">
        <f>SUM(I253:M253)</f>
        <v>317877.28755999997</v>
      </c>
      <c r="O253">
        <f>H253*N253</f>
        <v>62223207.53071975</v>
      </c>
      <c r="AF253">
        <f>R253+V253*W253+Z253*AA253</f>
        <v>0</v>
      </c>
      <c r="AG253">
        <f>S253</f>
        <v>0</v>
      </c>
      <c r="AH253">
        <f>T253+V253*X253</f>
        <v>0</v>
      </c>
    </row>
    <row r="254">
      <c r="A254">
        <v>4</v>
      </c>
      <c r="B254" t="str">
        <v>Plesteran dinding bata; termasuk benangan sudut</v>
      </c>
      <c r="C254" t="str">
        <v>m2</v>
      </c>
      <c r="D254">
        <f>H254*'REKAP RAB'!$K$3</f>
        <v>1129.747</v>
      </c>
      <c r="E254">
        <f>N254*'REKAP RAB'!$O$7</f>
        <v>124930.24999999999</v>
      </c>
      <c r="F254">
        <f>D254*E254</f>
        <v>141139575.14675</v>
      </c>
      <c r="H254">
        <f>'Pas. Dinding'!I132</f>
        <v>1129.747</v>
      </c>
      <c r="I254">
        <f>Analisa!$F$521</f>
        <v>24635</v>
      </c>
      <c r="J254">
        <f>Analisa!$G$521</f>
        <v>84000</v>
      </c>
      <c r="N254">
        <f>SUM(I254:M254)</f>
        <v>108635</v>
      </c>
      <c r="O254">
        <f>H254*N254</f>
        <v>122730065.34500001</v>
      </c>
      <c r="AF254">
        <f>R254+V254*W254+Z254*AA254</f>
        <v>0</v>
      </c>
      <c r="AG254">
        <f>S254</f>
        <v>0</v>
      </c>
      <c r="AH254">
        <f>T254+V254*X254</f>
        <v>0</v>
      </c>
    </row>
    <row r="255">
      <c r="A255">
        <v>5</v>
      </c>
      <c r="B255" t="str">
        <v>Plesteran dinding beton</v>
      </c>
      <c r="C255" t="str">
        <v>m2</v>
      </c>
      <c r="D255">
        <f>H255*'REKAP RAB'!$K$3</f>
        <v>66.44</v>
      </c>
      <c r="E255">
        <f>N255*'REKAP RAB'!$O$7</f>
        <v>124930.24999999999</v>
      </c>
      <c r="F255">
        <f>D255*E255</f>
        <v>8300365.809999999</v>
      </c>
      <c r="H255">
        <f>SUM('Retaining Wall'!D168,'Retaining Wall'!D174)</f>
        <v>66.44</v>
      </c>
      <c r="I255">
        <f>Analisa!$F$521</f>
        <v>24635</v>
      </c>
      <c r="J255">
        <f>Analisa!$G$521</f>
        <v>84000</v>
      </c>
      <c r="N255">
        <f>SUM(I255:M255)</f>
        <v>108635</v>
      </c>
      <c r="O255">
        <f>H255*N255</f>
        <v>7217709.399999999</v>
      </c>
      <c r="AF255">
        <f>R255+V255*W255+Z255*AA255</f>
        <v>0</v>
      </c>
      <c r="AG255">
        <f>S255</f>
        <v>0</v>
      </c>
      <c r="AH255">
        <f>T255+V255*X255</f>
        <v>0</v>
      </c>
    </row>
    <row r="256">
      <c r="A256">
        <v>6</v>
      </c>
      <c r="B256" t="str">
        <v>Acian konvensional</v>
      </c>
      <c r="C256" t="str">
        <v>m2</v>
      </c>
      <c r="D256">
        <f>H256*'REKAP RAB'!$K$3</f>
        <v>1196.1870000000001</v>
      </c>
      <c r="E256">
        <f>N256*'REKAP RAB'!$O$7</f>
        <v>53302.49999999999</v>
      </c>
      <c r="F256">
        <f>D256*E256</f>
        <v>63759757.567499995</v>
      </c>
      <c r="H256">
        <f>SUM(H254:H255)</f>
        <v>1196.1870000000001</v>
      </c>
      <c r="I256">
        <f>Analisa!$F$535</f>
        <v>16350</v>
      </c>
      <c r="J256">
        <f>Analisa!$G$535</f>
        <v>30000</v>
      </c>
      <c r="N256">
        <f>SUM(I256:M256)</f>
        <v>46350</v>
      </c>
      <c r="O256">
        <f>H256*N256</f>
        <v>55443267.45</v>
      </c>
      <c r="AF256">
        <f>R256+V256*W256+Z256*AA256</f>
        <v>0</v>
      </c>
      <c r="AG256">
        <f>S256</f>
        <v>0</v>
      </c>
      <c r="AH256">
        <f>T256+V256*X256</f>
        <v>0</v>
      </c>
    </row>
    <row r="258">
      <c r="A258" t="str">
        <v>C</v>
      </c>
      <c r="B258" t="str">
        <v>Lantai 3</v>
      </c>
    </row>
    <row r="259">
      <c r="A259">
        <v>1</v>
      </c>
      <c r="B259" t="str">
        <v>Pasangan dinding bata merah tebal 15 cm; termasuk kolom praktis, balok praktis, dan balok latei</v>
      </c>
      <c r="C259" t="str">
        <v>m2</v>
      </c>
      <c r="D259">
        <f>H259*'REKAP RAB'!$K$3</f>
        <v>280.168</v>
      </c>
      <c r="E259">
        <f>N259*'REKAP RAB'!$O$7</f>
        <v>284194.418564</v>
      </c>
      <c r="F259">
        <f>D259*E259</f>
        <v>79622181.86023875</v>
      </c>
      <c r="H259">
        <f>'Pas. Dinding'!B133</f>
        <v>280.168</v>
      </c>
      <c r="I259">
        <f>Analisa!$F$421</f>
        <v>143125.58136</v>
      </c>
      <c r="J259">
        <f>Analisa!G$421</f>
        <v>104000</v>
      </c>
      <c r="K259">
        <f>Analisa!H$421</f>
        <v>0</v>
      </c>
      <c r="N259">
        <f>SUM(I259:M259)</f>
        <v>247125.58136</v>
      </c>
      <c r="O259">
        <f>H259*N259</f>
        <v>69236679.87846848</v>
      </c>
      <c r="AF259">
        <f>R259+V259*W259+Z259*AA259</f>
        <v>0</v>
      </c>
      <c r="AG259">
        <f>S259</f>
        <v>0</v>
      </c>
      <c r="AH259">
        <f>T259+V259*X259</f>
        <v>0</v>
      </c>
    </row>
    <row r="260">
      <c r="A260">
        <v>2</v>
      </c>
      <c r="B260" t="str">
        <v>Pasangan dinding bata merah tebal 20 cm; termasuk kolom praktis, balok praktis, dan balok latei</v>
      </c>
      <c r="C260" t="str">
        <v>m2</v>
      </c>
      <c r="D260">
        <f>H260*'REKAP RAB'!$K$3</f>
        <v>16.585</v>
      </c>
      <c r="E260">
        <f>N260*'REKAP RAB'!$O$7</f>
        <v>365558.88069399993</v>
      </c>
      <c r="F260">
        <f>D260*E260</f>
        <v>6062794.036309989</v>
      </c>
      <c r="H260">
        <f>'Pas. Dinding'!C133</f>
        <v>16.585</v>
      </c>
      <c r="I260">
        <f>Analisa!$F$430</f>
        <v>193877.28756</v>
      </c>
      <c r="J260">
        <f>Analisa!G$430</f>
        <v>124000</v>
      </c>
      <c r="K260">
        <f>Analisa!H$430</f>
        <v>0</v>
      </c>
      <c r="N260">
        <f>SUM(I260:M260)</f>
        <v>317877.28755999997</v>
      </c>
      <c r="O260">
        <f>H260*N260</f>
        <v>5271994.8141826</v>
      </c>
      <c r="AF260">
        <f>R260+V260*W260+Z260*AA260</f>
        <v>0</v>
      </c>
      <c r="AG260">
        <f>S260</f>
        <v>0</v>
      </c>
      <c r="AH260">
        <f>T260+V260*X260</f>
        <v>0</v>
      </c>
    </row>
    <row r="261">
      <c r="A261">
        <v>3</v>
      </c>
      <c r="B261" t="str">
        <v>Plesteran dinding bata; termasuk benangan sudut</v>
      </c>
      <c r="C261" t="str">
        <v>m2</v>
      </c>
      <c r="D261">
        <f>H261*'REKAP RAB'!$K$3</f>
        <v>593.5060000000001</v>
      </c>
      <c r="E261">
        <f>N261*'REKAP RAB'!$O$7</f>
        <v>124930.24999999999</v>
      </c>
      <c r="F261">
        <f>D261*E261</f>
        <v>74146852.95650001</v>
      </c>
      <c r="H261">
        <f>'Pas. Dinding'!I133</f>
        <v>593.5060000000001</v>
      </c>
      <c r="I261">
        <f>Analisa!$F$521</f>
        <v>24635</v>
      </c>
      <c r="J261">
        <f>Analisa!$G$521</f>
        <v>84000</v>
      </c>
      <c r="N261">
        <f>SUM(I261:M261)</f>
        <v>108635</v>
      </c>
      <c r="O261">
        <f>H261*N261</f>
        <v>64475524.31000001</v>
      </c>
      <c r="AF261">
        <f>R261+V261*W261+Z261*AA261</f>
        <v>0</v>
      </c>
      <c r="AG261">
        <f>S261</f>
        <v>0</v>
      </c>
      <c r="AH261">
        <f>T261+V261*X261</f>
        <v>0</v>
      </c>
    </row>
    <row r="262">
      <c r="A262">
        <v>4</v>
      </c>
      <c r="B262" t="str">
        <v>Plesteran dinding beton</v>
      </c>
      <c r="C262" t="str">
        <v>m2</v>
      </c>
      <c r="D262">
        <f>H262*'REKAP RAB'!$K$3</f>
        <v>158.435</v>
      </c>
      <c r="E262">
        <f>N262*'REKAP RAB'!$O$7</f>
        <v>124930.24999999999</v>
      </c>
      <c r="F262">
        <f>D262*E262</f>
        <v>19793324.158749998</v>
      </c>
      <c r="H262">
        <f>SUM('Retaining Wall'!D169,'Retaining Wall'!D170,'Retaining Wall'!D171,'Retaining Wall'!D175)</f>
        <v>158.435</v>
      </c>
      <c r="I262">
        <f>Analisa!$F$521</f>
        <v>24635</v>
      </c>
      <c r="J262">
        <f>Analisa!$G$521</f>
        <v>84000</v>
      </c>
      <c r="N262">
        <f>SUM(I262:M262)</f>
        <v>108635</v>
      </c>
      <c r="O262">
        <f>H262*N262</f>
        <v>17211586.225</v>
      </c>
      <c r="AF262">
        <f>R262+V262*W262+Z262*AA262</f>
        <v>0</v>
      </c>
      <c r="AG262">
        <f>S262</f>
        <v>0</v>
      </c>
      <c r="AH262">
        <f>T262+V262*X262</f>
        <v>0</v>
      </c>
    </row>
    <row r="263">
      <c r="A263">
        <v>5</v>
      </c>
      <c r="B263" t="str">
        <v>Acian konvensional</v>
      </c>
      <c r="C263" t="str">
        <v>m2</v>
      </c>
      <c r="D263">
        <f>H263*'REKAP RAB'!$K$3</f>
        <v>751.941</v>
      </c>
      <c r="E263">
        <f>N263*'REKAP RAB'!$O$7</f>
        <v>53302.49999999999</v>
      </c>
      <c r="F263">
        <f>D263*E263</f>
        <v>40080335.152499996</v>
      </c>
      <c r="H263">
        <f>SUM(H261:H262)</f>
        <v>751.941</v>
      </c>
      <c r="I263">
        <f>Analisa!$F$535</f>
        <v>16350</v>
      </c>
      <c r="J263">
        <f>Analisa!$G$535</f>
        <v>30000</v>
      </c>
      <c r="N263">
        <f>SUM(I263:M263)</f>
        <v>46350</v>
      </c>
      <c r="O263">
        <f>H263*N263</f>
        <v>34852465.35</v>
      </c>
      <c r="AF263">
        <f>R263+V263*W263+Z263*AA263</f>
        <v>0</v>
      </c>
      <c r="AG263">
        <f>S263</f>
        <v>0</v>
      </c>
      <c r="AH263">
        <f>T263+V263*X263</f>
        <v>0</v>
      </c>
    </row>
    <row r="266">
      <c r="A266" t="str">
        <v>Subtotal Pekerjaan Pasangan Bata</v>
      </c>
      <c r="F266">
        <f>SUM(F241:F265)</f>
        <v>1068355209.6639794</v>
      </c>
      <c r="O266">
        <f>SUM(O238:O265)</f>
        <v>929004530.1425911</v>
      </c>
    </row>
    <row r="268">
      <c r="A268" t="str">
        <v>IX</v>
      </c>
      <c r="B268" t="str">
        <v>PEKERJAAN INSTALASI AIR KOTOR &amp; AIR HUJAN</v>
      </c>
    </row>
    <row r="270">
      <c r="A270">
        <v>1</v>
      </c>
      <c r="B270" t="str">
        <v>Instalasi pemipaan air hujan</v>
      </c>
      <c r="C270" t="str">
        <v>ls</v>
      </c>
      <c r="D270">
        <f>H270</f>
        <v>1</v>
      </c>
      <c r="E270">
        <f>N270*'REKAP RAB'!$O$8</f>
        <v>67800000</v>
      </c>
      <c r="F270">
        <f>D270*E270</f>
        <v>67800000</v>
      </c>
      <c r="H270">
        <v>1</v>
      </c>
      <c r="I270">
        <f>60%*70%*100000000</f>
        <v>42000000</v>
      </c>
      <c r="J270">
        <f>60%*30%*100000000</f>
        <v>18000000</v>
      </c>
      <c r="N270">
        <f>SUM(I270:M270)</f>
        <v>60000000</v>
      </c>
      <c r="O270">
        <f>H270*N270</f>
        <v>60000000</v>
      </c>
      <c r="AF270">
        <f>R270+V270*W270+Z270*AA270+AC270*AD270</f>
        <v>0</v>
      </c>
      <c r="AG270">
        <f>S270</f>
        <v>0</v>
      </c>
      <c r="AH270">
        <f>T270+V270*X270</f>
        <v>0</v>
      </c>
    </row>
    <row r="271">
      <c r="A271">
        <v>2</v>
      </c>
      <c r="B271" t="str">
        <v>Instalasi pemipaan air kotor</v>
      </c>
      <c r="C271" t="str">
        <v>ls</v>
      </c>
      <c r="D271">
        <f>H271</f>
        <v>1</v>
      </c>
      <c r="E271">
        <f>N271*'REKAP RAB'!$O$8</f>
        <v>28249999.999999996</v>
      </c>
      <c r="F271">
        <f>D271*E271</f>
        <v>28249999.999999996</v>
      </c>
      <c r="H271">
        <v>1</v>
      </c>
      <c r="I271">
        <f>25%*70%*100000000</f>
        <v>17500000</v>
      </c>
      <c r="J271">
        <f>25%*30%*100000000</f>
        <v>7500000</v>
      </c>
      <c r="N271">
        <f>SUM(I271:M271)</f>
        <v>25000000</v>
      </c>
      <c r="O271">
        <f>H271*N271</f>
        <v>25000000</v>
      </c>
      <c r="AF271">
        <f>R271+V271*W271+Z271*AA271+AC271*AD271</f>
        <v>0</v>
      </c>
      <c r="AG271">
        <f>S271</f>
        <v>0</v>
      </c>
      <c r="AH271">
        <f>T271+V271*X271</f>
        <v>0</v>
      </c>
    </row>
    <row r="272">
      <c r="A272">
        <v>3</v>
      </c>
      <c r="B272" t="str">
        <v>Instalasi pemipaan air WC dan pipa vent</v>
      </c>
      <c r="C272" t="str">
        <v>ls</v>
      </c>
      <c r="D272">
        <f>H272</f>
        <v>1</v>
      </c>
      <c r="E272">
        <f>N272*'REKAP RAB'!$O$8</f>
        <v>16950000</v>
      </c>
      <c r="F272">
        <f>D272*E272</f>
        <v>16950000</v>
      </c>
      <c r="H272">
        <v>1</v>
      </c>
      <c r="I272">
        <f>15%*70%*100000000</f>
        <v>10500000</v>
      </c>
      <c r="J272">
        <f>15%*30%*100000000</f>
        <v>4500000</v>
      </c>
      <c r="N272">
        <f>SUM(I272:M272)</f>
        <v>15000000</v>
      </c>
      <c r="O272">
        <f>H272*N272</f>
        <v>15000000</v>
      </c>
      <c r="AF272">
        <f>R272+V272*W272+Z272*AA272+AC272*AD272</f>
        <v>0</v>
      </c>
      <c r="AG272">
        <f>S272</f>
        <v>0</v>
      </c>
      <c r="AH272">
        <f>T272+V272*X272</f>
        <v>0</v>
      </c>
    </row>
    <row r="273">
      <c r="A273">
        <v>4</v>
      </c>
      <c r="B273" t="str">
        <v>Pekerjaan bantalan pipa di lantai basement</v>
      </c>
      <c r="C273" t="str">
        <v>m'</v>
      </c>
      <c r="D273">
        <f>H273</f>
        <v>84</v>
      </c>
      <c r="E273">
        <f>N273*'REKAP RAB'!$O$8</f>
        <v>437833.5380399999</v>
      </c>
      <c r="F273">
        <f>D273*E273</f>
        <v>36778017.19535999</v>
      </c>
      <c r="H273">
        <f>2*20+2*22</f>
        <v>84</v>
      </c>
      <c r="I273">
        <f>Analisa!F$637</f>
        <v>347463.30799999996</v>
      </c>
      <c r="J273">
        <f>Analisa!G$637</f>
        <v>40000</v>
      </c>
      <c r="N273">
        <f>SUM(I273:M273)</f>
        <v>387463.30799999996</v>
      </c>
      <c r="O273">
        <f>H273*N273</f>
        <v>32546917.871999998</v>
      </c>
    </row>
    <row r="274">
      <c r="A274">
        <v>5</v>
      </c>
      <c r="B274" t="str">
        <v>Bioseptictank kapasitas 0,5 m3</v>
      </c>
      <c r="C274" t="str">
        <v>unit</v>
      </c>
      <c r="D274">
        <f>H274</f>
        <v>2</v>
      </c>
      <c r="E274">
        <f>N274*'REKAP RAB'!$O$8</f>
        <v>3219369.9999999995</v>
      </c>
      <c r="F274">
        <f>D274*E274</f>
        <v>6438739.999999999</v>
      </c>
      <c r="H274">
        <v>2</v>
      </c>
      <c r="I274">
        <f>Material!G96</f>
        <v>2136750</v>
      </c>
      <c r="J274">
        <f>I274/3</f>
        <v>712250</v>
      </c>
      <c r="N274">
        <f>SUM(I274:M274)</f>
        <v>2849000</v>
      </c>
      <c r="O274">
        <f>H274*N274</f>
        <v>5698000</v>
      </c>
    </row>
    <row r="275">
      <c r="A275">
        <v>5</v>
      </c>
      <c r="B275" t="str">
        <v>Bioseptictank kapasitas 1,5 m3</v>
      </c>
      <c r="C275" t="str">
        <v>unit</v>
      </c>
      <c r="D275">
        <v>1</v>
      </c>
      <c r="E275">
        <f>N275*'REKAP RAB'!$O$8</f>
        <v>7542523.999999999</v>
      </c>
      <c r="F275">
        <f>D275*E275</f>
        <v>7542523.999999999</v>
      </c>
      <c r="H275">
        <v>1</v>
      </c>
      <c r="I275">
        <f>Material!G98</f>
        <v>5006100</v>
      </c>
      <c r="J275">
        <f>I275/3</f>
        <v>1668700</v>
      </c>
      <c r="N275">
        <f>SUM(I275:M275)</f>
        <v>6674800</v>
      </c>
      <c r="O275">
        <f>H275*N275</f>
        <v>6674800</v>
      </c>
    </row>
    <row r="276">
      <c r="A276">
        <v>6</v>
      </c>
      <c r="B276" t="str">
        <v>Bak kontrol</v>
      </c>
      <c r="C276" t="str">
        <v>unit</v>
      </c>
      <c r="D276">
        <f>H276</f>
        <v>12</v>
      </c>
      <c r="E276">
        <f>N276*'REKAP RAB'!$O$8</f>
        <v>2824999.9999999995</v>
      </c>
      <c r="F276">
        <f>D276*E276</f>
        <v>33899999.99999999</v>
      </c>
      <c r="H276">
        <v>12</v>
      </c>
      <c r="I276">
        <v>1750000</v>
      </c>
      <c r="J276">
        <v>750000</v>
      </c>
      <c r="N276">
        <f>SUM(I276:M276)</f>
        <v>2500000</v>
      </c>
      <c r="O276">
        <f>H276*N276</f>
        <v>30000000</v>
      </c>
    </row>
    <row r="277">
      <c r="A277">
        <v>7</v>
      </c>
      <c r="B277" t="str">
        <v>Tandon air kapasitas 10 m3</v>
      </c>
      <c r="C277" t="str">
        <v>unit</v>
      </c>
      <c r="D277">
        <v>1</v>
      </c>
      <c r="E277">
        <f>N277*'REKAP RAB'!$O$8</f>
        <v>33900000</v>
      </c>
      <c r="F277">
        <f>D277*E277</f>
        <v>33900000</v>
      </c>
      <c r="H277">
        <v>1</v>
      </c>
      <c r="I277">
        <v>20000000</v>
      </c>
      <c r="J277">
        <v>10000000</v>
      </c>
      <c r="N277">
        <f>SUM(I277:M277)</f>
        <v>30000000</v>
      </c>
      <c r="O277">
        <f>H277*N277</f>
        <v>30000000</v>
      </c>
      <c r="P277">
        <f>24*70000</f>
        <v>1680000</v>
      </c>
    </row>
    <row r="278">
      <c r="A278">
        <v>8</v>
      </c>
      <c r="B278" t="str">
        <v>Balancing tank kolam renang</v>
      </c>
      <c r="C278" t="str">
        <v>unit</v>
      </c>
      <c r="D278">
        <v>1</v>
      </c>
      <c r="E278">
        <f>N278*'REKAP RAB'!$O$8</f>
        <v>28249999.999999996</v>
      </c>
      <c r="F278">
        <f>D278*E278</f>
        <v>28249999.999999996</v>
      </c>
      <c r="H278">
        <v>1</v>
      </c>
      <c r="I278">
        <v>15000000</v>
      </c>
      <c r="J278">
        <v>10000000</v>
      </c>
      <c r="N278">
        <f>SUM(I278:M278)</f>
        <v>25000000</v>
      </c>
      <c r="O278">
        <f>H278*N278</f>
        <v>25000000</v>
      </c>
      <c r="R278">
        <f>[166]Analisa!$F$193</f>
        <v>1223775</v>
      </c>
      <c r="S278">
        <f>[166]Analisa!$G$225</f>
        <v>1250000</v>
      </c>
      <c r="T278">
        <f>[166]Analisa!$H$225</f>
        <v>215000</v>
      </c>
      <c r="V278" t="e">
        <f>'[167]Retaining Wall'!#REF!</f>
        <v>#REF!</v>
      </c>
      <c r="W278">
        <f>[166]Analisa!F$162</f>
        <v>97482.63888888889</v>
      </c>
      <c r="AA278">
        <f>[166]Analisa!$F$233</f>
        <v>11492.5</v>
      </c>
      <c r="AF278" t="e">
        <f>R278+V278*W278+Z278*AA278</f>
        <v>#REF!</v>
      </c>
      <c r="AG278">
        <f>S278</f>
        <v>1250000</v>
      </c>
      <c r="AH278" t="e">
        <f>T278+V278*X278</f>
        <v>#REF!</v>
      </c>
    </row>
    <row r="280">
      <c r="A280" t="str">
        <v>Subtotal Pekerjaan Instalasi Air Kotor dan Air Hujan</v>
      </c>
      <c r="F280">
        <f>SUM(F267:F279)</f>
        <v>259809281.19536</v>
      </c>
      <c r="O280">
        <f>SUM(O267:O279)</f>
        <v>229919717.87199998</v>
      </c>
    </row>
    <row r="285">
      <c r="R285">
        <f>SUMPRODUCT(H8:H280,T8:T280)</f>
        <v>53104232.55831664</v>
      </c>
      <c r="X285" t="e">
        <f>SUMPRODUCT(H8:H280,V8:V280,X8:X280)</f>
        <v>#REF!</v>
      </c>
    </row>
    <row r="286">
      <c r="F286">
        <f>SUM(F8:F285)/2</f>
        <v>4591999273.485989</v>
      </c>
      <c r="H286" t="str">
        <v>TOTAL</v>
      </c>
      <c r="I286">
        <f>SUMPRODUCT($H8:$H279,I8:I279)</f>
        <v>2184673024.6092834</v>
      </c>
      <c r="J286">
        <f>SUMPRODUCT($H8:$H279,J8:J279)</f>
        <v>1190363120.7743764</v>
      </c>
      <c r="K286">
        <f>SUMPRODUCT($H8:$H279,K8:K279)</f>
        <v>101661527.19321392</v>
      </c>
      <c r="L286">
        <f>SUMPRODUCT($H8:$H279,L8:L279)</f>
        <v>500606020.23380005</v>
      </c>
      <c r="M286">
        <f>SUMPRODUCT($H8:$H279,M8:M279)</f>
        <v>64200000</v>
      </c>
      <c r="O286">
        <f>SUM(O8:O285)/2</f>
        <v>4014579947.4419994</v>
      </c>
      <c r="P286">
        <f>SUM(I286:M286)-O286</f>
        <v>26923745.36867428</v>
      </c>
      <c r="R286" t="str">
        <v>jatah concrete pump</v>
      </c>
      <c r="X286" t="str">
        <v>jatah scaffolding</v>
      </c>
    </row>
    <row r="287">
      <c r="H287" t="str">
        <v>TOTAL / m2</v>
      </c>
      <c r="I287">
        <f>I286/'REKAP RAB'!$K$19</f>
        <v>2735057.3723849</v>
      </c>
      <c r="J287">
        <f>J286/'REKAP RAB'!$K$19</f>
        <v>1490251.1234473274</v>
      </c>
      <c r="K287">
        <f>K286/'REKAP RAB'!$K$19</f>
        <v>127273.10050776841</v>
      </c>
      <c r="L287">
        <f>L286/'REKAP RAB'!$K$19</f>
        <v>626723.6199090207</v>
      </c>
      <c r="M287">
        <f>M286/'REKAP RAB'!$K$19</f>
        <v>80373.89638136535</v>
      </c>
      <c r="O287">
        <f>O286/'REKAP RAB'!$K$19</f>
        <v>5025972.472124773</v>
      </c>
    </row>
    <row r="288">
      <c r="B288" t="str">
        <v>security + powder room</v>
      </c>
      <c r="D288">
        <v>0.5</v>
      </c>
      <c r="E288" t="str">
        <v>m3</v>
      </c>
    </row>
    <row r="289">
      <c r="B289" t="str">
        <v>maid &amp; driver bathroom</v>
      </c>
      <c r="D289">
        <v>1</v>
      </c>
      <c r="E289" t="str">
        <v>m3</v>
      </c>
    </row>
  </sheetData>
  <autoFilter ref="A8:AL280"/>
  <mergeCells count="10">
    <mergeCell ref="A280:E280"/>
    <mergeCell ref="A20:E20"/>
    <mergeCell ref="A29:E29"/>
    <mergeCell ref="A139:E139"/>
    <mergeCell ref="A237:E237"/>
    <mergeCell ref="A219:E219"/>
    <mergeCell ref="A266:E266"/>
    <mergeCell ref="A172:E172"/>
    <mergeCell ref="A201:E201"/>
    <mergeCell ref="A36:A66"/>
  </mergeCells>
  <pageMargins left="0.3937007874015748" right="0.3937007874015748" top="0.3937007874015748" bottom="0.3937007874015748" header="0" footer="0"/>
  <ignoredErrors>
    <ignoredError numberStoredAsText="1" sqref="A1:AO28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BI1048467"/>
  <sheetViews>
    <sheetView workbookViewId="0" rightToLeft="0"/>
  </sheetViews>
  <sheetData>
    <row r="1">
      <c r="A1" t="str">
        <v>Program Perhitungan Volume Pile Cap + Tanah</v>
      </c>
    </row>
    <row r="3">
      <c r="A3" t="str">
        <v>PROYEK</v>
      </c>
      <c r="F3" t="str">
        <f>'Data-PC'!D2</f>
        <v>: ERNAWATI</v>
      </c>
      <c r="S3" t="str">
        <v>Elv. Rata</v>
      </c>
      <c r="T3">
        <v>0</v>
      </c>
    </row>
    <row r="4">
      <c r="A4" t="str">
        <v>AREA</v>
      </c>
      <c r="F4" t="str">
        <v>: All</v>
      </c>
    </row>
    <row r="6">
      <c r="A6" t="str">
        <v>No.</v>
      </c>
      <c r="B6" t="str">
        <v>TYPE</v>
      </c>
      <c r="C6" t="str">
        <v>Jmlh Pile Cap</v>
      </c>
      <c r="D6" t="str">
        <v>Elv. Top Pile Cap</v>
      </c>
      <c r="E6" t="str">
        <v>Elv. Bottom Galian</v>
      </c>
      <c r="F6" t="str">
        <v>Luas Galian</v>
      </c>
      <c r="G6" t="str">
        <v>Tebal Pile Cap</v>
      </c>
      <c r="H6" t="str">
        <v>Jmlh Titik PANCANG</v>
      </c>
      <c r="I6" t="str">
        <v>Jmlh Titik BORED PILE</v>
      </c>
      <c r="J6" t="str">
        <v>Lantai Kerja</v>
      </c>
      <c r="K6" t="str">
        <v>Pasir Urug</v>
      </c>
      <c r="L6" t="str">
        <v>Galian</v>
      </c>
      <c r="M6" t="str">
        <v>Urugan Kembali</v>
      </c>
      <c r="N6" t="str">
        <v>LUAS</v>
      </c>
      <c r="O6" t="str">
        <v>KEL.</v>
      </c>
      <c r="P6" t="str">
        <v>BUANG TANAH</v>
      </c>
      <c r="S6" t="str">
        <v>Buangan Tanah</v>
      </c>
      <c r="T6" t="str">
        <v>Vol. Beton</v>
      </c>
      <c r="U6" t="str">
        <v>Vol. Bekisting</v>
      </c>
      <c r="V6" t="str">
        <v>Peminggang (Tul. Cincin)</v>
      </c>
      <c r="Y6" t="str">
        <v>Tul. Atas Sejajar Lebar</v>
      </c>
      <c r="AD6" t="str">
        <v>Tul. Atas Sejajar Panjang</v>
      </c>
      <c r="AI6" t="str">
        <v>Tul. Bawah Sejajar Lebar</v>
      </c>
      <c r="AN6" t="str">
        <v>Tul. Bawah Sejajar Panjang</v>
      </c>
      <c r="AS6" t="str">
        <v>Kaki Ayam</v>
      </c>
      <c r="AW6" t="str">
        <v>Tambahan Hook</v>
      </c>
      <c r="BA6" t="str">
        <v>Vol. Besi Total</v>
      </c>
    </row>
    <row r="7">
      <c r="F7" t="str">
        <v>GALIAN</v>
      </c>
      <c r="G7" t="str">
        <v>PC</v>
      </c>
      <c r="N7" t="str">
        <v>BETON</v>
      </c>
      <c r="O7" t="str">
        <v>BKSTG</v>
      </c>
      <c r="P7">
        <v>1</v>
      </c>
      <c r="Q7">
        <v>2</v>
      </c>
      <c r="R7">
        <v>3</v>
      </c>
      <c r="V7" t="str">
        <v>Jml</v>
      </c>
      <c r="W7" t="str">
        <v>D</v>
      </c>
      <c r="X7" t="str">
        <v>Berat</v>
      </c>
      <c r="Y7" t="str">
        <v>D</v>
      </c>
      <c r="Z7" t="str">
        <v>Jarak</v>
      </c>
      <c r="AA7" t="str">
        <v>Jumlah</v>
      </c>
      <c r="AB7" t="str">
        <v>Panjang</v>
      </c>
      <c r="AC7" t="str">
        <v>Berat</v>
      </c>
      <c r="AD7" t="str">
        <v>D</v>
      </c>
      <c r="AE7" t="str">
        <v>Jarak</v>
      </c>
      <c r="AF7" t="str">
        <v>Jumlah</v>
      </c>
      <c r="AG7" t="str">
        <v>Panjang</v>
      </c>
      <c r="AH7" t="str">
        <v>Berat</v>
      </c>
      <c r="AI7" t="str">
        <v>D</v>
      </c>
      <c r="AJ7" t="str">
        <v>Jarak</v>
      </c>
      <c r="AK7" t="str">
        <v>Jumlah</v>
      </c>
      <c r="AL7" t="str">
        <v>Panjang</v>
      </c>
      <c r="AM7" t="str">
        <v>Berat</v>
      </c>
      <c r="AN7" t="str">
        <v>D</v>
      </c>
      <c r="AO7" t="str">
        <v>Jarak</v>
      </c>
      <c r="AP7" t="str">
        <v>Jumlah</v>
      </c>
      <c r="AQ7" t="str">
        <v>Panjang</v>
      </c>
      <c r="AR7" t="str">
        <v>Berat</v>
      </c>
      <c r="AS7" t="str">
        <v>Jumlah</v>
      </c>
      <c r="AT7" t="str">
        <v>Diameter</v>
      </c>
      <c r="AU7" t="str">
        <v>Panjang</v>
      </c>
      <c r="AV7" t="str">
        <v>Berat</v>
      </c>
      <c r="AW7" t="str">
        <v>D</v>
      </c>
      <c r="AX7" t="str">
        <v>Jarak</v>
      </c>
      <c r="AY7" t="str">
        <v>Panjang</v>
      </c>
      <c r="AZ7" t="str">
        <v>Berat</v>
      </c>
    </row>
    <row r="8">
      <c r="C8" t="str">
        <v>bh</v>
      </c>
      <c r="D8" t="str">
        <v>m</v>
      </c>
      <c r="E8" t="str">
        <v>m</v>
      </c>
      <c r="F8" t="str">
        <v>m2</v>
      </c>
      <c r="G8" t="str">
        <v>mm</v>
      </c>
      <c r="J8" t="str">
        <v>m3</v>
      </c>
      <c r="K8" t="str">
        <v>m3</v>
      </c>
      <c r="L8" t="str">
        <v>m3</v>
      </c>
      <c r="M8" t="str">
        <v>m3</v>
      </c>
      <c r="S8" t="str">
        <v>m3</v>
      </c>
      <c r="T8" t="str">
        <v>m3</v>
      </c>
      <c r="U8" t="str">
        <v>m2</v>
      </c>
      <c r="V8" t="str">
        <v>bh</v>
      </c>
      <c r="W8" t="str">
        <v>mm</v>
      </c>
      <c r="X8" t="str">
        <v>kg</v>
      </c>
      <c r="Y8" t="str">
        <v>mm</v>
      </c>
      <c r="Z8" t="str">
        <v>mm</v>
      </c>
      <c r="AA8" t="str">
        <v>bh</v>
      </c>
      <c r="AB8" t="str">
        <v>m</v>
      </c>
      <c r="AC8" t="str">
        <v>kg</v>
      </c>
      <c r="AD8" t="str">
        <v>mm</v>
      </c>
      <c r="AE8" t="str">
        <v>mm</v>
      </c>
      <c r="AF8" t="str">
        <v>bh</v>
      </c>
      <c r="AG8" t="str">
        <v>m</v>
      </c>
      <c r="AH8" t="str">
        <v>kg</v>
      </c>
      <c r="AI8" t="str">
        <v>mm</v>
      </c>
      <c r="AJ8" t="str">
        <v>mm</v>
      </c>
      <c r="AK8" t="str">
        <v>bh</v>
      </c>
      <c r="AL8" t="str">
        <v>m</v>
      </c>
      <c r="AM8" t="str">
        <v>kg</v>
      </c>
      <c r="AN8" t="str">
        <v>mm</v>
      </c>
      <c r="AO8" t="str">
        <v>mm</v>
      </c>
      <c r="AP8" t="str">
        <v>bh</v>
      </c>
      <c r="AQ8" t="str">
        <v>m</v>
      </c>
      <c r="AR8" t="str">
        <v>kg</v>
      </c>
      <c r="AS8" t="str">
        <v>mm</v>
      </c>
      <c r="AT8" t="str">
        <v>mm</v>
      </c>
      <c r="AU8" t="str">
        <v>m</v>
      </c>
      <c r="AV8" t="str">
        <v>kg</v>
      </c>
      <c r="AW8" t="str">
        <v>mm</v>
      </c>
      <c r="AX8" t="str">
        <v>mm</v>
      </c>
      <c r="AY8" t="str">
        <v>m</v>
      </c>
      <c r="AZ8" t="str">
        <v>kg</v>
      </c>
      <c r="BA8" t="str">
        <v>kg</v>
      </c>
    </row>
    <row r="10">
      <c r="A10" t="str">
        <v>BANGUNAN UTAMA</v>
      </c>
      <c r="S10">
        <f>L10-M10</f>
        <v>0</v>
      </c>
    </row>
    <row r="12">
      <c r="A12">
        <v>1</v>
      </c>
      <c r="B12" t="str">
        <v>PCS.3A</v>
      </c>
      <c r="C12">
        <v>1</v>
      </c>
      <c r="E12">
        <f>D12-(G12+'Data-PC'!$D$5)/1000</f>
        <v>-0.75</v>
      </c>
      <c r="F12">
        <f>VLOOKUP(B12,'Data-PC'!$B$13:$AP$56,15,FALSE)</f>
        <v>5.0946875</v>
      </c>
      <c r="G12">
        <f>VLOOKUP(B12,'Data-PC'!$B$13:$G$56,4,FALSE)</f>
        <v>700</v>
      </c>
      <c r="H12">
        <f>C12*VLOOKUP(B12,'Data-PC'!$B$13:$BC$56,18,FALSE)</f>
        <v>0</v>
      </c>
      <c r="I12">
        <f>C12*VLOOKUP(B12,'Data-PC'!$B$13:$BC$56,51,FALSE)</f>
        <v>3</v>
      </c>
      <c r="J12">
        <f>F12*C12*'Data-PC'!$D$5/1000</f>
        <v>0.254734375</v>
      </c>
      <c r="K12">
        <f>F12*('Data-PC'!$D$4/1000)*C12</f>
        <v>0</v>
      </c>
      <c r="L12">
        <f>C12*F12*($T$3-E12)</f>
        <v>3.8210156250000002</v>
      </c>
      <c r="M12">
        <f>L12-(T12+J12)</f>
        <v>2.184</v>
      </c>
      <c r="S12">
        <f>L12-M12</f>
        <v>1.637015625</v>
      </c>
      <c r="T12">
        <f>C12*VLOOKUP(B12,'Data-PC'!$B$13:$AP$56,16,FALSE)*(1+'Data-PC'!$T$3/100)</f>
        <v>1.38228125</v>
      </c>
      <c r="U12">
        <f>C12*VLOOKUP(B12,'Data-PC'!$B$13:$AP$56,17,FALSE)*(1+'Data-PC'!$T$5/100)</f>
        <v>3.960703281636579</v>
      </c>
      <c r="V12">
        <f>VLOOKUP($B12,'Data-PC'!$B$13:$AP$79,19,FALSE)</f>
        <v>3</v>
      </c>
      <c r="W12">
        <f>VLOOKUP($B12,'Data-PC'!$B$13:$AP$79,20,FALSE)</f>
        <v>13</v>
      </c>
      <c r="X12">
        <f>VLOOKUP($B12,'Data-PC'!$B$13:$AP$79,21,FALSE)*C12</f>
        <v>17.235322845376828</v>
      </c>
      <c r="Y12">
        <f>VLOOKUP($B12,'Data-PC'!$B$13:$AP$79,22,FALSE)</f>
        <v>19</v>
      </c>
      <c r="Z12">
        <f>VLOOKUP($B12,'Data-PC'!$B$13:$AP$79,23,FALSE)</f>
        <v>100</v>
      </c>
      <c r="AA12">
        <f>VLOOKUP($B12,'Data-PC'!$B$13:$AP$79,24,FALSE)</f>
        <v>16</v>
      </c>
      <c r="AB12">
        <f>VLOOKUP($B12,'Data-PC'!$B$13:$AP$79,25,FALSE)</f>
        <v>37.985</v>
      </c>
      <c r="AC12">
        <f>VLOOKUP($B12,'Data-PC'!$B$13:$AP$79,26,FALSE)*C12</f>
        <v>84.538086525</v>
      </c>
      <c r="AD12">
        <f>VLOOKUP($B12,'Data-PC'!$B$13:$AP$79,27,FALSE)</f>
        <v>19</v>
      </c>
      <c r="AE12">
        <f>VLOOKUP($B12,'Data-PC'!$B$13:$AP$79,28,FALSE)</f>
        <v>100</v>
      </c>
      <c r="AF12">
        <f>VLOOKUP($B12,'Data-PC'!$B$13:$AP$79,29,FALSE)</f>
        <v>16</v>
      </c>
      <c r="AG12">
        <f>VLOOKUP($B12,'Data-PC'!$B$13:$AP$79,30,FALSE)</f>
        <v>29.455</v>
      </c>
      <c r="AH12">
        <f>VLOOKUP($B12,'Data-PC'!$B$13:$AP$79,31,FALSE)*C12</f>
        <v>65.55401707499999</v>
      </c>
      <c r="AI12">
        <f>VLOOKUP($B12,'Data-PC'!$B$13:$AP$79,32,FALSE)</f>
        <v>16</v>
      </c>
      <c r="AJ12">
        <f>VLOOKUP($B12,'Data-PC'!$B$13:$AP$79,33,FALSE)</f>
        <v>100</v>
      </c>
      <c r="AK12">
        <f>VLOOKUP($B12,'Data-PC'!$B$13:$AP$79,34,FALSE)</f>
        <v>16</v>
      </c>
      <c r="AL12">
        <f>VLOOKUP($B12,'Data-PC'!$B$13:$AP$79,35,FALSE)</f>
        <v>42.465</v>
      </c>
      <c r="AM12">
        <f>VLOOKUP($B12,'Data-PC'!$B$13:$AP$79,36,FALSE)*C12</f>
        <v>67.0199616</v>
      </c>
      <c r="AN12">
        <f>VLOOKUP($B12,'Data-PC'!$B$13:$AP$79,37,FALSE)</f>
        <v>16</v>
      </c>
      <c r="AO12">
        <f>VLOOKUP($B12,'Data-PC'!$B$13:$AP$79,38,FALSE)</f>
        <v>100</v>
      </c>
      <c r="AP12">
        <f>VLOOKUP($B12,'Data-PC'!$B$13:$AP$79,39,FALSE)</f>
        <v>16</v>
      </c>
      <c r="AQ12">
        <f>VLOOKUP($B12,'Data-PC'!$B$13:$AP$79,40,FALSE)</f>
        <v>39.695</v>
      </c>
      <c r="AR12">
        <f>VLOOKUP($B12,'Data-PC'!$B$13:$AP$79,41,FALSE)*C12</f>
        <v>62.64823680000001</v>
      </c>
      <c r="AS12">
        <f>VLOOKUP($B12,'Data-PC'!$B$13:$AX$79,42,FALSE)</f>
        <v>0</v>
      </c>
      <c r="AT12">
        <f>VLOOKUP($B12,'Data-PC'!$B$13:$AX$79,43,FALSE)</f>
        <v>0</v>
      </c>
      <c r="AU12">
        <f>VLOOKUP($B12,'Data-PC'!$B$13:$AX$79,44,FALSE)</f>
        <v>1580</v>
      </c>
      <c r="AV12">
        <f>VLOOKUP($B12,'Data-PC'!$B$13:$AX$79,45,FALSE)*C12</f>
        <v>0</v>
      </c>
      <c r="AW12">
        <f>VLOOKUP($B12,'Data-PC'!$B$13:$AX$79,46,FALSE)</f>
        <v>0</v>
      </c>
      <c r="AX12">
        <f>VLOOKUP($B12,'Data-PC'!$B$13:$AX$79,47,FALSE)</f>
        <v>0</v>
      </c>
      <c r="AY12">
        <f>VLOOKUP($B12,'Data-PC'!$B$19:$AX$79,48,FALSE)</f>
        <v>0</v>
      </c>
      <c r="AZ12">
        <f>VLOOKUP($B12,'Data-PC'!$B$13:$AX$79,49,FALSE)*C12</f>
        <v>0</v>
      </c>
      <c r="BA12">
        <f>SUM(X12,AC12,AH12,AM12,AR12,AV12,AZ12)</f>
        <v>296.9956248453768</v>
      </c>
    </row>
    <row r="13">
      <c r="A13">
        <f>A12+1</f>
        <v>2</v>
      </c>
      <c r="B13" t="str">
        <v>PCS.5</v>
      </c>
      <c r="C13">
        <v>1</v>
      </c>
      <c r="E13">
        <f>D13-(G13+'Data-PC'!$D$5)/1000</f>
        <v>-0.8</v>
      </c>
      <c r="F13">
        <f>VLOOKUP(B13,'Data-PC'!$B$13:$AP$56,15,FALSE)</f>
        <v>7.040576</v>
      </c>
      <c r="G13">
        <f>VLOOKUP(B13,'Data-PC'!$B$13:$G$56,4,FALSE)</f>
        <v>750</v>
      </c>
      <c r="H13">
        <f>C13*VLOOKUP(B13,'Data-PC'!$B$13:$BC$56,18,FALSE)</f>
        <v>0</v>
      </c>
      <c r="I13">
        <f>C13*VLOOKUP(B13,'Data-PC'!$B$13:$BC$56,51,FALSE)</f>
        <v>5</v>
      </c>
      <c r="J13">
        <f>F13*C13*'Data-PC'!$D$5/1000</f>
        <v>0.3520288</v>
      </c>
      <c r="K13">
        <f>F13*('Data-PC'!$D$4/1000)*C13</f>
        <v>0</v>
      </c>
      <c r="L13">
        <f>C13*F13*($T$3-E13)</f>
        <v>5.6324608000000005</v>
      </c>
      <c r="M13">
        <f>L13-(T13+J13)</f>
        <v>2.8680000000000008</v>
      </c>
      <c r="S13">
        <f>L13-M13</f>
        <v>2.7644607999999997</v>
      </c>
      <c r="T13">
        <f>C13*VLOOKUP(B13,'Data-PC'!$B$13:$AP$56,16,FALSE)*(1+'Data-PC'!$T$3/100)</f>
        <v>2.412432</v>
      </c>
      <c r="U13">
        <f>C13*VLOOKUP(B13,'Data-PC'!$B$13:$AP$56,17,FALSE)*(1+'Data-PC'!$T$5/100)</f>
        <v>5.337239358978687</v>
      </c>
      <c r="V13">
        <f>VLOOKUP($B13,'Data-PC'!$B$13:$AP$79,19,FALSE)</f>
        <v>3</v>
      </c>
      <c r="W13">
        <f>VLOOKUP($B13,'Data-PC'!$B$13:$AP$79,20,FALSE)</f>
        <v>13</v>
      </c>
      <c r="X13">
        <f>VLOOKUP($B13,'Data-PC'!$B$13:$AP$79,21,FALSE)*C13</f>
        <v>21.605524898118038</v>
      </c>
      <c r="Y13">
        <f>VLOOKUP($B13,'Data-PC'!$B$13:$AP$79,22,FALSE)</f>
        <v>19</v>
      </c>
      <c r="Z13">
        <f>VLOOKUP($B13,'Data-PC'!$B$13:$AP$79,23,FALSE)</f>
        <v>100</v>
      </c>
      <c r="AA13">
        <f>VLOOKUP($B13,'Data-PC'!$B$13:$AP$79,24,FALSE)</f>
        <v>25</v>
      </c>
      <c r="AB13">
        <f>VLOOKUP($B13,'Data-PC'!$B$13:$AP$79,25,FALSE)</f>
        <v>55.297</v>
      </c>
      <c r="AC13">
        <f>VLOOKUP($B13,'Data-PC'!$B$13:$AP$79,26,FALSE)*C13</f>
        <v>123.067067805</v>
      </c>
      <c r="AD13">
        <f>VLOOKUP($B13,'Data-PC'!$B$13:$AP$79,27,FALSE)</f>
        <v>13</v>
      </c>
      <c r="AE13">
        <f>VLOOKUP($B13,'Data-PC'!$B$13:$AP$79,28,FALSE)</f>
        <v>100</v>
      </c>
      <c r="AF13">
        <f>VLOOKUP($B13,'Data-PC'!$B$13:$AP$79,29,FALSE)</f>
        <v>17</v>
      </c>
      <c r="AG13">
        <f>VLOOKUP($B13,'Data-PC'!$B$13:$AP$79,30,FALSE)</f>
        <v>42.72</v>
      </c>
      <c r="AH13">
        <f>VLOOKUP($B13,'Data-PC'!$B$13:$AP$79,31,FALSE)*C13</f>
        <v>44.509327199999994</v>
      </c>
      <c r="AI13">
        <f>VLOOKUP($B13,'Data-PC'!$B$13:$AP$79,32,FALSE)</f>
        <v>16</v>
      </c>
      <c r="AJ13">
        <f>VLOOKUP($B13,'Data-PC'!$B$13:$AP$79,33,FALSE)</f>
        <v>100</v>
      </c>
      <c r="AK13">
        <f>VLOOKUP($B13,'Data-PC'!$B$13:$AP$79,34,FALSE)</f>
        <v>25</v>
      </c>
      <c r="AL13">
        <f>VLOOKUP($B13,'Data-PC'!$B$13:$AP$79,35,FALSE)</f>
        <v>68.407</v>
      </c>
      <c r="AM13">
        <f>VLOOKUP($B13,'Data-PC'!$B$13:$AP$79,36,FALSE)*C13</f>
        <v>107.96266368</v>
      </c>
      <c r="AN13">
        <f>VLOOKUP($B13,'Data-PC'!$B$13:$AP$79,37,FALSE)</f>
        <v>16</v>
      </c>
      <c r="AO13">
        <f>VLOOKUP($B13,'Data-PC'!$B$13:$AP$79,38,FALSE)</f>
        <v>100</v>
      </c>
      <c r="AP13">
        <f>VLOOKUP($B13,'Data-PC'!$B$13:$AP$79,39,FALSE)</f>
        <v>17</v>
      </c>
      <c r="AQ13">
        <f>VLOOKUP($B13,'Data-PC'!$B$13:$AP$79,40,FALSE)</f>
        <v>53.76</v>
      </c>
      <c r="AR13">
        <f>VLOOKUP($B13,'Data-PC'!$B$13:$AP$79,41,FALSE)*C13</f>
        <v>84.8461824</v>
      </c>
      <c r="AS13">
        <f>VLOOKUP($B13,'Data-PC'!$B$13:$AX$79,42,FALSE)</f>
        <v>0</v>
      </c>
      <c r="AT13">
        <f>VLOOKUP($B13,'Data-PC'!$B$13:$AX$79,43,FALSE)</f>
        <v>0</v>
      </c>
      <c r="AU13">
        <f>VLOOKUP($B13,'Data-PC'!$B$13:$AX$79,44,FALSE)</f>
        <v>1680</v>
      </c>
      <c r="AV13">
        <f>VLOOKUP($B13,'Data-PC'!$B$13:$AX$79,45,FALSE)*C13</f>
        <v>0</v>
      </c>
      <c r="AW13">
        <f>VLOOKUP($B13,'Data-PC'!$B$13:$AX$79,46,FALSE)</f>
        <v>0</v>
      </c>
      <c r="AX13">
        <f>VLOOKUP($B13,'Data-PC'!$B$13:$AX$79,47,FALSE)</f>
        <v>0</v>
      </c>
      <c r="AY13">
        <f>VLOOKUP($B13,'Data-PC'!$B$19:$AX$79,48,FALSE)</f>
        <v>0</v>
      </c>
      <c r="AZ13">
        <f>VLOOKUP($B13,'Data-PC'!$B$13:$AX$79,49,FALSE)*C13</f>
        <v>0</v>
      </c>
      <c r="BA13">
        <f>SUM(X13,AC13,AH13,AM13,AR13,AV13,AZ13)</f>
        <v>381.9907659831181</v>
      </c>
    </row>
    <row r="14">
      <c r="A14">
        <f>A13+1</f>
        <v>3</v>
      </c>
      <c r="B14" t="str">
        <v>PCS.2</v>
      </c>
      <c r="C14">
        <v>1</v>
      </c>
      <c r="E14">
        <f>D14-(G14+'Data-PC'!$D$5)/1000</f>
        <v>-0.65</v>
      </c>
      <c r="F14">
        <f>VLOOKUP(B14,'Data-PC'!$B$13:$AP$56,15,FALSE)</f>
        <v>3.68</v>
      </c>
      <c r="G14">
        <f>VLOOKUP(B14,'Data-PC'!$B$13:$G$56,4,FALSE)</f>
        <v>600</v>
      </c>
      <c r="H14">
        <f>C14*VLOOKUP(B14,'Data-PC'!$B$13:$BC$56,18,FALSE)</f>
        <v>0</v>
      </c>
      <c r="I14">
        <f>C14*VLOOKUP(B14,'Data-PC'!$B$13:$BC$56,51,FALSE)</f>
        <v>2</v>
      </c>
      <c r="J14">
        <f>F14*C14*'Data-PC'!$D$5/1000</f>
        <v>0.184</v>
      </c>
      <c r="K14">
        <f>F14*('Data-PC'!$D$4/1000)*C14</f>
        <v>0</v>
      </c>
      <c r="L14">
        <f>C14*F14*($T$3-E14)</f>
        <v>2.3920000000000003</v>
      </c>
      <c r="M14">
        <f>L14-(T14+J14)</f>
        <v>1.4880000000000004</v>
      </c>
      <c r="S14">
        <f>L14-M14</f>
        <v>0.9039999999999999</v>
      </c>
      <c r="T14">
        <f>C14*VLOOKUP(B14,'Data-PC'!$B$13:$AP$56,16,FALSE)*(1+'Data-PC'!$T$3/100)</f>
        <v>0.72</v>
      </c>
      <c r="U14">
        <f>C14*VLOOKUP(B14,'Data-PC'!$B$13:$AP$56,17,FALSE)*(1+'Data-PC'!$T$5/100)</f>
        <v>2.76</v>
      </c>
      <c r="V14">
        <f>VLOOKUP($B14,'Data-PC'!$B$13:$AP$79,19,FALSE)</f>
        <v>2</v>
      </c>
      <c r="W14">
        <f>VLOOKUP($B14,'Data-PC'!$B$13:$AP$79,20,FALSE)</f>
        <v>13</v>
      </c>
      <c r="X14">
        <f>VLOOKUP($B14,'Data-PC'!$B$13:$AP$79,21,FALSE)*C14</f>
        <v>9.410305319999997</v>
      </c>
      <c r="Y14">
        <f>VLOOKUP($B14,'Data-PC'!$B$13:$AP$79,22,FALSE)</f>
        <v>16</v>
      </c>
      <c r="Z14">
        <f>VLOOKUP($B14,'Data-PC'!$B$13:$AP$79,23,FALSE)</f>
        <v>100</v>
      </c>
      <c r="AA14">
        <f>VLOOKUP($B14,'Data-PC'!$B$13:$AP$79,24,FALSE)</f>
        <v>15</v>
      </c>
      <c r="AB14">
        <f>VLOOKUP($B14,'Data-PC'!$B$13:$AP$79,25,FALSE)</f>
        <v>19.2</v>
      </c>
      <c r="AC14">
        <f>VLOOKUP($B14,'Data-PC'!$B$13:$AP$79,26,FALSE)*C14</f>
        <v>30.302208</v>
      </c>
      <c r="AD14">
        <f>VLOOKUP($B14,'Data-PC'!$B$13:$AP$79,27,FALSE)</f>
        <v>13</v>
      </c>
      <c r="AE14">
        <f>VLOOKUP($B14,'Data-PC'!$B$13:$AP$79,28,FALSE)</f>
        <v>100</v>
      </c>
      <c r="AF14">
        <f>VLOOKUP($B14,'Data-PC'!$B$13:$AP$79,29,FALSE)</f>
        <v>8</v>
      </c>
      <c r="AG14">
        <f>VLOOKUP($B14,'Data-PC'!$B$13:$AP$79,30,FALSE)</f>
        <v>15.84</v>
      </c>
      <c r="AH14">
        <f>VLOOKUP($B14,'Data-PC'!$B$13:$AP$79,31,FALSE)*C14</f>
        <v>16.5034584</v>
      </c>
      <c r="AI14">
        <f>VLOOKUP($B14,'Data-PC'!$B$13:$AP$79,32,FALSE)</f>
        <v>16</v>
      </c>
      <c r="AJ14">
        <f>VLOOKUP($B14,'Data-PC'!$B$13:$AP$79,33,FALSE)</f>
        <v>100</v>
      </c>
      <c r="AK14">
        <f>VLOOKUP($B14,'Data-PC'!$B$13:$AP$79,34,FALSE)</f>
        <v>15</v>
      </c>
      <c r="AL14">
        <f>VLOOKUP($B14,'Data-PC'!$B$13:$AP$79,35,FALSE)</f>
        <v>27.3</v>
      </c>
      <c r="AM14">
        <f>VLOOKUP($B14,'Data-PC'!$B$13:$AP$79,36,FALSE)*C14</f>
        <v>43.085952000000006</v>
      </c>
      <c r="AN14">
        <f>VLOOKUP($B14,'Data-PC'!$B$13:$AP$79,37,FALSE)</f>
        <v>13</v>
      </c>
      <c r="AO14">
        <f>VLOOKUP($B14,'Data-PC'!$B$13:$AP$79,38,FALSE)</f>
        <v>100</v>
      </c>
      <c r="AP14">
        <f>VLOOKUP($B14,'Data-PC'!$B$13:$AP$79,39,FALSE)</f>
        <v>8</v>
      </c>
      <c r="AQ14">
        <f>VLOOKUP($B14,'Data-PC'!$B$13:$AP$79,40,FALSE)</f>
        <v>20.16</v>
      </c>
      <c r="AR14">
        <f>VLOOKUP($B14,'Data-PC'!$B$13:$AP$79,41,FALSE)*C14</f>
        <v>21.004401599999998</v>
      </c>
      <c r="AS14">
        <f>VLOOKUP($B14,'Data-PC'!$B$13:$AX$79,42,FALSE)</f>
        <v>0</v>
      </c>
      <c r="AT14">
        <f>VLOOKUP($B14,'Data-PC'!$B$13:$AX$79,43,FALSE)</f>
        <v>0</v>
      </c>
      <c r="AU14">
        <f>VLOOKUP($B14,'Data-PC'!$B$13:$AX$79,44,FALSE)</f>
        <v>1380</v>
      </c>
      <c r="AV14">
        <f>VLOOKUP($B14,'Data-PC'!$B$13:$AX$79,45,FALSE)*C14</f>
        <v>0</v>
      </c>
      <c r="AW14">
        <f>VLOOKUP($B14,'Data-PC'!$B$13:$AX$79,46,FALSE)</f>
        <v>0</v>
      </c>
      <c r="AX14">
        <f>VLOOKUP($B14,'Data-PC'!$B$13:$AX$79,47,FALSE)</f>
        <v>0</v>
      </c>
      <c r="AY14">
        <f>VLOOKUP($B14,'Data-PC'!$B$19:$AX$79,48,FALSE)</f>
        <v>0</v>
      </c>
      <c r="AZ14">
        <f>VLOOKUP($B14,'Data-PC'!$B$13:$AX$79,49,FALSE)*C14</f>
        <v>0</v>
      </c>
      <c r="BA14">
        <f>SUM(X14,AC14,AH14,AM14,AR14,AV14,AZ14)</f>
        <v>120.30632532</v>
      </c>
    </row>
    <row r="15">
      <c r="A15">
        <f>A14+1</f>
        <v>4</v>
      </c>
      <c r="B15" t="str">
        <v>PC.1</v>
      </c>
      <c r="C15">
        <v>1</v>
      </c>
      <c r="E15">
        <f>D15-(G15+'Data-PC'!$D$5)/1000</f>
        <v>-0.55</v>
      </c>
      <c r="F15">
        <f>VLOOKUP(B15,'Data-PC'!$B$13:$AP$56,15,FALSE)</f>
        <v>1.69</v>
      </c>
      <c r="G15">
        <f>VLOOKUP(B15,'Data-PC'!$B$13:$G$56,4,FALSE)</f>
        <v>500</v>
      </c>
      <c r="H15">
        <f>C15*VLOOKUP(B15,'Data-PC'!$B$13:$BC$56,18,FALSE)</f>
        <v>1</v>
      </c>
      <c r="I15">
        <f>C15*VLOOKUP(B15,'Data-PC'!$B$13:$BC$56,51,FALSE)</f>
        <v>0</v>
      </c>
      <c r="J15">
        <f>F15*C15*'Data-PC'!$D$5/1000</f>
        <v>0.0845</v>
      </c>
      <c r="K15">
        <f>F15*('Data-PC'!$D$4/1000)*C15</f>
        <v>0</v>
      </c>
      <c r="L15">
        <f>C15*F15*($T$3-E15)</f>
        <v>0.9295</v>
      </c>
      <c r="M15">
        <f>L15-(T15+J15)</f>
        <v>0.72</v>
      </c>
      <c r="S15">
        <f>L15-M15</f>
        <v>0.20950000000000002</v>
      </c>
      <c r="T15">
        <f>C15*VLOOKUP(B15,'Data-PC'!$B$13:$AP$56,16,FALSE)*(1+'Data-PC'!$T$3/100)</f>
        <v>0.125</v>
      </c>
      <c r="U15">
        <f>C15*VLOOKUP(B15,'Data-PC'!$B$13:$AP$56,17,FALSE)*(1+'Data-PC'!$T$5/100)</f>
        <v>1</v>
      </c>
      <c r="V15">
        <f>VLOOKUP($B15,'Data-PC'!$B$13:$AP$79,19,FALSE)</f>
        <v>2</v>
      </c>
      <c r="W15">
        <f>VLOOKUP($B15,'Data-PC'!$B$13:$AP$79,20,FALSE)</f>
        <v>13</v>
      </c>
      <c r="X15">
        <f>VLOOKUP($B15,'Data-PC'!$B$13:$AP$79,21,FALSE)*C15</f>
        <v>3.9925033199999995</v>
      </c>
      <c r="Y15">
        <f>VLOOKUP($B15,'Data-PC'!$B$13:$AP$79,22,FALSE)</f>
        <v>13</v>
      </c>
      <c r="Z15">
        <f>VLOOKUP($B15,'Data-PC'!$B$13:$AP$79,23,FALSE)</f>
        <v>125</v>
      </c>
      <c r="AA15">
        <f>VLOOKUP($B15,'Data-PC'!$B$13:$AP$79,24,FALSE)</f>
        <v>4</v>
      </c>
      <c r="AB15">
        <f>VLOOKUP($B15,'Data-PC'!$B$13:$AP$79,25,FALSE)</f>
        <v>3.52</v>
      </c>
      <c r="AC15">
        <f>VLOOKUP($B15,'Data-PC'!$B$13:$AP$79,26,FALSE)*C15</f>
        <v>3.6674352</v>
      </c>
      <c r="AD15">
        <f>VLOOKUP($B15,'Data-PC'!$B$13:$AP$79,27,FALSE)</f>
        <v>13</v>
      </c>
      <c r="AE15">
        <f>VLOOKUP($B15,'Data-PC'!$B$13:$AP$79,28,FALSE)</f>
        <v>125</v>
      </c>
      <c r="AF15">
        <f>VLOOKUP($B15,'Data-PC'!$B$13:$AP$79,29,FALSE)</f>
        <v>4</v>
      </c>
      <c r="AG15">
        <f>VLOOKUP($B15,'Data-PC'!$B$13:$AP$79,30,FALSE)</f>
        <v>3.52</v>
      </c>
      <c r="AH15">
        <f>VLOOKUP($B15,'Data-PC'!$B$13:$AP$79,31,FALSE)*C15</f>
        <v>3.6674352</v>
      </c>
      <c r="AI15">
        <f>VLOOKUP($B15,'Data-PC'!$B$13:$AP$79,32,FALSE)</f>
        <v>13</v>
      </c>
      <c r="AJ15">
        <f>VLOOKUP($B15,'Data-PC'!$B$13:$AP$79,33,FALSE)</f>
        <v>125</v>
      </c>
      <c r="AK15">
        <f>VLOOKUP($B15,'Data-PC'!$B$13:$AP$79,34,FALSE)</f>
        <v>4</v>
      </c>
      <c r="AL15">
        <f>VLOOKUP($B15,'Data-PC'!$B$13:$AP$79,35,FALSE)</f>
        <v>5.28</v>
      </c>
      <c r="AM15">
        <f>VLOOKUP($B15,'Data-PC'!$B$13:$AP$79,36,FALSE)*C15</f>
        <v>5.5011528</v>
      </c>
      <c r="AN15">
        <f>VLOOKUP($B15,'Data-PC'!$B$13:$AP$79,37,FALSE)</f>
        <v>13</v>
      </c>
      <c r="AO15">
        <f>VLOOKUP($B15,'Data-PC'!$B$13:$AP$79,38,FALSE)</f>
        <v>125</v>
      </c>
      <c r="AP15">
        <f>VLOOKUP($B15,'Data-PC'!$B$13:$AP$79,39,FALSE)</f>
        <v>4</v>
      </c>
      <c r="AQ15">
        <f>VLOOKUP($B15,'Data-PC'!$B$13:$AP$79,40,FALSE)</f>
        <v>5.28</v>
      </c>
      <c r="AR15">
        <f>VLOOKUP($B15,'Data-PC'!$B$13:$AP$79,41,FALSE)*C15</f>
        <v>5.5011528</v>
      </c>
      <c r="AS15">
        <f>VLOOKUP($B15,'Data-PC'!$B$13:$AX$79,42,FALSE)</f>
        <v>0</v>
      </c>
      <c r="AT15">
        <f>VLOOKUP($B15,'Data-PC'!$B$13:$AX$79,43,FALSE)</f>
        <v>0</v>
      </c>
      <c r="AU15">
        <f>VLOOKUP($B15,'Data-PC'!$B$13:$AX$79,44,FALSE)</f>
        <v>1180</v>
      </c>
      <c r="AV15">
        <f>VLOOKUP($B15,'Data-PC'!$B$13:$AX$79,45,FALSE)*C15</f>
        <v>0</v>
      </c>
      <c r="AW15">
        <f>VLOOKUP($B15,'Data-PC'!$B$13:$AX$79,46,FALSE)</f>
        <v>0</v>
      </c>
      <c r="AX15">
        <f>VLOOKUP($B15,'Data-PC'!$B$13:$AX$79,47,FALSE)</f>
        <v>0</v>
      </c>
      <c r="AY15" t="e">
        <f>VLOOKUP($B15,'Data-PC'!$B$19:$AX$79,48,FALSE)</f>
        <v>#N/A</v>
      </c>
      <c r="AZ15">
        <f>VLOOKUP($B15,'Data-PC'!$B$13:$AX$79,49,FALSE)*C15</f>
        <v>0</v>
      </c>
      <c r="BA15">
        <f>SUM(X15,AC15,AH15,AM15,AR15,AV15,AZ15)</f>
        <v>22.329679319999997</v>
      </c>
    </row>
    <row r="16">
      <c r="A16">
        <f>A15+1</f>
        <v>5</v>
      </c>
      <c r="B16" t="str">
        <v>PC.1</v>
      </c>
      <c r="C16">
        <v>1</v>
      </c>
      <c r="E16">
        <f>D16-(G16+'Data-PC'!$D$5)/1000</f>
        <v>-0.55</v>
      </c>
      <c r="F16">
        <f>VLOOKUP(B16,'Data-PC'!$B$13:$AP$56,15,FALSE)</f>
        <v>1.69</v>
      </c>
      <c r="G16">
        <f>VLOOKUP(B16,'Data-PC'!$B$13:$G$56,4,FALSE)</f>
        <v>500</v>
      </c>
      <c r="H16">
        <f>C16*VLOOKUP(B16,'Data-PC'!$B$13:$BC$56,18,FALSE)</f>
        <v>1</v>
      </c>
      <c r="I16">
        <f>C16*VLOOKUP(B16,'Data-PC'!$B$13:$BC$56,51,FALSE)</f>
        <v>0</v>
      </c>
      <c r="J16">
        <f>F16*C16*'Data-PC'!$D$5/1000</f>
        <v>0.0845</v>
      </c>
      <c r="K16">
        <f>F16*('Data-PC'!$D$4/1000)*C16</f>
        <v>0</v>
      </c>
      <c r="L16">
        <f>C16*F16*($T$3-E16)</f>
        <v>0.9295</v>
      </c>
      <c r="M16">
        <f>L16-(T16+J16)</f>
        <v>0.72</v>
      </c>
      <c r="S16">
        <f>L16-M16</f>
        <v>0.20950000000000002</v>
      </c>
      <c r="T16">
        <f>C16*VLOOKUP(B16,'Data-PC'!$B$13:$AP$56,16,FALSE)*(1+'Data-PC'!$T$3/100)</f>
        <v>0.125</v>
      </c>
      <c r="U16">
        <f>C16*VLOOKUP(B16,'Data-PC'!$B$13:$AP$56,17,FALSE)*(1+'Data-PC'!$T$5/100)</f>
        <v>1</v>
      </c>
      <c r="V16">
        <f>VLOOKUP($B16,'Data-PC'!$B$13:$AP$79,19,FALSE)</f>
        <v>2</v>
      </c>
      <c r="W16">
        <f>VLOOKUP($B16,'Data-PC'!$B$13:$AP$79,20,FALSE)</f>
        <v>13</v>
      </c>
      <c r="X16">
        <f>VLOOKUP($B16,'Data-PC'!$B$13:$AP$79,21,FALSE)*C16</f>
        <v>3.9925033199999995</v>
      </c>
      <c r="Y16">
        <f>VLOOKUP($B16,'Data-PC'!$B$13:$AP$79,22,FALSE)</f>
        <v>13</v>
      </c>
      <c r="Z16">
        <f>VLOOKUP($B16,'Data-PC'!$B$13:$AP$79,23,FALSE)</f>
        <v>125</v>
      </c>
      <c r="AA16">
        <f>VLOOKUP($B16,'Data-PC'!$B$13:$AP$79,24,FALSE)</f>
        <v>4</v>
      </c>
      <c r="AB16">
        <f>VLOOKUP($B16,'Data-PC'!$B$13:$AP$79,25,FALSE)</f>
        <v>3.52</v>
      </c>
      <c r="AC16">
        <f>VLOOKUP($B16,'Data-PC'!$B$13:$AP$79,26,FALSE)*C16</f>
        <v>3.6674352</v>
      </c>
      <c r="AD16">
        <f>VLOOKUP($B16,'Data-PC'!$B$13:$AP$79,27,FALSE)</f>
        <v>13</v>
      </c>
      <c r="AE16">
        <f>VLOOKUP($B16,'Data-PC'!$B$13:$AP$79,28,FALSE)</f>
        <v>125</v>
      </c>
      <c r="AF16">
        <f>VLOOKUP($B16,'Data-PC'!$B$13:$AP$79,29,FALSE)</f>
        <v>4</v>
      </c>
      <c r="AG16">
        <f>VLOOKUP($B16,'Data-PC'!$B$13:$AP$79,30,FALSE)</f>
        <v>3.52</v>
      </c>
      <c r="AH16">
        <f>VLOOKUP($B16,'Data-PC'!$B$13:$AP$79,31,FALSE)*C16</f>
        <v>3.6674352</v>
      </c>
      <c r="AI16">
        <f>VLOOKUP($B16,'Data-PC'!$B$13:$AP$79,32,FALSE)</f>
        <v>13</v>
      </c>
      <c r="AJ16">
        <f>VLOOKUP($B16,'Data-PC'!$B$13:$AP$79,33,FALSE)</f>
        <v>125</v>
      </c>
      <c r="AK16">
        <f>VLOOKUP($B16,'Data-PC'!$B$13:$AP$79,34,FALSE)</f>
        <v>4</v>
      </c>
      <c r="AL16">
        <f>VLOOKUP($B16,'Data-PC'!$B$13:$AP$79,35,FALSE)</f>
        <v>5.28</v>
      </c>
      <c r="AM16">
        <f>VLOOKUP($B16,'Data-PC'!$B$13:$AP$79,36,FALSE)*C16</f>
        <v>5.5011528</v>
      </c>
      <c r="AN16">
        <f>VLOOKUP($B16,'Data-PC'!$B$13:$AP$79,37,FALSE)</f>
        <v>13</v>
      </c>
      <c r="AO16">
        <f>VLOOKUP($B16,'Data-PC'!$B$13:$AP$79,38,FALSE)</f>
        <v>125</v>
      </c>
      <c r="AP16">
        <f>VLOOKUP($B16,'Data-PC'!$B$13:$AP$79,39,FALSE)</f>
        <v>4</v>
      </c>
      <c r="AQ16">
        <f>VLOOKUP($B16,'Data-PC'!$B$13:$AP$79,40,FALSE)</f>
        <v>5.28</v>
      </c>
      <c r="AR16">
        <f>VLOOKUP($B16,'Data-PC'!$B$13:$AP$79,41,FALSE)*C16</f>
        <v>5.5011528</v>
      </c>
      <c r="AS16">
        <f>VLOOKUP($B16,'Data-PC'!$B$13:$AX$79,42,FALSE)</f>
        <v>0</v>
      </c>
      <c r="AT16">
        <f>VLOOKUP($B16,'Data-PC'!$B$13:$AX$79,43,FALSE)</f>
        <v>0</v>
      </c>
      <c r="AU16">
        <f>VLOOKUP($B16,'Data-PC'!$B$13:$AX$79,44,FALSE)</f>
        <v>1180</v>
      </c>
      <c r="AV16">
        <f>VLOOKUP($B16,'Data-PC'!$B$13:$AX$79,45,FALSE)*C16</f>
        <v>0</v>
      </c>
      <c r="AW16">
        <f>VLOOKUP($B16,'Data-PC'!$B$13:$AX$79,46,FALSE)</f>
        <v>0</v>
      </c>
      <c r="AX16">
        <f>VLOOKUP($B16,'Data-PC'!$B$13:$AX$79,47,FALSE)</f>
        <v>0</v>
      </c>
      <c r="AY16" t="e">
        <f>VLOOKUP($B16,'Data-PC'!$B$19:$AX$79,48,FALSE)</f>
        <v>#N/A</v>
      </c>
      <c r="AZ16">
        <f>VLOOKUP($B16,'Data-PC'!$B$13:$AX$79,49,FALSE)*C16</f>
        <v>0</v>
      </c>
      <c r="BA16">
        <f>SUM(X16,AC16,AH16,AM16,AR16,AV16,AZ16)</f>
        <v>22.329679319999997</v>
      </c>
    </row>
    <row r="17">
      <c r="A17">
        <f>A16+1</f>
        <v>6</v>
      </c>
      <c r="B17" t="str">
        <v>PC.1</v>
      </c>
      <c r="C17">
        <v>1</v>
      </c>
      <c r="E17">
        <f>D17-(G17+'Data-PC'!$D$5)/1000</f>
        <v>-0.55</v>
      </c>
      <c r="F17">
        <f>VLOOKUP(B17,'Data-PC'!$B$13:$AP$56,15,FALSE)</f>
        <v>1.69</v>
      </c>
      <c r="G17">
        <f>VLOOKUP(B17,'Data-PC'!$B$13:$G$56,4,FALSE)</f>
        <v>500</v>
      </c>
      <c r="H17">
        <f>C17*VLOOKUP(B17,'Data-PC'!$B$13:$BC$56,18,FALSE)</f>
        <v>1</v>
      </c>
      <c r="I17">
        <f>C17*VLOOKUP(B17,'Data-PC'!$B$13:$BC$56,51,FALSE)</f>
        <v>0</v>
      </c>
      <c r="J17">
        <f>F17*C17*'Data-PC'!$D$5/1000</f>
        <v>0.0845</v>
      </c>
      <c r="K17">
        <f>F17*('Data-PC'!$D$4/1000)*C17</f>
        <v>0</v>
      </c>
      <c r="L17">
        <f>C17*F17*($T$3-E17)</f>
        <v>0.9295</v>
      </c>
      <c r="M17">
        <f>L17-(T17+J17)</f>
        <v>0.72</v>
      </c>
      <c r="S17">
        <f>L17-M17</f>
        <v>0.20950000000000002</v>
      </c>
      <c r="T17">
        <f>C17*VLOOKUP(B17,'Data-PC'!$B$13:$AP$56,16,FALSE)*(1+'Data-PC'!$T$3/100)</f>
        <v>0.125</v>
      </c>
      <c r="U17">
        <f>C17*VLOOKUP(B17,'Data-PC'!$B$13:$AP$56,17,FALSE)*(1+'Data-PC'!$T$5/100)</f>
        <v>1</v>
      </c>
      <c r="V17">
        <f>VLOOKUP($B17,'Data-PC'!$B$13:$AP$79,19,FALSE)</f>
        <v>2</v>
      </c>
      <c r="W17">
        <f>VLOOKUP($B17,'Data-PC'!$B$13:$AP$79,20,FALSE)</f>
        <v>13</v>
      </c>
      <c r="X17">
        <f>VLOOKUP($B17,'Data-PC'!$B$13:$AP$79,21,FALSE)*C17</f>
        <v>3.9925033199999995</v>
      </c>
      <c r="Y17">
        <f>VLOOKUP($B17,'Data-PC'!$B$13:$AP$79,22,FALSE)</f>
        <v>13</v>
      </c>
      <c r="Z17">
        <f>VLOOKUP($B17,'Data-PC'!$B$13:$AP$79,23,FALSE)</f>
        <v>125</v>
      </c>
      <c r="AA17">
        <f>VLOOKUP($B17,'Data-PC'!$B$13:$AP$79,24,FALSE)</f>
        <v>4</v>
      </c>
      <c r="AB17">
        <f>VLOOKUP($B17,'Data-PC'!$B$13:$AP$79,25,FALSE)</f>
        <v>3.52</v>
      </c>
      <c r="AC17">
        <f>VLOOKUP($B17,'Data-PC'!$B$13:$AP$79,26,FALSE)*C17</f>
        <v>3.6674352</v>
      </c>
      <c r="AD17">
        <f>VLOOKUP($B17,'Data-PC'!$B$13:$AP$79,27,FALSE)</f>
        <v>13</v>
      </c>
      <c r="AE17">
        <f>VLOOKUP($B17,'Data-PC'!$B$13:$AP$79,28,FALSE)</f>
        <v>125</v>
      </c>
      <c r="AF17">
        <f>VLOOKUP($B17,'Data-PC'!$B$13:$AP$79,29,FALSE)</f>
        <v>4</v>
      </c>
      <c r="AG17">
        <f>VLOOKUP($B17,'Data-PC'!$B$13:$AP$79,30,FALSE)</f>
        <v>3.52</v>
      </c>
      <c r="AH17">
        <f>VLOOKUP($B17,'Data-PC'!$B$13:$AP$79,31,FALSE)*C17</f>
        <v>3.6674352</v>
      </c>
      <c r="AI17">
        <f>VLOOKUP($B17,'Data-PC'!$B$13:$AP$79,32,FALSE)</f>
        <v>13</v>
      </c>
      <c r="AJ17">
        <f>VLOOKUP($B17,'Data-PC'!$B$13:$AP$79,33,FALSE)</f>
        <v>125</v>
      </c>
      <c r="AK17">
        <f>VLOOKUP($B17,'Data-PC'!$B$13:$AP$79,34,FALSE)</f>
        <v>4</v>
      </c>
      <c r="AL17">
        <f>VLOOKUP($B17,'Data-PC'!$B$13:$AP$79,35,FALSE)</f>
        <v>5.28</v>
      </c>
      <c r="AM17">
        <f>VLOOKUP($B17,'Data-PC'!$B$13:$AP$79,36,FALSE)*C17</f>
        <v>5.5011528</v>
      </c>
      <c r="AN17">
        <f>VLOOKUP($B17,'Data-PC'!$B$13:$AP$79,37,FALSE)</f>
        <v>13</v>
      </c>
      <c r="AO17">
        <f>VLOOKUP($B17,'Data-PC'!$B$13:$AP$79,38,FALSE)</f>
        <v>125</v>
      </c>
      <c r="AP17">
        <f>VLOOKUP($B17,'Data-PC'!$B$13:$AP$79,39,FALSE)</f>
        <v>4</v>
      </c>
      <c r="AQ17">
        <f>VLOOKUP($B17,'Data-PC'!$B$13:$AP$79,40,FALSE)</f>
        <v>5.28</v>
      </c>
      <c r="AR17">
        <f>VLOOKUP($B17,'Data-PC'!$B$13:$AP$79,41,FALSE)*C17</f>
        <v>5.5011528</v>
      </c>
      <c r="AS17">
        <f>VLOOKUP($B17,'Data-PC'!$B$13:$AX$79,42,FALSE)</f>
        <v>0</v>
      </c>
      <c r="AT17">
        <f>VLOOKUP($B17,'Data-PC'!$B$13:$AX$79,43,FALSE)</f>
        <v>0</v>
      </c>
      <c r="AU17">
        <f>VLOOKUP($B17,'Data-PC'!$B$13:$AX$79,44,FALSE)</f>
        <v>1180</v>
      </c>
      <c r="AV17">
        <f>VLOOKUP($B17,'Data-PC'!$B$13:$AX$79,45,FALSE)*C17</f>
        <v>0</v>
      </c>
      <c r="AW17">
        <f>VLOOKUP($B17,'Data-PC'!$B$13:$AX$79,46,FALSE)</f>
        <v>0</v>
      </c>
      <c r="AX17">
        <f>VLOOKUP($B17,'Data-PC'!$B$13:$AX$79,47,FALSE)</f>
        <v>0</v>
      </c>
      <c r="AY17" t="e">
        <f>VLOOKUP($B17,'Data-PC'!$B$19:$AX$79,48,FALSE)</f>
        <v>#N/A</v>
      </c>
      <c r="AZ17">
        <f>VLOOKUP($B17,'Data-PC'!$B$13:$AX$79,49,FALSE)*C17</f>
        <v>0</v>
      </c>
      <c r="BA17">
        <f>SUM(X17,AC17,AH17,AM17,AR17,AV17,AZ17)</f>
        <v>22.329679319999997</v>
      </c>
    </row>
    <row r="18">
      <c r="A18">
        <f>A17+1</f>
        <v>7</v>
      </c>
      <c r="B18" t="str">
        <v>PC.1</v>
      </c>
      <c r="C18">
        <v>1</v>
      </c>
      <c r="E18">
        <f>D18-(G18+'Data-PC'!$D$5)/1000</f>
        <v>-0.55</v>
      </c>
      <c r="F18">
        <f>VLOOKUP(B18,'Data-PC'!$B$13:$AP$56,15,FALSE)</f>
        <v>1.69</v>
      </c>
      <c r="G18">
        <f>VLOOKUP(B18,'Data-PC'!$B$13:$G$56,4,FALSE)</f>
        <v>500</v>
      </c>
      <c r="H18">
        <f>C18*VLOOKUP(B18,'Data-PC'!$B$13:$BC$56,18,FALSE)</f>
        <v>1</v>
      </c>
      <c r="I18">
        <f>C18*VLOOKUP(B18,'Data-PC'!$B$13:$BC$56,51,FALSE)</f>
        <v>0</v>
      </c>
      <c r="J18">
        <f>F18*C18*'Data-PC'!$D$5/1000</f>
        <v>0.0845</v>
      </c>
      <c r="K18">
        <f>F18*('Data-PC'!$D$4/1000)*C18</f>
        <v>0</v>
      </c>
      <c r="L18">
        <f>C18*F18*($T$3-E18)</f>
        <v>0.9295</v>
      </c>
      <c r="M18">
        <f>L18-(T18+J18)</f>
        <v>0.72</v>
      </c>
      <c r="S18">
        <f>L18-M18</f>
        <v>0.20950000000000002</v>
      </c>
      <c r="T18">
        <f>C18*VLOOKUP(B18,'Data-PC'!$B$13:$AP$56,16,FALSE)*(1+'Data-PC'!$T$3/100)</f>
        <v>0.125</v>
      </c>
      <c r="U18">
        <f>C18*VLOOKUP(B18,'Data-PC'!$B$13:$AP$56,17,FALSE)*(1+'Data-PC'!$T$5/100)</f>
        <v>1</v>
      </c>
      <c r="V18">
        <f>VLOOKUP($B18,'Data-PC'!$B$13:$AP$79,19,FALSE)</f>
        <v>2</v>
      </c>
      <c r="W18">
        <f>VLOOKUP($B18,'Data-PC'!$B$13:$AP$79,20,FALSE)</f>
        <v>13</v>
      </c>
      <c r="X18">
        <f>VLOOKUP($B18,'Data-PC'!$B$13:$AP$79,21,FALSE)*C18</f>
        <v>3.9925033199999995</v>
      </c>
      <c r="Y18">
        <f>VLOOKUP($B18,'Data-PC'!$B$13:$AP$79,22,FALSE)</f>
        <v>13</v>
      </c>
      <c r="Z18">
        <f>VLOOKUP($B18,'Data-PC'!$B$13:$AP$79,23,FALSE)</f>
        <v>125</v>
      </c>
      <c r="AA18">
        <f>VLOOKUP($B18,'Data-PC'!$B$13:$AP$79,24,FALSE)</f>
        <v>4</v>
      </c>
      <c r="AB18">
        <f>VLOOKUP($B18,'Data-PC'!$B$13:$AP$79,25,FALSE)</f>
        <v>3.52</v>
      </c>
      <c r="AC18">
        <f>VLOOKUP($B18,'Data-PC'!$B$13:$AP$79,26,FALSE)*C18</f>
        <v>3.6674352</v>
      </c>
      <c r="AD18">
        <f>VLOOKUP($B18,'Data-PC'!$B$13:$AP$79,27,FALSE)</f>
        <v>13</v>
      </c>
      <c r="AE18">
        <f>VLOOKUP($B18,'Data-PC'!$B$13:$AP$79,28,FALSE)</f>
        <v>125</v>
      </c>
      <c r="AF18">
        <f>VLOOKUP($B18,'Data-PC'!$B$13:$AP$79,29,FALSE)</f>
        <v>4</v>
      </c>
      <c r="AG18">
        <f>VLOOKUP($B18,'Data-PC'!$B$13:$AP$79,30,FALSE)</f>
        <v>3.52</v>
      </c>
      <c r="AH18">
        <f>VLOOKUP($B18,'Data-PC'!$B$13:$AP$79,31,FALSE)*C18</f>
        <v>3.6674352</v>
      </c>
      <c r="AI18">
        <f>VLOOKUP($B18,'Data-PC'!$B$13:$AP$79,32,FALSE)</f>
        <v>13</v>
      </c>
      <c r="AJ18">
        <f>VLOOKUP($B18,'Data-PC'!$B$13:$AP$79,33,FALSE)</f>
        <v>125</v>
      </c>
      <c r="AK18">
        <f>VLOOKUP($B18,'Data-PC'!$B$13:$AP$79,34,FALSE)</f>
        <v>4</v>
      </c>
      <c r="AL18">
        <f>VLOOKUP($B18,'Data-PC'!$B$13:$AP$79,35,FALSE)</f>
        <v>5.28</v>
      </c>
      <c r="AM18">
        <f>VLOOKUP($B18,'Data-PC'!$B$13:$AP$79,36,FALSE)*C18</f>
        <v>5.5011528</v>
      </c>
      <c r="AN18">
        <f>VLOOKUP($B18,'Data-PC'!$B$13:$AP$79,37,FALSE)</f>
        <v>13</v>
      </c>
      <c r="AO18">
        <f>VLOOKUP($B18,'Data-PC'!$B$13:$AP$79,38,FALSE)</f>
        <v>125</v>
      </c>
      <c r="AP18">
        <f>VLOOKUP($B18,'Data-PC'!$B$13:$AP$79,39,FALSE)</f>
        <v>4</v>
      </c>
      <c r="AQ18">
        <f>VLOOKUP($B18,'Data-PC'!$B$13:$AP$79,40,FALSE)</f>
        <v>5.28</v>
      </c>
      <c r="AR18">
        <f>VLOOKUP($B18,'Data-PC'!$B$13:$AP$79,41,FALSE)*C18</f>
        <v>5.5011528</v>
      </c>
      <c r="AS18">
        <f>VLOOKUP($B18,'Data-PC'!$B$13:$AX$79,42,FALSE)</f>
        <v>0</v>
      </c>
      <c r="AT18">
        <f>VLOOKUP($B18,'Data-PC'!$B$13:$AX$79,43,FALSE)</f>
        <v>0</v>
      </c>
      <c r="AU18">
        <f>VLOOKUP($B18,'Data-PC'!$B$13:$AX$79,44,FALSE)</f>
        <v>1180</v>
      </c>
      <c r="AV18">
        <f>VLOOKUP($B18,'Data-PC'!$B$13:$AX$79,45,FALSE)*C18</f>
        <v>0</v>
      </c>
      <c r="AW18">
        <f>VLOOKUP($B18,'Data-PC'!$B$13:$AX$79,46,FALSE)</f>
        <v>0</v>
      </c>
      <c r="AX18">
        <f>VLOOKUP($B18,'Data-PC'!$B$13:$AX$79,47,FALSE)</f>
        <v>0</v>
      </c>
      <c r="AY18" t="e">
        <f>VLOOKUP($B18,'Data-PC'!$B$19:$AX$79,48,FALSE)</f>
        <v>#N/A</v>
      </c>
      <c r="AZ18">
        <f>VLOOKUP($B18,'Data-PC'!$B$13:$AX$79,49,FALSE)*C18</f>
        <v>0</v>
      </c>
      <c r="BA18">
        <f>SUM(X18,AC18,AH18,AM18,AR18,AV18,AZ18)</f>
        <v>22.329679319999997</v>
      </c>
    </row>
    <row r="19">
      <c r="A19">
        <f>A18+1</f>
        <v>8</v>
      </c>
      <c r="B19" t="str">
        <v>PC.1</v>
      </c>
      <c r="C19">
        <v>1</v>
      </c>
      <c r="E19">
        <f>D19-(G19+'Data-PC'!$D$5)/1000</f>
        <v>-0.55</v>
      </c>
      <c r="F19">
        <f>VLOOKUP(B19,'Data-PC'!$B$13:$AP$56,15,FALSE)</f>
        <v>1.69</v>
      </c>
      <c r="G19">
        <f>VLOOKUP(B19,'Data-PC'!$B$13:$G$56,4,FALSE)</f>
        <v>500</v>
      </c>
      <c r="H19">
        <f>C19*VLOOKUP(B19,'Data-PC'!$B$13:$BC$56,18,FALSE)</f>
        <v>1</v>
      </c>
      <c r="I19">
        <f>C19*VLOOKUP(B19,'Data-PC'!$B$13:$BC$56,51,FALSE)</f>
        <v>0</v>
      </c>
      <c r="J19">
        <f>F19*C19*'Data-PC'!$D$5/1000</f>
        <v>0.0845</v>
      </c>
      <c r="K19">
        <f>F19*('Data-PC'!$D$4/1000)*C19</f>
        <v>0</v>
      </c>
      <c r="L19">
        <f>C19*F19*($T$3-E19)</f>
        <v>0.9295</v>
      </c>
      <c r="M19">
        <f>L19-(T19+J19)</f>
        <v>0.72</v>
      </c>
      <c r="S19">
        <f>L19-M19</f>
        <v>0.20950000000000002</v>
      </c>
      <c r="T19">
        <f>C19*VLOOKUP(B19,'Data-PC'!$B$13:$AP$56,16,FALSE)*(1+'Data-PC'!$T$3/100)</f>
        <v>0.125</v>
      </c>
      <c r="U19">
        <f>C19*VLOOKUP(B19,'Data-PC'!$B$13:$AP$56,17,FALSE)*(1+'Data-PC'!$T$5/100)</f>
        <v>1</v>
      </c>
      <c r="V19">
        <f>VLOOKUP($B19,'Data-PC'!$B$13:$AP$79,19,FALSE)</f>
        <v>2</v>
      </c>
      <c r="W19">
        <f>VLOOKUP($B19,'Data-PC'!$B$13:$AP$79,20,FALSE)</f>
        <v>13</v>
      </c>
      <c r="X19">
        <f>VLOOKUP($B19,'Data-PC'!$B$13:$AP$79,21,FALSE)*C19</f>
        <v>3.9925033199999995</v>
      </c>
      <c r="Y19">
        <f>VLOOKUP($B19,'Data-PC'!$B$13:$AP$79,22,FALSE)</f>
        <v>13</v>
      </c>
      <c r="Z19">
        <f>VLOOKUP($B19,'Data-PC'!$B$13:$AP$79,23,FALSE)</f>
        <v>125</v>
      </c>
      <c r="AA19">
        <f>VLOOKUP($B19,'Data-PC'!$B$13:$AP$79,24,FALSE)</f>
        <v>4</v>
      </c>
      <c r="AB19">
        <f>VLOOKUP($B19,'Data-PC'!$B$13:$AP$79,25,FALSE)</f>
        <v>3.52</v>
      </c>
      <c r="AC19">
        <f>VLOOKUP($B19,'Data-PC'!$B$13:$AP$79,26,FALSE)*C19</f>
        <v>3.6674352</v>
      </c>
      <c r="AD19">
        <f>VLOOKUP($B19,'Data-PC'!$B$13:$AP$79,27,FALSE)</f>
        <v>13</v>
      </c>
      <c r="AE19">
        <f>VLOOKUP($B19,'Data-PC'!$B$13:$AP$79,28,FALSE)</f>
        <v>125</v>
      </c>
      <c r="AF19">
        <f>VLOOKUP($B19,'Data-PC'!$B$13:$AP$79,29,FALSE)</f>
        <v>4</v>
      </c>
      <c r="AG19">
        <f>VLOOKUP($B19,'Data-PC'!$B$13:$AP$79,30,FALSE)</f>
        <v>3.52</v>
      </c>
      <c r="AH19">
        <f>VLOOKUP($B19,'Data-PC'!$B$13:$AP$79,31,FALSE)*C19</f>
        <v>3.6674352</v>
      </c>
      <c r="AI19">
        <f>VLOOKUP($B19,'Data-PC'!$B$13:$AP$79,32,FALSE)</f>
        <v>13</v>
      </c>
      <c r="AJ19">
        <f>VLOOKUP($B19,'Data-PC'!$B$13:$AP$79,33,FALSE)</f>
        <v>125</v>
      </c>
      <c r="AK19">
        <f>VLOOKUP($B19,'Data-PC'!$B$13:$AP$79,34,FALSE)</f>
        <v>4</v>
      </c>
      <c r="AL19">
        <f>VLOOKUP($B19,'Data-PC'!$B$13:$AP$79,35,FALSE)</f>
        <v>5.28</v>
      </c>
      <c r="AM19">
        <f>VLOOKUP($B19,'Data-PC'!$B$13:$AP$79,36,FALSE)*C19</f>
        <v>5.5011528</v>
      </c>
      <c r="AN19">
        <f>VLOOKUP($B19,'Data-PC'!$B$13:$AP$79,37,FALSE)</f>
        <v>13</v>
      </c>
      <c r="AO19">
        <f>VLOOKUP($B19,'Data-PC'!$B$13:$AP$79,38,FALSE)</f>
        <v>125</v>
      </c>
      <c r="AP19">
        <f>VLOOKUP($B19,'Data-PC'!$B$13:$AP$79,39,FALSE)</f>
        <v>4</v>
      </c>
      <c r="AQ19">
        <f>VLOOKUP($B19,'Data-PC'!$B$13:$AP$79,40,FALSE)</f>
        <v>5.28</v>
      </c>
      <c r="AR19">
        <f>VLOOKUP($B19,'Data-PC'!$B$13:$AP$79,41,FALSE)*C19</f>
        <v>5.5011528</v>
      </c>
      <c r="AS19">
        <f>VLOOKUP($B19,'Data-PC'!$B$13:$AX$79,42,FALSE)</f>
        <v>0</v>
      </c>
      <c r="AT19">
        <f>VLOOKUP($B19,'Data-PC'!$B$13:$AX$79,43,FALSE)</f>
        <v>0</v>
      </c>
      <c r="AU19">
        <f>VLOOKUP($B19,'Data-PC'!$B$13:$AX$79,44,FALSE)</f>
        <v>1180</v>
      </c>
      <c r="AV19">
        <f>VLOOKUP($B19,'Data-PC'!$B$13:$AX$79,45,FALSE)*C19</f>
        <v>0</v>
      </c>
      <c r="AW19">
        <f>VLOOKUP($B19,'Data-PC'!$B$13:$AX$79,46,FALSE)</f>
        <v>0</v>
      </c>
      <c r="AX19">
        <f>VLOOKUP($B19,'Data-PC'!$B$13:$AX$79,47,FALSE)</f>
        <v>0</v>
      </c>
      <c r="AY19" t="e">
        <f>VLOOKUP($B19,'Data-PC'!$B$19:$AX$79,48,FALSE)</f>
        <v>#N/A</v>
      </c>
      <c r="AZ19">
        <f>VLOOKUP($B19,'Data-PC'!$B$13:$AX$79,49,FALSE)*C19</f>
        <v>0</v>
      </c>
      <c r="BA19">
        <f>SUM(X19,AC19,AH19,AM19,AR19,AV19,AZ19)</f>
        <v>22.329679319999997</v>
      </c>
    </row>
    <row r="20">
      <c r="A20">
        <f>A19+1</f>
        <v>9</v>
      </c>
      <c r="B20" t="str">
        <v>PC.1</v>
      </c>
      <c r="C20">
        <v>1</v>
      </c>
      <c r="E20">
        <f>D20-(G20+'Data-PC'!$D$5)/1000</f>
        <v>-0.55</v>
      </c>
      <c r="F20">
        <f>VLOOKUP(B20,'Data-PC'!$B$13:$AP$56,15,FALSE)</f>
        <v>1.69</v>
      </c>
      <c r="G20">
        <f>VLOOKUP(B20,'Data-PC'!$B$13:$G$56,4,FALSE)</f>
        <v>500</v>
      </c>
      <c r="H20">
        <f>C20*VLOOKUP(B20,'Data-PC'!$B$13:$BC$56,18,FALSE)</f>
        <v>1</v>
      </c>
      <c r="I20">
        <f>C20*VLOOKUP(B20,'Data-PC'!$B$13:$BC$56,51,FALSE)</f>
        <v>0</v>
      </c>
      <c r="J20">
        <f>F20*C20*'Data-PC'!$D$5/1000</f>
        <v>0.0845</v>
      </c>
      <c r="K20">
        <f>F20*('Data-PC'!$D$4/1000)*C20</f>
        <v>0</v>
      </c>
      <c r="L20">
        <f>C20*F20*($T$3-E20)</f>
        <v>0.9295</v>
      </c>
      <c r="M20">
        <f>L20-(T20+J20)</f>
        <v>0.72</v>
      </c>
      <c r="S20">
        <f>L20-M20</f>
        <v>0.20950000000000002</v>
      </c>
      <c r="T20">
        <f>C20*VLOOKUP(B20,'Data-PC'!$B$13:$AP$56,16,FALSE)*(1+'Data-PC'!$T$3/100)</f>
        <v>0.125</v>
      </c>
      <c r="U20">
        <f>C20*VLOOKUP(B20,'Data-PC'!$B$13:$AP$56,17,FALSE)*(1+'Data-PC'!$T$5/100)</f>
        <v>1</v>
      </c>
      <c r="V20">
        <f>VLOOKUP($B20,'Data-PC'!$B$13:$AP$79,19,FALSE)</f>
        <v>2</v>
      </c>
      <c r="W20">
        <f>VLOOKUP($B20,'Data-PC'!$B$13:$AP$79,20,FALSE)</f>
        <v>13</v>
      </c>
      <c r="X20">
        <f>VLOOKUP($B20,'Data-PC'!$B$13:$AP$79,21,FALSE)*C20</f>
        <v>3.9925033199999995</v>
      </c>
      <c r="Y20">
        <f>VLOOKUP($B20,'Data-PC'!$B$13:$AP$79,22,FALSE)</f>
        <v>13</v>
      </c>
      <c r="Z20">
        <f>VLOOKUP($B20,'Data-PC'!$B$13:$AP$79,23,FALSE)</f>
        <v>125</v>
      </c>
      <c r="AA20">
        <f>VLOOKUP($B20,'Data-PC'!$B$13:$AP$79,24,FALSE)</f>
        <v>4</v>
      </c>
      <c r="AB20">
        <f>VLOOKUP($B20,'Data-PC'!$B$13:$AP$79,25,FALSE)</f>
        <v>3.52</v>
      </c>
      <c r="AC20">
        <f>VLOOKUP($B20,'Data-PC'!$B$13:$AP$79,26,FALSE)*C20</f>
        <v>3.6674352</v>
      </c>
      <c r="AD20">
        <f>VLOOKUP($B20,'Data-PC'!$B$13:$AP$79,27,FALSE)</f>
        <v>13</v>
      </c>
      <c r="AE20">
        <f>VLOOKUP($B20,'Data-PC'!$B$13:$AP$79,28,FALSE)</f>
        <v>125</v>
      </c>
      <c r="AF20">
        <f>VLOOKUP($B20,'Data-PC'!$B$13:$AP$79,29,FALSE)</f>
        <v>4</v>
      </c>
      <c r="AG20">
        <f>VLOOKUP($B20,'Data-PC'!$B$13:$AP$79,30,FALSE)</f>
        <v>3.52</v>
      </c>
      <c r="AH20">
        <f>VLOOKUP($B20,'Data-PC'!$B$13:$AP$79,31,FALSE)*C20</f>
        <v>3.6674352</v>
      </c>
      <c r="AI20">
        <f>VLOOKUP($B20,'Data-PC'!$B$13:$AP$79,32,FALSE)</f>
        <v>13</v>
      </c>
      <c r="AJ20">
        <f>VLOOKUP($B20,'Data-PC'!$B$13:$AP$79,33,FALSE)</f>
        <v>125</v>
      </c>
      <c r="AK20">
        <f>VLOOKUP($B20,'Data-PC'!$B$13:$AP$79,34,FALSE)</f>
        <v>4</v>
      </c>
      <c r="AL20">
        <f>VLOOKUP($B20,'Data-PC'!$B$13:$AP$79,35,FALSE)</f>
        <v>5.28</v>
      </c>
      <c r="AM20">
        <f>VLOOKUP($B20,'Data-PC'!$B$13:$AP$79,36,FALSE)*C20</f>
        <v>5.5011528</v>
      </c>
      <c r="AN20">
        <f>VLOOKUP($B20,'Data-PC'!$B$13:$AP$79,37,FALSE)</f>
        <v>13</v>
      </c>
      <c r="AO20">
        <f>VLOOKUP($B20,'Data-PC'!$B$13:$AP$79,38,FALSE)</f>
        <v>125</v>
      </c>
      <c r="AP20">
        <f>VLOOKUP($B20,'Data-PC'!$B$13:$AP$79,39,FALSE)</f>
        <v>4</v>
      </c>
      <c r="AQ20">
        <f>VLOOKUP($B20,'Data-PC'!$B$13:$AP$79,40,FALSE)</f>
        <v>5.28</v>
      </c>
      <c r="AR20">
        <f>VLOOKUP($B20,'Data-PC'!$B$13:$AP$79,41,FALSE)*C20</f>
        <v>5.5011528</v>
      </c>
      <c r="AS20">
        <f>VLOOKUP($B20,'Data-PC'!$B$13:$AX$79,42,FALSE)</f>
        <v>0</v>
      </c>
      <c r="AT20">
        <f>VLOOKUP($B20,'Data-PC'!$B$13:$AX$79,43,FALSE)</f>
        <v>0</v>
      </c>
      <c r="AU20">
        <f>VLOOKUP($B20,'Data-PC'!$B$13:$AX$79,44,FALSE)</f>
        <v>1180</v>
      </c>
      <c r="AV20">
        <f>VLOOKUP($B20,'Data-PC'!$B$13:$AX$79,45,FALSE)*C20</f>
        <v>0</v>
      </c>
      <c r="AW20">
        <f>VLOOKUP($B20,'Data-PC'!$B$13:$AX$79,46,FALSE)</f>
        <v>0</v>
      </c>
      <c r="AX20">
        <f>VLOOKUP($B20,'Data-PC'!$B$13:$AX$79,47,FALSE)</f>
        <v>0</v>
      </c>
      <c r="AY20" t="e">
        <f>VLOOKUP($B20,'Data-PC'!$B$19:$AX$79,48,FALSE)</f>
        <v>#N/A</v>
      </c>
      <c r="AZ20">
        <f>VLOOKUP($B20,'Data-PC'!$B$13:$AX$79,49,FALSE)*C20</f>
        <v>0</v>
      </c>
      <c r="BA20">
        <f>SUM(X20,AC20,AH20,AM20,AR20,AV20,AZ20)</f>
        <v>22.329679319999997</v>
      </c>
    </row>
    <row r="21">
      <c r="A21">
        <f>A20+1</f>
        <v>10</v>
      </c>
      <c r="B21" t="str">
        <v>PC.1</v>
      </c>
      <c r="C21">
        <v>1</v>
      </c>
      <c r="E21">
        <f>D21-(G21+'Data-PC'!$D$5)/1000</f>
        <v>-0.55</v>
      </c>
      <c r="F21">
        <f>VLOOKUP(B21,'Data-PC'!$B$13:$AP$56,15,FALSE)</f>
        <v>1.69</v>
      </c>
      <c r="G21">
        <f>VLOOKUP(B21,'Data-PC'!$B$13:$G$56,4,FALSE)</f>
        <v>500</v>
      </c>
      <c r="H21">
        <f>C21*VLOOKUP(B21,'Data-PC'!$B$13:$BC$56,18,FALSE)</f>
        <v>1</v>
      </c>
      <c r="I21">
        <f>C21*VLOOKUP(B21,'Data-PC'!$B$13:$BC$56,51,FALSE)</f>
        <v>0</v>
      </c>
      <c r="J21">
        <f>F21*C21*'Data-PC'!$D$5/1000</f>
        <v>0.0845</v>
      </c>
      <c r="K21">
        <f>F21*('Data-PC'!$D$4/1000)*C21</f>
        <v>0</v>
      </c>
      <c r="L21">
        <f>C21*F21*($T$3-E21)</f>
        <v>0.9295</v>
      </c>
      <c r="M21">
        <f>L21-(T21+J21)</f>
        <v>0.72</v>
      </c>
      <c r="S21">
        <f>L21-M21</f>
        <v>0.20950000000000002</v>
      </c>
      <c r="T21">
        <f>C21*VLOOKUP(B21,'Data-PC'!$B$13:$AP$56,16,FALSE)*(1+'Data-PC'!$T$3/100)</f>
        <v>0.125</v>
      </c>
      <c r="U21">
        <f>C21*VLOOKUP(B21,'Data-PC'!$B$13:$AP$56,17,FALSE)*(1+'Data-PC'!$T$5/100)</f>
        <v>1</v>
      </c>
      <c r="V21">
        <f>VLOOKUP($B21,'Data-PC'!$B$13:$AP$79,19,FALSE)</f>
        <v>2</v>
      </c>
      <c r="W21">
        <f>VLOOKUP($B21,'Data-PC'!$B$13:$AP$79,20,FALSE)</f>
        <v>13</v>
      </c>
      <c r="X21">
        <f>VLOOKUP($B21,'Data-PC'!$B$13:$AP$79,21,FALSE)*C21</f>
        <v>3.9925033199999995</v>
      </c>
      <c r="Y21">
        <f>VLOOKUP($B21,'Data-PC'!$B$13:$AP$79,22,FALSE)</f>
        <v>13</v>
      </c>
      <c r="Z21">
        <f>VLOOKUP($B21,'Data-PC'!$B$13:$AP$79,23,FALSE)</f>
        <v>125</v>
      </c>
      <c r="AA21">
        <f>VLOOKUP($B21,'Data-PC'!$B$13:$AP$79,24,FALSE)</f>
        <v>4</v>
      </c>
      <c r="AB21">
        <f>VLOOKUP($B21,'Data-PC'!$B$13:$AP$79,25,FALSE)</f>
        <v>3.52</v>
      </c>
      <c r="AC21">
        <f>VLOOKUP($B21,'Data-PC'!$B$13:$AP$79,26,FALSE)*C21</f>
        <v>3.6674352</v>
      </c>
      <c r="AD21">
        <f>VLOOKUP($B21,'Data-PC'!$B$13:$AP$79,27,FALSE)</f>
        <v>13</v>
      </c>
      <c r="AE21">
        <f>VLOOKUP($B21,'Data-PC'!$B$13:$AP$79,28,FALSE)</f>
        <v>125</v>
      </c>
      <c r="AF21">
        <f>VLOOKUP($B21,'Data-PC'!$B$13:$AP$79,29,FALSE)</f>
        <v>4</v>
      </c>
      <c r="AG21">
        <f>VLOOKUP($B21,'Data-PC'!$B$13:$AP$79,30,FALSE)</f>
        <v>3.52</v>
      </c>
      <c r="AH21">
        <f>VLOOKUP($B21,'Data-PC'!$B$13:$AP$79,31,FALSE)*C21</f>
        <v>3.6674352</v>
      </c>
      <c r="AI21">
        <f>VLOOKUP($B21,'Data-PC'!$B$13:$AP$79,32,FALSE)</f>
        <v>13</v>
      </c>
      <c r="AJ21">
        <f>VLOOKUP($B21,'Data-PC'!$B$13:$AP$79,33,FALSE)</f>
        <v>125</v>
      </c>
      <c r="AK21">
        <f>VLOOKUP($B21,'Data-PC'!$B$13:$AP$79,34,FALSE)</f>
        <v>4</v>
      </c>
      <c r="AL21">
        <f>VLOOKUP($B21,'Data-PC'!$B$13:$AP$79,35,FALSE)</f>
        <v>5.28</v>
      </c>
      <c r="AM21">
        <f>VLOOKUP($B21,'Data-PC'!$B$13:$AP$79,36,FALSE)*C21</f>
        <v>5.5011528</v>
      </c>
      <c r="AN21">
        <f>VLOOKUP($B21,'Data-PC'!$B$13:$AP$79,37,FALSE)</f>
        <v>13</v>
      </c>
      <c r="AO21">
        <f>VLOOKUP($B21,'Data-PC'!$B$13:$AP$79,38,FALSE)</f>
        <v>125</v>
      </c>
      <c r="AP21">
        <f>VLOOKUP($B21,'Data-PC'!$B$13:$AP$79,39,FALSE)</f>
        <v>4</v>
      </c>
      <c r="AQ21">
        <f>VLOOKUP($B21,'Data-PC'!$B$13:$AP$79,40,FALSE)</f>
        <v>5.28</v>
      </c>
      <c r="AR21">
        <f>VLOOKUP($B21,'Data-PC'!$B$13:$AP$79,41,FALSE)*C21</f>
        <v>5.5011528</v>
      </c>
      <c r="AS21">
        <f>VLOOKUP($B21,'Data-PC'!$B$13:$AX$79,42,FALSE)</f>
        <v>0</v>
      </c>
      <c r="AT21">
        <f>VLOOKUP($B21,'Data-PC'!$B$13:$AX$79,43,FALSE)</f>
        <v>0</v>
      </c>
      <c r="AU21">
        <f>VLOOKUP($B21,'Data-PC'!$B$13:$AX$79,44,FALSE)</f>
        <v>1180</v>
      </c>
      <c r="AV21">
        <f>VLOOKUP($B21,'Data-PC'!$B$13:$AX$79,45,FALSE)*C21</f>
        <v>0</v>
      </c>
      <c r="AW21">
        <f>VLOOKUP($B21,'Data-PC'!$B$13:$AX$79,46,FALSE)</f>
        <v>0</v>
      </c>
      <c r="AX21">
        <f>VLOOKUP($B21,'Data-PC'!$B$13:$AX$79,47,FALSE)</f>
        <v>0</v>
      </c>
      <c r="AY21" t="e">
        <f>VLOOKUP($B21,'Data-PC'!$B$19:$AX$79,48,FALSE)</f>
        <v>#N/A</v>
      </c>
      <c r="AZ21">
        <f>VLOOKUP($B21,'Data-PC'!$B$13:$AX$79,49,FALSE)*C21</f>
        <v>0</v>
      </c>
      <c r="BA21">
        <f>SUM(X21,AC21,AH21,AM21,AR21,AV21,AZ21)</f>
        <v>22.329679319999997</v>
      </c>
    </row>
    <row r="22">
      <c r="A22">
        <f>A21+1</f>
        <v>11</v>
      </c>
      <c r="B22" t="str">
        <v>PCS.3</v>
      </c>
      <c r="C22">
        <v>1</v>
      </c>
      <c r="E22">
        <f>D22-(G22+'Data-PC'!$D$5)/1000</f>
        <v>-0.75</v>
      </c>
      <c r="F22">
        <f>VLOOKUP(B22,'Data-PC'!$B$13:$AP$56,15,FALSE)</f>
        <v>5.12</v>
      </c>
      <c r="G22">
        <f>VLOOKUP(B22,'Data-PC'!$B$13:$G$56,4,FALSE)</f>
        <v>700</v>
      </c>
      <c r="H22">
        <f>C22*VLOOKUP(B22,'Data-PC'!$B$13:$BC$56,18,FALSE)</f>
        <v>0</v>
      </c>
      <c r="I22">
        <f>C22*VLOOKUP(B22,'Data-PC'!$B$13:$BC$56,51,FALSE)</f>
        <v>3</v>
      </c>
      <c r="J22">
        <f>F22*C22*'Data-PC'!$D$5/1000</f>
        <v>0.256</v>
      </c>
      <c r="K22">
        <f>F22*('Data-PC'!$D$4/1000)*C22</f>
        <v>0</v>
      </c>
      <c r="L22">
        <f>C22*F22*($T$3-E22)</f>
        <v>3.84</v>
      </c>
      <c r="M22">
        <f>L22-(T22+J22)</f>
        <v>2.2399999999999998</v>
      </c>
      <c r="S22">
        <f>L22-M22</f>
        <v>1.6</v>
      </c>
      <c r="T22">
        <f>C22*VLOOKUP(B22,'Data-PC'!$B$13:$AP$56,16,FALSE)*(1+'Data-PC'!$T$3/100)</f>
        <v>1.344</v>
      </c>
      <c r="U22">
        <f>C22*VLOOKUP(B22,'Data-PC'!$B$13:$AP$56,17,FALSE)*(1+'Data-PC'!$T$5/100)</f>
        <v>4.48</v>
      </c>
      <c r="V22">
        <f>VLOOKUP($B22,'Data-PC'!$B$13:$AP$79,19,FALSE)</f>
        <v>3</v>
      </c>
      <c r="W22">
        <f>VLOOKUP($B22,'Data-PC'!$B$13:$AP$79,20,FALSE)</f>
        <v>13</v>
      </c>
      <c r="X22">
        <f>VLOOKUP($B22,'Data-PC'!$B$13:$AP$79,21,FALSE)*C22</f>
        <v>19.74163698</v>
      </c>
      <c r="Y22">
        <f>VLOOKUP($B22,'Data-PC'!$B$13:$AP$79,22,FALSE)</f>
        <v>16</v>
      </c>
      <c r="Z22">
        <f>VLOOKUP($B22,'Data-PC'!$B$13:$AP$79,23,FALSE)</f>
        <v>100</v>
      </c>
      <c r="AA22">
        <f>VLOOKUP($B22,'Data-PC'!$B$13:$AP$79,24,FALSE)</f>
        <v>24</v>
      </c>
      <c r="AB22">
        <f>VLOOKUP($B22,'Data-PC'!$B$13:$AP$79,25,FALSE)</f>
        <v>33.12</v>
      </c>
      <c r="AC22">
        <f>VLOOKUP($B22,'Data-PC'!$B$13:$AP$79,26,FALSE)*C22</f>
        <v>52.2713088</v>
      </c>
      <c r="AD22">
        <f>VLOOKUP($B22,'Data-PC'!$B$13:$AP$79,27,FALSE)</f>
        <v>13</v>
      </c>
      <c r="AE22">
        <f>VLOOKUP($B22,'Data-PC'!$B$13:$AP$79,28,FALSE)</f>
        <v>100</v>
      </c>
      <c r="AF22">
        <f>VLOOKUP($B22,'Data-PC'!$B$13:$AP$79,29,FALSE)</f>
        <v>8</v>
      </c>
      <c r="AG22">
        <f>VLOOKUP($B22,'Data-PC'!$B$13:$AP$79,30,FALSE)</f>
        <v>23.84</v>
      </c>
      <c r="AH22">
        <f>VLOOKUP($B22,'Data-PC'!$B$13:$AP$79,31,FALSE)*C22</f>
        <v>24.838538399999997</v>
      </c>
      <c r="AI22">
        <f>VLOOKUP($B22,'Data-PC'!$B$13:$AP$79,32,FALSE)</f>
        <v>16</v>
      </c>
      <c r="AJ22">
        <f>VLOOKUP($B22,'Data-PC'!$B$13:$AP$79,33,FALSE)</f>
        <v>100</v>
      </c>
      <c r="AK22">
        <f>VLOOKUP($B22,'Data-PC'!$B$13:$AP$79,34,FALSE)</f>
        <v>24</v>
      </c>
      <c r="AL22">
        <f>VLOOKUP($B22,'Data-PC'!$B$13:$AP$79,35,FALSE)</f>
        <v>48.48</v>
      </c>
      <c r="AM22">
        <f>VLOOKUP($B22,'Data-PC'!$B$13:$AP$79,36,FALSE)*C22</f>
        <v>76.5130752</v>
      </c>
      <c r="AN22">
        <f>VLOOKUP($B22,'Data-PC'!$B$13:$AP$79,37,FALSE)</f>
        <v>13</v>
      </c>
      <c r="AO22">
        <f>VLOOKUP($B22,'Data-PC'!$B$13:$AP$79,38,FALSE)</f>
        <v>100</v>
      </c>
      <c r="AP22">
        <f>VLOOKUP($B22,'Data-PC'!$B$13:$AP$79,39,FALSE)</f>
        <v>8</v>
      </c>
      <c r="AQ22">
        <f>VLOOKUP($B22,'Data-PC'!$B$13:$AP$79,40,FALSE)</f>
        <v>28.96</v>
      </c>
      <c r="AR22">
        <f>VLOOKUP($B22,'Data-PC'!$B$13:$AP$79,41,FALSE)*C22</f>
        <v>30.1729896</v>
      </c>
      <c r="AS22">
        <f>VLOOKUP($B22,'Data-PC'!$B$13:$AX$79,42,FALSE)</f>
        <v>0</v>
      </c>
      <c r="AT22">
        <f>VLOOKUP($B22,'Data-PC'!$B$13:$AX$79,43,FALSE)</f>
        <v>0</v>
      </c>
      <c r="AU22">
        <f>VLOOKUP($B22,'Data-PC'!$B$13:$AX$79,44,FALSE)</f>
        <v>1580</v>
      </c>
      <c r="AV22">
        <f>VLOOKUP($B22,'Data-PC'!$B$13:$AX$79,45,FALSE)*C22</f>
        <v>0</v>
      </c>
      <c r="AW22">
        <f>VLOOKUP($B22,'Data-PC'!$B$13:$AX$79,46,FALSE)</f>
        <v>0</v>
      </c>
      <c r="AX22">
        <f>VLOOKUP($B22,'Data-PC'!$B$13:$AX$79,47,FALSE)</f>
        <v>0</v>
      </c>
      <c r="AY22">
        <f>VLOOKUP($B22,'Data-PC'!$B$19:$AX$79,48,FALSE)</f>
        <v>0</v>
      </c>
      <c r="AZ22">
        <f>VLOOKUP($B22,'Data-PC'!$B$13:$AX$79,49,FALSE)*C22</f>
        <v>0</v>
      </c>
      <c r="BA22">
        <f>SUM(X22,AC22,AH22,AM22,AR22,AV22,AZ22)</f>
        <v>203.53754898</v>
      </c>
    </row>
    <row r="23">
      <c r="A23">
        <f>A22+1</f>
        <v>12</v>
      </c>
      <c r="B23" t="str">
        <v>PC.3</v>
      </c>
      <c r="C23">
        <v>1</v>
      </c>
      <c r="E23">
        <f>D23-(G23+'Data-PC'!$D$5)/1000</f>
        <v>-0.65</v>
      </c>
      <c r="F23">
        <f>VLOOKUP(B23,'Data-PC'!$B$13:$AP$56,15,FALSE)</f>
        <v>3.173988</v>
      </c>
      <c r="G23">
        <f>VLOOKUP(B23,'Data-PC'!$B$13:$G$56,4,FALSE)</f>
        <v>600</v>
      </c>
      <c r="H23">
        <f>C23*VLOOKUP(B23,'Data-PC'!$B$13:$BC$56,18,FALSE)</f>
        <v>3</v>
      </c>
      <c r="I23">
        <f>C23*VLOOKUP(B23,'Data-PC'!$B$13:$BC$56,51,FALSE)</f>
        <v>0</v>
      </c>
      <c r="J23">
        <f>F23*C23*'Data-PC'!$D$5/1000</f>
        <v>0.1586994</v>
      </c>
      <c r="K23">
        <f>F23*('Data-PC'!$D$4/1000)*C23</f>
        <v>0</v>
      </c>
      <c r="L23">
        <f>C23*F23*($T$3-E23)</f>
        <v>2.0630922000000003</v>
      </c>
      <c r="M23">
        <f>L23-(T23+J23)</f>
        <v>1.4016000000000002</v>
      </c>
      <c r="S23">
        <f>L23-M23</f>
        <v>0.6614922000000001</v>
      </c>
      <c r="T23">
        <f>C23*VLOOKUP(B23,'Data-PC'!$B$13:$AP$56,16,FALSE)*(1+'Data-PC'!$T$3/100)</f>
        <v>0.5027928</v>
      </c>
      <c r="U23">
        <f>C23*VLOOKUP(B23,'Data-PC'!$B$13:$AP$56,17,FALSE)*(1+'Data-PC'!$T$5/100)</f>
        <v>2.188580986453487</v>
      </c>
      <c r="V23">
        <f>VLOOKUP($B23,'Data-PC'!$B$13:$AP$79,19,FALSE)</f>
        <v>2</v>
      </c>
      <c r="W23">
        <f>VLOOKUP($B23,'Data-PC'!$B$13:$AP$79,20,FALSE)</f>
        <v>13</v>
      </c>
      <c r="X23">
        <f>VLOOKUP($B23,'Data-PC'!$B$13:$AP$79,21,FALSE)*C23</f>
        <v>7.175743256903637</v>
      </c>
      <c r="Y23">
        <f>VLOOKUP($B23,'Data-PC'!$B$13:$AP$79,22,FALSE)</f>
        <v>13</v>
      </c>
      <c r="Z23">
        <f>VLOOKUP($B23,'Data-PC'!$B$13:$AP$79,23,FALSE)</f>
        <v>150</v>
      </c>
      <c r="AA23">
        <f>VLOOKUP($B23,'Data-PC'!$B$13:$AP$79,24,FALSE)</f>
        <v>8</v>
      </c>
      <c r="AB23">
        <f>VLOOKUP($B23,'Data-PC'!$B$13:$AP$79,25,FALSE)</f>
        <v>15.036</v>
      </c>
      <c r="AC23">
        <f>VLOOKUP($B23,'Data-PC'!$B$13:$AP$79,26,FALSE)*C23</f>
        <v>15.665782859999998</v>
      </c>
      <c r="AD23">
        <f>VLOOKUP($B23,'Data-PC'!$B$13:$AP$79,27,FALSE)</f>
        <v>13</v>
      </c>
      <c r="AE23">
        <f>VLOOKUP($B23,'Data-PC'!$B$13:$AP$79,28,FALSE)</f>
        <v>150</v>
      </c>
      <c r="AF23">
        <f>VLOOKUP($B23,'Data-PC'!$B$13:$AP$79,29,FALSE)</f>
        <v>8</v>
      </c>
      <c r="AG23">
        <f>VLOOKUP($B23,'Data-PC'!$B$13:$AP$79,30,FALSE)</f>
        <v>9.891</v>
      </c>
      <c r="AH23">
        <f>VLOOKUP($B23,'Data-PC'!$B$13:$AP$79,31,FALSE)*C23</f>
        <v>10.305284535</v>
      </c>
      <c r="AI23">
        <f>VLOOKUP($B23,'Data-PC'!$B$13:$AP$79,32,FALSE)</f>
        <v>16</v>
      </c>
      <c r="AJ23">
        <f>VLOOKUP($B23,'Data-PC'!$B$13:$AP$79,33,FALSE)</f>
        <v>150</v>
      </c>
      <c r="AK23">
        <f>VLOOKUP($B23,'Data-PC'!$B$13:$AP$79,34,FALSE)</f>
        <v>8</v>
      </c>
      <c r="AL23">
        <f>VLOOKUP($B23,'Data-PC'!$B$13:$AP$79,35,FALSE)</f>
        <v>16.656</v>
      </c>
      <c r="AM23">
        <f>VLOOKUP($B23,'Data-PC'!$B$13:$AP$79,36,FALSE)*C23</f>
        <v>26.28716544</v>
      </c>
      <c r="AN23">
        <f>VLOOKUP($B23,'Data-PC'!$B$13:$AP$79,37,FALSE)</f>
        <v>16</v>
      </c>
      <c r="AO23">
        <f>VLOOKUP($B23,'Data-PC'!$B$13:$AP$79,38,FALSE)</f>
        <v>150</v>
      </c>
      <c r="AP23">
        <f>VLOOKUP($B23,'Data-PC'!$B$13:$AP$79,39,FALSE)</f>
        <v>8</v>
      </c>
      <c r="AQ23">
        <f>VLOOKUP($B23,'Data-PC'!$B$13:$AP$79,40,FALSE)</f>
        <v>14.211</v>
      </c>
      <c r="AR23">
        <f>VLOOKUP($B23,'Data-PC'!$B$13:$AP$79,41,FALSE)*C23</f>
        <v>22.428368640000002</v>
      </c>
      <c r="AS23">
        <f>VLOOKUP($B23,'Data-PC'!$B$13:$AX$79,42,FALSE)</f>
        <v>0</v>
      </c>
      <c r="AT23">
        <f>VLOOKUP($B23,'Data-PC'!$B$13:$AX$79,43,FALSE)</f>
        <v>0</v>
      </c>
      <c r="AU23">
        <f>VLOOKUP($B23,'Data-PC'!$B$13:$AX$79,44,FALSE)</f>
        <v>1380</v>
      </c>
      <c r="AV23">
        <f>VLOOKUP($B23,'Data-PC'!$B$13:$AX$79,45,FALSE)*C23</f>
        <v>0</v>
      </c>
      <c r="AW23">
        <f>VLOOKUP($B23,'Data-PC'!$B$13:$AX$79,46,FALSE)</f>
        <v>0</v>
      </c>
      <c r="AX23">
        <f>VLOOKUP($B23,'Data-PC'!$B$13:$AX$79,47,FALSE)</f>
        <v>0</v>
      </c>
      <c r="AY23">
        <f>VLOOKUP($B23,'Data-PC'!$B$19:$AX$79,48,FALSE)</f>
        <v>0</v>
      </c>
      <c r="AZ23">
        <f>VLOOKUP($B23,'Data-PC'!$B$13:$AX$79,49,FALSE)*C23</f>
        <v>0</v>
      </c>
      <c r="BA23">
        <f>SUM(X23,AC23,AH23,AM23,AR23,AV23,AZ23)</f>
        <v>81.86234473190363</v>
      </c>
    </row>
    <row r="24">
      <c r="A24">
        <f>A23+1</f>
        <v>13</v>
      </c>
      <c r="B24" t="str">
        <v>PC.3</v>
      </c>
      <c r="C24">
        <v>1</v>
      </c>
      <c r="E24">
        <f>D24-(G24+'Data-PC'!$D$5)/1000</f>
        <v>-0.65</v>
      </c>
      <c r="F24">
        <f>VLOOKUP(B24,'Data-PC'!$B$13:$AP$56,15,FALSE)</f>
        <v>3.173988</v>
      </c>
      <c r="G24">
        <f>VLOOKUP(B24,'Data-PC'!$B$13:$G$56,4,FALSE)</f>
        <v>600</v>
      </c>
      <c r="H24">
        <f>C24*VLOOKUP(B24,'Data-PC'!$B$13:$BC$56,18,FALSE)</f>
        <v>3</v>
      </c>
      <c r="I24">
        <f>C24*VLOOKUP(B24,'Data-PC'!$B$13:$BC$56,51,FALSE)</f>
        <v>0</v>
      </c>
      <c r="J24">
        <f>F24*C24*'Data-PC'!$D$5/1000</f>
        <v>0.1586994</v>
      </c>
      <c r="K24">
        <f>F24*('Data-PC'!$D$4/1000)*C24</f>
        <v>0</v>
      </c>
      <c r="L24">
        <f>C24*F24*($T$3-E24)</f>
        <v>2.0630922000000003</v>
      </c>
      <c r="M24">
        <f>L24-(T24+J24)</f>
        <v>1.4016000000000002</v>
      </c>
      <c r="S24">
        <f>L24-M24</f>
        <v>0.6614922000000001</v>
      </c>
      <c r="T24">
        <f>C24*VLOOKUP(B24,'Data-PC'!$B$13:$AP$56,16,FALSE)*(1+'Data-PC'!$T$3/100)</f>
        <v>0.5027928</v>
      </c>
      <c r="U24">
        <f>C24*VLOOKUP(B24,'Data-PC'!$B$13:$AP$56,17,FALSE)*(1+'Data-PC'!$T$5/100)</f>
        <v>2.188580986453487</v>
      </c>
      <c r="V24">
        <f>VLOOKUP($B24,'Data-PC'!$B$13:$AP$79,19,FALSE)</f>
        <v>2</v>
      </c>
      <c r="W24">
        <f>VLOOKUP($B24,'Data-PC'!$B$13:$AP$79,20,FALSE)</f>
        <v>13</v>
      </c>
      <c r="X24">
        <f>VLOOKUP($B24,'Data-PC'!$B$13:$AP$79,21,FALSE)*C24</f>
        <v>7.175743256903637</v>
      </c>
      <c r="Y24">
        <f>VLOOKUP($B24,'Data-PC'!$B$13:$AP$79,22,FALSE)</f>
        <v>13</v>
      </c>
      <c r="Z24">
        <f>VLOOKUP($B24,'Data-PC'!$B$13:$AP$79,23,FALSE)</f>
        <v>150</v>
      </c>
      <c r="AA24">
        <f>VLOOKUP($B24,'Data-PC'!$B$13:$AP$79,24,FALSE)</f>
        <v>8</v>
      </c>
      <c r="AB24">
        <f>VLOOKUP($B24,'Data-PC'!$B$13:$AP$79,25,FALSE)</f>
        <v>15.036</v>
      </c>
      <c r="AC24">
        <f>VLOOKUP($B24,'Data-PC'!$B$13:$AP$79,26,FALSE)*C24</f>
        <v>15.665782859999998</v>
      </c>
      <c r="AD24">
        <f>VLOOKUP($B24,'Data-PC'!$B$13:$AP$79,27,FALSE)</f>
        <v>13</v>
      </c>
      <c r="AE24">
        <f>VLOOKUP($B24,'Data-PC'!$B$13:$AP$79,28,FALSE)</f>
        <v>150</v>
      </c>
      <c r="AF24">
        <f>VLOOKUP($B24,'Data-PC'!$B$13:$AP$79,29,FALSE)</f>
        <v>8</v>
      </c>
      <c r="AG24">
        <f>VLOOKUP($B24,'Data-PC'!$B$13:$AP$79,30,FALSE)</f>
        <v>9.891</v>
      </c>
      <c r="AH24">
        <f>VLOOKUP($B24,'Data-PC'!$B$13:$AP$79,31,FALSE)*C24</f>
        <v>10.305284535</v>
      </c>
      <c r="AI24">
        <f>VLOOKUP($B24,'Data-PC'!$B$13:$AP$79,32,FALSE)</f>
        <v>16</v>
      </c>
      <c r="AJ24">
        <f>VLOOKUP($B24,'Data-PC'!$B$13:$AP$79,33,FALSE)</f>
        <v>150</v>
      </c>
      <c r="AK24">
        <f>VLOOKUP($B24,'Data-PC'!$B$13:$AP$79,34,FALSE)</f>
        <v>8</v>
      </c>
      <c r="AL24">
        <f>VLOOKUP($B24,'Data-PC'!$B$13:$AP$79,35,FALSE)</f>
        <v>16.656</v>
      </c>
      <c r="AM24">
        <f>VLOOKUP($B24,'Data-PC'!$B$13:$AP$79,36,FALSE)*C24</f>
        <v>26.28716544</v>
      </c>
      <c r="AN24">
        <f>VLOOKUP($B24,'Data-PC'!$B$13:$AP$79,37,FALSE)</f>
        <v>16</v>
      </c>
      <c r="AO24">
        <f>VLOOKUP($B24,'Data-PC'!$B$13:$AP$79,38,FALSE)</f>
        <v>150</v>
      </c>
      <c r="AP24">
        <f>VLOOKUP($B24,'Data-PC'!$B$13:$AP$79,39,FALSE)</f>
        <v>8</v>
      </c>
      <c r="AQ24">
        <f>VLOOKUP($B24,'Data-PC'!$B$13:$AP$79,40,FALSE)</f>
        <v>14.211</v>
      </c>
      <c r="AR24">
        <f>VLOOKUP($B24,'Data-PC'!$B$13:$AP$79,41,FALSE)*C24</f>
        <v>22.428368640000002</v>
      </c>
      <c r="AS24">
        <f>VLOOKUP($B24,'Data-PC'!$B$13:$AX$79,42,FALSE)</f>
        <v>0</v>
      </c>
      <c r="AT24">
        <f>VLOOKUP($B24,'Data-PC'!$B$13:$AX$79,43,FALSE)</f>
        <v>0</v>
      </c>
      <c r="AU24">
        <f>VLOOKUP($B24,'Data-PC'!$B$13:$AX$79,44,FALSE)</f>
        <v>1380</v>
      </c>
      <c r="AV24">
        <f>VLOOKUP($B24,'Data-PC'!$B$13:$AX$79,45,FALSE)*C24</f>
        <v>0</v>
      </c>
      <c r="AW24">
        <f>VLOOKUP($B24,'Data-PC'!$B$13:$AX$79,46,FALSE)</f>
        <v>0</v>
      </c>
      <c r="AX24">
        <f>VLOOKUP($B24,'Data-PC'!$B$13:$AX$79,47,FALSE)</f>
        <v>0</v>
      </c>
      <c r="AY24">
        <f>VLOOKUP($B24,'Data-PC'!$B$19:$AX$79,48,FALSE)</f>
        <v>0</v>
      </c>
      <c r="AZ24">
        <f>VLOOKUP($B24,'Data-PC'!$B$13:$AX$79,49,FALSE)*C24</f>
        <v>0</v>
      </c>
      <c r="BA24">
        <f>SUM(X24,AC24,AH24,AM24,AR24,AV24,AZ24)</f>
        <v>81.86234473190363</v>
      </c>
    </row>
    <row r="25">
      <c r="A25">
        <f>A24+1</f>
        <v>14</v>
      </c>
      <c r="B25" t="str">
        <v>PC.5</v>
      </c>
      <c r="C25">
        <v>1</v>
      </c>
      <c r="E25">
        <f>D25-(G25+'Data-PC'!$D$5)/1000</f>
        <v>-0.75</v>
      </c>
      <c r="F25">
        <f>VLOOKUP(B25,'Data-PC'!$B$13:$AP$56,15,FALSE)</f>
        <v>4.6225</v>
      </c>
      <c r="G25">
        <f>VLOOKUP(B25,'Data-PC'!$B$13:$G$56,4,FALSE)</f>
        <v>700</v>
      </c>
      <c r="H25">
        <f>C25*VLOOKUP(B25,'Data-PC'!$B$13:$BC$56,18,FALSE)</f>
        <v>5</v>
      </c>
      <c r="I25">
        <f>C25*VLOOKUP(B25,'Data-PC'!$B$13:$BC$56,51,FALSE)</f>
        <v>0</v>
      </c>
      <c r="J25">
        <f>F25*C25*'Data-PC'!$D$5/1000</f>
        <v>0.23112499999999997</v>
      </c>
      <c r="K25">
        <f>F25*('Data-PC'!$D$4/1000)*C25</f>
        <v>0</v>
      </c>
      <c r="L25">
        <f>C25*F25*($T$3-E25)</f>
        <v>3.466875</v>
      </c>
      <c r="M25">
        <f>L25-(T25+J25)</f>
        <v>1.96</v>
      </c>
      <c r="S25">
        <f>L25-M25</f>
        <v>1.506875</v>
      </c>
      <c r="T25">
        <f>C25*VLOOKUP(B25,'Data-PC'!$B$13:$AP$56,16,FALSE)*(1+'Data-PC'!$T$3/100)</f>
        <v>1.27575</v>
      </c>
      <c r="U25">
        <f>C25*VLOOKUP(B25,'Data-PC'!$B$13:$AP$56,17,FALSE)*(1+'Data-PC'!$T$5/100)</f>
        <v>3.7800000000000002</v>
      </c>
      <c r="V25">
        <f>VLOOKUP($B25,'Data-PC'!$B$13:$AP$79,19,FALSE)</f>
        <v>3</v>
      </c>
      <c r="W25">
        <f>VLOOKUP($B25,'Data-PC'!$B$13:$AP$79,20,FALSE)</f>
        <v>13</v>
      </c>
      <c r="X25">
        <f>VLOOKUP($B25,'Data-PC'!$B$13:$AP$79,21,FALSE)*C25</f>
        <v>16.61598198</v>
      </c>
      <c r="Y25">
        <f>VLOOKUP($B25,'Data-PC'!$B$13:$AP$79,22,FALSE)</f>
        <v>13</v>
      </c>
      <c r="Z25">
        <f>VLOOKUP($B25,'Data-PC'!$B$13:$AP$79,23,FALSE)</f>
        <v>150</v>
      </c>
      <c r="AA25">
        <f>VLOOKUP($B25,'Data-PC'!$B$13:$AP$79,24,FALSE)</f>
        <v>9</v>
      </c>
      <c r="AB25">
        <f>VLOOKUP($B25,'Data-PC'!$B$13:$AP$79,25,FALSE)</f>
        <v>17.37</v>
      </c>
      <c r="AC25">
        <f>VLOOKUP($B25,'Data-PC'!$B$13:$AP$79,26,FALSE)*C25</f>
        <v>18.09754245</v>
      </c>
      <c r="AD25">
        <f>VLOOKUP($B25,'Data-PC'!$B$13:$AP$79,27,FALSE)</f>
        <v>13</v>
      </c>
      <c r="AE25">
        <f>VLOOKUP($B25,'Data-PC'!$B$13:$AP$79,28,FALSE)</f>
        <v>150</v>
      </c>
      <c r="AF25">
        <f>VLOOKUP($B25,'Data-PC'!$B$13:$AP$79,29,FALSE)</f>
        <v>9</v>
      </c>
      <c r="AG25">
        <f>VLOOKUP($B25,'Data-PC'!$B$13:$AP$79,30,FALSE)</f>
        <v>17.37</v>
      </c>
      <c r="AH25">
        <f>VLOOKUP($B25,'Data-PC'!$B$13:$AP$79,31,FALSE)*C25</f>
        <v>18.09754245</v>
      </c>
      <c r="AI25">
        <f>VLOOKUP($B25,'Data-PC'!$B$13:$AP$79,32,FALSE)</f>
        <v>16</v>
      </c>
      <c r="AJ25">
        <f>VLOOKUP($B25,'Data-PC'!$B$13:$AP$79,33,FALSE)</f>
        <v>150</v>
      </c>
      <c r="AK25">
        <f>VLOOKUP($B25,'Data-PC'!$B$13:$AP$79,34,FALSE)</f>
        <v>9</v>
      </c>
      <c r="AL25">
        <f>VLOOKUP($B25,'Data-PC'!$B$13:$AP$79,35,FALSE)</f>
        <v>23.13</v>
      </c>
      <c r="AM25">
        <f>VLOOKUP($B25,'Data-PC'!$B$13:$AP$79,36,FALSE)*C25</f>
        <v>36.5046912</v>
      </c>
      <c r="AN25">
        <f>VLOOKUP($B25,'Data-PC'!$B$13:$AP$79,37,FALSE)</f>
        <v>16</v>
      </c>
      <c r="AO25">
        <f>VLOOKUP($B25,'Data-PC'!$B$13:$AP$79,38,FALSE)</f>
        <v>150</v>
      </c>
      <c r="AP25">
        <f>VLOOKUP($B25,'Data-PC'!$B$13:$AP$79,39,FALSE)</f>
        <v>9</v>
      </c>
      <c r="AQ25">
        <f>VLOOKUP($B25,'Data-PC'!$B$13:$AP$79,40,FALSE)</f>
        <v>23.13</v>
      </c>
      <c r="AR25">
        <f>VLOOKUP($B25,'Data-PC'!$B$13:$AP$79,41,FALSE)*C25</f>
        <v>36.5046912</v>
      </c>
      <c r="AS25">
        <f>VLOOKUP($B25,'Data-PC'!$B$13:$AX$79,42,FALSE)</f>
        <v>0</v>
      </c>
      <c r="AT25">
        <f>VLOOKUP($B25,'Data-PC'!$B$13:$AX$79,43,FALSE)</f>
        <v>0</v>
      </c>
      <c r="AU25">
        <f>VLOOKUP($B25,'Data-PC'!$B$13:$AX$79,44,FALSE)</f>
        <v>1580</v>
      </c>
      <c r="AV25">
        <f>VLOOKUP($B25,'Data-PC'!$B$13:$AX$79,45,FALSE)*C25</f>
        <v>0</v>
      </c>
      <c r="AW25">
        <f>VLOOKUP($B25,'Data-PC'!$B$13:$AX$79,46,FALSE)</f>
        <v>0</v>
      </c>
      <c r="AX25">
        <f>VLOOKUP($B25,'Data-PC'!$B$13:$AX$79,47,FALSE)</f>
        <v>0</v>
      </c>
      <c r="AY25">
        <f>VLOOKUP($B25,'Data-PC'!$B$19:$AX$79,48,FALSE)</f>
        <v>0</v>
      </c>
      <c r="AZ25">
        <f>VLOOKUP($B25,'Data-PC'!$B$13:$AX$79,49,FALSE)*C25</f>
        <v>0</v>
      </c>
      <c r="BA25">
        <f>SUM(X25,AC25,AH25,AM25,AR25,AV25,AZ25)</f>
        <v>125.82044927999999</v>
      </c>
    </row>
    <row r="26">
      <c r="A26">
        <f>A25+1</f>
        <v>15</v>
      </c>
      <c r="B26" t="str">
        <v>PC.1</v>
      </c>
      <c r="C26">
        <v>1</v>
      </c>
      <c r="E26">
        <f>D26-(G26+'Data-PC'!$D$5)/1000</f>
        <v>-0.55</v>
      </c>
      <c r="F26">
        <f>VLOOKUP(B26,'Data-PC'!$B$13:$AP$56,15,FALSE)</f>
        <v>1.69</v>
      </c>
      <c r="G26">
        <f>VLOOKUP(B26,'Data-PC'!$B$13:$G$56,4,FALSE)</f>
        <v>500</v>
      </c>
      <c r="H26">
        <f>C26*VLOOKUP(B26,'Data-PC'!$B$13:$BC$56,18,FALSE)</f>
        <v>1</v>
      </c>
      <c r="I26">
        <f>C26*VLOOKUP(B26,'Data-PC'!$B$13:$BC$56,51,FALSE)</f>
        <v>0</v>
      </c>
      <c r="J26">
        <f>F26*C26*'Data-PC'!$D$5/1000</f>
        <v>0.0845</v>
      </c>
      <c r="K26">
        <f>F26*('Data-PC'!$D$4/1000)*C26</f>
        <v>0</v>
      </c>
      <c r="L26">
        <f>C26*F26*($T$3-E26)</f>
        <v>0.9295</v>
      </c>
      <c r="M26">
        <f>L26-(T26+J26)</f>
        <v>0.72</v>
      </c>
      <c r="S26">
        <f>L26-M26</f>
        <v>0.20950000000000002</v>
      </c>
      <c r="T26">
        <f>C26*VLOOKUP(B26,'Data-PC'!$B$13:$AP$56,16,FALSE)*(1+'Data-PC'!$T$3/100)</f>
        <v>0.125</v>
      </c>
      <c r="U26">
        <f>C26*VLOOKUP(B26,'Data-PC'!$B$13:$AP$56,17,FALSE)*(1+'Data-PC'!$T$5/100)</f>
        <v>1</v>
      </c>
      <c r="V26">
        <f>VLOOKUP($B26,'Data-PC'!$B$13:$AP$79,19,FALSE)</f>
        <v>2</v>
      </c>
      <c r="W26">
        <f>VLOOKUP($B26,'Data-PC'!$B$13:$AP$79,20,FALSE)</f>
        <v>13</v>
      </c>
      <c r="X26">
        <f>VLOOKUP($B26,'Data-PC'!$B$13:$AP$79,21,FALSE)*C26</f>
        <v>3.9925033199999995</v>
      </c>
      <c r="Y26">
        <f>VLOOKUP($B26,'Data-PC'!$B$13:$AP$79,22,FALSE)</f>
        <v>13</v>
      </c>
      <c r="Z26">
        <f>VLOOKUP($B26,'Data-PC'!$B$13:$AP$79,23,FALSE)</f>
        <v>125</v>
      </c>
      <c r="AA26">
        <f>VLOOKUP($B26,'Data-PC'!$B$13:$AP$79,24,FALSE)</f>
        <v>4</v>
      </c>
      <c r="AB26">
        <f>VLOOKUP($B26,'Data-PC'!$B$13:$AP$79,25,FALSE)</f>
        <v>3.52</v>
      </c>
      <c r="AC26">
        <f>VLOOKUP($B26,'Data-PC'!$B$13:$AP$79,26,FALSE)*C26</f>
        <v>3.6674352</v>
      </c>
      <c r="AD26">
        <f>VLOOKUP($B26,'Data-PC'!$B$13:$AP$79,27,FALSE)</f>
        <v>13</v>
      </c>
      <c r="AE26">
        <f>VLOOKUP($B26,'Data-PC'!$B$13:$AP$79,28,FALSE)</f>
        <v>125</v>
      </c>
      <c r="AF26">
        <f>VLOOKUP($B26,'Data-PC'!$B$13:$AP$79,29,FALSE)</f>
        <v>4</v>
      </c>
      <c r="AG26">
        <f>VLOOKUP($B26,'Data-PC'!$B$13:$AP$79,30,FALSE)</f>
        <v>3.52</v>
      </c>
      <c r="AH26">
        <f>VLOOKUP($B26,'Data-PC'!$B$13:$AP$79,31,FALSE)*C26</f>
        <v>3.6674352</v>
      </c>
      <c r="AI26">
        <f>VLOOKUP($B26,'Data-PC'!$B$13:$AP$79,32,FALSE)</f>
        <v>13</v>
      </c>
      <c r="AJ26">
        <f>VLOOKUP($B26,'Data-PC'!$B$13:$AP$79,33,FALSE)</f>
        <v>125</v>
      </c>
      <c r="AK26">
        <f>VLOOKUP($B26,'Data-PC'!$B$13:$AP$79,34,FALSE)</f>
        <v>4</v>
      </c>
      <c r="AL26">
        <f>VLOOKUP($B26,'Data-PC'!$B$13:$AP$79,35,FALSE)</f>
        <v>5.28</v>
      </c>
      <c r="AM26">
        <f>VLOOKUP($B26,'Data-PC'!$B$13:$AP$79,36,FALSE)*C26</f>
        <v>5.5011528</v>
      </c>
      <c r="AN26">
        <f>VLOOKUP($B26,'Data-PC'!$B$13:$AP$79,37,FALSE)</f>
        <v>13</v>
      </c>
      <c r="AO26">
        <f>VLOOKUP($B26,'Data-PC'!$B$13:$AP$79,38,FALSE)</f>
        <v>125</v>
      </c>
      <c r="AP26">
        <f>VLOOKUP($B26,'Data-PC'!$B$13:$AP$79,39,FALSE)</f>
        <v>4</v>
      </c>
      <c r="AQ26">
        <f>VLOOKUP($B26,'Data-PC'!$B$13:$AP$79,40,FALSE)</f>
        <v>5.28</v>
      </c>
      <c r="AR26">
        <f>VLOOKUP($B26,'Data-PC'!$B$13:$AP$79,41,FALSE)*C26</f>
        <v>5.5011528</v>
      </c>
      <c r="AS26">
        <f>VLOOKUP($B26,'Data-PC'!$B$13:$AX$79,42,FALSE)</f>
        <v>0</v>
      </c>
      <c r="AT26">
        <f>VLOOKUP($B26,'Data-PC'!$B$13:$AX$79,43,FALSE)</f>
        <v>0</v>
      </c>
      <c r="AU26">
        <f>VLOOKUP($B26,'Data-PC'!$B$13:$AX$79,44,FALSE)</f>
        <v>1180</v>
      </c>
      <c r="AV26">
        <f>VLOOKUP($B26,'Data-PC'!$B$13:$AX$79,45,FALSE)*C26</f>
        <v>0</v>
      </c>
      <c r="AW26">
        <f>VLOOKUP($B26,'Data-PC'!$B$13:$AX$79,46,FALSE)</f>
        <v>0</v>
      </c>
      <c r="AX26">
        <f>VLOOKUP($B26,'Data-PC'!$B$13:$AX$79,47,FALSE)</f>
        <v>0</v>
      </c>
      <c r="AY26" t="e">
        <f>VLOOKUP($B26,'Data-PC'!$B$19:$AX$79,48,FALSE)</f>
        <v>#N/A</v>
      </c>
      <c r="AZ26">
        <f>VLOOKUP($B26,'Data-PC'!$B$13:$AX$79,49,FALSE)*C26</f>
        <v>0</v>
      </c>
      <c r="BA26">
        <f>SUM(X26,AC26,AH26,AM26,AR26,AV26,AZ26)</f>
        <v>22.329679319999997</v>
      </c>
    </row>
    <row r="27">
      <c r="A27">
        <f>A26+1</f>
        <v>16</v>
      </c>
      <c r="B27" t="str">
        <v>PC.1</v>
      </c>
      <c r="C27">
        <v>1</v>
      </c>
      <c r="E27">
        <f>D27-(G27+'Data-PC'!$D$5)/1000</f>
        <v>-0.55</v>
      </c>
      <c r="F27">
        <f>VLOOKUP(B27,'Data-PC'!$B$13:$AP$56,15,FALSE)</f>
        <v>1.69</v>
      </c>
      <c r="G27">
        <f>VLOOKUP(B27,'Data-PC'!$B$13:$G$56,4,FALSE)</f>
        <v>500</v>
      </c>
      <c r="H27">
        <f>C27*VLOOKUP(B27,'Data-PC'!$B$13:$BC$56,18,FALSE)</f>
        <v>1</v>
      </c>
      <c r="I27">
        <f>C27*VLOOKUP(B27,'Data-PC'!$B$13:$BC$56,51,FALSE)</f>
        <v>0</v>
      </c>
      <c r="J27">
        <f>F27*C27*'Data-PC'!$D$5/1000</f>
        <v>0.0845</v>
      </c>
      <c r="K27">
        <f>F27*('Data-PC'!$D$4/1000)*C27</f>
        <v>0</v>
      </c>
      <c r="L27">
        <f>C27*F27*($T$3-E27)</f>
        <v>0.9295</v>
      </c>
      <c r="M27">
        <f>L27-(T27+J27)</f>
        <v>0.72</v>
      </c>
      <c r="S27">
        <f>L27-M27</f>
        <v>0.20950000000000002</v>
      </c>
      <c r="T27">
        <f>C27*VLOOKUP(B27,'Data-PC'!$B$13:$AP$56,16,FALSE)*(1+'Data-PC'!$T$3/100)</f>
        <v>0.125</v>
      </c>
      <c r="U27">
        <f>C27*VLOOKUP(B27,'Data-PC'!$B$13:$AP$56,17,FALSE)*(1+'Data-PC'!$T$5/100)</f>
        <v>1</v>
      </c>
      <c r="V27">
        <f>VLOOKUP($B27,'Data-PC'!$B$13:$AP$79,19,FALSE)</f>
        <v>2</v>
      </c>
      <c r="W27">
        <f>VLOOKUP($B27,'Data-PC'!$B$13:$AP$79,20,FALSE)</f>
        <v>13</v>
      </c>
      <c r="X27">
        <f>VLOOKUP($B27,'Data-PC'!$B$13:$AP$79,21,FALSE)*C27</f>
        <v>3.9925033199999995</v>
      </c>
      <c r="Y27">
        <f>VLOOKUP($B27,'Data-PC'!$B$13:$AP$79,22,FALSE)</f>
        <v>13</v>
      </c>
      <c r="Z27">
        <f>VLOOKUP($B27,'Data-PC'!$B$13:$AP$79,23,FALSE)</f>
        <v>125</v>
      </c>
      <c r="AA27">
        <f>VLOOKUP($B27,'Data-PC'!$B$13:$AP$79,24,FALSE)</f>
        <v>4</v>
      </c>
      <c r="AB27">
        <f>VLOOKUP($B27,'Data-PC'!$B$13:$AP$79,25,FALSE)</f>
        <v>3.52</v>
      </c>
      <c r="AC27">
        <f>VLOOKUP($B27,'Data-PC'!$B$13:$AP$79,26,FALSE)*C27</f>
        <v>3.6674352</v>
      </c>
      <c r="AD27">
        <f>VLOOKUP($B27,'Data-PC'!$B$13:$AP$79,27,FALSE)</f>
        <v>13</v>
      </c>
      <c r="AE27">
        <f>VLOOKUP($B27,'Data-PC'!$B$13:$AP$79,28,FALSE)</f>
        <v>125</v>
      </c>
      <c r="AF27">
        <f>VLOOKUP($B27,'Data-PC'!$B$13:$AP$79,29,FALSE)</f>
        <v>4</v>
      </c>
      <c r="AG27">
        <f>VLOOKUP($B27,'Data-PC'!$B$13:$AP$79,30,FALSE)</f>
        <v>3.52</v>
      </c>
      <c r="AH27">
        <f>VLOOKUP($B27,'Data-PC'!$B$13:$AP$79,31,FALSE)*C27</f>
        <v>3.6674352</v>
      </c>
      <c r="AI27">
        <f>VLOOKUP($B27,'Data-PC'!$B$13:$AP$79,32,FALSE)</f>
        <v>13</v>
      </c>
      <c r="AJ27">
        <f>VLOOKUP($B27,'Data-PC'!$B$13:$AP$79,33,FALSE)</f>
        <v>125</v>
      </c>
      <c r="AK27">
        <f>VLOOKUP($B27,'Data-PC'!$B$13:$AP$79,34,FALSE)</f>
        <v>4</v>
      </c>
      <c r="AL27">
        <f>VLOOKUP($B27,'Data-PC'!$B$13:$AP$79,35,FALSE)</f>
        <v>5.28</v>
      </c>
      <c r="AM27">
        <f>VLOOKUP($B27,'Data-PC'!$B$13:$AP$79,36,FALSE)*C27</f>
        <v>5.5011528</v>
      </c>
      <c r="AN27">
        <f>VLOOKUP($B27,'Data-PC'!$B$13:$AP$79,37,FALSE)</f>
        <v>13</v>
      </c>
      <c r="AO27">
        <f>VLOOKUP($B27,'Data-PC'!$B$13:$AP$79,38,FALSE)</f>
        <v>125</v>
      </c>
      <c r="AP27">
        <f>VLOOKUP($B27,'Data-PC'!$B$13:$AP$79,39,FALSE)</f>
        <v>4</v>
      </c>
      <c r="AQ27">
        <f>VLOOKUP($B27,'Data-PC'!$B$13:$AP$79,40,FALSE)</f>
        <v>5.28</v>
      </c>
      <c r="AR27">
        <f>VLOOKUP($B27,'Data-PC'!$B$13:$AP$79,41,FALSE)*C27</f>
        <v>5.5011528</v>
      </c>
      <c r="AS27">
        <f>VLOOKUP($B27,'Data-PC'!$B$13:$AX$79,42,FALSE)</f>
        <v>0</v>
      </c>
      <c r="AT27">
        <f>VLOOKUP($B27,'Data-PC'!$B$13:$AX$79,43,FALSE)</f>
        <v>0</v>
      </c>
      <c r="AU27">
        <f>VLOOKUP($B27,'Data-PC'!$B$13:$AX$79,44,FALSE)</f>
        <v>1180</v>
      </c>
      <c r="AV27">
        <f>VLOOKUP($B27,'Data-PC'!$B$13:$AX$79,45,FALSE)*C27</f>
        <v>0</v>
      </c>
      <c r="AW27">
        <f>VLOOKUP($B27,'Data-PC'!$B$13:$AX$79,46,FALSE)</f>
        <v>0</v>
      </c>
      <c r="AX27">
        <f>VLOOKUP($B27,'Data-PC'!$B$13:$AX$79,47,FALSE)</f>
        <v>0</v>
      </c>
      <c r="AY27" t="e">
        <f>VLOOKUP($B27,'Data-PC'!$B$19:$AX$79,48,FALSE)</f>
        <v>#N/A</v>
      </c>
      <c r="AZ27">
        <f>VLOOKUP($B27,'Data-PC'!$B$13:$AX$79,49,FALSE)*C27</f>
        <v>0</v>
      </c>
      <c r="BA27">
        <f>SUM(X27,AC27,AH27,AM27,AR27,AV27,AZ27)</f>
        <v>22.329679319999997</v>
      </c>
    </row>
    <row r="28">
      <c r="A28">
        <f>A27+1</f>
        <v>17</v>
      </c>
      <c r="B28" t="str">
        <v>PC.3</v>
      </c>
      <c r="C28">
        <v>1</v>
      </c>
      <c r="E28">
        <f>D28-(G28+'Data-PC'!$D$5)/1000</f>
        <v>-0.65</v>
      </c>
      <c r="F28">
        <f>VLOOKUP(B28,'Data-PC'!$B$13:$AP$56,15,FALSE)</f>
        <v>3.173988</v>
      </c>
      <c r="G28">
        <f>VLOOKUP(B28,'Data-PC'!$B$13:$G$56,4,FALSE)</f>
        <v>600</v>
      </c>
      <c r="H28">
        <f>C28*VLOOKUP(B28,'Data-PC'!$B$13:$BC$56,18,FALSE)</f>
        <v>3</v>
      </c>
      <c r="I28">
        <f>C28*VLOOKUP(B28,'Data-PC'!$B$13:$BC$56,51,FALSE)</f>
        <v>0</v>
      </c>
      <c r="J28">
        <f>F28*C28*'Data-PC'!$D$5/1000</f>
        <v>0.1586994</v>
      </c>
      <c r="K28">
        <f>F28*('Data-PC'!$D$4/1000)*C28</f>
        <v>0</v>
      </c>
      <c r="L28">
        <f>C28*F28*($T$3-E28)</f>
        <v>2.0630922000000003</v>
      </c>
      <c r="M28">
        <f>L28-(T28+J28)</f>
        <v>1.4016000000000002</v>
      </c>
      <c r="S28">
        <f>L28-M28</f>
        <v>0.6614922000000001</v>
      </c>
      <c r="T28">
        <f>C28*VLOOKUP(B28,'Data-PC'!$B$13:$AP$56,16,FALSE)*(1+'Data-PC'!$T$3/100)</f>
        <v>0.5027928</v>
      </c>
      <c r="U28">
        <f>C28*VLOOKUP(B28,'Data-PC'!$B$13:$AP$56,17,FALSE)*(1+'Data-PC'!$T$5/100)</f>
        <v>2.188580986453487</v>
      </c>
      <c r="V28">
        <f>VLOOKUP($B28,'Data-PC'!$B$13:$AP$79,19,FALSE)</f>
        <v>2</v>
      </c>
      <c r="W28">
        <f>VLOOKUP($B28,'Data-PC'!$B$13:$AP$79,20,FALSE)</f>
        <v>13</v>
      </c>
      <c r="X28">
        <f>VLOOKUP($B28,'Data-PC'!$B$13:$AP$79,21,FALSE)*C28</f>
        <v>7.175743256903637</v>
      </c>
      <c r="Y28">
        <f>VLOOKUP($B28,'Data-PC'!$B$13:$AP$79,22,FALSE)</f>
        <v>13</v>
      </c>
      <c r="Z28">
        <f>VLOOKUP($B28,'Data-PC'!$B$13:$AP$79,23,FALSE)</f>
        <v>150</v>
      </c>
      <c r="AA28">
        <f>VLOOKUP($B28,'Data-PC'!$B$13:$AP$79,24,FALSE)</f>
        <v>8</v>
      </c>
      <c r="AB28">
        <f>VLOOKUP($B28,'Data-PC'!$B$13:$AP$79,25,FALSE)</f>
        <v>15.036</v>
      </c>
      <c r="AC28">
        <f>VLOOKUP($B28,'Data-PC'!$B$13:$AP$79,26,FALSE)*C28</f>
        <v>15.665782859999998</v>
      </c>
      <c r="AD28">
        <f>VLOOKUP($B28,'Data-PC'!$B$13:$AP$79,27,FALSE)</f>
        <v>13</v>
      </c>
      <c r="AE28">
        <f>VLOOKUP($B28,'Data-PC'!$B$13:$AP$79,28,FALSE)</f>
        <v>150</v>
      </c>
      <c r="AF28">
        <f>VLOOKUP($B28,'Data-PC'!$B$13:$AP$79,29,FALSE)</f>
        <v>8</v>
      </c>
      <c r="AG28">
        <f>VLOOKUP($B28,'Data-PC'!$B$13:$AP$79,30,FALSE)</f>
        <v>9.891</v>
      </c>
      <c r="AH28">
        <f>VLOOKUP($B28,'Data-PC'!$B$13:$AP$79,31,FALSE)*C28</f>
        <v>10.305284535</v>
      </c>
      <c r="AI28">
        <f>VLOOKUP($B28,'Data-PC'!$B$13:$AP$79,32,FALSE)</f>
        <v>16</v>
      </c>
      <c r="AJ28">
        <f>VLOOKUP($B28,'Data-PC'!$B$13:$AP$79,33,FALSE)</f>
        <v>150</v>
      </c>
      <c r="AK28">
        <f>VLOOKUP($B28,'Data-PC'!$B$13:$AP$79,34,FALSE)</f>
        <v>8</v>
      </c>
      <c r="AL28">
        <f>VLOOKUP($B28,'Data-PC'!$B$13:$AP$79,35,FALSE)</f>
        <v>16.656</v>
      </c>
      <c r="AM28">
        <f>VLOOKUP($B28,'Data-PC'!$B$13:$AP$79,36,FALSE)*C28</f>
        <v>26.28716544</v>
      </c>
      <c r="AN28">
        <f>VLOOKUP($B28,'Data-PC'!$B$13:$AP$79,37,FALSE)</f>
        <v>16</v>
      </c>
      <c r="AO28">
        <f>VLOOKUP($B28,'Data-PC'!$B$13:$AP$79,38,FALSE)</f>
        <v>150</v>
      </c>
      <c r="AP28">
        <f>VLOOKUP($B28,'Data-PC'!$B$13:$AP$79,39,FALSE)</f>
        <v>8</v>
      </c>
      <c r="AQ28">
        <f>VLOOKUP($B28,'Data-PC'!$B$13:$AP$79,40,FALSE)</f>
        <v>14.211</v>
      </c>
      <c r="AR28">
        <f>VLOOKUP($B28,'Data-PC'!$B$13:$AP$79,41,FALSE)*C28</f>
        <v>22.428368640000002</v>
      </c>
      <c r="AS28">
        <f>VLOOKUP($B28,'Data-PC'!$B$13:$AX$79,42,FALSE)</f>
        <v>0</v>
      </c>
      <c r="AT28">
        <f>VLOOKUP($B28,'Data-PC'!$B$13:$AX$79,43,FALSE)</f>
        <v>0</v>
      </c>
      <c r="AU28">
        <f>VLOOKUP($B28,'Data-PC'!$B$13:$AX$79,44,FALSE)</f>
        <v>1380</v>
      </c>
      <c r="AV28">
        <f>VLOOKUP($B28,'Data-PC'!$B$13:$AX$79,45,FALSE)*C28</f>
        <v>0</v>
      </c>
      <c r="AW28">
        <f>VLOOKUP($B28,'Data-PC'!$B$13:$AX$79,46,FALSE)</f>
        <v>0</v>
      </c>
      <c r="AX28">
        <f>VLOOKUP($B28,'Data-PC'!$B$13:$AX$79,47,FALSE)</f>
        <v>0</v>
      </c>
      <c r="AY28">
        <f>VLOOKUP($B28,'Data-PC'!$B$19:$AX$79,48,FALSE)</f>
        <v>0</v>
      </c>
      <c r="AZ28">
        <f>VLOOKUP($B28,'Data-PC'!$B$13:$AX$79,49,FALSE)*C28</f>
        <v>0</v>
      </c>
      <c r="BA28">
        <f>SUM(X28,AC28,AH28,AM28,AR28,AV28,AZ28)</f>
        <v>81.86234473190363</v>
      </c>
    </row>
    <row r="29">
      <c r="A29">
        <f>A28+1</f>
        <v>18</v>
      </c>
      <c r="B29" t="str">
        <v>PC.1</v>
      </c>
      <c r="C29">
        <v>1</v>
      </c>
      <c r="E29">
        <f>D29-(G29+'Data-PC'!$D$5)/1000</f>
        <v>-0.55</v>
      </c>
      <c r="F29">
        <f>VLOOKUP(B29,'Data-PC'!$B$13:$AP$56,15,FALSE)</f>
        <v>1.69</v>
      </c>
      <c r="G29">
        <f>VLOOKUP(B29,'Data-PC'!$B$13:$G$56,4,FALSE)</f>
        <v>500</v>
      </c>
      <c r="H29">
        <f>C29*VLOOKUP(B29,'Data-PC'!$B$13:$BC$56,18,FALSE)</f>
        <v>1</v>
      </c>
      <c r="I29">
        <f>C29*VLOOKUP(B29,'Data-PC'!$B$13:$BC$56,51,FALSE)</f>
        <v>0</v>
      </c>
      <c r="J29">
        <f>F29*C29*'Data-PC'!$D$5/1000</f>
        <v>0.0845</v>
      </c>
      <c r="K29">
        <f>F29*('Data-PC'!$D$4/1000)*C29</f>
        <v>0</v>
      </c>
      <c r="L29">
        <f>C29*F29*($T$3-E29)</f>
        <v>0.9295</v>
      </c>
      <c r="M29">
        <f>L29-(T29+J29)</f>
        <v>0.72</v>
      </c>
      <c r="S29">
        <f>L29-M29</f>
        <v>0.20950000000000002</v>
      </c>
      <c r="T29">
        <f>C29*VLOOKUP(B29,'Data-PC'!$B$13:$AP$56,16,FALSE)*(1+'Data-PC'!$T$3/100)</f>
        <v>0.125</v>
      </c>
      <c r="U29">
        <f>C29*VLOOKUP(B29,'Data-PC'!$B$13:$AP$56,17,FALSE)*(1+'Data-PC'!$T$5/100)</f>
        <v>1</v>
      </c>
      <c r="V29">
        <f>VLOOKUP($B29,'Data-PC'!$B$13:$AP$79,19,FALSE)</f>
        <v>2</v>
      </c>
      <c r="W29">
        <f>VLOOKUP($B29,'Data-PC'!$B$13:$AP$79,20,FALSE)</f>
        <v>13</v>
      </c>
      <c r="X29">
        <f>VLOOKUP($B29,'Data-PC'!$B$13:$AP$79,21,FALSE)*C29</f>
        <v>3.9925033199999995</v>
      </c>
      <c r="Y29">
        <f>VLOOKUP($B29,'Data-PC'!$B$13:$AP$79,22,FALSE)</f>
        <v>13</v>
      </c>
      <c r="Z29">
        <f>VLOOKUP($B29,'Data-PC'!$B$13:$AP$79,23,FALSE)</f>
        <v>125</v>
      </c>
      <c r="AA29">
        <f>VLOOKUP($B29,'Data-PC'!$B$13:$AP$79,24,FALSE)</f>
        <v>4</v>
      </c>
      <c r="AB29">
        <f>VLOOKUP($B29,'Data-PC'!$B$13:$AP$79,25,FALSE)</f>
        <v>3.52</v>
      </c>
      <c r="AC29">
        <f>VLOOKUP($B29,'Data-PC'!$B$13:$AP$79,26,FALSE)*C29</f>
        <v>3.6674352</v>
      </c>
      <c r="AD29">
        <f>VLOOKUP($B29,'Data-PC'!$B$13:$AP$79,27,FALSE)</f>
        <v>13</v>
      </c>
      <c r="AE29">
        <f>VLOOKUP($B29,'Data-PC'!$B$13:$AP$79,28,FALSE)</f>
        <v>125</v>
      </c>
      <c r="AF29">
        <f>VLOOKUP($B29,'Data-PC'!$B$13:$AP$79,29,FALSE)</f>
        <v>4</v>
      </c>
      <c r="AG29">
        <f>VLOOKUP($B29,'Data-PC'!$B$13:$AP$79,30,FALSE)</f>
        <v>3.52</v>
      </c>
      <c r="AH29">
        <f>VLOOKUP($B29,'Data-PC'!$B$13:$AP$79,31,FALSE)*C29</f>
        <v>3.6674352</v>
      </c>
      <c r="AI29">
        <f>VLOOKUP($B29,'Data-PC'!$B$13:$AP$79,32,FALSE)</f>
        <v>13</v>
      </c>
      <c r="AJ29">
        <f>VLOOKUP($B29,'Data-PC'!$B$13:$AP$79,33,FALSE)</f>
        <v>125</v>
      </c>
      <c r="AK29">
        <f>VLOOKUP($B29,'Data-PC'!$B$13:$AP$79,34,FALSE)</f>
        <v>4</v>
      </c>
      <c r="AL29">
        <f>VLOOKUP($B29,'Data-PC'!$B$13:$AP$79,35,FALSE)</f>
        <v>5.28</v>
      </c>
      <c r="AM29">
        <f>VLOOKUP($B29,'Data-PC'!$B$13:$AP$79,36,FALSE)*C29</f>
        <v>5.5011528</v>
      </c>
      <c r="AN29">
        <f>VLOOKUP($B29,'Data-PC'!$B$13:$AP$79,37,FALSE)</f>
        <v>13</v>
      </c>
      <c r="AO29">
        <f>VLOOKUP($B29,'Data-PC'!$B$13:$AP$79,38,FALSE)</f>
        <v>125</v>
      </c>
      <c r="AP29">
        <f>VLOOKUP($B29,'Data-PC'!$B$13:$AP$79,39,FALSE)</f>
        <v>4</v>
      </c>
      <c r="AQ29">
        <f>VLOOKUP($B29,'Data-PC'!$B$13:$AP$79,40,FALSE)</f>
        <v>5.28</v>
      </c>
      <c r="AR29">
        <f>VLOOKUP($B29,'Data-PC'!$B$13:$AP$79,41,FALSE)*C29</f>
        <v>5.5011528</v>
      </c>
      <c r="AS29">
        <f>VLOOKUP($B29,'Data-PC'!$B$13:$AX$79,42,FALSE)</f>
        <v>0</v>
      </c>
      <c r="AT29">
        <f>VLOOKUP($B29,'Data-PC'!$B$13:$AX$79,43,FALSE)</f>
        <v>0</v>
      </c>
      <c r="AU29">
        <f>VLOOKUP($B29,'Data-PC'!$B$13:$AX$79,44,FALSE)</f>
        <v>1180</v>
      </c>
      <c r="AV29">
        <f>VLOOKUP($B29,'Data-PC'!$B$13:$AX$79,45,FALSE)*C29</f>
        <v>0</v>
      </c>
      <c r="AW29">
        <f>VLOOKUP($B29,'Data-PC'!$B$13:$AX$79,46,FALSE)</f>
        <v>0</v>
      </c>
      <c r="AX29">
        <f>VLOOKUP($B29,'Data-PC'!$B$13:$AX$79,47,FALSE)</f>
        <v>0</v>
      </c>
      <c r="AY29" t="e">
        <f>VLOOKUP($B29,'Data-PC'!$B$19:$AX$79,48,FALSE)</f>
        <v>#N/A</v>
      </c>
      <c r="AZ29">
        <f>VLOOKUP($B29,'Data-PC'!$B$13:$AX$79,49,FALSE)*C29</f>
        <v>0</v>
      </c>
      <c r="BA29">
        <f>SUM(X29,AC29,AH29,AM29,AR29,AV29,AZ29)</f>
        <v>22.329679319999997</v>
      </c>
    </row>
    <row r="30">
      <c r="A30">
        <f>A29+1</f>
        <v>19</v>
      </c>
      <c r="B30" t="str">
        <v>PC.1</v>
      </c>
      <c r="C30">
        <v>1</v>
      </c>
      <c r="E30">
        <f>D30-(G30+'Data-PC'!$D$5)/1000</f>
        <v>-0.55</v>
      </c>
      <c r="F30">
        <f>VLOOKUP(B30,'Data-PC'!$B$13:$AP$56,15,FALSE)</f>
        <v>1.69</v>
      </c>
      <c r="G30">
        <f>VLOOKUP(B30,'Data-PC'!$B$13:$G$56,4,FALSE)</f>
        <v>500</v>
      </c>
      <c r="H30">
        <f>C30*VLOOKUP(B30,'Data-PC'!$B$13:$BC$56,18,FALSE)</f>
        <v>1</v>
      </c>
      <c r="I30">
        <f>C30*VLOOKUP(B30,'Data-PC'!$B$13:$BC$56,51,FALSE)</f>
        <v>0</v>
      </c>
      <c r="J30">
        <f>F30*C30*'Data-PC'!$D$5/1000</f>
        <v>0.0845</v>
      </c>
      <c r="K30">
        <f>F30*('Data-PC'!$D$4/1000)*C30</f>
        <v>0</v>
      </c>
      <c r="L30">
        <f>C30*F30*($T$3-E30)</f>
        <v>0.9295</v>
      </c>
      <c r="M30">
        <f>L30-(T30+J30)</f>
        <v>0.72</v>
      </c>
      <c r="S30">
        <f>L30-M30</f>
        <v>0.20950000000000002</v>
      </c>
      <c r="T30">
        <f>C30*VLOOKUP(B30,'Data-PC'!$B$13:$AP$56,16,FALSE)*(1+'Data-PC'!$T$3/100)</f>
        <v>0.125</v>
      </c>
      <c r="U30">
        <f>C30*VLOOKUP(B30,'Data-PC'!$B$13:$AP$56,17,FALSE)*(1+'Data-PC'!$T$5/100)</f>
        <v>1</v>
      </c>
      <c r="V30">
        <f>VLOOKUP($B30,'Data-PC'!$B$13:$AP$79,19,FALSE)</f>
        <v>2</v>
      </c>
      <c r="W30">
        <f>VLOOKUP($B30,'Data-PC'!$B$13:$AP$79,20,FALSE)</f>
        <v>13</v>
      </c>
      <c r="X30">
        <f>VLOOKUP($B30,'Data-PC'!$B$13:$AP$79,21,FALSE)*C30</f>
        <v>3.9925033199999995</v>
      </c>
      <c r="Y30">
        <f>VLOOKUP($B30,'Data-PC'!$B$13:$AP$79,22,FALSE)</f>
        <v>13</v>
      </c>
      <c r="Z30">
        <f>VLOOKUP($B30,'Data-PC'!$B$13:$AP$79,23,FALSE)</f>
        <v>125</v>
      </c>
      <c r="AA30">
        <f>VLOOKUP($B30,'Data-PC'!$B$13:$AP$79,24,FALSE)</f>
        <v>4</v>
      </c>
      <c r="AB30">
        <f>VLOOKUP($B30,'Data-PC'!$B$13:$AP$79,25,FALSE)</f>
        <v>3.52</v>
      </c>
      <c r="AC30">
        <f>VLOOKUP($B30,'Data-PC'!$B$13:$AP$79,26,FALSE)*C30</f>
        <v>3.6674352</v>
      </c>
      <c r="AD30">
        <f>VLOOKUP($B30,'Data-PC'!$B$13:$AP$79,27,FALSE)</f>
        <v>13</v>
      </c>
      <c r="AE30">
        <f>VLOOKUP($B30,'Data-PC'!$B$13:$AP$79,28,FALSE)</f>
        <v>125</v>
      </c>
      <c r="AF30">
        <f>VLOOKUP($B30,'Data-PC'!$B$13:$AP$79,29,FALSE)</f>
        <v>4</v>
      </c>
      <c r="AG30">
        <f>VLOOKUP($B30,'Data-PC'!$B$13:$AP$79,30,FALSE)</f>
        <v>3.52</v>
      </c>
      <c r="AH30">
        <f>VLOOKUP($B30,'Data-PC'!$B$13:$AP$79,31,FALSE)*C30</f>
        <v>3.6674352</v>
      </c>
      <c r="AI30">
        <f>VLOOKUP($B30,'Data-PC'!$B$13:$AP$79,32,FALSE)</f>
        <v>13</v>
      </c>
      <c r="AJ30">
        <f>VLOOKUP($B30,'Data-PC'!$B$13:$AP$79,33,FALSE)</f>
        <v>125</v>
      </c>
      <c r="AK30">
        <f>VLOOKUP($B30,'Data-PC'!$B$13:$AP$79,34,FALSE)</f>
        <v>4</v>
      </c>
      <c r="AL30">
        <f>VLOOKUP($B30,'Data-PC'!$B$13:$AP$79,35,FALSE)</f>
        <v>5.28</v>
      </c>
      <c r="AM30">
        <f>VLOOKUP($B30,'Data-PC'!$B$13:$AP$79,36,FALSE)*C30</f>
        <v>5.5011528</v>
      </c>
      <c r="AN30">
        <f>VLOOKUP($B30,'Data-PC'!$B$13:$AP$79,37,FALSE)</f>
        <v>13</v>
      </c>
      <c r="AO30">
        <f>VLOOKUP($B30,'Data-PC'!$B$13:$AP$79,38,FALSE)</f>
        <v>125</v>
      </c>
      <c r="AP30">
        <f>VLOOKUP($B30,'Data-PC'!$B$13:$AP$79,39,FALSE)</f>
        <v>4</v>
      </c>
      <c r="AQ30">
        <f>VLOOKUP($B30,'Data-PC'!$B$13:$AP$79,40,FALSE)</f>
        <v>5.28</v>
      </c>
      <c r="AR30">
        <f>VLOOKUP($B30,'Data-PC'!$B$13:$AP$79,41,FALSE)*C30</f>
        <v>5.5011528</v>
      </c>
      <c r="AS30">
        <f>VLOOKUP($B30,'Data-PC'!$B$13:$AX$79,42,FALSE)</f>
        <v>0</v>
      </c>
      <c r="AT30">
        <f>VLOOKUP($B30,'Data-PC'!$B$13:$AX$79,43,FALSE)</f>
        <v>0</v>
      </c>
      <c r="AU30">
        <f>VLOOKUP($B30,'Data-PC'!$B$13:$AX$79,44,FALSE)</f>
        <v>1180</v>
      </c>
      <c r="AV30">
        <f>VLOOKUP($B30,'Data-PC'!$B$13:$AX$79,45,FALSE)*C30</f>
        <v>0</v>
      </c>
      <c r="AW30">
        <f>VLOOKUP($B30,'Data-PC'!$B$13:$AX$79,46,FALSE)</f>
        <v>0</v>
      </c>
      <c r="AX30">
        <f>VLOOKUP($B30,'Data-PC'!$B$13:$AX$79,47,FALSE)</f>
        <v>0</v>
      </c>
      <c r="AY30" t="e">
        <f>VLOOKUP($B30,'Data-PC'!$B$19:$AX$79,48,FALSE)</f>
        <v>#N/A</v>
      </c>
      <c r="AZ30">
        <f>VLOOKUP($B30,'Data-PC'!$B$13:$AX$79,49,FALSE)*C30</f>
        <v>0</v>
      </c>
      <c r="BA30">
        <f>SUM(X30,AC30,AH30,AM30,AR30,AV30,AZ30)</f>
        <v>22.329679319999997</v>
      </c>
    </row>
    <row r="31">
      <c r="A31">
        <f>A30+1</f>
        <v>20</v>
      </c>
      <c r="B31" t="str">
        <v>PC.1</v>
      </c>
      <c r="C31">
        <v>1</v>
      </c>
      <c r="E31">
        <f>D31-(G31+'Data-PC'!$D$5)/1000</f>
        <v>-0.55</v>
      </c>
      <c r="F31">
        <f>VLOOKUP(B31,'Data-PC'!$B$13:$AP$56,15,FALSE)</f>
        <v>1.69</v>
      </c>
      <c r="G31">
        <f>VLOOKUP(B31,'Data-PC'!$B$13:$G$56,4,FALSE)</f>
        <v>500</v>
      </c>
      <c r="H31">
        <f>C31*VLOOKUP(B31,'Data-PC'!$B$13:$BC$56,18,FALSE)</f>
        <v>1</v>
      </c>
      <c r="I31">
        <f>C31*VLOOKUP(B31,'Data-PC'!$B$13:$BC$56,51,FALSE)</f>
        <v>0</v>
      </c>
      <c r="J31">
        <f>F31*C31*'Data-PC'!$D$5/1000</f>
        <v>0.0845</v>
      </c>
      <c r="K31">
        <f>F31*('Data-PC'!$D$4/1000)*C31</f>
        <v>0</v>
      </c>
      <c r="L31">
        <f>C31*F31*($T$3-E31)</f>
        <v>0.9295</v>
      </c>
      <c r="M31">
        <f>L31-(T31+J31)</f>
        <v>0.72</v>
      </c>
      <c r="S31">
        <f>L31-M31</f>
        <v>0.20950000000000002</v>
      </c>
      <c r="T31">
        <f>C31*VLOOKUP(B31,'Data-PC'!$B$13:$AP$56,16,FALSE)*(1+'Data-PC'!$T$3/100)</f>
        <v>0.125</v>
      </c>
      <c r="U31">
        <f>C31*VLOOKUP(B31,'Data-PC'!$B$13:$AP$56,17,FALSE)*(1+'Data-PC'!$T$5/100)</f>
        <v>1</v>
      </c>
      <c r="V31">
        <f>VLOOKUP($B31,'Data-PC'!$B$13:$AP$79,19,FALSE)</f>
        <v>2</v>
      </c>
      <c r="W31">
        <f>VLOOKUP($B31,'Data-PC'!$B$13:$AP$79,20,FALSE)</f>
        <v>13</v>
      </c>
      <c r="X31">
        <f>VLOOKUP($B31,'Data-PC'!$B$13:$AP$79,21,FALSE)*C31</f>
        <v>3.9925033199999995</v>
      </c>
      <c r="Y31">
        <f>VLOOKUP($B31,'Data-PC'!$B$13:$AP$79,22,FALSE)</f>
        <v>13</v>
      </c>
      <c r="Z31">
        <f>VLOOKUP($B31,'Data-PC'!$B$13:$AP$79,23,FALSE)</f>
        <v>125</v>
      </c>
      <c r="AA31">
        <f>VLOOKUP($B31,'Data-PC'!$B$13:$AP$79,24,FALSE)</f>
        <v>4</v>
      </c>
      <c r="AB31">
        <f>VLOOKUP($B31,'Data-PC'!$B$13:$AP$79,25,FALSE)</f>
        <v>3.52</v>
      </c>
      <c r="AC31">
        <f>VLOOKUP($B31,'Data-PC'!$B$13:$AP$79,26,FALSE)*C31</f>
        <v>3.6674352</v>
      </c>
      <c r="AD31">
        <f>VLOOKUP($B31,'Data-PC'!$B$13:$AP$79,27,FALSE)</f>
        <v>13</v>
      </c>
      <c r="AE31">
        <f>VLOOKUP($B31,'Data-PC'!$B$13:$AP$79,28,FALSE)</f>
        <v>125</v>
      </c>
      <c r="AF31">
        <f>VLOOKUP($B31,'Data-PC'!$B$13:$AP$79,29,FALSE)</f>
        <v>4</v>
      </c>
      <c r="AG31">
        <f>VLOOKUP($B31,'Data-PC'!$B$13:$AP$79,30,FALSE)</f>
        <v>3.52</v>
      </c>
      <c r="AH31">
        <f>VLOOKUP($B31,'Data-PC'!$B$13:$AP$79,31,FALSE)*C31</f>
        <v>3.6674352</v>
      </c>
      <c r="AI31">
        <f>VLOOKUP($B31,'Data-PC'!$B$13:$AP$79,32,FALSE)</f>
        <v>13</v>
      </c>
      <c r="AJ31">
        <f>VLOOKUP($B31,'Data-PC'!$B$13:$AP$79,33,FALSE)</f>
        <v>125</v>
      </c>
      <c r="AK31">
        <f>VLOOKUP($B31,'Data-PC'!$B$13:$AP$79,34,FALSE)</f>
        <v>4</v>
      </c>
      <c r="AL31">
        <f>VLOOKUP($B31,'Data-PC'!$B$13:$AP$79,35,FALSE)</f>
        <v>5.28</v>
      </c>
      <c r="AM31">
        <f>VLOOKUP($B31,'Data-PC'!$B$13:$AP$79,36,FALSE)*C31</f>
        <v>5.5011528</v>
      </c>
      <c r="AN31">
        <f>VLOOKUP($B31,'Data-PC'!$B$13:$AP$79,37,FALSE)</f>
        <v>13</v>
      </c>
      <c r="AO31">
        <f>VLOOKUP($B31,'Data-PC'!$B$13:$AP$79,38,FALSE)</f>
        <v>125</v>
      </c>
      <c r="AP31">
        <f>VLOOKUP($B31,'Data-PC'!$B$13:$AP$79,39,FALSE)</f>
        <v>4</v>
      </c>
      <c r="AQ31">
        <f>VLOOKUP($B31,'Data-PC'!$B$13:$AP$79,40,FALSE)</f>
        <v>5.28</v>
      </c>
      <c r="AR31">
        <f>VLOOKUP($B31,'Data-PC'!$B$13:$AP$79,41,FALSE)*C31</f>
        <v>5.5011528</v>
      </c>
      <c r="AS31">
        <f>VLOOKUP($B31,'Data-PC'!$B$13:$AX$79,42,FALSE)</f>
        <v>0</v>
      </c>
      <c r="AT31">
        <f>VLOOKUP($B31,'Data-PC'!$B$13:$AX$79,43,FALSE)</f>
        <v>0</v>
      </c>
      <c r="AU31">
        <f>VLOOKUP($B31,'Data-PC'!$B$13:$AX$79,44,FALSE)</f>
        <v>1180</v>
      </c>
      <c r="AV31">
        <f>VLOOKUP($B31,'Data-PC'!$B$13:$AX$79,45,FALSE)*C31</f>
        <v>0</v>
      </c>
      <c r="AW31">
        <f>VLOOKUP($B31,'Data-PC'!$B$13:$AX$79,46,FALSE)</f>
        <v>0</v>
      </c>
      <c r="AX31">
        <f>VLOOKUP($B31,'Data-PC'!$B$13:$AX$79,47,FALSE)</f>
        <v>0</v>
      </c>
      <c r="AY31" t="e">
        <f>VLOOKUP($B31,'Data-PC'!$B$19:$AX$79,48,FALSE)</f>
        <v>#N/A</v>
      </c>
      <c r="AZ31">
        <f>VLOOKUP($B31,'Data-PC'!$B$13:$AX$79,49,FALSE)*C31</f>
        <v>0</v>
      </c>
      <c r="BA31">
        <f>SUM(X31,AC31,AH31,AM31,AR31,AV31,AZ31)</f>
        <v>22.329679319999997</v>
      </c>
    </row>
    <row r="32">
      <c r="A32">
        <f>A31+1</f>
        <v>21</v>
      </c>
      <c r="B32" t="str">
        <v>PCS.2</v>
      </c>
      <c r="C32">
        <v>1</v>
      </c>
      <c r="E32">
        <f>D32-(G32+'Data-PC'!$D$5)/1000</f>
        <v>-0.65</v>
      </c>
      <c r="F32">
        <f>VLOOKUP(B32,'Data-PC'!$B$13:$AP$56,15,FALSE)</f>
        <v>3.68</v>
      </c>
      <c r="G32">
        <f>VLOOKUP(B32,'Data-PC'!$B$13:$G$56,4,FALSE)</f>
        <v>600</v>
      </c>
      <c r="H32">
        <f>C32*VLOOKUP(B32,'Data-PC'!$B$13:$BC$56,18,FALSE)</f>
        <v>0</v>
      </c>
      <c r="I32">
        <f>C32*VLOOKUP(B32,'Data-PC'!$B$13:$BC$56,51,FALSE)</f>
        <v>2</v>
      </c>
      <c r="J32">
        <f>F32*C32*'Data-PC'!$D$5/1000</f>
        <v>0.184</v>
      </c>
      <c r="K32">
        <f>F32*('Data-PC'!$D$4/1000)*C32</f>
        <v>0</v>
      </c>
      <c r="L32">
        <f>C32*F32*($T$3-E32)</f>
        <v>2.3920000000000003</v>
      </c>
      <c r="M32">
        <f>L32-(T32+J32)</f>
        <v>1.4880000000000004</v>
      </c>
      <c r="S32">
        <f>L32-M32</f>
        <v>0.9039999999999999</v>
      </c>
      <c r="T32">
        <f>C32*VLOOKUP(B32,'Data-PC'!$B$13:$AP$56,16,FALSE)*(1+'Data-PC'!$T$3/100)</f>
        <v>0.72</v>
      </c>
      <c r="U32">
        <f>C32*VLOOKUP(B32,'Data-PC'!$B$13:$AP$56,17,FALSE)*(1+'Data-PC'!$T$5/100)</f>
        <v>2.76</v>
      </c>
      <c r="V32">
        <f>VLOOKUP($B32,'Data-PC'!$B$13:$AP$79,19,FALSE)</f>
        <v>2</v>
      </c>
      <c r="W32">
        <f>VLOOKUP($B32,'Data-PC'!$B$13:$AP$79,20,FALSE)</f>
        <v>13</v>
      </c>
      <c r="X32">
        <f>VLOOKUP($B32,'Data-PC'!$B$13:$AP$79,21,FALSE)*C32</f>
        <v>9.410305319999997</v>
      </c>
      <c r="Y32">
        <f>VLOOKUP($B32,'Data-PC'!$B$13:$AP$79,22,FALSE)</f>
        <v>16</v>
      </c>
      <c r="Z32">
        <f>VLOOKUP($B32,'Data-PC'!$B$13:$AP$79,23,FALSE)</f>
        <v>100</v>
      </c>
      <c r="AA32">
        <f>VLOOKUP($B32,'Data-PC'!$B$13:$AP$79,24,FALSE)</f>
        <v>15</v>
      </c>
      <c r="AB32">
        <f>VLOOKUP($B32,'Data-PC'!$B$13:$AP$79,25,FALSE)</f>
        <v>19.2</v>
      </c>
      <c r="AC32">
        <f>VLOOKUP($B32,'Data-PC'!$B$13:$AP$79,26,FALSE)*C32</f>
        <v>30.302208</v>
      </c>
      <c r="AD32">
        <f>VLOOKUP($B32,'Data-PC'!$B$13:$AP$79,27,FALSE)</f>
        <v>13</v>
      </c>
      <c r="AE32">
        <f>VLOOKUP($B32,'Data-PC'!$B$13:$AP$79,28,FALSE)</f>
        <v>100</v>
      </c>
      <c r="AF32">
        <f>VLOOKUP($B32,'Data-PC'!$B$13:$AP$79,29,FALSE)</f>
        <v>8</v>
      </c>
      <c r="AG32">
        <f>VLOOKUP($B32,'Data-PC'!$B$13:$AP$79,30,FALSE)</f>
        <v>15.84</v>
      </c>
      <c r="AH32">
        <f>VLOOKUP($B32,'Data-PC'!$B$13:$AP$79,31,FALSE)*C32</f>
        <v>16.5034584</v>
      </c>
      <c r="AI32">
        <f>VLOOKUP($B32,'Data-PC'!$B$13:$AP$79,32,FALSE)</f>
        <v>16</v>
      </c>
      <c r="AJ32">
        <f>VLOOKUP($B32,'Data-PC'!$B$13:$AP$79,33,FALSE)</f>
        <v>100</v>
      </c>
      <c r="AK32">
        <f>VLOOKUP($B32,'Data-PC'!$B$13:$AP$79,34,FALSE)</f>
        <v>15</v>
      </c>
      <c r="AL32">
        <f>VLOOKUP($B32,'Data-PC'!$B$13:$AP$79,35,FALSE)</f>
        <v>27.3</v>
      </c>
      <c r="AM32">
        <f>VLOOKUP($B32,'Data-PC'!$B$13:$AP$79,36,FALSE)*C32</f>
        <v>43.085952000000006</v>
      </c>
      <c r="AN32">
        <f>VLOOKUP($B32,'Data-PC'!$B$13:$AP$79,37,FALSE)</f>
        <v>13</v>
      </c>
      <c r="AO32">
        <f>VLOOKUP($B32,'Data-PC'!$B$13:$AP$79,38,FALSE)</f>
        <v>100</v>
      </c>
      <c r="AP32">
        <f>VLOOKUP($B32,'Data-PC'!$B$13:$AP$79,39,FALSE)</f>
        <v>8</v>
      </c>
      <c r="AQ32">
        <f>VLOOKUP($B32,'Data-PC'!$B$13:$AP$79,40,FALSE)</f>
        <v>20.16</v>
      </c>
      <c r="AR32">
        <f>VLOOKUP($B32,'Data-PC'!$B$13:$AP$79,41,FALSE)*C32</f>
        <v>21.004401599999998</v>
      </c>
      <c r="AS32">
        <f>VLOOKUP($B32,'Data-PC'!$B$13:$AX$79,42,FALSE)</f>
        <v>0</v>
      </c>
      <c r="AT32">
        <f>VLOOKUP($B32,'Data-PC'!$B$13:$AX$79,43,FALSE)</f>
        <v>0</v>
      </c>
      <c r="AU32">
        <f>VLOOKUP($B32,'Data-PC'!$B$13:$AX$79,44,FALSE)</f>
        <v>1380</v>
      </c>
      <c r="AV32">
        <f>VLOOKUP($B32,'Data-PC'!$B$13:$AX$79,45,FALSE)*C32</f>
        <v>0</v>
      </c>
      <c r="AW32">
        <f>VLOOKUP($B32,'Data-PC'!$B$13:$AX$79,46,FALSE)</f>
        <v>0</v>
      </c>
      <c r="AX32">
        <f>VLOOKUP($B32,'Data-PC'!$B$13:$AX$79,47,FALSE)</f>
        <v>0</v>
      </c>
      <c r="AY32">
        <f>VLOOKUP($B32,'Data-PC'!$B$19:$AX$79,48,FALSE)</f>
        <v>0</v>
      </c>
      <c r="AZ32">
        <f>VLOOKUP($B32,'Data-PC'!$B$13:$AX$79,49,FALSE)*C32</f>
        <v>0</v>
      </c>
      <c r="BA32">
        <f>SUM(X32,AC32,AH32,AM32,AR32,AV32,AZ32)</f>
        <v>120.30632532</v>
      </c>
    </row>
    <row r="33">
      <c r="A33">
        <f>A32+1</f>
        <v>22</v>
      </c>
      <c r="B33" t="str">
        <v>PC.3</v>
      </c>
      <c r="C33">
        <v>1</v>
      </c>
      <c r="E33">
        <f>D33-(G33+'Data-PC'!$D$5)/1000</f>
        <v>-0.65</v>
      </c>
      <c r="F33">
        <f>VLOOKUP(B33,'Data-PC'!$B$13:$AP$56,15,FALSE)</f>
        <v>3.173988</v>
      </c>
      <c r="G33">
        <f>VLOOKUP(B33,'Data-PC'!$B$13:$G$56,4,FALSE)</f>
        <v>600</v>
      </c>
      <c r="H33">
        <f>C33*VLOOKUP(B33,'Data-PC'!$B$13:$BC$56,18,FALSE)</f>
        <v>3</v>
      </c>
      <c r="I33">
        <f>C33*VLOOKUP(B33,'Data-PC'!$B$13:$BC$56,51,FALSE)</f>
        <v>0</v>
      </c>
      <c r="J33">
        <f>F33*C33*'Data-PC'!$D$5/1000</f>
        <v>0.1586994</v>
      </c>
      <c r="K33">
        <f>F33*('Data-PC'!$D$4/1000)*C33</f>
        <v>0</v>
      </c>
      <c r="L33">
        <f>C33*F33*($T$3-E33)</f>
        <v>2.0630922000000003</v>
      </c>
      <c r="M33">
        <f>L33-(T33+J33)</f>
        <v>1.4016000000000002</v>
      </c>
      <c r="S33">
        <f>L33-M33</f>
        <v>0.6614922000000001</v>
      </c>
      <c r="T33">
        <f>C33*VLOOKUP(B33,'Data-PC'!$B$13:$AP$56,16,FALSE)*(1+'Data-PC'!$T$3/100)</f>
        <v>0.5027928</v>
      </c>
      <c r="U33">
        <f>C33*VLOOKUP(B33,'Data-PC'!$B$13:$AP$56,17,FALSE)*(1+'Data-PC'!$T$5/100)</f>
        <v>2.188580986453487</v>
      </c>
      <c r="V33">
        <f>VLOOKUP($B33,'Data-PC'!$B$13:$AP$79,19,FALSE)</f>
        <v>2</v>
      </c>
      <c r="W33">
        <f>VLOOKUP($B33,'Data-PC'!$B$13:$AP$79,20,FALSE)</f>
        <v>13</v>
      </c>
      <c r="X33">
        <f>VLOOKUP($B33,'Data-PC'!$B$13:$AP$79,21,FALSE)*C33</f>
        <v>7.175743256903637</v>
      </c>
      <c r="Y33">
        <f>VLOOKUP($B33,'Data-PC'!$B$13:$AP$79,22,FALSE)</f>
        <v>13</v>
      </c>
      <c r="Z33">
        <f>VLOOKUP($B33,'Data-PC'!$B$13:$AP$79,23,FALSE)</f>
        <v>150</v>
      </c>
      <c r="AA33">
        <f>VLOOKUP($B33,'Data-PC'!$B$13:$AP$79,24,FALSE)</f>
        <v>8</v>
      </c>
      <c r="AB33">
        <f>VLOOKUP($B33,'Data-PC'!$B$13:$AP$79,25,FALSE)</f>
        <v>15.036</v>
      </c>
      <c r="AC33">
        <f>VLOOKUP($B33,'Data-PC'!$B$13:$AP$79,26,FALSE)*C33</f>
        <v>15.665782859999998</v>
      </c>
      <c r="AD33">
        <f>VLOOKUP($B33,'Data-PC'!$B$13:$AP$79,27,FALSE)</f>
        <v>13</v>
      </c>
      <c r="AE33">
        <f>VLOOKUP($B33,'Data-PC'!$B$13:$AP$79,28,FALSE)</f>
        <v>150</v>
      </c>
      <c r="AF33">
        <f>VLOOKUP($B33,'Data-PC'!$B$13:$AP$79,29,FALSE)</f>
        <v>8</v>
      </c>
      <c r="AG33">
        <f>VLOOKUP($B33,'Data-PC'!$B$13:$AP$79,30,FALSE)</f>
        <v>9.891</v>
      </c>
      <c r="AH33">
        <f>VLOOKUP($B33,'Data-PC'!$B$13:$AP$79,31,FALSE)*C33</f>
        <v>10.305284535</v>
      </c>
      <c r="AI33">
        <f>VLOOKUP($B33,'Data-PC'!$B$13:$AP$79,32,FALSE)</f>
        <v>16</v>
      </c>
      <c r="AJ33">
        <f>VLOOKUP($B33,'Data-PC'!$B$13:$AP$79,33,FALSE)</f>
        <v>150</v>
      </c>
      <c r="AK33">
        <f>VLOOKUP($B33,'Data-PC'!$B$13:$AP$79,34,FALSE)</f>
        <v>8</v>
      </c>
      <c r="AL33">
        <f>VLOOKUP($B33,'Data-PC'!$B$13:$AP$79,35,FALSE)</f>
        <v>16.656</v>
      </c>
      <c r="AM33">
        <f>VLOOKUP($B33,'Data-PC'!$B$13:$AP$79,36,FALSE)*C33</f>
        <v>26.28716544</v>
      </c>
      <c r="AN33">
        <f>VLOOKUP($B33,'Data-PC'!$B$13:$AP$79,37,FALSE)</f>
        <v>16</v>
      </c>
      <c r="AO33">
        <f>VLOOKUP($B33,'Data-PC'!$B$13:$AP$79,38,FALSE)</f>
        <v>150</v>
      </c>
      <c r="AP33">
        <f>VLOOKUP($B33,'Data-PC'!$B$13:$AP$79,39,FALSE)</f>
        <v>8</v>
      </c>
      <c r="AQ33">
        <f>VLOOKUP($B33,'Data-PC'!$B$13:$AP$79,40,FALSE)</f>
        <v>14.211</v>
      </c>
      <c r="AR33">
        <f>VLOOKUP($B33,'Data-PC'!$B$13:$AP$79,41,FALSE)*C33</f>
        <v>22.428368640000002</v>
      </c>
      <c r="AS33">
        <f>VLOOKUP($B33,'Data-PC'!$B$13:$AX$79,42,FALSE)</f>
        <v>0</v>
      </c>
      <c r="AT33">
        <f>VLOOKUP($B33,'Data-PC'!$B$13:$AX$79,43,FALSE)</f>
        <v>0</v>
      </c>
      <c r="AU33">
        <f>VLOOKUP($B33,'Data-PC'!$B$13:$AX$79,44,FALSE)</f>
        <v>1380</v>
      </c>
      <c r="AV33">
        <f>VLOOKUP($B33,'Data-PC'!$B$13:$AX$79,45,FALSE)*C33</f>
        <v>0</v>
      </c>
      <c r="AW33">
        <f>VLOOKUP($B33,'Data-PC'!$B$13:$AX$79,46,FALSE)</f>
        <v>0</v>
      </c>
      <c r="AX33">
        <f>VLOOKUP($B33,'Data-PC'!$B$13:$AX$79,47,FALSE)</f>
        <v>0</v>
      </c>
      <c r="AY33">
        <f>VLOOKUP($B33,'Data-PC'!$B$19:$AX$79,48,FALSE)</f>
        <v>0</v>
      </c>
      <c r="AZ33">
        <f>VLOOKUP($B33,'Data-PC'!$B$13:$AX$79,49,FALSE)*C33</f>
        <v>0</v>
      </c>
      <c r="BA33">
        <f>SUM(X33,AC33,AH33,AM33,AR33,AV33,AZ33)</f>
        <v>81.86234473190363</v>
      </c>
    </row>
    <row r="34">
      <c r="A34">
        <f>A33+1</f>
        <v>23</v>
      </c>
      <c r="B34" t="str">
        <v>PCS.2</v>
      </c>
      <c r="C34">
        <v>1</v>
      </c>
      <c r="E34">
        <f>D34-(G34+'Data-PC'!$D$5)/1000</f>
        <v>-0.65</v>
      </c>
      <c r="F34">
        <f>VLOOKUP(B34,'Data-PC'!$B$13:$AP$56,15,FALSE)</f>
        <v>3.68</v>
      </c>
      <c r="G34">
        <f>VLOOKUP(B34,'Data-PC'!$B$13:$G$56,4,FALSE)</f>
        <v>600</v>
      </c>
      <c r="H34">
        <f>C34*VLOOKUP(B34,'Data-PC'!$B$13:$BC$56,18,FALSE)</f>
        <v>0</v>
      </c>
      <c r="I34">
        <f>C34*VLOOKUP(B34,'Data-PC'!$B$13:$BC$56,51,FALSE)</f>
        <v>2</v>
      </c>
      <c r="J34">
        <f>F34*C34*'Data-PC'!$D$5/1000</f>
        <v>0.184</v>
      </c>
      <c r="K34">
        <f>F34*('Data-PC'!$D$4/1000)*C34</f>
        <v>0</v>
      </c>
      <c r="L34">
        <f>C34*F34*($T$3-E34)</f>
        <v>2.3920000000000003</v>
      </c>
      <c r="M34">
        <f>L34-(T34+J34)</f>
        <v>1.4880000000000004</v>
      </c>
      <c r="S34">
        <f>L34-M34</f>
        <v>0.9039999999999999</v>
      </c>
      <c r="T34">
        <f>C34*VLOOKUP(B34,'Data-PC'!$B$13:$AP$56,16,FALSE)*(1+'Data-PC'!$T$3/100)</f>
        <v>0.72</v>
      </c>
      <c r="U34">
        <f>C34*VLOOKUP(B34,'Data-PC'!$B$13:$AP$56,17,FALSE)*(1+'Data-PC'!$T$5/100)</f>
        <v>2.76</v>
      </c>
      <c r="V34">
        <f>VLOOKUP($B34,'Data-PC'!$B$13:$AP$79,19,FALSE)</f>
        <v>2</v>
      </c>
      <c r="W34">
        <f>VLOOKUP($B34,'Data-PC'!$B$13:$AP$79,20,FALSE)</f>
        <v>13</v>
      </c>
      <c r="X34">
        <f>VLOOKUP($B34,'Data-PC'!$B$13:$AP$79,21,FALSE)*C34</f>
        <v>9.410305319999997</v>
      </c>
      <c r="Y34">
        <f>VLOOKUP($B34,'Data-PC'!$B$13:$AP$79,22,FALSE)</f>
        <v>16</v>
      </c>
      <c r="Z34">
        <f>VLOOKUP($B34,'Data-PC'!$B$13:$AP$79,23,FALSE)</f>
        <v>100</v>
      </c>
      <c r="AA34">
        <f>VLOOKUP($B34,'Data-PC'!$B$13:$AP$79,24,FALSE)</f>
        <v>15</v>
      </c>
      <c r="AB34">
        <f>VLOOKUP($B34,'Data-PC'!$B$13:$AP$79,25,FALSE)</f>
        <v>19.2</v>
      </c>
      <c r="AC34">
        <f>VLOOKUP($B34,'Data-PC'!$B$13:$AP$79,26,FALSE)*C34</f>
        <v>30.302208</v>
      </c>
      <c r="AD34">
        <f>VLOOKUP($B34,'Data-PC'!$B$13:$AP$79,27,FALSE)</f>
        <v>13</v>
      </c>
      <c r="AE34">
        <f>VLOOKUP($B34,'Data-PC'!$B$13:$AP$79,28,FALSE)</f>
        <v>100</v>
      </c>
      <c r="AF34">
        <f>VLOOKUP($B34,'Data-PC'!$B$13:$AP$79,29,FALSE)</f>
        <v>8</v>
      </c>
      <c r="AG34">
        <f>VLOOKUP($B34,'Data-PC'!$B$13:$AP$79,30,FALSE)</f>
        <v>15.84</v>
      </c>
      <c r="AH34">
        <f>VLOOKUP($B34,'Data-PC'!$B$13:$AP$79,31,FALSE)*C34</f>
        <v>16.5034584</v>
      </c>
      <c r="AI34">
        <f>VLOOKUP($B34,'Data-PC'!$B$13:$AP$79,32,FALSE)</f>
        <v>16</v>
      </c>
      <c r="AJ34">
        <f>VLOOKUP($B34,'Data-PC'!$B$13:$AP$79,33,FALSE)</f>
        <v>100</v>
      </c>
      <c r="AK34">
        <f>VLOOKUP($B34,'Data-PC'!$B$13:$AP$79,34,FALSE)</f>
        <v>15</v>
      </c>
      <c r="AL34">
        <f>VLOOKUP($B34,'Data-PC'!$B$13:$AP$79,35,FALSE)</f>
        <v>27.3</v>
      </c>
      <c r="AM34">
        <f>VLOOKUP($B34,'Data-PC'!$B$13:$AP$79,36,FALSE)*C34</f>
        <v>43.085952000000006</v>
      </c>
      <c r="AN34">
        <f>VLOOKUP($B34,'Data-PC'!$B$13:$AP$79,37,FALSE)</f>
        <v>13</v>
      </c>
      <c r="AO34">
        <f>VLOOKUP($B34,'Data-PC'!$B$13:$AP$79,38,FALSE)</f>
        <v>100</v>
      </c>
      <c r="AP34">
        <f>VLOOKUP($B34,'Data-PC'!$B$13:$AP$79,39,FALSE)</f>
        <v>8</v>
      </c>
      <c r="AQ34">
        <f>VLOOKUP($B34,'Data-PC'!$B$13:$AP$79,40,FALSE)</f>
        <v>20.16</v>
      </c>
      <c r="AR34">
        <f>VLOOKUP($B34,'Data-PC'!$B$13:$AP$79,41,FALSE)*C34</f>
        <v>21.004401599999998</v>
      </c>
      <c r="AS34">
        <f>VLOOKUP($B34,'Data-PC'!$B$13:$AX$79,42,FALSE)</f>
        <v>0</v>
      </c>
      <c r="AT34">
        <f>VLOOKUP($B34,'Data-PC'!$B$13:$AX$79,43,FALSE)</f>
        <v>0</v>
      </c>
      <c r="AU34">
        <f>VLOOKUP($B34,'Data-PC'!$B$13:$AX$79,44,FALSE)</f>
        <v>1380</v>
      </c>
      <c r="AV34">
        <f>VLOOKUP($B34,'Data-PC'!$B$13:$AX$79,45,FALSE)*C34</f>
        <v>0</v>
      </c>
      <c r="AW34">
        <f>VLOOKUP($B34,'Data-PC'!$B$13:$AX$79,46,FALSE)</f>
        <v>0</v>
      </c>
      <c r="AX34">
        <f>VLOOKUP($B34,'Data-PC'!$B$13:$AX$79,47,FALSE)</f>
        <v>0</v>
      </c>
      <c r="AY34">
        <f>VLOOKUP($B34,'Data-PC'!$B$19:$AX$79,48,FALSE)</f>
        <v>0</v>
      </c>
      <c r="AZ34">
        <f>VLOOKUP($B34,'Data-PC'!$B$13:$AX$79,49,FALSE)*C34</f>
        <v>0</v>
      </c>
      <c r="BA34">
        <f>SUM(X34,AC34,AH34,AM34,AR34,AV34,AZ34)</f>
        <v>120.30632532</v>
      </c>
    </row>
    <row r="35">
      <c r="A35">
        <f>A34+1</f>
        <v>24</v>
      </c>
      <c r="B35" t="str">
        <v>PC.2</v>
      </c>
      <c r="C35">
        <v>1</v>
      </c>
      <c r="E35">
        <f>D35-(G35+'Data-PC'!$D$5)/1000</f>
        <v>-0.65</v>
      </c>
      <c r="F35">
        <f>VLOOKUP(B35,'Data-PC'!$B$13:$AP$56,15,FALSE)</f>
        <v>2.47</v>
      </c>
      <c r="G35">
        <f>VLOOKUP(B35,'Data-PC'!$B$13:$G$56,4,FALSE)</f>
        <v>600</v>
      </c>
      <c r="H35">
        <f>C35*VLOOKUP(B35,'Data-PC'!$B$13:$BC$56,18,FALSE)</f>
        <v>2</v>
      </c>
      <c r="I35">
        <f>C35*VLOOKUP(B35,'Data-PC'!$B$13:$BC$56,51,FALSE)</f>
        <v>0</v>
      </c>
      <c r="J35">
        <f>F35*C35*'Data-PC'!$D$5/1000</f>
        <v>0.12350000000000001</v>
      </c>
      <c r="K35">
        <f>F35*('Data-PC'!$D$4/1000)*C35</f>
        <v>0</v>
      </c>
      <c r="L35">
        <f>C35*F35*($T$3-E35)</f>
        <v>1.6055000000000001</v>
      </c>
      <c r="M35">
        <f>L35-(T35+J35)</f>
        <v>1.1520000000000001</v>
      </c>
      <c r="S35">
        <f>L35-M35</f>
        <v>0.4535</v>
      </c>
      <c r="T35">
        <f>C35*VLOOKUP(B35,'Data-PC'!$B$13:$AP$56,16,FALSE)*(1+'Data-PC'!$T$3/100)</f>
        <v>0.33</v>
      </c>
      <c r="U35">
        <f>C35*VLOOKUP(B35,'Data-PC'!$B$13:$AP$56,17,FALSE)*(1+'Data-PC'!$T$5/100)</f>
        <v>1.92</v>
      </c>
      <c r="V35">
        <f>VLOOKUP($B35,'Data-PC'!$B$13:$AP$79,19,FALSE)</f>
        <v>2</v>
      </c>
      <c r="W35">
        <f>VLOOKUP($B35,'Data-PC'!$B$13:$AP$79,20,FALSE)</f>
        <v>13</v>
      </c>
      <c r="X35">
        <f>VLOOKUP($B35,'Data-PC'!$B$13:$AP$79,21,FALSE)*C35</f>
        <v>6.4930273199999995</v>
      </c>
      <c r="Y35">
        <f>VLOOKUP($B35,'Data-PC'!$B$13:$AP$79,22,FALSE)</f>
        <v>13</v>
      </c>
      <c r="Z35">
        <f>VLOOKUP($B35,'Data-PC'!$B$13:$AP$79,23,FALSE)</f>
        <v>125</v>
      </c>
      <c r="AA35">
        <f>VLOOKUP($B35,'Data-PC'!$B$13:$AP$79,24,FALSE)</f>
        <v>4</v>
      </c>
      <c r="AB35">
        <f>VLOOKUP($B35,'Data-PC'!$B$13:$AP$79,25,FALSE)</f>
        <v>6.32</v>
      </c>
      <c r="AC35">
        <f>VLOOKUP($B35,'Data-PC'!$B$13:$AP$79,26,FALSE)*C35</f>
        <v>6.5847132</v>
      </c>
      <c r="AD35">
        <f>VLOOKUP($B35,'Data-PC'!$B$13:$AP$79,27,FALSE)</f>
        <v>13</v>
      </c>
      <c r="AE35">
        <f>VLOOKUP($B35,'Data-PC'!$B$13:$AP$79,28,FALSE)</f>
        <v>137.5</v>
      </c>
      <c r="AF35">
        <f>VLOOKUP($B35,'Data-PC'!$B$13:$AP$79,29,FALSE)</f>
        <v>8</v>
      </c>
      <c r="AG35">
        <f>VLOOKUP($B35,'Data-PC'!$B$13:$AP$79,30,FALSE)</f>
        <v>7.84</v>
      </c>
      <c r="AH35">
        <f>VLOOKUP($B35,'Data-PC'!$B$13:$AP$79,31,FALSE)*C35</f>
        <v>8.1683784</v>
      </c>
      <c r="AI35">
        <f>VLOOKUP($B35,'Data-PC'!$B$13:$AP$79,32,FALSE)</f>
        <v>13</v>
      </c>
      <c r="AJ35">
        <f>VLOOKUP($B35,'Data-PC'!$B$13:$AP$79,33,FALSE)</f>
        <v>125</v>
      </c>
      <c r="AK35">
        <f>VLOOKUP($B35,'Data-PC'!$B$13:$AP$79,34,FALSE)</f>
        <v>4</v>
      </c>
      <c r="AL35">
        <f>VLOOKUP($B35,'Data-PC'!$B$13:$AP$79,35,FALSE)</f>
        <v>8.48</v>
      </c>
      <c r="AM35">
        <f>VLOOKUP($B35,'Data-PC'!$B$13:$AP$79,36,FALSE)*C35</f>
        <v>8.8351848</v>
      </c>
      <c r="AN35">
        <f>VLOOKUP($B35,'Data-PC'!$B$13:$AP$79,37,FALSE)</f>
        <v>16</v>
      </c>
      <c r="AO35">
        <f>VLOOKUP($B35,'Data-PC'!$B$13:$AP$79,38,FALSE)</f>
        <v>137.5</v>
      </c>
      <c r="AP35">
        <f>VLOOKUP($B35,'Data-PC'!$B$13:$AP$79,39,FALSE)</f>
        <v>8</v>
      </c>
      <c r="AQ35">
        <f>VLOOKUP($B35,'Data-PC'!$B$13:$AP$79,40,FALSE)</f>
        <v>12.16</v>
      </c>
      <c r="AR35">
        <f>VLOOKUP($B35,'Data-PC'!$B$13:$AP$79,41,FALSE)*C35</f>
        <v>19.1913984</v>
      </c>
      <c r="AS35">
        <f>VLOOKUP($B35,'Data-PC'!$B$13:$AX$79,42,FALSE)</f>
        <v>0</v>
      </c>
      <c r="AT35">
        <f>VLOOKUP($B35,'Data-PC'!$B$13:$AX$79,43,FALSE)</f>
        <v>0</v>
      </c>
      <c r="AU35">
        <f>VLOOKUP($B35,'Data-PC'!$B$13:$AX$79,44,FALSE)</f>
        <v>1380</v>
      </c>
      <c r="AV35">
        <f>VLOOKUP($B35,'Data-PC'!$B$13:$AX$79,45,FALSE)*C35</f>
        <v>0</v>
      </c>
      <c r="AW35">
        <f>VLOOKUP($B35,'Data-PC'!$B$13:$AX$79,46,FALSE)</f>
        <v>0</v>
      </c>
      <c r="AX35">
        <f>VLOOKUP($B35,'Data-PC'!$B$13:$AX$79,47,FALSE)</f>
        <v>0</v>
      </c>
      <c r="AY35" t="e">
        <f>VLOOKUP($B35,'Data-PC'!$B$19:$AX$79,48,FALSE)</f>
        <v>#N/A</v>
      </c>
      <c r="AZ35">
        <f>VLOOKUP($B35,'Data-PC'!$B$13:$AX$79,49,FALSE)*C35</f>
        <v>0</v>
      </c>
      <c r="BA35">
        <f>SUM(X35,AC35,AH35,AM35,AR35,AV35,AZ35)</f>
        <v>49.272702120000005</v>
      </c>
    </row>
    <row r="36">
      <c r="A36">
        <f>A35+1</f>
        <v>25</v>
      </c>
      <c r="B36" t="str">
        <v>PC.9</v>
      </c>
      <c r="C36">
        <v>1</v>
      </c>
      <c r="E36">
        <f>D36-(G36+'Data-PC'!$D$5)/1000</f>
        <v>-0.8</v>
      </c>
      <c r="F36">
        <f>VLOOKUP(B36,'Data-PC'!$B$13:$AP$56,15,FALSE)</f>
        <v>11.56</v>
      </c>
      <c r="G36">
        <f>VLOOKUP(B36,'Data-PC'!$B$13:$G$56,4,FALSE)</f>
        <v>750</v>
      </c>
      <c r="H36">
        <f>C36*VLOOKUP(B36,'Data-PC'!$B$13:$BC$56,18,FALSE)</f>
        <v>9</v>
      </c>
      <c r="I36">
        <f>C36*VLOOKUP(B36,'Data-PC'!$B$13:$BC$56,51,FALSE)</f>
        <v>0</v>
      </c>
      <c r="J36">
        <f>F36*C36*'Data-PC'!$D$5/1000</f>
        <v>0.578</v>
      </c>
      <c r="K36">
        <f>F36*('Data-PC'!$D$4/1000)*C36</f>
        <v>0</v>
      </c>
      <c r="L36">
        <f>C36*F36*($T$3-E36)</f>
        <v>9.248000000000001</v>
      </c>
      <c r="M36">
        <f>L36-(T36+J36)</f>
        <v>3.6000000000000005</v>
      </c>
      <c r="S36">
        <f>L36-M36</f>
        <v>5.648000000000001</v>
      </c>
      <c r="T36">
        <f>C36*VLOOKUP(B36,'Data-PC'!$B$13:$AP$56,16,FALSE)*(1+'Data-PC'!$T$3/100)</f>
        <v>5.07</v>
      </c>
      <c r="U36">
        <f>C36*VLOOKUP(B36,'Data-PC'!$B$13:$AP$56,17,FALSE)*(1+'Data-PC'!$T$5/100)</f>
        <v>7.8</v>
      </c>
      <c r="V36">
        <f>VLOOKUP($B36,'Data-PC'!$B$13:$AP$79,19,FALSE)</f>
        <v>3</v>
      </c>
      <c r="W36">
        <f>VLOOKUP($B36,'Data-PC'!$B$13:$AP$79,20,FALSE)</f>
        <v>13</v>
      </c>
      <c r="X36">
        <f>VLOOKUP($B36,'Data-PC'!$B$13:$AP$79,21,FALSE)*C36</f>
        <v>32.24425698</v>
      </c>
      <c r="Y36">
        <f>VLOOKUP($B36,'Data-PC'!$B$13:$AP$79,22,FALSE)</f>
        <v>16</v>
      </c>
      <c r="Z36">
        <f>VLOOKUP($B36,'Data-PC'!$B$13:$AP$79,23,FALSE)</f>
        <v>144.44444444444446</v>
      </c>
      <c r="AA36">
        <f>VLOOKUP($B36,'Data-PC'!$B$13:$AP$79,24,FALSE)</f>
        <v>18</v>
      </c>
      <c r="AB36">
        <f>VLOOKUP($B36,'Data-PC'!$B$13:$AP$79,25,FALSE)</f>
        <v>58.14</v>
      </c>
      <c r="AC36">
        <f>VLOOKUP($B36,'Data-PC'!$B$13:$AP$79,26,FALSE)*C36</f>
        <v>91.7588736</v>
      </c>
      <c r="AD36">
        <f>VLOOKUP($B36,'Data-PC'!$B$13:$AP$79,27,FALSE)</f>
        <v>16</v>
      </c>
      <c r="AE36">
        <f>VLOOKUP($B36,'Data-PC'!$B$13:$AP$79,28,FALSE)</f>
        <v>144.44444444444446</v>
      </c>
      <c r="AF36">
        <f>VLOOKUP($B36,'Data-PC'!$B$13:$AP$79,29,FALSE)</f>
        <v>18</v>
      </c>
      <c r="AG36">
        <f>VLOOKUP($B36,'Data-PC'!$B$13:$AP$79,30,FALSE)</f>
        <v>58.14</v>
      </c>
      <c r="AH36">
        <f>VLOOKUP($B36,'Data-PC'!$B$13:$AP$79,31,FALSE)*C36</f>
        <v>91.7588736</v>
      </c>
      <c r="AI36">
        <f>VLOOKUP($B36,'Data-PC'!$B$13:$AP$79,32,FALSE)</f>
        <v>16</v>
      </c>
      <c r="AJ36">
        <f>VLOOKUP($B36,'Data-PC'!$B$13:$AP$79,33,FALSE)</f>
        <v>144.44444444444446</v>
      </c>
      <c r="AK36">
        <f>VLOOKUP($B36,'Data-PC'!$B$13:$AP$79,34,FALSE)</f>
        <v>18</v>
      </c>
      <c r="AL36">
        <f>VLOOKUP($B36,'Data-PC'!$B$13:$AP$79,35,FALSE)</f>
        <v>70.56</v>
      </c>
      <c r="AM36">
        <f>VLOOKUP($B36,'Data-PC'!$B$13:$AP$79,36,FALSE)*C36</f>
        <v>111.3606144</v>
      </c>
      <c r="AN36">
        <f>VLOOKUP($B36,'Data-PC'!$B$13:$AP$79,37,FALSE)</f>
        <v>16</v>
      </c>
      <c r="AO36">
        <f>VLOOKUP($B36,'Data-PC'!$B$13:$AP$79,38,FALSE)</f>
        <v>144.44444444444446</v>
      </c>
      <c r="AP36">
        <f>VLOOKUP($B36,'Data-PC'!$B$13:$AP$79,39,FALSE)</f>
        <v>18</v>
      </c>
      <c r="AQ36">
        <f>VLOOKUP($B36,'Data-PC'!$B$13:$AP$79,40,FALSE)</f>
        <v>70.56</v>
      </c>
      <c r="AR36">
        <f>VLOOKUP($B36,'Data-PC'!$B$13:$AP$79,41,FALSE)*C36</f>
        <v>111.3606144</v>
      </c>
      <c r="AS36">
        <f>VLOOKUP($B36,'Data-PC'!$B$13:$AX$79,42,FALSE)</f>
        <v>0</v>
      </c>
      <c r="AT36">
        <f>VLOOKUP($B36,'Data-PC'!$B$13:$AX$79,43,FALSE)</f>
        <v>0</v>
      </c>
      <c r="AU36">
        <f>VLOOKUP($B36,'Data-PC'!$B$13:$AX$79,44,FALSE)</f>
        <v>1680</v>
      </c>
      <c r="AV36">
        <f>VLOOKUP($B36,'Data-PC'!$B$13:$AX$79,45,FALSE)*C36</f>
        <v>0</v>
      </c>
      <c r="AW36">
        <f>VLOOKUP($B36,'Data-PC'!$B$13:$AX$79,46,FALSE)</f>
        <v>0</v>
      </c>
      <c r="AX36">
        <f>VLOOKUP($B36,'Data-PC'!$B$13:$AX$79,47,FALSE)</f>
        <v>0</v>
      </c>
      <c r="AY36">
        <f>VLOOKUP($B36,'Data-PC'!$B$19:$AX$79,48,FALSE)</f>
        <v>0</v>
      </c>
      <c r="AZ36">
        <f>VLOOKUP($B36,'Data-PC'!$B$13:$AX$79,49,FALSE)*C36</f>
        <v>0</v>
      </c>
      <c r="BA36">
        <f>SUM(X36,AC36,AH36,AM36,AR36,AV36,AZ36)</f>
        <v>438.48323298</v>
      </c>
    </row>
    <row r="37">
      <c r="A37">
        <f>A36+1</f>
        <v>26</v>
      </c>
      <c r="B37" t="str">
        <v>PC.5</v>
      </c>
      <c r="C37">
        <v>1</v>
      </c>
      <c r="E37">
        <f>D37-(G37+'Data-PC'!$D$5)/1000</f>
        <v>-0.75</v>
      </c>
      <c r="F37">
        <f>VLOOKUP(B37,'Data-PC'!$B$13:$AP$56,15,FALSE)</f>
        <v>4.6225</v>
      </c>
      <c r="G37">
        <f>VLOOKUP(B37,'Data-PC'!$B$13:$G$56,4,FALSE)</f>
        <v>700</v>
      </c>
      <c r="H37">
        <f>C37*VLOOKUP(B37,'Data-PC'!$B$13:$BC$56,18,FALSE)</f>
        <v>5</v>
      </c>
      <c r="I37">
        <f>C37*VLOOKUP(B37,'Data-PC'!$B$13:$BC$56,51,FALSE)</f>
        <v>0</v>
      </c>
      <c r="J37">
        <f>F37*C37*'Data-PC'!$D$5/1000</f>
        <v>0.23112499999999997</v>
      </c>
      <c r="K37">
        <f>F37*('Data-PC'!$D$4/1000)*C37</f>
        <v>0</v>
      </c>
      <c r="L37">
        <f>C37*F37*($T$3-E37)</f>
        <v>3.466875</v>
      </c>
      <c r="M37">
        <f>L37-(T37+J37)</f>
        <v>1.96</v>
      </c>
      <c r="S37">
        <f>L37-M37</f>
        <v>1.506875</v>
      </c>
      <c r="T37">
        <f>C37*VLOOKUP(B37,'Data-PC'!$B$13:$AP$56,16,FALSE)*(1+'Data-PC'!$T$3/100)</f>
        <v>1.27575</v>
      </c>
      <c r="U37">
        <f>C37*VLOOKUP(B37,'Data-PC'!$B$13:$AP$56,17,FALSE)*(1+'Data-PC'!$T$5/100)</f>
        <v>3.7800000000000002</v>
      </c>
      <c r="V37">
        <f>VLOOKUP($B37,'Data-PC'!$B$13:$AP$79,19,FALSE)</f>
        <v>3</v>
      </c>
      <c r="W37">
        <f>VLOOKUP($B37,'Data-PC'!$B$13:$AP$79,20,FALSE)</f>
        <v>13</v>
      </c>
      <c r="X37">
        <f>VLOOKUP($B37,'Data-PC'!$B$13:$AP$79,21,FALSE)*C37</f>
        <v>16.61598198</v>
      </c>
      <c r="Y37">
        <f>VLOOKUP($B37,'Data-PC'!$B$13:$AP$79,22,FALSE)</f>
        <v>13</v>
      </c>
      <c r="Z37">
        <f>VLOOKUP($B37,'Data-PC'!$B$13:$AP$79,23,FALSE)</f>
        <v>150</v>
      </c>
      <c r="AA37">
        <f>VLOOKUP($B37,'Data-PC'!$B$13:$AP$79,24,FALSE)</f>
        <v>9</v>
      </c>
      <c r="AB37">
        <f>VLOOKUP($B37,'Data-PC'!$B$13:$AP$79,25,FALSE)</f>
        <v>17.37</v>
      </c>
      <c r="AC37">
        <f>VLOOKUP($B37,'Data-PC'!$B$13:$AP$79,26,FALSE)*C37</f>
        <v>18.09754245</v>
      </c>
      <c r="AD37">
        <f>VLOOKUP($B37,'Data-PC'!$B$13:$AP$79,27,FALSE)</f>
        <v>13</v>
      </c>
      <c r="AE37">
        <f>VLOOKUP($B37,'Data-PC'!$B$13:$AP$79,28,FALSE)</f>
        <v>150</v>
      </c>
      <c r="AF37">
        <f>VLOOKUP($B37,'Data-PC'!$B$13:$AP$79,29,FALSE)</f>
        <v>9</v>
      </c>
      <c r="AG37">
        <f>VLOOKUP($B37,'Data-PC'!$B$13:$AP$79,30,FALSE)</f>
        <v>17.37</v>
      </c>
      <c r="AH37">
        <f>VLOOKUP($B37,'Data-PC'!$B$13:$AP$79,31,FALSE)*C37</f>
        <v>18.09754245</v>
      </c>
      <c r="AI37">
        <f>VLOOKUP($B37,'Data-PC'!$B$13:$AP$79,32,FALSE)</f>
        <v>16</v>
      </c>
      <c r="AJ37">
        <f>VLOOKUP($B37,'Data-PC'!$B$13:$AP$79,33,FALSE)</f>
        <v>150</v>
      </c>
      <c r="AK37">
        <f>VLOOKUP($B37,'Data-PC'!$B$13:$AP$79,34,FALSE)</f>
        <v>9</v>
      </c>
      <c r="AL37">
        <f>VLOOKUP($B37,'Data-PC'!$B$13:$AP$79,35,FALSE)</f>
        <v>23.13</v>
      </c>
      <c r="AM37">
        <f>VLOOKUP($B37,'Data-PC'!$B$13:$AP$79,36,FALSE)*C37</f>
        <v>36.5046912</v>
      </c>
      <c r="AN37">
        <f>VLOOKUP($B37,'Data-PC'!$B$13:$AP$79,37,FALSE)</f>
        <v>16</v>
      </c>
      <c r="AO37">
        <f>VLOOKUP($B37,'Data-PC'!$B$13:$AP$79,38,FALSE)</f>
        <v>150</v>
      </c>
      <c r="AP37">
        <f>VLOOKUP($B37,'Data-PC'!$B$13:$AP$79,39,FALSE)</f>
        <v>9</v>
      </c>
      <c r="AQ37">
        <f>VLOOKUP($B37,'Data-PC'!$B$13:$AP$79,40,FALSE)</f>
        <v>23.13</v>
      </c>
      <c r="AR37">
        <f>VLOOKUP($B37,'Data-PC'!$B$13:$AP$79,41,FALSE)*C37</f>
        <v>36.5046912</v>
      </c>
      <c r="AS37">
        <f>VLOOKUP($B37,'Data-PC'!$B$13:$AX$79,42,FALSE)</f>
        <v>0</v>
      </c>
      <c r="AT37">
        <f>VLOOKUP($B37,'Data-PC'!$B$13:$AX$79,43,FALSE)</f>
        <v>0</v>
      </c>
      <c r="AU37">
        <f>VLOOKUP($B37,'Data-PC'!$B$13:$AX$79,44,FALSE)</f>
        <v>1580</v>
      </c>
      <c r="AV37">
        <f>VLOOKUP($B37,'Data-PC'!$B$13:$AX$79,45,FALSE)*C37</f>
        <v>0</v>
      </c>
      <c r="AW37">
        <f>VLOOKUP($B37,'Data-PC'!$B$13:$AX$79,46,FALSE)</f>
        <v>0</v>
      </c>
      <c r="AX37">
        <f>VLOOKUP($B37,'Data-PC'!$B$13:$AX$79,47,FALSE)</f>
        <v>0</v>
      </c>
      <c r="AY37">
        <f>VLOOKUP($B37,'Data-PC'!$B$19:$AX$79,48,FALSE)</f>
        <v>0</v>
      </c>
      <c r="AZ37">
        <f>VLOOKUP($B37,'Data-PC'!$B$13:$AX$79,49,FALSE)*C37</f>
        <v>0</v>
      </c>
      <c r="BA37">
        <f>SUM(X37,AC37,AH37,AM37,AR37,AV37,AZ37)</f>
        <v>125.82044927999999</v>
      </c>
    </row>
    <row r="38">
      <c r="A38">
        <f>A37+1</f>
        <v>27</v>
      </c>
      <c r="B38" t="str">
        <v>PC.3</v>
      </c>
      <c r="C38">
        <v>1</v>
      </c>
      <c r="E38">
        <f>D38-(G38+'Data-PC'!$D$5)/1000</f>
        <v>-0.65</v>
      </c>
      <c r="F38">
        <f>VLOOKUP(B38,'Data-PC'!$B$13:$AP$56,15,FALSE)</f>
        <v>3.173988</v>
      </c>
      <c r="G38">
        <f>VLOOKUP(B38,'Data-PC'!$B$13:$G$56,4,FALSE)</f>
        <v>600</v>
      </c>
      <c r="H38">
        <f>C38*VLOOKUP(B38,'Data-PC'!$B$13:$BC$56,18,FALSE)</f>
        <v>3</v>
      </c>
      <c r="I38">
        <f>C38*VLOOKUP(B38,'Data-PC'!$B$13:$BC$56,51,FALSE)</f>
        <v>0</v>
      </c>
      <c r="J38">
        <f>F38*C38*'Data-PC'!$D$5/1000</f>
        <v>0.1586994</v>
      </c>
      <c r="K38">
        <f>F38*('Data-PC'!$D$4/1000)*C38</f>
        <v>0</v>
      </c>
      <c r="L38">
        <f>C38*F38*($T$3-E38)</f>
        <v>2.0630922000000003</v>
      </c>
      <c r="M38">
        <f>L38-(T38+J38)</f>
        <v>1.4016000000000002</v>
      </c>
      <c r="S38">
        <f>L38-M38</f>
        <v>0.6614922000000001</v>
      </c>
      <c r="T38">
        <f>C38*VLOOKUP(B38,'Data-PC'!$B$13:$AP$56,16,FALSE)*(1+'Data-PC'!$T$3/100)</f>
        <v>0.5027928</v>
      </c>
      <c r="U38">
        <f>C38*VLOOKUP(B38,'Data-PC'!$B$13:$AP$56,17,FALSE)*(1+'Data-PC'!$T$5/100)</f>
        <v>2.188580986453487</v>
      </c>
      <c r="V38">
        <f>VLOOKUP($B38,'Data-PC'!$B$13:$AP$79,19,FALSE)</f>
        <v>2</v>
      </c>
      <c r="W38">
        <f>VLOOKUP($B38,'Data-PC'!$B$13:$AP$79,20,FALSE)</f>
        <v>13</v>
      </c>
      <c r="X38">
        <f>VLOOKUP($B38,'Data-PC'!$B$13:$AP$79,21,FALSE)*C38</f>
        <v>7.175743256903637</v>
      </c>
      <c r="Y38">
        <f>VLOOKUP($B38,'Data-PC'!$B$13:$AP$79,22,FALSE)</f>
        <v>13</v>
      </c>
      <c r="Z38">
        <f>VLOOKUP($B38,'Data-PC'!$B$13:$AP$79,23,FALSE)</f>
        <v>150</v>
      </c>
      <c r="AA38">
        <f>VLOOKUP($B38,'Data-PC'!$B$13:$AP$79,24,FALSE)</f>
        <v>8</v>
      </c>
      <c r="AB38">
        <f>VLOOKUP($B38,'Data-PC'!$B$13:$AP$79,25,FALSE)</f>
        <v>15.036</v>
      </c>
      <c r="AC38">
        <f>VLOOKUP($B38,'Data-PC'!$B$13:$AP$79,26,FALSE)*C38</f>
        <v>15.665782859999998</v>
      </c>
      <c r="AD38">
        <f>VLOOKUP($B38,'Data-PC'!$B$13:$AP$79,27,FALSE)</f>
        <v>13</v>
      </c>
      <c r="AE38">
        <f>VLOOKUP($B38,'Data-PC'!$B$13:$AP$79,28,FALSE)</f>
        <v>150</v>
      </c>
      <c r="AF38">
        <f>VLOOKUP($B38,'Data-PC'!$B$13:$AP$79,29,FALSE)</f>
        <v>8</v>
      </c>
      <c r="AG38">
        <f>VLOOKUP($B38,'Data-PC'!$B$13:$AP$79,30,FALSE)</f>
        <v>9.891</v>
      </c>
      <c r="AH38">
        <f>VLOOKUP($B38,'Data-PC'!$B$13:$AP$79,31,FALSE)*C38</f>
        <v>10.305284535</v>
      </c>
      <c r="AI38">
        <f>VLOOKUP($B38,'Data-PC'!$B$13:$AP$79,32,FALSE)</f>
        <v>16</v>
      </c>
      <c r="AJ38">
        <f>VLOOKUP($B38,'Data-PC'!$B$13:$AP$79,33,FALSE)</f>
        <v>150</v>
      </c>
      <c r="AK38">
        <f>VLOOKUP($B38,'Data-PC'!$B$13:$AP$79,34,FALSE)</f>
        <v>8</v>
      </c>
      <c r="AL38">
        <f>VLOOKUP($B38,'Data-PC'!$B$13:$AP$79,35,FALSE)</f>
        <v>16.656</v>
      </c>
      <c r="AM38">
        <f>VLOOKUP($B38,'Data-PC'!$B$13:$AP$79,36,FALSE)*C38</f>
        <v>26.28716544</v>
      </c>
      <c r="AN38">
        <f>VLOOKUP($B38,'Data-PC'!$B$13:$AP$79,37,FALSE)</f>
        <v>16</v>
      </c>
      <c r="AO38">
        <f>VLOOKUP($B38,'Data-PC'!$B$13:$AP$79,38,FALSE)</f>
        <v>150</v>
      </c>
      <c r="AP38">
        <f>VLOOKUP($B38,'Data-PC'!$B$13:$AP$79,39,FALSE)</f>
        <v>8</v>
      </c>
      <c r="AQ38">
        <f>VLOOKUP($B38,'Data-PC'!$B$13:$AP$79,40,FALSE)</f>
        <v>14.211</v>
      </c>
      <c r="AR38">
        <f>VLOOKUP($B38,'Data-PC'!$B$13:$AP$79,41,FALSE)*C38</f>
        <v>22.428368640000002</v>
      </c>
      <c r="AS38">
        <f>VLOOKUP($B38,'Data-PC'!$B$13:$AX$79,42,FALSE)</f>
        <v>0</v>
      </c>
      <c r="AT38">
        <f>VLOOKUP($B38,'Data-PC'!$B$13:$AX$79,43,FALSE)</f>
        <v>0</v>
      </c>
      <c r="AU38">
        <f>VLOOKUP($B38,'Data-PC'!$B$13:$AX$79,44,FALSE)</f>
        <v>1380</v>
      </c>
      <c r="AV38">
        <f>VLOOKUP($B38,'Data-PC'!$B$13:$AX$79,45,FALSE)*C38</f>
        <v>0</v>
      </c>
      <c r="AW38">
        <f>VLOOKUP($B38,'Data-PC'!$B$13:$AX$79,46,FALSE)</f>
        <v>0</v>
      </c>
      <c r="AX38">
        <f>VLOOKUP($B38,'Data-PC'!$B$13:$AX$79,47,FALSE)</f>
        <v>0</v>
      </c>
      <c r="AY38">
        <f>VLOOKUP($B38,'Data-PC'!$B$19:$AX$79,48,FALSE)</f>
        <v>0</v>
      </c>
      <c r="AZ38">
        <f>VLOOKUP($B38,'Data-PC'!$B$13:$AX$79,49,FALSE)*C38</f>
        <v>0</v>
      </c>
      <c r="BA38">
        <f>SUM(X38,AC38,AH38,AM38,AR38,AV38,AZ38)</f>
        <v>81.86234473190363</v>
      </c>
    </row>
    <row r="39">
      <c r="A39">
        <f>A38+1</f>
        <v>28</v>
      </c>
      <c r="B39" t="str">
        <v>PC.3</v>
      </c>
      <c r="C39">
        <v>1</v>
      </c>
      <c r="E39">
        <f>D39-(G39+'Data-PC'!$D$5)/1000</f>
        <v>-0.65</v>
      </c>
      <c r="F39">
        <f>VLOOKUP(B39,'Data-PC'!$B$13:$AP$56,15,FALSE)</f>
        <v>3.173988</v>
      </c>
      <c r="G39">
        <f>VLOOKUP(B39,'Data-PC'!$B$13:$G$56,4,FALSE)</f>
        <v>600</v>
      </c>
      <c r="H39">
        <f>C39*VLOOKUP(B39,'Data-PC'!$B$13:$BC$56,18,FALSE)</f>
        <v>3</v>
      </c>
      <c r="I39">
        <f>C39*VLOOKUP(B39,'Data-PC'!$B$13:$BC$56,51,FALSE)</f>
        <v>0</v>
      </c>
      <c r="J39">
        <f>F39*C39*'Data-PC'!$D$5/1000</f>
        <v>0.1586994</v>
      </c>
      <c r="K39">
        <f>F39*('Data-PC'!$D$4/1000)*C39</f>
        <v>0</v>
      </c>
      <c r="L39">
        <f>C39*F39*($T$3-E39)</f>
        <v>2.0630922000000003</v>
      </c>
      <c r="M39">
        <f>L39-(T39+J39)</f>
        <v>1.4016000000000002</v>
      </c>
      <c r="S39">
        <f>L39-M39</f>
        <v>0.6614922000000001</v>
      </c>
      <c r="T39">
        <f>C39*VLOOKUP(B39,'Data-PC'!$B$13:$AP$56,16,FALSE)*(1+'Data-PC'!$T$3/100)</f>
        <v>0.5027928</v>
      </c>
      <c r="U39">
        <f>C39*VLOOKUP(B39,'Data-PC'!$B$13:$AP$56,17,FALSE)*(1+'Data-PC'!$T$5/100)</f>
        <v>2.188580986453487</v>
      </c>
      <c r="V39">
        <f>VLOOKUP($B39,'Data-PC'!$B$13:$AP$79,19,FALSE)</f>
        <v>2</v>
      </c>
      <c r="W39">
        <f>VLOOKUP($B39,'Data-PC'!$B$13:$AP$79,20,FALSE)</f>
        <v>13</v>
      </c>
      <c r="X39">
        <f>VLOOKUP($B39,'Data-PC'!$B$13:$AP$79,21,FALSE)*C39</f>
        <v>7.175743256903637</v>
      </c>
      <c r="Y39">
        <f>VLOOKUP($B39,'Data-PC'!$B$13:$AP$79,22,FALSE)</f>
        <v>13</v>
      </c>
      <c r="Z39">
        <f>VLOOKUP($B39,'Data-PC'!$B$13:$AP$79,23,FALSE)</f>
        <v>150</v>
      </c>
      <c r="AA39">
        <f>VLOOKUP($B39,'Data-PC'!$B$13:$AP$79,24,FALSE)</f>
        <v>8</v>
      </c>
      <c r="AB39">
        <f>VLOOKUP($B39,'Data-PC'!$B$13:$AP$79,25,FALSE)</f>
        <v>15.036</v>
      </c>
      <c r="AC39">
        <f>VLOOKUP($B39,'Data-PC'!$B$13:$AP$79,26,FALSE)*C39</f>
        <v>15.665782859999998</v>
      </c>
      <c r="AD39">
        <f>VLOOKUP($B39,'Data-PC'!$B$13:$AP$79,27,FALSE)</f>
        <v>13</v>
      </c>
      <c r="AE39">
        <f>VLOOKUP($B39,'Data-PC'!$B$13:$AP$79,28,FALSE)</f>
        <v>150</v>
      </c>
      <c r="AF39">
        <f>VLOOKUP($B39,'Data-PC'!$B$13:$AP$79,29,FALSE)</f>
        <v>8</v>
      </c>
      <c r="AG39">
        <f>VLOOKUP($B39,'Data-PC'!$B$13:$AP$79,30,FALSE)</f>
        <v>9.891</v>
      </c>
      <c r="AH39">
        <f>VLOOKUP($B39,'Data-PC'!$B$13:$AP$79,31,FALSE)*C39</f>
        <v>10.305284535</v>
      </c>
      <c r="AI39">
        <f>VLOOKUP($B39,'Data-PC'!$B$13:$AP$79,32,FALSE)</f>
        <v>16</v>
      </c>
      <c r="AJ39">
        <f>VLOOKUP($B39,'Data-PC'!$B$13:$AP$79,33,FALSE)</f>
        <v>150</v>
      </c>
      <c r="AK39">
        <f>VLOOKUP($B39,'Data-PC'!$B$13:$AP$79,34,FALSE)</f>
        <v>8</v>
      </c>
      <c r="AL39">
        <f>VLOOKUP($B39,'Data-PC'!$B$13:$AP$79,35,FALSE)</f>
        <v>16.656</v>
      </c>
      <c r="AM39">
        <f>VLOOKUP($B39,'Data-PC'!$B$13:$AP$79,36,FALSE)*C39</f>
        <v>26.28716544</v>
      </c>
      <c r="AN39">
        <f>VLOOKUP($B39,'Data-PC'!$B$13:$AP$79,37,FALSE)</f>
        <v>16</v>
      </c>
      <c r="AO39">
        <f>VLOOKUP($B39,'Data-PC'!$B$13:$AP$79,38,FALSE)</f>
        <v>150</v>
      </c>
      <c r="AP39">
        <f>VLOOKUP($B39,'Data-PC'!$B$13:$AP$79,39,FALSE)</f>
        <v>8</v>
      </c>
      <c r="AQ39">
        <f>VLOOKUP($B39,'Data-PC'!$B$13:$AP$79,40,FALSE)</f>
        <v>14.211</v>
      </c>
      <c r="AR39">
        <f>VLOOKUP($B39,'Data-PC'!$B$13:$AP$79,41,FALSE)*C39</f>
        <v>22.428368640000002</v>
      </c>
      <c r="AS39">
        <f>VLOOKUP($B39,'Data-PC'!$B$13:$AX$79,42,FALSE)</f>
        <v>0</v>
      </c>
      <c r="AT39">
        <f>VLOOKUP($B39,'Data-PC'!$B$13:$AX$79,43,FALSE)</f>
        <v>0</v>
      </c>
      <c r="AU39">
        <f>VLOOKUP($B39,'Data-PC'!$B$13:$AX$79,44,FALSE)</f>
        <v>1380</v>
      </c>
      <c r="AV39">
        <f>VLOOKUP($B39,'Data-PC'!$B$13:$AX$79,45,FALSE)*C39</f>
        <v>0</v>
      </c>
      <c r="AW39">
        <f>VLOOKUP($B39,'Data-PC'!$B$13:$AX$79,46,FALSE)</f>
        <v>0</v>
      </c>
      <c r="AX39">
        <f>VLOOKUP($B39,'Data-PC'!$B$13:$AX$79,47,FALSE)</f>
        <v>0</v>
      </c>
      <c r="AY39">
        <f>VLOOKUP($B39,'Data-PC'!$B$19:$AX$79,48,FALSE)</f>
        <v>0</v>
      </c>
      <c r="AZ39">
        <f>VLOOKUP($B39,'Data-PC'!$B$13:$AX$79,49,FALSE)*C39</f>
        <v>0</v>
      </c>
      <c r="BA39">
        <f>SUM(X39,AC39,AH39,AM39,AR39,AV39,AZ39)</f>
        <v>81.86234473190363</v>
      </c>
    </row>
    <row r="40">
      <c r="A40">
        <f>A39+1</f>
        <v>29</v>
      </c>
      <c r="B40" t="str">
        <v>PC.1</v>
      </c>
      <c r="C40">
        <v>1</v>
      </c>
      <c r="E40">
        <f>D40-(G40+'Data-PC'!$D$5)/1000</f>
        <v>-0.55</v>
      </c>
      <c r="F40">
        <f>VLOOKUP(B40,'Data-PC'!$B$13:$AP$56,15,FALSE)</f>
        <v>1.69</v>
      </c>
      <c r="G40">
        <f>VLOOKUP(B40,'Data-PC'!$B$13:$G$56,4,FALSE)</f>
        <v>500</v>
      </c>
      <c r="H40">
        <f>C40*VLOOKUP(B40,'Data-PC'!$B$13:$BC$56,18,FALSE)</f>
        <v>1</v>
      </c>
      <c r="I40">
        <f>C40*VLOOKUP(B40,'Data-PC'!$B$13:$BC$56,51,FALSE)</f>
        <v>0</v>
      </c>
      <c r="J40">
        <f>F40*C40*'Data-PC'!$D$5/1000</f>
        <v>0.0845</v>
      </c>
      <c r="K40">
        <f>F40*('Data-PC'!$D$4/1000)*C40</f>
        <v>0</v>
      </c>
      <c r="L40">
        <f>C40*F40*($T$3-E40)</f>
        <v>0.9295</v>
      </c>
      <c r="M40">
        <f>L40-(T40+J40)</f>
        <v>0.72</v>
      </c>
      <c r="S40">
        <f>L40-M40</f>
        <v>0.20950000000000002</v>
      </c>
      <c r="T40">
        <f>C40*VLOOKUP(B40,'Data-PC'!$B$13:$AP$56,16,FALSE)*(1+'Data-PC'!$T$3/100)</f>
        <v>0.125</v>
      </c>
      <c r="U40">
        <f>C40*VLOOKUP(B40,'Data-PC'!$B$13:$AP$56,17,FALSE)*(1+'Data-PC'!$T$5/100)</f>
        <v>1</v>
      </c>
      <c r="V40">
        <f>VLOOKUP($B40,'Data-PC'!$B$13:$AP$79,19,FALSE)</f>
        <v>2</v>
      </c>
      <c r="W40">
        <f>VLOOKUP($B40,'Data-PC'!$B$13:$AP$79,20,FALSE)</f>
        <v>13</v>
      </c>
      <c r="X40">
        <f>VLOOKUP($B40,'Data-PC'!$B$13:$AP$79,21,FALSE)*C40</f>
        <v>3.9925033199999995</v>
      </c>
      <c r="Y40">
        <f>VLOOKUP($B40,'Data-PC'!$B$13:$AP$79,22,FALSE)</f>
        <v>13</v>
      </c>
      <c r="Z40">
        <f>VLOOKUP($B40,'Data-PC'!$B$13:$AP$79,23,FALSE)</f>
        <v>125</v>
      </c>
      <c r="AA40">
        <f>VLOOKUP($B40,'Data-PC'!$B$13:$AP$79,24,FALSE)</f>
        <v>4</v>
      </c>
      <c r="AB40">
        <f>VLOOKUP($B40,'Data-PC'!$B$13:$AP$79,25,FALSE)</f>
        <v>3.52</v>
      </c>
      <c r="AC40">
        <f>VLOOKUP($B40,'Data-PC'!$B$13:$AP$79,26,FALSE)*C40</f>
        <v>3.6674352</v>
      </c>
      <c r="AD40">
        <f>VLOOKUP($B40,'Data-PC'!$B$13:$AP$79,27,FALSE)</f>
        <v>13</v>
      </c>
      <c r="AE40">
        <f>VLOOKUP($B40,'Data-PC'!$B$13:$AP$79,28,FALSE)</f>
        <v>125</v>
      </c>
      <c r="AF40">
        <f>VLOOKUP($B40,'Data-PC'!$B$13:$AP$79,29,FALSE)</f>
        <v>4</v>
      </c>
      <c r="AG40">
        <f>VLOOKUP($B40,'Data-PC'!$B$13:$AP$79,30,FALSE)</f>
        <v>3.52</v>
      </c>
      <c r="AH40">
        <f>VLOOKUP($B40,'Data-PC'!$B$13:$AP$79,31,FALSE)*C40</f>
        <v>3.6674352</v>
      </c>
      <c r="AI40">
        <f>VLOOKUP($B40,'Data-PC'!$B$13:$AP$79,32,FALSE)</f>
        <v>13</v>
      </c>
      <c r="AJ40">
        <f>VLOOKUP($B40,'Data-PC'!$B$13:$AP$79,33,FALSE)</f>
        <v>125</v>
      </c>
      <c r="AK40">
        <f>VLOOKUP($B40,'Data-PC'!$B$13:$AP$79,34,FALSE)</f>
        <v>4</v>
      </c>
      <c r="AL40">
        <f>VLOOKUP($B40,'Data-PC'!$B$13:$AP$79,35,FALSE)</f>
        <v>5.28</v>
      </c>
      <c r="AM40">
        <f>VLOOKUP($B40,'Data-PC'!$B$13:$AP$79,36,FALSE)*C40</f>
        <v>5.5011528</v>
      </c>
      <c r="AN40">
        <f>VLOOKUP($B40,'Data-PC'!$B$13:$AP$79,37,FALSE)</f>
        <v>13</v>
      </c>
      <c r="AO40">
        <f>VLOOKUP($B40,'Data-PC'!$B$13:$AP$79,38,FALSE)</f>
        <v>125</v>
      </c>
      <c r="AP40">
        <f>VLOOKUP($B40,'Data-PC'!$B$13:$AP$79,39,FALSE)</f>
        <v>4</v>
      </c>
      <c r="AQ40">
        <f>VLOOKUP($B40,'Data-PC'!$B$13:$AP$79,40,FALSE)</f>
        <v>5.28</v>
      </c>
      <c r="AR40">
        <f>VLOOKUP($B40,'Data-PC'!$B$13:$AP$79,41,FALSE)*C40</f>
        <v>5.5011528</v>
      </c>
      <c r="AS40">
        <f>VLOOKUP($B40,'Data-PC'!$B$13:$AX$79,42,FALSE)</f>
        <v>0</v>
      </c>
      <c r="AT40">
        <f>VLOOKUP($B40,'Data-PC'!$B$13:$AX$79,43,FALSE)</f>
        <v>0</v>
      </c>
      <c r="AU40">
        <f>VLOOKUP($B40,'Data-PC'!$B$13:$AX$79,44,FALSE)</f>
        <v>1180</v>
      </c>
      <c r="AV40">
        <f>VLOOKUP($B40,'Data-PC'!$B$13:$AX$79,45,FALSE)*C40</f>
        <v>0</v>
      </c>
      <c r="AW40">
        <f>VLOOKUP($B40,'Data-PC'!$B$13:$AX$79,46,FALSE)</f>
        <v>0</v>
      </c>
      <c r="AX40">
        <f>VLOOKUP($B40,'Data-PC'!$B$13:$AX$79,47,FALSE)</f>
        <v>0</v>
      </c>
      <c r="AY40" t="e">
        <f>VLOOKUP($B40,'Data-PC'!$B$19:$AX$79,48,FALSE)</f>
        <v>#N/A</v>
      </c>
      <c r="AZ40">
        <f>VLOOKUP($B40,'Data-PC'!$B$13:$AX$79,49,FALSE)*C40</f>
        <v>0</v>
      </c>
      <c r="BA40">
        <f>SUM(X40,AC40,AH40,AM40,AR40,AV40,AZ40)</f>
        <v>22.329679319999997</v>
      </c>
    </row>
    <row r="41">
      <c r="A41">
        <f>A40+1</f>
        <v>30</v>
      </c>
      <c r="B41" t="str">
        <v>PC.1</v>
      </c>
      <c r="C41">
        <v>1</v>
      </c>
      <c r="E41">
        <f>D41-(G41+'Data-PC'!$D$5)/1000</f>
        <v>-0.55</v>
      </c>
      <c r="F41">
        <f>VLOOKUP(B41,'Data-PC'!$B$13:$AP$56,15,FALSE)</f>
        <v>1.69</v>
      </c>
      <c r="G41">
        <f>VLOOKUP(B41,'Data-PC'!$B$13:$G$56,4,FALSE)</f>
        <v>500</v>
      </c>
      <c r="H41">
        <f>C41*VLOOKUP(B41,'Data-PC'!$B$13:$BC$56,18,FALSE)</f>
        <v>1</v>
      </c>
      <c r="I41">
        <f>C41*VLOOKUP(B41,'Data-PC'!$B$13:$BC$56,51,FALSE)</f>
        <v>0</v>
      </c>
      <c r="J41">
        <f>F41*C41*'Data-PC'!$D$5/1000</f>
        <v>0.0845</v>
      </c>
      <c r="K41">
        <f>F41*('Data-PC'!$D$4/1000)*C41</f>
        <v>0</v>
      </c>
      <c r="L41">
        <f>C41*F41*($T$3-E41)</f>
        <v>0.9295</v>
      </c>
      <c r="M41">
        <f>L41-(T41+J41)</f>
        <v>0.72</v>
      </c>
      <c r="S41">
        <f>L41-M41</f>
        <v>0.20950000000000002</v>
      </c>
      <c r="T41">
        <f>C41*VLOOKUP(B41,'Data-PC'!$B$13:$AP$56,16,FALSE)*(1+'Data-PC'!$T$3/100)</f>
        <v>0.125</v>
      </c>
      <c r="U41">
        <f>C41*VLOOKUP(B41,'Data-PC'!$B$13:$AP$56,17,FALSE)*(1+'Data-PC'!$T$5/100)</f>
        <v>1</v>
      </c>
      <c r="V41">
        <f>VLOOKUP($B41,'Data-PC'!$B$13:$AP$79,19,FALSE)</f>
        <v>2</v>
      </c>
      <c r="W41">
        <f>VLOOKUP($B41,'Data-PC'!$B$13:$AP$79,20,FALSE)</f>
        <v>13</v>
      </c>
      <c r="X41">
        <f>VLOOKUP($B41,'Data-PC'!$B$13:$AP$79,21,FALSE)*C41</f>
        <v>3.9925033199999995</v>
      </c>
      <c r="Y41">
        <f>VLOOKUP($B41,'Data-PC'!$B$13:$AP$79,22,FALSE)</f>
        <v>13</v>
      </c>
      <c r="Z41">
        <f>VLOOKUP($B41,'Data-PC'!$B$13:$AP$79,23,FALSE)</f>
        <v>125</v>
      </c>
      <c r="AA41">
        <f>VLOOKUP($B41,'Data-PC'!$B$13:$AP$79,24,FALSE)</f>
        <v>4</v>
      </c>
      <c r="AB41">
        <f>VLOOKUP($B41,'Data-PC'!$B$13:$AP$79,25,FALSE)</f>
        <v>3.52</v>
      </c>
      <c r="AC41">
        <f>VLOOKUP($B41,'Data-PC'!$B$13:$AP$79,26,FALSE)*C41</f>
        <v>3.6674352</v>
      </c>
      <c r="AD41">
        <f>VLOOKUP($B41,'Data-PC'!$B$13:$AP$79,27,FALSE)</f>
        <v>13</v>
      </c>
      <c r="AE41">
        <f>VLOOKUP($B41,'Data-PC'!$B$13:$AP$79,28,FALSE)</f>
        <v>125</v>
      </c>
      <c r="AF41">
        <f>VLOOKUP($B41,'Data-PC'!$B$13:$AP$79,29,FALSE)</f>
        <v>4</v>
      </c>
      <c r="AG41">
        <f>VLOOKUP($B41,'Data-PC'!$B$13:$AP$79,30,FALSE)</f>
        <v>3.52</v>
      </c>
      <c r="AH41">
        <f>VLOOKUP($B41,'Data-PC'!$B$13:$AP$79,31,FALSE)*C41</f>
        <v>3.6674352</v>
      </c>
      <c r="AI41">
        <f>VLOOKUP($B41,'Data-PC'!$B$13:$AP$79,32,FALSE)</f>
        <v>13</v>
      </c>
      <c r="AJ41">
        <f>VLOOKUP($B41,'Data-PC'!$B$13:$AP$79,33,FALSE)</f>
        <v>125</v>
      </c>
      <c r="AK41">
        <f>VLOOKUP($B41,'Data-PC'!$B$13:$AP$79,34,FALSE)</f>
        <v>4</v>
      </c>
      <c r="AL41">
        <f>VLOOKUP($B41,'Data-PC'!$B$13:$AP$79,35,FALSE)</f>
        <v>5.28</v>
      </c>
      <c r="AM41">
        <f>VLOOKUP($B41,'Data-PC'!$B$13:$AP$79,36,FALSE)*C41</f>
        <v>5.5011528</v>
      </c>
      <c r="AN41">
        <f>VLOOKUP($B41,'Data-PC'!$B$13:$AP$79,37,FALSE)</f>
        <v>13</v>
      </c>
      <c r="AO41">
        <f>VLOOKUP($B41,'Data-PC'!$B$13:$AP$79,38,FALSE)</f>
        <v>125</v>
      </c>
      <c r="AP41">
        <f>VLOOKUP($B41,'Data-PC'!$B$13:$AP$79,39,FALSE)</f>
        <v>4</v>
      </c>
      <c r="AQ41">
        <f>VLOOKUP($B41,'Data-PC'!$B$13:$AP$79,40,FALSE)</f>
        <v>5.28</v>
      </c>
      <c r="AR41">
        <f>VLOOKUP($B41,'Data-PC'!$B$13:$AP$79,41,FALSE)*C41</f>
        <v>5.5011528</v>
      </c>
      <c r="AS41">
        <f>VLOOKUP($B41,'Data-PC'!$B$13:$AX$79,42,FALSE)</f>
        <v>0</v>
      </c>
      <c r="AT41">
        <f>VLOOKUP($B41,'Data-PC'!$B$13:$AX$79,43,FALSE)</f>
        <v>0</v>
      </c>
      <c r="AU41">
        <f>VLOOKUP($B41,'Data-PC'!$B$13:$AX$79,44,FALSE)</f>
        <v>1180</v>
      </c>
      <c r="AV41">
        <f>VLOOKUP($B41,'Data-PC'!$B$13:$AX$79,45,FALSE)*C41</f>
        <v>0</v>
      </c>
      <c r="AW41">
        <f>VLOOKUP($B41,'Data-PC'!$B$13:$AX$79,46,FALSE)</f>
        <v>0</v>
      </c>
      <c r="AX41">
        <f>VLOOKUP($B41,'Data-PC'!$B$13:$AX$79,47,FALSE)</f>
        <v>0</v>
      </c>
      <c r="AY41" t="e">
        <f>VLOOKUP($B41,'Data-PC'!$B$19:$AX$79,48,FALSE)</f>
        <v>#N/A</v>
      </c>
      <c r="AZ41">
        <f>VLOOKUP($B41,'Data-PC'!$B$13:$AX$79,49,FALSE)*C41</f>
        <v>0</v>
      </c>
      <c r="BA41">
        <f>SUM(X41,AC41,AH41,AM41,AR41,AV41,AZ41)</f>
        <v>22.329679319999997</v>
      </c>
    </row>
    <row r="42">
      <c r="A42">
        <f>A41+1</f>
        <v>31</v>
      </c>
      <c r="B42" t="str">
        <v>PCS.2</v>
      </c>
      <c r="C42">
        <v>1</v>
      </c>
      <c r="E42">
        <f>D42-(G42+'Data-PC'!$D$5)/1000</f>
        <v>-0.65</v>
      </c>
      <c r="F42">
        <f>VLOOKUP(B42,'Data-PC'!$B$13:$AP$56,15,FALSE)</f>
        <v>3.68</v>
      </c>
      <c r="G42">
        <f>VLOOKUP(B42,'Data-PC'!$B$13:$G$56,4,FALSE)</f>
        <v>600</v>
      </c>
      <c r="H42">
        <f>C42*VLOOKUP(B42,'Data-PC'!$B$13:$BC$56,18,FALSE)</f>
        <v>0</v>
      </c>
      <c r="I42">
        <f>C42*VLOOKUP(B42,'Data-PC'!$B$13:$BC$56,51,FALSE)</f>
        <v>2</v>
      </c>
      <c r="J42">
        <f>F42*C42*'Data-PC'!$D$5/1000</f>
        <v>0.184</v>
      </c>
      <c r="K42">
        <f>F42*('Data-PC'!$D$4/1000)*C42</f>
        <v>0</v>
      </c>
      <c r="L42">
        <f>C42*F42*($T$3-E42)</f>
        <v>2.3920000000000003</v>
      </c>
      <c r="M42">
        <f>L42-(T42+J42)</f>
        <v>1.4880000000000004</v>
      </c>
      <c r="S42">
        <f>L42-M42</f>
        <v>0.9039999999999999</v>
      </c>
      <c r="T42">
        <f>C42*VLOOKUP(B42,'Data-PC'!$B$13:$AP$56,16,FALSE)*(1+'Data-PC'!$T$3/100)</f>
        <v>0.72</v>
      </c>
      <c r="U42">
        <f>C42*VLOOKUP(B42,'Data-PC'!$B$13:$AP$56,17,FALSE)*(1+'Data-PC'!$T$5/100)</f>
        <v>2.76</v>
      </c>
      <c r="V42">
        <f>VLOOKUP($B42,'Data-PC'!$B$13:$AP$79,19,FALSE)</f>
        <v>2</v>
      </c>
      <c r="W42">
        <f>VLOOKUP($B42,'Data-PC'!$B$13:$AP$79,20,FALSE)</f>
        <v>13</v>
      </c>
      <c r="X42">
        <f>VLOOKUP($B42,'Data-PC'!$B$13:$AP$79,21,FALSE)*C42</f>
        <v>9.410305319999997</v>
      </c>
      <c r="Y42">
        <f>VLOOKUP($B42,'Data-PC'!$B$13:$AP$79,22,FALSE)</f>
        <v>16</v>
      </c>
      <c r="Z42">
        <f>VLOOKUP($B42,'Data-PC'!$B$13:$AP$79,23,FALSE)</f>
        <v>100</v>
      </c>
      <c r="AA42">
        <f>VLOOKUP($B42,'Data-PC'!$B$13:$AP$79,24,FALSE)</f>
        <v>15</v>
      </c>
      <c r="AB42">
        <f>VLOOKUP($B42,'Data-PC'!$B$13:$AP$79,25,FALSE)</f>
        <v>19.2</v>
      </c>
      <c r="AC42">
        <f>VLOOKUP($B42,'Data-PC'!$B$13:$AP$79,26,FALSE)*C42</f>
        <v>30.302208</v>
      </c>
      <c r="AD42">
        <f>VLOOKUP($B42,'Data-PC'!$B$13:$AP$79,27,FALSE)</f>
        <v>13</v>
      </c>
      <c r="AE42">
        <f>VLOOKUP($B42,'Data-PC'!$B$13:$AP$79,28,FALSE)</f>
        <v>100</v>
      </c>
      <c r="AF42">
        <f>VLOOKUP($B42,'Data-PC'!$B$13:$AP$79,29,FALSE)</f>
        <v>8</v>
      </c>
      <c r="AG42">
        <f>VLOOKUP($B42,'Data-PC'!$B$13:$AP$79,30,FALSE)</f>
        <v>15.84</v>
      </c>
      <c r="AH42">
        <f>VLOOKUP($B42,'Data-PC'!$B$13:$AP$79,31,FALSE)*C42</f>
        <v>16.5034584</v>
      </c>
      <c r="AI42">
        <f>VLOOKUP($B42,'Data-PC'!$B$13:$AP$79,32,FALSE)</f>
        <v>16</v>
      </c>
      <c r="AJ42">
        <f>VLOOKUP($B42,'Data-PC'!$B$13:$AP$79,33,FALSE)</f>
        <v>100</v>
      </c>
      <c r="AK42">
        <f>VLOOKUP($B42,'Data-PC'!$B$13:$AP$79,34,FALSE)</f>
        <v>15</v>
      </c>
      <c r="AL42">
        <f>VLOOKUP($B42,'Data-PC'!$B$13:$AP$79,35,FALSE)</f>
        <v>27.3</v>
      </c>
      <c r="AM42">
        <f>VLOOKUP($B42,'Data-PC'!$B$13:$AP$79,36,FALSE)*C42</f>
        <v>43.085952000000006</v>
      </c>
      <c r="AN42">
        <f>VLOOKUP($B42,'Data-PC'!$B$13:$AP$79,37,FALSE)</f>
        <v>13</v>
      </c>
      <c r="AO42">
        <f>VLOOKUP($B42,'Data-PC'!$B$13:$AP$79,38,FALSE)</f>
        <v>100</v>
      </c>
      <c r="AP42">
        <f>VLOOKUP($B42,'Data-PC'!$B$13:$AP$79,39,FALSE)</f>
        <v>8</v>
      </c>
      <c r="AQ42">
        <f>VLOOKUP($B42,'Data-PC'!$B$13:$AP$79,40,FALSE)</f>
        <v>20.16</v>
      </c>
      <c r="AR42">
        <f>VLOOKUP($B42,'Data-PC'!$B$13:$AP$79,41,FALSE)*C42</f>
        <v>21.004401599999998</v>
      </c>
      <c r="AS42">
        <f>VLOOKUP($B42,'Data-PC'!$B$13:$AX$79,42,FALSE)</f>
        <v>0</v>
      </c>
      <c r="AT42">
        <f>VLOOKUP($B42,'Data-PC'!$B$13:$AX$79,43,FALSE)</f>
        <v>0</v>
      </c>
      <c r="AU42">
        <f>VLOOKUP($B42,'Data-PC'!$B$13:$AX$79,44,FALSE)</f>
        <v>1380</v>
      </c>
      <c r="AV42">
        <f>VLOOKUP($B42,'Data-PC'!$B$13:$AX$79,45,FALSE)*C42</f>
        <v>0</v>
      </c>
      <c r="AW42">
        <f>VLOOKUP($B42,'Data-PC'!$B$13:$AX$79,46,FALSE)</f>
        <v>0</v>
      </c>
      <c r="AX42">
        <f>VLOOKUP($B42,'Data-PC'!$B$13:$AX$79,47,FALSE)</f>
        <v>0</v>
      </c>
      <c r="AY42">
        <f>VLOOKUP($B42,'Data-PC'!$B$19:$AX$79,48,FALSE)</f>
        <v>0</v>
      </c>
      <c r="AZ42">
        <f>VLOOKUP($B42,'Data-PC'!$B$13:$AX$79,49,FALSE)*C42</f>
        <v>0</v>
      </c>
      <c r="BA42">
        <f>SUM(X42,AC42,AH42,AM42,AR42,AV42,AZ42)</f>
        <v>120.30632532</v>
      </c>
    </row>
    <row r="43">
      <c r="A43">
        <f>A42+1</f>
        <v>32</v>
      </c>
      <c r="B43" t="str">
        <v>PC.3</v>
      </c>
      <c r="C43">
        <v>1</v>
      </c>
      <c r="E43">
        <f>D43-(G43+'Data-PC'!$D$5)/1000</f>
        <v>-0.65</v>
      </c>
      <c r="F43">
        <f>VLOOKUP(B43,'Data-PC'!$B$13:$AP$56,15,FALSE)</f>
        <v>3.173988</v>
      </c>
      <c r="G43">
        <f>VLOOKUP(B43,'Data-PC'!$B$13:$G$56,4,FALSE)</f>
        <v>600</v>
      </c>
      <c r="H43">
        <f>C43*VLOOKUP(B43,'Data-PC'!$B$13:$BC$56,18,FALSE)</f>
        <v>3</v>
      </c>
      <c r="I43">
        <f>C43*VLOOKUP(B43,'Data-PC'!$B$13:$BC$56,51,FALSE)</f>
        <v>0</v>
      </c>
      <c r="J43">
        <f>F43*C43*'Data-PC'!$D$5/1000</f>
        <v>0.1586994</v>
      </c>
      <c r="K43">
        <f>F43*('Data-PC'!$D$4/1000)*C43</f>
        <v>0</v>
      </c>
      <c r="L43">
        <f>C43*F43*($T$3-E43)</f>
        <v>2.0630922000000003</v>
      </c>
      <c r="M43">
        <f>L43-(T43+J43)</f>
        <v>1.4016000000000002</v>
      </c>
      <c r="S43">
        <f>L43-M43</f>
        <v>0.6614922000000001</v>
      </c>
      <c r="T43">
        <f>C43*VLOOKUP(B43,'Data-PC'!$B$13:$AP$56,16,FALSE)*(1+'Data-PC'!$T$3/100)</f>
        <v>0.5027928</v>
      </c>
      <c r="U43">
        <f>C43*VLOOKUP(B43,'Data-PC'!$B$13:$AP$56,17,FALSE)*(1+'Data-PC'!$T$5/100)</f>
        <v>2.188580986453487</v>
      </c>
      <c r="V43">
        <f>VLOOKUP($B43,'Data-PC'!$B$13:$AP$79,19,FALSE)</f>
        <v>2</v>
      </c>
      <c r="W43">
        <f>VLOOKUP($B43,'Data-PC'!$B$13:$AP$79,20,FALSE)</f>
        <v>13</v>
      </c>
      <c r="X43">
        <f>VLOOKUP($B43,'Data-PC'!$B$13:$AP$79,21,FALSE)*C43</f>
        <v>7.175743256903637</v>
      </c>
      <c r="Y43">
        <f>VLOOKUP($B43,'Data-PC'!$B$13:$AP$79,22,FALSE)</f>
        <v>13</v>
      </c>
      <c r="Z43">
        <f>VLOOKUP($B43,'Data-PC'!$B$13:$AP$79,23,FALSE)</f>
        <v>150</v>
      </c>
      <c r="AA43">
        <f>VLOOKUP($B43,'Data-PC'!$B$13:$AP$79,24,FALSE)</f>
        <v>8</v>
      </c>
      <c r="AB43">
        <f>VLOOKUP($B43,'Data-PC'!$B$13:$AP$79,25,FALSE)</f>
        <v>15.036</v>
      </c>
      <c r="AC43">
        <f>VLOOKUP($B43,'Data-PC'!$B$13:$AP$79,26,FALSE)*C43</f>
        <v>15.665782859999998</v>
      </c>
      <c r="AD43">
        <f>VLOOKUP($B43,'Data-PC'!$B$13:$AP$79,27,FALSE)</f>
        <v>13</v>
      </c>
      <c r="AE43">
        <f>VLOOKUP($B43,'Data-PC'!$B$13:$AP$79,28,FALSE)</f>
        <v>150</v>
      </c>
      <c r="AF43">
        <f>VLOOKUP($B43,'Data-PC'!$B$13:$AP$79,29,FALSE)</f>
        <v>8</v>
      </c>
      <c r="AG43">
        <f>VLOOKUP($B43,'Data-PC'!$B$13:$AP$79,30,FALSE)</f>
        <v>9.891</v>
      </c>
      <c r="AH43">
        <f>VLOOKUP($B43,'Data-PC'!$B$13:$AP$79,31,FALSE)*C43</f>
        <v>10.305284535</v>
      </c>
      <c r="AI43">
        <f>VLOOKUP($B43,'Data-PC'!$B$13:$AP$79,32,FALSE)</f>
        <v>16</v>
      </c>
      <c r="AJ43">
        <f>VLOOKUP($B43,'Data-PC'!$B$13:$AP$79,33,FALSE)</f>
        <v>150</v>
      </c>
      <c r="AK43">
        <f>VLOOKUP($B43,'Data-PC'!$B$13:$AP$79,34,FALSE)</f>
        <v>8</v>
      </c>
      <c r="AL43">
        <f>VLOOKUP($B43,'Data-PC'!$B$13:$AP$79,35,FALSE)</f>
        <v>16.656</v>
      </c>
      <c r="AM43">
        <f>VLOOKUP($B43,'Data-PC'!$B$13:$AP$79,36,FALSE)*C43</f>
        <v>26.28716544</v>
      </c>
      <c r="AN43">
        <f>VLOOKUP($B43,'Data-PC'!$B$13:$AP$79,37,FALSE)</f>
        <v>16</v>
      </c>
      <c r="AO43">
        <f>VLOOKUP($B43,'Data-PC'!$B$13:$AP$79,38,FALSE)</f>
        <v>150</v>
      </c>
      <c r="AP43">
        <f>VLOOKUP($B43,'Data-PC'!$B$13:$AP$79,39,FALSE)</f>
        <v>8</v>
      </c>
      <c r="AQ43">
        <f>VLOOKUP($B43,'Data-PC'!$B$13:$AP$79,40,FALSE)</f>
        <v>14.211</v>
      </c>
      <c r="AR43">
        <f>VLOOKUP($B43,'Data-PC'!$B$13:$AP$79,41,FALSE)*C43</f>
        <v>22.428368640000002</v>
      </c>
      <c r="AS43">
        <f>VLOOKUP($B43,'Data-PC'!$B$13:$AX$79,42,FALSE)</f>
        <v>0</v>
      </c>
      <c r="AT43">
        <f>VLOOKUP($B43,'Data-PC'!$B$13:$AX$79,43,FALSE)</f>
        <v>0</v>
      </c>
      <c r="AU43">
        <f>VLOOKUP($B43,'Data-PC'!$B$13:$AX$79,44,FALSE)</f>
        <v>1380</v>
      </c>
      <c r="AV43">
        <f>VLOOKUP($B43,'Data-PC'!$B$13:$AX$79,45,FALSE)*C43</f>
        <v>0</v>
      </c>
      <c r="AW43">
        <f>VLOOKUP($B43,'Data-PC'!$B$13:$AX$79,46,FALSE)</f>
        <v>0</v>
      </c>
      <c r="AX43">
        <f>VLOOKUP($B43,'Data-PC'!$B$13:$AX$79,47,FALSE)</f>
        <v>0</v>
      </c>
      <c r="AY43">
        <f>VLOOKUP($B43,'Data-PC'!$B$19:$AX$79,48,FALSE)</f>
        <v>0</v>
      </c>
      <c r="AZ43">
        <f>VLOOKUP($B43,'Data-PC'!$B$13:$AX$79,49,FALSE)*C43</f>
        <v>0</v>
      </c>
      <c r="BA43">
        <f>SUM(X43,AC43,AH43,AM43,AR43,AV43,AZ43)</f>
        <v>81.86234473190363</v>
      </c>
    </row>
    <row r="44">
      <c r="A44">
        <f>A43+1</f>
        <v>33</v>
      </c>
      <c r="B44" t="str">
        <v>PC.4</v>
      </c>
      <c r="C44">
        <v>1</v>
      </c>
      <c r="E44">
        <f>D44-(G44+'Data-PC'!$D$5)/1000</f>
        <v>-0.75</v>
      </c>
      <c r="F44">
        <f>VLOOKUP(B44,'Data-PC'!$B$13:$AP$56,15,FALSE)</f>
        <v>3.61</v>
      </c>
      <c r="G44">
        <f>VLOOKUP(B44,'Data-PC'!$B$13:$G$56,4,FALSE)</f>
        <v>700</v>
      </c>
      <c r="H44">
        <f>C44*VLOOKUP(B44,'Data-PC'!$B$13:$BC$56,18,FALSE)</f>
        <v>4</v>
      </c>
      <c r="I44">
        <f>C44*VLOOKUP(B44,'Data-PC'!$B$13:$BC$56,51,FALSE)</f>
        <v>0</v>
      </c>
      <c r="J44">
        <f>F44*C44*'Data-PC'!$D$5/1000</f>
        <v>0.1805</v>
      </c>
      <c r="K44">
        <f>F44*('Data-PC'!$D$4/1000)*C44</f>
        <v>0</v>
      </c>
      <c r="L44">
        <f>C44*F44*($T$3-E44)</f>
        <v>2.7075</v>
      </c>
      <c r="M44">
        <f>L44-(T44+J44)</f>
        <v>1.6800000000000002</v>
      </c>
      <c r="S44">
        <f>L44-M44</f>
        <v>1.0274999999999999</v>
      </c>
      <c r="T44">
        <f>C44*VLOOKUP(B44,'Data-PC'!$B$13:$AP$56,16,FALSE)*(1+'Data-PC'!$T$3/100)</f>
        <v>0.847</v>
      </c>
      <c r="U44">
        <f>C44*VLOOKUP(B44,'Data-PC'!$B$13:$AP$56,17,FALSE)*(1+'Data-PC'!$T$5/100)</f>
        <v>3.0800000000000005</v>
      </c>
      <c r="V44">
        <f>VLOOKUP($B44,'Data-PC'!$B$13:$AP$79,19,FALSE)</f>
        <v>3</v>
      </c>
      <c r="W44">
        <f>VLOOKUP($B44,'Data-PC'!$B$13:$AP$79,20,FALSE)</f>
        <v>13</v>
      </c>
      <c r="X44">
        <f>VLOOKUP($B44,'Data-PC'!$B$13:$AP$79,21,FALSE)*C44</f>
        <v>13.490326979999999</v>
      </c>
      <c r="Y44">
        <f>VLOOKUP($B44,'Data-PC'!$B$13:$AP$79,22,FALSE)</f>
        <v>13</v>
      </c>
      <c r="Z44">
        <f>VLOOKUP($B44,'Data-PC'!$B$13:$AP$79,23,FALSE)</f>
        <v>137.5</v>
      </c>
      <c r="AA44">
        <f>VLOOKUP($B44,'Data-PC'!$B$13:$AP$79,24,FALSE)</f>
        <v>8</v>
      </c>
      <c r="AB44">
        <f>VLOOKUP($B44,'Data-PC'!$B$13:$AP$79,25,FALSE)</f>
        <v>13.44</v>
      </c>
      <c r="AC44">
        <f>VLOOKUP($B44,'Data-PC'!$B$13:$AP$79,26,FALSE)*C44</f>
        <v>14.0029344</v>
      </c>
      <c r="AD44">
        <f>VLOOKUP($B44,'Data-PC'!$B$13:$AP$79,27,FALSE)</f>
        <v>13</v>
      </c>
      <c r="AE44">
        <f>VLOOKUP($B44,'Data-PC'!$B$13:$AP$79,28,FALSE)</f>
        <v>137.5</v>
      </c>
      <c r="AF44">
        <f>VLOOKUP($B44,'Data-PC'!$B$13:$AP$79,29,FALSE)</f>
        <v>8</v>
      </c>
      <c r="AG44">
        <f>VLOOKUP($B44,'Data-PC'!$B$13:$AP$79,30,FALSE)</f>
        <v>13.44</v>
      </c>
      <c r="AH44">
        <f>VLOOKUP($B44,'Data-PC'!$B$13:$AP$79,31,FALSE)*C44</f>
        <v>14.0029344</v>
      </c>
      <c r="AI44">
        <f>VLOOKUP($B44,'Data-PC'!$B$13:$AP$79,32,FALSE)</f>
        <v>16</v>
      </c>
      <c r="AJ44">
        <f>VLOOKUP($B44,'Data-PC'!$B$13:$AP$79,33,FALSE)</f>
        <v>137.5</v>
      </c>
      <c r="AK44">
        <f>VLOOKUP($B44,'Data-PC'!$B$13:$AP$79,34,FALSE)</f>
        <v>8</v>
      </c>
      <c r="AL44">
        <f>VLOOKUP($B44,'Data-PC'!$B$13:$AP$79,35,FALSE)</f>
        <v>18.56</v>
      </c>
      <c r="AM44">
        <f>VLOOKUP($B44,'Data-PC'!$B$13:$AP$79,36,FALSE)*C44</f>
        <v>29.2921344</v>
      </c>
      <c r="AN44">
        <f>VLOOKUP($B44,'Data-PC'!$B$13:$AP$79,37,FALSE)</f>
        <v>16</v>
      </c>
      <c r="AO44">
        <f>VLOOKUP($B44,'Data-PC'!$B$13:$AP$79,38,FALSE)</f>
        <v>137.5</v>
      </c>
      <c r="AP44">
        <f>VLOOKUP($B44,'Data-PC'!$B$13:$AP$79,39,FALSE)</f>
        <v>8</v>
      </c>
      <c r="AQ44">
        <f>VLOOKUP($B44,'Data-PC'!$B$13:$AP$79,40,FALSE)</f>
        <v>18.56</v>
      </c>
      <c r="AR44">
        <f>VLOOKUP($B44,'Data-PC'!$B$13:$AP$79,41,FALSE)*C44</f>
        <v>29.2921344</v>
      </c>
      <c r="AS44">
        <f>VLOOKUP($B44,'Data-PC'!$B$13:$AX$79,42,FALSE)</f>
        <v>0</v>
      </c>
      <c r="AT44">
        <f>VLOOKUP($B44,'Data-PC'!$B$13:$AX$79,43,FALSE)</f>
        <v>0</v>
      </c>
      <c r="AU44">
        <f>VLOOKUP($B44,'Data-PC'!$B$13:$AX$79,44,FALSE)</f>
        <v>1580</v>
      </c>
      <c r="AV44">
        <f>VLOOKUP($B44,'Data-PC'!$B$13:$AX$79,45,FALSE)*C44</f>
        <v>0</v>
      </c>
      <c r="AW44">
        <f>VLOOKUP($B44,'Data-PC'!$B$13:$AX$79,46,FALSE)</f>
        <v>0</v>
      </c>
      <c r="AX44">
        <f>VLOOKUP($B44,'Data-PC'!$B$13:$AX$79,47,FALSE)</f>
        <v>0</v>
      </c>
      <c r="AY44" t="e">
        <f>VLOOKUP($B44,'Data-PC'!$B$19:$AX$79,48,FALSE)</f>
        <v>#N/A</v>
      </c>
      <c r="AZ44">
        <f>VLOOKUP($B44,'Data-PC'!$B$13:$AX$79,49,FALSE)*C44</f>
        <v>0</v>
      </c>
      <c r="BA44">
        <f>SUM(X44,AC44,AH44,AM44,AR44,AV44,AZ44)</f>
        <v>100.08046458</v>
      </c>
    </row>
    <row r="45">
      <c r="A45">
        <f>A44+1</f>
        <v>34</v>
      </c>
      <c r="B45" t="str">
        <v>PC.3</v>
      </c>
      <c r="C45">
        <v>1</v>
      </c>
      <c r="E45">
        <f>D45-(G45+'Data-PC'!$D$5)/1000</f>
        <v>-0.65</v>
      </c>
      <c r="F45">
        <f>VLOOKUP(B45,'Data-PC'!$B$13:$AP$56,15,FALSE)</f>
        <v>3.173988</v>
      </c>
      <c r="G45">
        <f>VLOOKUP(B45,'Data-PC'!$B$13:$G$56,4,FALSE)</f>
        <v>600</v>
      </c>
      <c r="H45">
        <f>C45*VLOOKUP(B45,'Data-PC'!$B$13:$BC$56,18,FALSE)</f>
        <v>3</v>
      </c>
      <c r="I45">
        <f>C45*VLOOKUP(B45,'Data-PC'!$B$13:$BC$56,51,FALSE)</f>
        <v>0</v>
      </c>
      <c r="J45">
        <f>F45*C45*'Data-PC'!$D$5/1000</f>
        <v>0.1586994</v>
      </c>
      <c r="K45">
        <f>F45*('Data-PC'!$D$4/1000)*C45</f>
        <v>0</v>
      </c>
      <c r="L45">
        <f>C45*F45*($T$3-E45)</f>
        <v>2.0630922000000003</v>
      </c>
      <c r="M45">
        <f>L45-(T45+J45)</f>
        <v>1.4016000000000002</v>
      </c>
      <c r="S45">
        <f>L45-M45</f>
        <v>0.6614922000000001</v>
      </c>
      <c r="T45">
        <f>C45*VLOOKUP(B45,'Data-PC'!$B$13:$AP$56,16,FALSE)*(1+'Data-PC'!$T$3/100)</f>
        <v>0.5027928</v>
      </c>
      <c r="U45">
        <f>C45*VLOOKUP(B45,'Data-PC'!$B$13:$AP$56,17,FALSE)*(1+'Data-PC'!$T$5/100)</f>
        <v>2.188580986453487</v>
      </c>
      <c r="V45">
        <f>VLOOKUP($B45,'Data-PC'!$B$13:$AP$79,19,FALSE)</f>
        <v>2</v>
      </c>
      <c r="W45">
        <f>VLOOKUP($B45,'Data-PC'!$B$13:$AP$79,20,FALSE)</f>
        <v>13</v>
      </c>
      <c r="X45">
        <f>VLOOKUP($B45,'Data-PC'!$B$13:$AP$79,21,FALSE)*C45</f>
        <v>7.175743256903637</v>
      </c>
      <c r="Y45">
        <f>VLOOKUP($B45,'Data-PC'!$B$13:$AP$79,22,FALSE)</f>
        <v>13</v>
      </c>
      <c r="Z45">
        <f>VLOOKUP($B45,'Data-PC'!$B$13:$AP$79,23,FALSE)</f>
        <v>150</v>
      </c>
      <c r="AA45">
        <f>VLOOKUP($B45,'Data-PC'!$B$13:$AP$79,24,FALSE)</f>
        <v>8</v>
      </c>
      <c r="AB45">
        <f>VLOOKUP($B45,'Data-PC'!$B$13:$AP$79,25,FALSE)</f>
        <v>15.036</v>
      </c>
      <c r="AC45">
        <f>VLOOKUP($B45,'Data-PC'!$B$13:$AP$79,26,FALSE)*C45</f>
        <v>15.665782859999998</v>
      </c>
      <c r="AD45">
        <f>VLOOKUP($B45,'Data-PC'!$B$13:$AP$79,27,FALSE)</f>
        <v>13</v>
      </c>
      <c r="AE45">
        <f>VLOOKUP($B45,'Data-PC'!$B$13:$AP$79,28,FALSE)</f>
        <v>150</v>
      </c>
      <c r="AF45">
        <f>VLOOKUP($B45,'Data-PC'!$B$13:$AP$79,29,FALSE)</f>
        <v>8</v>
      </c>
      <c r="AG45">
        <f>VLOOKUP($B45,'Data-PC'!$B$13:$AP$79,30,FALSE)</f>
        <v>9.891</v>
      </c>
      <c r="AH45">
        <f>VLOOKUP($B45,'Data-PC'!$B$13:$AP$79,31,FALSE)*C45</f>
        <v>10.305284535</v>
      </c>
      <c r="AI45">
        <f>VLOOKUP($B45,'Data-PC'!$B$13:$AP$79,32,FALSE)</f>
        <v>16</v>
      </c>
      <c r="AJ45">
        <f>VLOOKUP($B45,'Data-PC'!$B$13:$AP$79,33,FALSE)</f>
        <v>150</v>
      </c>
      <c r="AK45">
        <f>VLOOKUP($B45,'Data-PC'!$B$13:$AP$79,34,FALSE)</f>
        <v>8</v>
      </c>
      <c r="AL45">
        <f>VLOOKUP($B45,'Data-PC'!$B$13:$AP$79,35,FALSE)</f>
        <v>16.656</v>
      </c>
      <c r="AM45">
        <f>VLOOKUP($B45,'Data-PC'!$B$13:$AP$79,36,FALSE)*C45</f>
        <v>26.28716544</v>
      </c>
      <c r="AN45">
        <f>VLOOKUP($B45,'Data-PC'!$B$13:$AP$79,37,FALSE)</f>
        <v>16</v>
      </c>
      <c r="AO45">
        <f>VLOOKUP($B45,'Data-PC'!$B$13:$AP$79,38,FALSE)</f>
        <v>150</v>
      </c>
      <c r="AP45">
        <f>VLOOKUP($B45,'Data-PC'!$B$13:$AP$79,39,FALSE)</f>
        <v>8</v>
      </c>
      <c r="AQ45">
        <f>VLOOKUP($B45,'Data-PC'!$B$13:$AP$79,40,FALSE)</f>
        <v>14.211</v>
      </c>
      <c r="AR45">
        <f>VLOOKUP($B45,'Data-PC'!$B$13:$AP$79,41,FALSE)*C45</f>
        <v>22.428368640000002</v>
      </c>
      <c r="AS45">
        <f>VLOOKUP($B45,'Data-PC'!$B$13:$AX$79,42,FALSE)</f>
        <v>0</v>
      </c>
      <c r="AT45">
        <f>VLOOKUP($B45,'Data-PC'!$B$13:$AX$79,43,FALSE)</f>
        <v>0</v>
      </c>
      <c r="AU45">
        <f>VLOOKUP($B45,'Data-PC'!$B$13:$AX$79,44,FALSE)</f>
        <v>1380</v>
      </c>
      <c r="AV45">
        <f>VLOOKUP($B45,'Data-PC'!$B$13:$AX$79,45,FALSE)*C45</f>
        <v>0</v>
      </c>
      <c r="AW45">
        <f>VLOOKUP($B45,'Data-PC'!$B$13:$AX$79,46,FALSE)</f>
        <v>0</v>
      </c>
      <c r="AX45">
        <f>VLOOKUP($B45,'Data-PC'!$B$13:$AX$79,47,FALSE)</f>
        <v>0</v>
      </c>
      <c r="AY45">
        <f>VLOOKUP($B45,'Data-PC'!$B$19:$AX$79,48,FALSE)</f>
        <v>0</v>
      </c>
      <c r="AZ45">
        <f>VLOOKUP($B45,'Data-PC'!$B$13:$AX$79,49,FALSE)*C45</f>
        <v>0</v>
      </c>
      <c r="BA45">
        <f>SUM(X45,AC45,AH45,AM45,AR45,AV45,AZ45)</f>
        <v>81.86234473190363</v>
      </c>
    </row>
    <row r="46">
      <c r="A46">
        <f>A45+1</f>
        <v>35</v>
      </c>
      <c r="B46" t="str">
        <v>PC.1</v>
      </c>
      <c r="C46">
        <v>1</v>
      </c>
      <c r="E46">
        <f>D46-(G46+'Data-PC'!$D$5)/1000</f>
        <v>-0.55</v>
      </c>
      <c r="F46">
        <f>VLOOKUP(B46,'Data-PC'!$B$13:$AP$56,15,FALSE)</f>
        <v>1.69</v>
      </c>
      <c r="G46">
        <f>VLOOKUP(B46,'Data-PC'!$B$13:$G$56,4,FALSE)</f>
        <v>500</v>
      </c>
      <c r="H46">
        <f>C46*VLOOKUP(B46,'Data-PC'!$B$13:$BC$56,18,FALSE)</f>
        <v>1</v>
      </c>
      <c r="I46">
        <f>C46*VLOOKUP(B46,'Data-PC'!$B$13:$BC$56,51,FALSE)</f>
        <v>0</v>
      </c>
      <c r="J46">
        <f>F46*C46*'Data-PC'!$D$5/1000</f>
        <v>0.0845</v>
      </c>
      <c r="K46">
        <f>F46*('Data-PC'!$D$4/1000)*C46</f>
        <v>0</v>
      </c>
      <c r="L46">
        <f>C46*F46*($T$3-E46)</f>
        <v>0.9295</v>
      </c>
      <c r="M46">
        <f>L46-(T46+J46)</f>
        <v>0.72</v>
      </c>
      <c r="S46">
        <f>L46-M46</f>
        <v>0.20950000000000002</v>
      </c>
      <c r="T46">
        <f>C46*VLOOKUP(B46,'Data-PC'!$B$13:$AP$56,16,FALSE)*(1+'Data-PC'!$T$3/100)</f>
        <v>0.125</v>
      </c>
      <c r="U46">
        <f>C46*VLOOKUP(B46,'Data-PC'!$B$13:$AP$56,17,FALSE)*(1+'Data-PC'!$T$5/100)</f>
        <v>1</v>
      </c>
      <c r="V46">
        <f>VLOOKUP($B46,'Data-PC'!$B$13:$AP$79,19,FALSE)</f>
        <v>2</v>
      </c>
      <c r="W46">
        <f>VLOOKUP($B46,'Data-PC'!$B$13:$AP$79,20,FALSE)</f>
        <v>13</v>
      </c>
      <c r="X46">
        <f>VLOOKUP($B46,'Data-PC'!$B$13:$AP$79,21,FALSE)*C46</f>
        <v>3.9925033199999995</v>
      </c>
      <c r="Y46">
        <f>VLOOKUP($B46,'Data-PC'!$B$13:$AP$79,22,FALSE)</f>
        <v>13</v>
      </c>
      <c r="Z46">
        <f>VLOOKUP($B46,'Data-PC'!$B$13:$AP$79,23,FALSE)</f>
        <v>125</v>
      </c>
      <c r="AA46">
        <f>VLOOKUP($B46,'Data-PC'!$B$13:$AP$79,24,FALSE)</f>
        <v>4</v>
      </c>
      <c r="AB46">
        <f>VLOOKUP($B46,'Data-PC'!$B$13:$AP$79,25,FALSE)</f>
        <v>3.52</v>
      </c>
      <c r="AC46">
        <f>VLOOKUP($B46,'Data-PC'!$B$13:$AP$79,26,FALSE)*C46</f>
        <v>3.6674352</v>
      </c>
      <c r="AD46">
        <f>VLOOKUP($B46,'Data-PC'!$B$13:$AP$79,27,FALSE)</f>
        <v>13</v>
      </c>
      <c r="AE46">
        <f>VLOOKUP($B46,'Data-PC'!$B$13:$AP$79,28,FALSE)</f>
        <v>125</v>
      </c>
      <c r="AF46">
        <f>VLOOKUP($B46,'Data-PC'!$B$13:$AP$79,29,FALSE)</f>
        <v>4</v>
      </c>
      <c r="AG46">
        <f>VLOOKUP($B46,'Data-PC'!$B$13:$AP$79,30,FALSE)</f>
        <v>3.52</v>
      </c>
      <c r="AH46">
        <f>VLOOKUP($B46,'Data-PC'!$B$13:$AP$79,31,FALSE)*C46</f>
        <v>3.6674352</v>
      </c>
      <c r="AI46">
        <f>VLOOKUP($B46,'Data-PC'!$B$13:$AP$79,32,FALSE)</f>
        <v>13</v>
      </c>
      <c r="AJ46">
        <f>VLOOKUP($B46,'Data-PC'!$B$13:$AP$79,33,FALSE)</f>
        <v>125</v>
      </c>
      <c r="AK46">
        <f>VLOOKUP($B46,'Data-PC'!$B$13:$AP$79,34,FALSE)</f>
        <v>4</v>
      </c>
      <c r="AL46">
        <f>VLOOKUP($B46,'Data-PC'!$B$13:$AP$79,35,FALSE)</f>
        <v>5.28</v>
      </c>
      <c r="AM46">
        <f>VLOOKUP($B46,'Data-PC'!$B$13:$AP$79,36,FALSE)*C46</f>
        <v>5.5011528</v>
      </c>
      <c r="AN46">
        <f>VLOOKUP($B46,'Data-PC'!$B$13:$AP$79,37,FALSE)</f>
        <v>13</v>
      </c>
      <c r="AO46">
        <f>VLOOKUP($B46,'Data-PC'!$B$13:$AP$79,38,FALSE)</f>
        <v>125</v>
      </c>
      <c r="AP46">
        <f>VLOOKUP($B46,'Data-PC'!$B$13:$AP$79,39,FALSE)</f>
        <v>4</v>
      </c>
      <c r="AQ46">
        <f>VLOOKUP($B46,'Data-PC'!$B$13:$AP$79,40,FALSE)</f>
        <v>5.28</v>
      </c>
      <c r="AR46">
        <f>VLOOKUP($B46,'Data-PC'!$B$13:$AP$79,41,FALSE)*C46</f>
        <v>5.5011528</v>
      </c>
      <c r="AS46">
        <f>VLOOKUP($B46,'Data-PC'!$B$13:$AX$79,42,FALSE)</f>
        <v>0</v>
      </c>
      <c r="AT46">
        <f>VLOOKUP($B46,'Data-PC'!$B$13:$AX$79,43,FALSE)</f>
        <v>0</v>
      </c>
      <c r="AU46">
        <f>VLOOKUP($B46,'Data-PC'!$B$13:$AX$79,44,FALSE)</f>
        <v>1180</v>
      </c>
      <c r="AV46">
        <f>VLOOKUP($B46,'Data-PC'!$B$13:$AX$79,45,FALSE)*C46</f>
        <v>0</v>
      </c>
      <c r="AW46">
        <f>VLOOKUP($B46,'Data-PC'!$B$13:$AX$79,46,FALSE)</f>
        <v>0</v>
      </c>
      <c r="AX46">
        <f>VLOOKUP($B46,'Data-PC'!$B$13:$AX$79,47,FALSE)</f>
        <v>0</v>
      </c>
      <c r="AY46" t="e">
        <f>VLOOKUP($B46,'Data-PC'!$B$19:$AX$79,48,FALSE)</f>
        <v>#N/A</v>
      </c>
      <c r="AZ46">
        <f>VLOOKUP($B46,'Data-PC'!$B$13:$AX$79,49,FALSE)*C46</f>
        <v>0</v>
      </c>
      <c r="BA46">
        <f>SUM(X46,AC46,AH46,AM46,AR46,AV46,AZ46)</f>
        <v>22.329679319999997</v>
      </c>
    </row>
    <row r="47">
      <c r="A47">
        <f>A46+1</f>
        <v>36</v>
      </c>
      <c r="B47" t="str">
        <v>PC.1</v>
      </c>
      <c r="C47">
        <v>1</v>
      </c>
      <c r="E47">
        <f>D47-(G47+'Data-PC'!$D$5)/1000</f>
        <v>-0.55</v>
      </c>
      <c r="F47">
        <f>VLOOKUP(B47,'Data-PC'!$B$13:$AP$56,15,FALSE)</f>
        <v>1.69</v>
      </c>
      <c r="G47">
        <f>VLOOKUP(B47,'Data-PC'!$B$13:$G$56,4,FALSE)</f>
        <v>500</v>
      </c>
      <c r="H47">
        <f>C47*VLOOKUP(B47,'Data-PC'!$B$13:$BC$56,18,FALSE)</f>
        <v>1</v>
      </c>
      <c r="I47">
        <f>C47*VLOOKUP(B47,'Data-PC'!$B$13:$BC$56,51,FALSE)</f>
        <v>0</v>
      </c>
      <c r="J47">
        <f>F47*C47*'Data-PC'!$D$5/1000</f>
        <v>0.0845</v>
      </c>
      <c r="K47">
        <f>F47*('Data-PC'!$D$4/1000)*C47</f>
        <v>0</v>
      </c>
      <c r="L47">
        <f>C47*F47*($T$3-E47)</f>
        <v>0.9295</v>
      </c>
      <c r="M47">
        <f>L47-(T47+J47)</f>
        <v>0.72</v>
      </c>
      <c r="S47">
        <f>L47-M47</f>
        <v>0.20950000000000002</v>
      </c>
      <c r="T47">
        <f>C47*VLOOKUP(B47,'Data-PC'!$B$13:$AP$56,16,FALSE)*(1+'Data-PC'!$T$3/100)</f>
        <v>0.125</v>
      </c>
      <c r="U47">
        <f>C47*VLOOKUP(B47,'Data-PC'!$B$13:$AP$56,17,FALSE)*(1+'Data-PC'!$T$5/100)</f>
        <v>1</v>
      </c>
      <c r="V47">
        <f>VLOOKUP($B47,'Data-PC'!$B$13:$AP$79,19,FALSE)</f>
        <v>2</v>
      </c>
      <c r="W47">
        <f>VLOOKUP($B47,'Data-PC'!$B$13:$AP$79,20,FALSE)</f>
        <v>13</v>
      </c>
      <c r="X47">
        <f>VLOOKUP($B47,'Data-PC'!$B$13:$AP$79,21,FALSE)*C47</f>
        <v>3.9925033199999995</v>
      </c>
      <c r="Y47">
        <f>VLOOKUP($B47,'Data-PC'!$B$13:$AP$79,22,FALSE)</f>
        <v>13</v>
      </c>
      <c r="Z47">
        <f>VLOOKUP($B47,'Data-PC'!$B$13:$AP$79,23,FALSE)</f>
        <v>125</v>
      </c>
      <c r="AA47">
        <f>VLOOKUP($B47,'Data-PC'!$B$13:$AP$79,24,FALSE)</f>
        <v>4</v>
      </c>
      <c r="AB47">
        <f>VLOOKUP($B47,'Data-PC'!$B$13:$AP$79,25,FALSE)</f>
        <v>3.52</v>
      </c>
      <c r="AC47">
        <f>VLOOKUP($B47,'Data-PC'!$B$13:$AP$79,26,FALSE)*C47</f>
        <v>3.6674352</v>
      </c>
      <c r="AD47">
        <f>VLOOKUP($B47,'Data-PC'!$B$13:$AP$79,27,FALSE)</f>
        <v>13</v>
      </c>
      <c r="AE47">
        <f>VLOOKUP($B47,'Data-PC'!$B$13:$AP$79,28,FALSE)</f>
        <v>125</v>
      </c>
      <c r="AF47">
        <f>VLOOKUP($B47,'Data-PC'!$B$13:$AP$79,29,FALSE)</f>
        <v>4</v>
      </c>
      <c r="AG47">
        <f>VLOOKUP($B47,'Data-PC'!$B$13:$AP$79,30,FALSE)</f>
        <v>3.52</v>
      </c>
      <c r="AH47">
        <f>VLOOKUP($B47,'Data-PC'!$B$13:$AP$79,31,FALSE)*C47</f>
        <v>3.6674352</v>
      </c>
      <c r="AI47">
        <f>VLOOKUP($B47,'Data-PC'!$B$13:$AP$79,32,FALSE)</f>
        <v>13</v>
      </c>
      <c r="AJ47">
        <f>VLOOKUP($B47,'Data-PC'!$B$13:$AP$79,33,FALSE)</f>
        <v>125</v>
      </c>
      <c r="AK47">
        <f>VLOOKUP($B47,'Data-PC'!$B$13:$AP$79,34,FALSE)</f>
        <v>4</v>
      </c>
      <c r="AL47">
        <f>VLOOKUP($B47,'Data-PC'!$B$13:$AP$79,35,FALSE)</f>
        <v>5.28</v>
      </c>
      <c r="AM47">
        <f>VLOOKUP($B47,'Data-PC'!$B$13:$AP$79,36,FALSE)*C47</f>
        <v>5.5011528</v>
      </c>
      <c r="AN47">
        <f>VLOOKUP($B47,'Data-PC'!$B$13:$AP$79,37,FALSE)</f>
        <v>13</v>
      </c>
      <c r="AO47">
        <f>VLOOKUP($B47,'Data-PC'!$B$13:$AP$79,38,FALSE)</f>
        <v>125</v>
      </c>
      <c r="AP47">
        <f>VLOOKUP($B47,'Data-PC'!$B$13:$AP$79,39,FALSE)</f>
        <v>4</v>
      </c>
      <c r="AQ47">
        <f>VLOOKUP($B47,'Data-PC'!$B$13:$AP$79,40,FALSE)</f>
        <v>5.28</v>
      </c>
      <c r="AR47">
        <f>VLOOKUP($B47,'Data-PC'!$B$13:$AP$79,41,FALSE)*C47</f>
        <v>5.5011528</v>
      </c>
      <c r="AS47">
        <f>VLOOKUP($B47,'Data-PC'!$B$13:$AX$79,42,FALSE)</f>
        <v>0</v>
      </c>
      <c r="AT47">
        <f>VLOOKUP($B47,'Data-PC'!$B$13:$AX$79,43,FALSE)</f>
        <v>0</v>
      </c>
      <c r="AU47">
        <f>VLOOKUP($B47,'Data-PC'!$B$13:$AX$79,44,FALSE)</f>
        <v>1180</v>
      </c>
      <c r="AV47">
        <f>VLOOKUP($B47,'Data-PC'!$B$13:$AX$79,45,FALSE)*C47</f>
        <v>0</v>
      </c>
      <c r="AW47">
        <f>VLOOKUP($B47,'Data-PC'!$B$13:$AX$79,46,FALSE)</f>
        <v>0</v>
      </c>
      <c r="AX47">
        <f>VLOOKUP($B47,'Data-PC'!$B$13:$AX$79,47,FALSE)</f>
        <v>0</v>
      </c>
      <c r="AY47" t="e">
        <f>VLOOKUP($B47,'Data-PC'!$B$19:$AX$79,48,FALSE)</f>
        <v>#N/A</v>
      </c>
      <c r="AZ47">
        <f>VLOOKUP($B47,'Data-PC'!$B$13:$AX$79,49,FALSE)*C47</f>
        <v>0</v>
      </c>
      <c r="BA47">
        <f>SUM(X47,AC47,AH47,AM47,AR47,AV47,AZ47)</f>
        <v>22.329679319999997</v>
      </c>
    </row>
    <row r="48">
      <c r="A48">
        <f>A47+1</f>
        <v>37</v>
      </c>
      <c r="B48" t="str">
        <v>PCS.1</v>
      </c>
      <c r="C48">
        <v>1</v>
      </c>
      <c r="E48">
        <f>D48-(G48+'Data-PC'!$D$5)/1000</f>
        <v>-0.65</v>
      </c>
      <c r="F48">
        <f>VLOOKUP(B48,'Data-PC'!$B$13:$AP$56,15,FALSE)</f>
        <v>2.24</v>
      </c>
      <c r="G48">
        <f>VLOOKUP(B48,'Data-PC'!$B$13:$G$56,4,FALSE)</f>
        <v>600</v>
      </c>
      <c r="H48">
        <f>C48*VLOOKUP(B48,'Data-PC'!$B$13:$BC$56,18,FALSE)</f>
        <v>0</v>
      </c>
      <c r="I48">
        <f>C48*VLOOKUP(B48,'Data-PC'!$B$13:$BC$56,51,FALSE)</f>
        <v>1</v>
      </c>
      <c r="J48">
        <f>F48*C48*'Data-PC'!$D$5/1000</f>
        <v>0.11200000000000002</v>
      </c>
      <c r="K48">
        <f>F48*('Data-PC'!$D$4/1000)*C48</f>
        <v>0</v>
      </c>
      <c r="L48">
        <f>C48*F48*($T$3-E48)</f>
        <v>1.4560000000000002</v>
      </c>
      <c r="M48">
        <f>L48-(T48+J48)</f>
        <v>1.056</v>
      </c>
      <c r="S48">
        <f>L48-M48</f>
        <v>0.40000000000000013</v>
      </c>
      <c r="T48">
        <f>C48*VLOOKUP(B48,'Data-PC'!$B$13:$AP$56,16,FALSE)*(1+'Data-PC'!$T$3/100)</f>
        <v>0.288</v>
      </c>
      <c r="U48">
        <f>C48*VLOOKUP(B48,'Data-PC'!$B$13:$AP$56,17,FALSE)*(1+'Data-PC'!$T$5/100)</f>
        <v>1.68</v>
      </c>
      <c r="V48">
        <f>VLOOKUP($B48,'Data-PC'!$B$13:$AP$79,19,FALSE)</f>
        <v>2</v>
      </c>
      <c r="W48">
        <f>VLOOKUP($B48,'Data-PC'!$B$13:$AP$79,20,FALSE)</f>
        <v>13</v>
      </c>
      <c r="X48">
        <f>VLOOKUP($B48,'Data-PC'!$B$13:$AP$79,21,FALSE)*C48</f>
        <v>5.659519319999999</v>
      </c>
      <c r="Y48">
        <f>VLOOKUP($B48,'Data-PC'!$B$13:$AP$79,22,FALSE)</f>
        <v>16</v>
      </c>
      <c r="Z48">
        <f>VLOOKUP($B48,'Data-PC'!$B$13:$AP$79,23,FALSE)</f>
        <v>100</v>
      </c>
      <c r="AA48">
        <f>VLOOKUP($B48,'Data-PC'!$B$13:$AP$79,24,FALSE)</f>
        <v>6</v>
      </c>
      <c r="AB48">
        <f>VLOOKUP($B48,'Data-PC'!$B$13:$AP$79,25,FALSE)</f>
        <v>7.68</v>
      </c>
      <c r="AC48">
        <f>VLOOKUP($B48,'Data-PC'!$B$13:$AP$79,26,FALSE)*C48</f>
        <v>12.1208832</v>
      </c>
      <c r="AD48">
        <f>VLOOKUP($B48,'Data-PC'!$B$13:$AP$79,27,FALSE)</f>
        <v>13</v>
      </c>
      <c r="AE48">
        <f>VLOOKUP($B48,'Data-PC'!$B$13:$AP$79,28,FALSE)</f>
        <v>100</v>
      </c>
      <c r="AF48">
        <f>VLOOKUP($B48,'Data-PC'!$B$13:$AP$79,29,FALSE)</f>
        <v>8</v>
      </c>
      <c r="AG48">
        <f>VLOOKUP($B48,'Data-PC'!$B$13:$AP$79,30,FALSE)</f>
        <v>8.64</v>
      </c>
      <c r="AH48">
        <f>VLOOKUP($B48,'Data-PC'!$B$13:$AP$79,31,FALSE)*C48</f>
        <v>9.0018864</v>
      </c>
      <c r="AI48">
        <f>VLOOKUP($B48,'Data-PC'!$B$13:$AP$79,32,FALSE)</f>
        <v>16</v>
      </c>
      <c r="AJ48">
        <f>VLOOKUP($B48,'Data-PC'!$B$13:$AP$79,33,FALSE)</f>
        <v>100</v>
      </c>
      <c r="AK48">
        <f>VLOOKUP($B48,'Data-PC'!$B$13:$AP$79,34,FALSE)</f>
        <v>6</v>
      </c>
      <c r="AL48">
        <f>VLOOKUP($B48,'Data-PC'!$B$13:$AP$79,35,FALSE)</f>
        <v>10.92</v>
      </c>
      <c r="AM48">
        <f>VLOOKUP($B48,'Data-PC'!$B$13:$AP$79,36,FALSE)*C48</f>
        <v>17.2343808</v>
      </c>
      <c r="AN48">
        <f>VLOOKUP($B48,'Data-PC'!$B$13:$AP$79,37,FALSE)</f>
        <v>13</v>
      </c>
      <c r="AO48">
        <f>VLOOKUP($B48,'Data-PC'!$B$13:$AP$79,38,FALSE)</f>
        <v>100</v>
      </c>
      <c r="AP48">
        <f>VLOOKUP($B48,'Data-PC'!$B$13:$AP$79,39,FALSE)</f>
        <v>8</v>
      </c>
      <c r="AQ48">
        <f>VLOOKUP($B48,'Data-PC'!$B$13:$AP$79,40,FALSE)</f>
        <v>12.96</v>
      </c>
      <c r="AR48">
        <f>VLOOKUP($B48,'Data-PC'!$B$13:$AP$79,41,FALSE)*C48</f>
        <v>13.5028296</v>
      </c>
      <c r="AS48">
        <f>VLOOKUP($B48,'Data-PC'!$B$13:$AX$79,42,FALSE)</f>
        <v>0</v>
      </c>
      <c r="AT48">
        <f>VLOOKUP($B48,'Data-PC'!$B$13:$AX$79,43,FALSE)</f>
        <v>0</v>
      </c>
      <c r="AU48">
        <f>VLOOKUP($B48,'Data-PC'!$B$13:$AX$79,44,FALSE)</f>
        <v>1380</v>
      </c>
      <c r="AV48">
        <f>VLOOKUP($B48,'Data-PC'!$B$13:$AX$79,45,FALSE)*C48</f>
        <v>0</v>
      </c>
      <c r="AW48">
        <f>VLOOKUP($B48,'Data-PC'!$B$13:$AX$79,46,FALSE)</f>
        <v>0</v>
      </c>
      <c r="AX48">
        <f>VLOOKUP($B48,'Data-PC'!$B$13:$AX$79,47,FALSE)</f>
        <v>0</v>
      </c>
      <c r="AY48">
        <f>VLOOKUP($B48,'Data-PC'!$B$19:$AX$79,48,FALSE)</f>
        <v>0</v>
      </c>
      <c r="AZ48">
        <f>VLOOKUP($B48,'Data-PC'!$B$13:$AX$79,49,FALSE)*C48</f>
        <v>0</v>
      </c>
      <c r="BA48">
        <f>SUM(X48,AC48,AH48,AM48,AR48,AV48,AZ48)</f>
        <v>57.519499319999994</v>
      </c>
    </row>
    <row r="49">
      <c r="A49">
        <f>A48+1</f>
        <v>38</v>
      </c>
      <c r="B49" t="str">
        <v>PC.1</v>
      </c>
      <c r="C49">
        <v>1</v>
      </c>
      <c r="E49">
        <f>D49-(G49+'Data-PC'!$D$5)/1000</f>
        <v>-0.55</v>
      </c>
      <c r="F49">
        <f>VLOOKUP(B49,'Data-PC'!$B$13:$AP$56,15,FALSE)</f>
        <v>1.69</v>
      </c>
      <c r="G49">
        <f>VLOOKUP(B49,'Data-PC'!$B$13:$G$56,4,FALSE)</f>
        <v>500</v>
      </c>
      <c r="H49">
        <f>C49*VLOOKUP(B49,'Data-PC'!$B$13:$BC$56,18,FALSE)</f>
        <v>1</v>
      </c>
      <c r="I49">
        <f>C49*VLOOKUP(B49,'Data-PC'!$B$13:$BC$56,51,FALSE)</f>
        <v>0</v>
      </c>
      <c r="J49">
        <f>F49*C49*'Data-PC'!$D$5/1000</f>
        <v>0.0845</v>
      </c>
      <c r="K49">
        <f>F49*('Data-PC'!$D$4/1000)*C49</f>
        <v>0</v>
      </c>
      <c r="L49">
        <f>C49*F49*($T$3-E49)</f>
        <v>0.9295</v>
      </c>
      <c r="M49">
        <f>L49-(T49+J49)</f>
        <v>0.72</v>
      </c>
      <c r="S49">
        <f>L49-M49</f>
        <v>0.20950000000000002</v>
      </c>
      <c r="T49">
        <f>C49*VLOOKUP(B49,'Data-PC'!$B$13:$AP$56,16,FALSE)*(1+'Data-PC'!$T$3/100)</f>
        <v>0.125</v>
      </c>
      <c r="U49">
        <f>C49*VLOOKUP(B49,'Data-PC'!$B$13:$AP$56,17,FALSE)*(1+'Data-PC'!$T$5/100)</f>
        <v>1</v>
      </c>
      <c r="V49">
        <f>VLOOKUP($B49,'Data-PC'!$B$13:$AP$79,19,FALSE)</f>
        <v>2</v>
      </c>
      <c r="W49">
        <f>VLOOKUP($B49,'Data-PC'!$B$13:$AP$79,20,FALSE)</f>
        <v>13</v>
      </c>
      <c r="X49">
        <f>VLOOKUP($B49,'Data-PC'!$B$13:$AP$79,21,FALSE)*C49</f>
        <v>3.9925033199999995</v>
      </c>
      <c r="Y49">
        <f>VLOOKUP($B49,'Data-PC'!$B$13:$AP$79,22,FALSE)</f>
        <v>13</v>
      </c>
      <c r="Z49">
        <f>VLOOKUP($B49,'Data-PC'!$B$13:$AP$79,23,FALSE)</f>
        <v>125</v>
      </c>
      <c r="AA49">
        <f>VLOOKUP($B49,'Data-PC'!$B$13:$AP$79,24,FALSE)</f>
        <v>4</v>
      </c>
      <c r="AB49">
        <f>VLOOKUP($B49,'Data-PC'!$B$13:$AP$79,25,FALSE)</f>
        <v>3.52</v>
      </c>
      <c r="AC49">
        <f>VLOOKUP($B49,'Data-PC'!$B$13:$AP$79,26,FALSE)*C49</f>
        <v>3.6674352</v>
      </c>
      <c r="AD49">
        <f>VLOOKUP($B49,'Data-PC'!$B$13:$AP$79,27,FALSE)</f>
        <v>13</v>
      </c>
      <c r="AE49">
        <f>VLOOKUP($B49,'Data-PC'!$B$13:$AP$79,28,FALSE)</f>
        <v>125</v>
      </c>
      <c r="AF49">
        <f>VLOOKUP($B49,'Data-PC'!$B$13:$AP$79,29,FALSE)</f>
        <v>4</v>
      </c>
      <c r="AG49">
        <f>VLOOKUP($B49,'Data-PC'!$B$13:$AP$79,30,FALSE)</f>
        <v>3.52</v>
      </c>
      <c r="AH49">
        <f>VLOOKUP($B49,'Data-PC'!$B$13:$AP$79,31,FALSE)*C49</f>
        <v>3.6674352</v>
      </c>
      <c r="AI49">
        <f>VLOOKUP($B49,'Data-PC'!$B$13:$AP$79,32,FALSE)</f>
        <v>13</v>
      </c>
      <c r="AJ49">
        <f>VLOOKUP($B49,'Data-PC'!$B$13:$AP$79,33,FALSE)</f>
        <v>125</v>
      </c>
      <c r="AK49">
        <f>VLOOKUP($B49,'Data-PC'!$B$13:$AP$79,34,FALSE)</f>
        <v>4</v>
      </c>
      <c r="AL49">
        <f>VLOOKUP($B49,'Data-PC'!$B$13:$AP$79,35,FALSE)</f>
        <v>5.28</v>
      </c>
      <c r="AM49">
        <f>VLOOKUP($B49,'Data-PC'!$B$13:$AP$79,36,FALSE)*C49</f>
        <v>5.5011528</v>
      </c>
      <c r="AN49">
        <f>VLOOKUP($B49,'Data-PC'!$B$13:$AP$79,37,FALSE)</f>
        <v>13</v>
      </c>
      <c r="AO49">
        <f>VLOOKUP($B49,'Data-PC'!$B$13:$AP$79,38,FALSE)</f>
        <v>125</v>
      </c>
      <c r="AP49">
        <f>VLOOKUP($B49,'Data-PC'!$B$13:$AP$79,39,FALSE)</f>
        <v>4</v>
      </c>
      <c r="AQ49">
        <f>VLOOKUP($B49,'Data-PC'!$B$13:$AP$79,40,FALSE)</f>
        <v>5.28</v>
      </c>
      <c r="AR49">
        <f>VLOOKUP($B49,'Data-PC'!$B$13:$AP$79,41,FALSE)*C49</f>
        <v>5.5011528</v>
      </c>
      <c r="AS49">
        <f>VLOOKUP($B49,'Data-PC'!$B$13:$AX$79,42,FALSE)</f>
        <v>0</v>
      </c>
      <c r="AT49">
        <f>VLOOKUP($B49,'Data-PC'!$B$13:$AX$79,43,FALSE)</f>
        <v>0</v>
      </c>
      <c r="AU49">
        <f>VLOOKUP($B49,'Data-PC'!$B$13:$AX$79,44,FALSE)</f>
        <v>1180</v>
      </c>
      <c r="AV49">
        <f>VLOOKUP($B49,'Data-PC'!$B$13:$AX$79,45,FALSE)*C49</f>
        <v>0</v>
      </c>
      <c r="AW49">
        <f>VLOOKUP($B49,'Data-PC'!$B$13:$AX$79,46,FALSE)</f>
        <v>0</v>
      </c>
      <c r="AX49">
        <f>VLOOKUP($B49,'Data-PC'!$B$13:$AX$79,47,FALSE)</f>
        <v>0</v>
      </c>
      <c r="AY49" t="e">
        <f>VLOOKUP($B49,'Data-PC'!$B$19:$AX$79,48,FALSE)</f>
        <v>#N/A</v>
      </c>
      <c r="AZ49">
        <f>VLOOKUP($B49,'Data-PC'!$B$13:$AX$79,49,FALSE)*C49</f>
        <v>0</v>
      </c>
      <c r="BA49">
        <f>SUM(X49,AC49,AH49,AM49,AR49,AV49,AZ49)</f>
        <v>22.329679319999997</v>
      </c>
    </row>
    <row r="50">
      <c r="A50">
        <f>A49+1</f>
        <v>39</v>
      </c>
      <c r="B50" t="str">
        <v>PC.1</v>
      </c>
      <c r="C50">
        <v>1</v>
      </c>
      <c r="E50">
        <f>D50-(G50+'Data-PC'!$D$5)/1000</f>
        <v>-0.55</v>
      </c>
      <c r="F50">
        <f>VLOOKUP(B50,'Data-PC'!$B$13:$AP$56,15,FALSE)</f>
        <v>1.69</v>
      </c>
      <c r="G50">
        <f>VLOOKUP(B50,'Data-PC'!$B$13:$G$56,4,FALSE)</f>
        <v>500</v>
      </c>
      <c r="H50">
        <f>C50*VLOOKUP(B50,'Data-PC'!$B$13:$BC$56,18,FALSE)</f>
        <v>1</v>
      </c>
      <c r="I50">
        <f>C50*VLOOKUP(B50,'Data-PC'!$B$13:$BC$56,51,FALSE)</f>
        <v>0</v>
      </c>
      <c r="J50">
        <f>F50*C50*'Data-PC'!$D$5/1000</f>
        <v>0.0845</v>
      </c>
      <c r="K50">
        <f>F50*('Data-PC'!$D$4/1000)*C50</f>
        <v>0</v>
      </c>
      <c r="L50">
        <f>C50*F50*($T$3-E50)</f>
        <v>0.9295</v>
      </c>
      <c r="M50">
        <f>L50-(T50+J50)</f>
        <v>0.72</v>
      </c>
      <c r="S50">
        <f>L50-M50</f>
        <v>0.20950000000000002</v>
      </c>
      <c r="T50">
        <f>C50*VLOOKUP(B50,'Data-PC'!$B$13:$AP$56,16,FALSE)*(1+'Data-PC'!$T$3/100)</f>
        <v>0.125</v>
      </c>
      <c r="U50">
        <f>C50*VLOOKUP(B50,'Data-PC'!$B$13:$AP$56,17,FALSE)*(1+'Data-PC'!$T$5/100)</f>
        <v>1</v>
      </c>
      <c r="V50">
        <f>VLOOKUP($B50,'Data-PC'!$B$13:$AP$79,19,FALSE)</f>
        <v>2</v>
      </c>
      <c r="W50">
        <f>VLOOKUP($B50,'Data-PC'!$B$13:$AP$79,20,FALSE)</f>
        <v>13</v>
      </c>
      <c r="X50">
        <f>VLOOKUP($B50,'Data-PC'!$B$13:$AP$79,21,FALSE)*C50</f>
        <v>3.9925033199999995</v>
      </c>
      <c r="Y50">
        <f>VLOOKUP($B50,'Data-PC'!$B$13:$AP$79,22,FALSE)</f>
        <v>13</v>
      </c>
      <c r="Z50">
        <f>VLOOKUP($B50,'Data-PC'!$B$13:$AP$79,23,FALSE)</f>
        <v>125</v>
      </c>
      <c r="AA50">
        <f>VLOOKUP($B50,'Data-PC'!$B$13:$AP$79,24,FALSE)</f>
        <v>4</v>
      </c>
      <c r="AB50">
        <f>VLOOKUP($B50,'Data-PC'!$B$13:$AP$79,25,FALSE)</f>
        <v>3.52</v>
      </c>
      <c r="AC50">
        <f>VLOOKUP($B50,'Data-PC'!$B$13:$AP$79,26,FALSE)*C50</f>
        <v>3.6674352</v>
      </c>
      <c r="AD50">
        <f>VLOOKUP($B50,'Data-PC'!$B$13:$AP$79,27,FALSE)</f>
        <v>13</v>
      </c>
      <c r="AE50">
        <f>VLOOKUP($B50,'Data-PC'!$B$13:$AP$79,28,FALSE)</f>
        <v>125</v>
      </c>
      <c r="AF50">
        <f>VLOOKUP($B50,'Data-PC'!$B$13:$AP$79,29,FALSE)</f>
        <v>4</v>
      </c>
      <c r="AG50">
        <f>VLOOKUP($B50,'Data-PC'!$B$13:$AP$79,30,FALSE)</f>
        <v>3.52</v>
      </c>
      <c r="AH50">
        <f>VLOOKUP($B50,'Data-PC'!$B$13:$AP$79,31,FALSE)*C50</f>
        <v>3.6674352</v>
      </c>
      <c r="AI50">
        <f>VLOOKUP($B50,'Data-PC'!$B$13:$AP$79,32,FALSE)</f>
        <v>13</v>
      </c>
      <c r="AJ50">
        <f>VLOOKUP($B50,'Data-PC'!$B$13:$AP$79,33,FALSE)</f>
        <v>125</v>
      </c>
      <c r="AK50">
        <f>VLOOKUP($B50,'Data-PC'!$B$13:$AP$79,34,FALSE)</f>
        <v>4</v>
      </c>
      <c r="AL50">
        <f>VLOOKUP($B50,'Data-PC'!$B$13:$AP$79,35,FALSE)</f>
        <v>5.28</v>
      </c>
      <c r="AM50">
        <f>VLOOKUP($B50,'Data-PC'!$B$13:$AP$79,36,FALSE)*C50</f>
        <v>5.5011528</v>
      </c>
      <c r="AN50">
        <f>VLOOKUP($B50,'Data-PC'!$B$13:$AP$79,37,FALSE)</f>
        <v>13</v>
      </c>
      <c r="AO50">
        <f>VLOOKUP($B50,'Data-PC'!$B$13:$AP$79,38,FALSE)</f>
        <v>125</v>
      </c>
      <c r="AP50">
        <f>VLOOKUP($B50,'Data-PC'!$B$13:$AP$79,39,FALSE)</f>
        <v>4</v>
      </c>
      <c r="AQ50">
        <f>VLOOKUP($B50,'Data-PC'!$B$13:$AP$79,40,FALSE)</f>
        <v>5.28</v>
      </c>
      <c r="AR50">
        <f>VLOOKUP($B50,'Data-PC'!$B$13:$AP$79,41,FALSE)*C50</f>
        <v>5.5011528</v>
      </c>
      <c r="AS50">
        <f>VLOOKUP($B50,'Data-PC'!$B$13:$AX$79,42,FALSE)</f>
        <v>0</v>
      </c>
      <c r="AT50">
        <f>VLOOKUP($B50,'Data-PC'!$B$13:$AX$79,43,FALSE)</f>
        <v>0</v>
      </c>
      <c r="AU50">
        <f>VLOOKUP($B50,'Data-PC'!$B$13:$AX$79,44,FALSE)</f>
        <v>1180</v>
      </c>
      <c r="AV50">
        <f>VLOOKUP($B50,'Data-PC'!$B$13:$AX$79,45,FALSE)*C50</f>
        <v>0</v>
      </c>
      <c r="AW50">
        <f>VLOOKUP($B50,'Data-PC'!$B$13:$AX$79,46,FALSE)</f>
        <v>0</v>
      </c>
      <c r="AX50">
        <f>VLOOKUP($B50,'Data-PC'!$B$13:$AX$79,47,FALSE)</f>
        <v>0</v>
      </c>
      <c r="AY50" t="e">
        <f>VLOOKUP($B50,'Data-PC'!$B$19:$AX$79,48,FALSE)</f>
        <v>#N/A</v>
      </c>
      <c r="AZ50">
        <f>VLOOKUP($B50,'Data-PC'!$B$13:$AX$79,49,FALSE)*C50</f>
        <v>0</v>
      </c>
      <c r="BA50">
        <f>SUM(X50,AC50,AH50,AM50,AR50,AV50,AZ50)</f>
        <v>22.329679319999997</v>
      </c>
    </row>
    <row r="51">
      <c r="A51">
        <f>A50+1</f>
        <v>40</v>
      </c>
      <c r="B51" t="str">
        <v>PC.1</v>
      </c>
      <c r="C51">
        <v>1</v>
      </c>
      <c r="E51">
        <f>D51-(G51+'Data-PC'!$D$5)/1000</f>
        <v>-0.55</v>
      </c>
      <c r="F51">
        <f>VLOOKUP(B51,'Data-PC'!$B$13:$AP$56,15,FALSE)</f>
        <v>1.69</v>
      </c>
      <c r="G51">
        <f>VLOOKUP(B51,'Data-PC'!$B$13:$G$56,4,FALSE)</f>
        <v>500</v>
      </c>
      <c r="H51">
        <f>C51*VLOOKUP(B51,'Data-PC'!$B$13:$BC$56,18,FALSE)</f>
        <v>1</v>
      </c>
      <c r="I51">
        <f>C51*VLOOKUP(B51,'Data-PC'!$B$13:$BC$56,51,FALSE)</f>
        <v>0</v>
      </c>
      <c r="J51">
        <f>F51*C51*'Data-PC'!$D$5/1000</f>
        <v>0.0845</v>
      </c>
      <c r="K51">
        <f>F51*('Data-PC'!$D$4/1000)*C51</f>
        <v>0</v>
      </c>
      <c r="L51">
        <f>C51*F51*($T$3-E51)</f>
        <v>0.9295</v>
      </c>
      <c r="M51">
        <f>L51-(T51+J51)</f>
        <v>0.72</v>
      </c>
      <c r="S51">
        <f>L51-M51</f>
        <v>0.20950000000000002</v>
      </c>
      <c r="T51">
        <f>C51*VLOOKUP(B51,'Data-PC'!$B$13:$AP$56,16,FALSE)*(1+'Data-PC'!$T$3/100)</f>
        <v>0.125</v>
      </c>
      <c r="U51">
        <f>C51*VLOOKUP(B51,'Data-PC'!$B$13:$AP$56,17,FALSE)*(1+'Data-PC'!$T$5/100)</f>
        <v>1</v>
      </c>
      <c r="V51">
        <f>VLOOKUP($B51,'Data-PC'!$B$13:$AP$79,19,FALSE)</f>
        <v>2</v>
      </c>
      <c r="W51">
        <f>VLOOKUP($B51,'Data-PC'!$B$13:$AP$79,20,FALSE)</f>
        <v>13</v>
      </c>
      <c r="X51">
        <f>VLOOKUP($B51,'Data-PC'!$B$13:$AP$79,21,FALSE)*C51</f>
        <v>3.9925033199999995</v>
      </c>
      <c r="Y51">
        <f>VLOOKUP($B51,'Data-PC'!$B$13:$AP$79,22,FALSE)</f>
        <v>13</v>
      </c>
      <c r="Z51">
        <f>VLOOKUP($B51,'Data-PC'!$B$13:$AP$79,23,FALSE)</f>
        <v>125</v>
      </c>
      <c r="AA51">
        <f>VLOOKUP($B51,'Data-PC'!$B$13:$AP$79,24,FALSE)</f>
        <v>4</v>
      </c>
      <c r="AB51">
        <f>VLOOKUP($B51,'Data-PC'!$B$13:$AP$79,25,FALSE)</f>
        <v>3.52</v>
      </c>
      <c r="AC51">
        <f>VLOOKUP($B51,'Data-PC'!$B$13:$AP$79,26,FALSE)*C51</f>
        <v>3.6674352</v>
      </c>
      <c r="AD51">
        <f>VLOOKUP($B51,'Data-PC'!$B$13:$AP$79,27,FALSE)</f>
        <v>13</v>
      </c>
      <c r="AE51">
        <f>VLOOKUP($B51,'Data-PC'!$B$13:$AP$79,28,FALSE)</f>
        <v>125</v>
      </c>
      <c r="AF51">
        <f>VLOOKUP($B51,'Data-PC'!$B$13:$AP$79,29,FALSE)</f>
        <v>4</v>
      </c>
      <c r="AG51">
        <f>VLOOKUP($B51,'Data-PC'!$B$13:$AP$79,30,FALSE)</f>
        <v>3.52</v>
      </c>
      <c r="AH51">
        <f>VLOOKUP($B51,'Data-PC'!$B$13:$AP$79,31,FALSE)*C51</f>
        <v>3.6674352</v>
      </c>
      <c r="AI51">
        <f>VLOOKUP($B51,'Data-PC'!$B$13:$AP$79,32,FALSE)</f>
        <v>13</v>
      </c>
      <c r="AJ51">
        <f>VLOOKUP($B51,'Data-PC'!$B$13:$AP$79,33,FALSE)</f>
        <v>125</v>
      </c>
      <c r="AK51">
        <f>VLOOKUP($B51,'Data-PC'!$B$13:$AP$79,34,FALSE)</f>
        <v>4</v>
      </c>
      <c r="AL51">
        <f>VLOOKUP($B51,'Data-PC'!$B$13:$AP$79,35,FALSE)</f>
        <v>5.28</v>
      </c>
      <c r="AM51">
        <f>VLOOKUP($B51,'Data-PC'!$B$13:$AP$79,36,FALSE)*C51</f>
        <v>5.5011528</v>
      </c>
      <c r="AN51">
        <f>VLOOKUP($B51,'Data-PC'!$B$13:$AP$79,37,FALSE)</f>
        <v>13</v>
      </c>
      <c r="AO51">
        <f>VLOOKUP($B51,'Data-PC'!$B$13:$AP$79,38,FALSE)</f>
        <v>125</v>
      </c>
      <c r="AP51">
        <f>VLOOKUP($B51,'Data-PC'!$B$13:$AP$79,39,FALSE)</f>
        <v>4</v>
      </c>
      <c r="AQ51">
        <f>VLOOKUP($B51,'Data-PC'!$B$13:$AP$79,40,FALSE)</f>
        <v>5.28</v>
      </c>
      <c r="AR51">
        <f>VLOOKUP($B51,'Data-PC'!$B$13:$AP$79,41,FALSE)*C51</f>
        <v>5.5011528</v>
      </c>
      <c r="AS51">
        <f>VLOOKUP($B51,'Data-PC'!$B$13:$AX$79,42,FALSE)</f>
        <v>0</v>
      </c>
      <c r="AT51">
        <f>VLOOKUP($B51,'Data-PC'!$B$13:$AX$79,43,FALSE)</f>
        <v>0</v>
      </c>
      <c r="AU51">
        <f>VLOOKUP($B51,'Data-PC'!$B$13:$AX$79,44,FALSE)</f>
        <v>1180</v>
      </c>
      <c r="AV51">
        <f>VLOOKUP($B51,'Data-PC'!$B$13:$AX$79,45,FALSE)*C51</f>
        <v>0</v>
      </c>
      <c r="AW51">
        <f>VLOOKUP($B51,'Data-PC'!$B$13:$AX$79,46,FALSE)</f>
        <v>0</v>
      </c>
      <c r="AX51">
        <f>VLOOKUP($B51,'Data-PC'!$B$13:$AX$79,47,FALSE)</f>
        <v>0</v>
      </c>
      <c r="AY51" t="e">
        <f>VLOOKUP($B51,'Data-PC'!$B$19:$AX$79,48,FALSE)</f>
        <v>#N/A</v>
      </c>
      <c r="AZ51">
        <f>VLOOKUP($B51,'Data-PC'!$B$13:$AX$79,49,FALSE)*C51</f>
        <v>0</v>
      </c>
      <c r="BA51">
        <f>SUM(X51,AC51,AH51,AM51,AR51,AV51,AZ51)</f>
        <v>22.329679319999997</v>
      </c>
    </row>
    <row r="52">
      <c r="A52">
        <f>A51+1</f>
        <v>41</v>
      </c>
      <c r="B52" t="str">
        <v>PCS.1</v>
      </c>
      <c r="C52">
        <v>1</v>
      </c>
      <c r="E52">
        <f>D52-(G52+'Data-PC'!$D$5)/1000</f>
        <v>-0.65</v>
      </c>
      <c r="F52">
        <f>VLOOKUP(B52,'Data-PC'!$B$13:$AP$56,15,FALSE)</f>
        <v>2.24</v>
      </c>
      <c r="G52">
        <f>VLOOKUP(B52,'Data-PC'!$B$13:$G$56,4,FALSE)</f>
        <v>600</v>
      </c>
      <c r="H52">
        <f>C52*VLOOKUP(B52,'Data-PC'!$B$13:$BC$56,18,FALSE)</f>
        <v>0</v>
      </c>
      <c r="I52">
        <f>C52*VLOOKUP(B52,'Data-PC'!$B$13:$BC$56,51,FALSE)</f>
        <v>1</v>
      </c>
      <c r="J52">
        <f>F52*C52*'Data-PC'!$D$5/1000</f>
        <v>0.11200000000000002</v>
      </c>
      <c r="K52">
        <f>F52*('Data-PC'!$D$4/1000)*C52</f>
        <v>0</v>
      </c>
      <c r="L52">
        <f>C52*F52*($T$3-E52)</f>
        <v>1.4560000000000002</v>
      </c>
      <c r="M52">
        <f>L52-(T52+J52)</f>
        <v>1.056</v>
      </c>
      <c r="S52">
        <f>L52-M52</f>
        <v>0.40000000000000013</v>
      </c>
      <c r="T52">
        <f>C52*VLOOKUP(B52,'Data-PC'!$B$13:$AP$56,16,FALSE)*(1+'Data-PC'!$T$3/100)</f>
        <v>0.288</v>
      </c>
      <c r="U52">
        <f>C52*VLOOKUP(B52,'Data-PC'!$B$13:$AP$56,17,FALSE)*(1+'Data-PC'!$T$5/100)</f>
        <v>1.68</v>
      </c>
      <c r="V52">
        <f>VLOOKUP($B52,'Data-PC'!$B$13:$AP$79,19,FALSE)</f>
        <v>2</v>
      </c>
      <c r="W52">
        <f>VLOOKUP($B52,'Data-PC'!$B$13:$AP$79,20,FALSE)</f>
        <v>13</v>
      </c>
      <c r="X52">
        <f>VLOOKUP($B52,'Data-PC'!$B$13:$AP$79,21,FALSE)*C52</f>
        <v>5.659519319999999</v>
      </c>
      <c r="Y52">
        <f>VLOOKUP($B52,'Data-PC'!$B$13:$AP$79,22,FALSE)</f>
        <v>16</v>
      </c>
      <c r="Z52">
        <f>VLOOKUP($B52,'Data-PC'!$B$13:$AP$79,23,FALSE)</f>
        <v>100</v>
      </c>
      <c r="AA52">
        <f>VLOOKUP($B52,'Data-PC'!$B$13:$AP$79,24,FALSE)</f>
        <v>6</v>
      </c>
      <c r="AB52">
        <f>VLOOKUP($B52,'Data-PC'!$B$13:$AP$79,25,FALSE)</f>
        <v>7.68</v>
      </c>
      <c r="AC52">
        <f>VLOOKUP($B52,'Data-PC'!$B$13:$AP$79,26,FALSE)*C52</f>
        <v>12.1208832</v>
      </c>
      <c r="AD52">
        <f>VLOOKUP($B52,'Data-PC'!$B$13:$AP$79,27,FALSE)</f>
        <v>13</v>
      </c>
      <c r="AE52">
        <f>VLOOKUP($B52,'Data-PC'!$B$13:$AP$79,28,FALSE)</f>
        <v>100</v>
      </c>
      <c r="AF52">
        <f>VLOOKUP($B52,'Data-PC'!$B$13:$AP$79,29,FALSE)</f>
        <v>8</v>
      </c>
      <c r="AG52">
        <f>VLOOKUP($B52,'Data-PC'!$B$13:$AP$79,30,FALSE)</f>
        <v>8.64</v>
      </c>
      <c r="AH52">
        <f>VLOOKUP($B52,'Data-PC'!$B$13:$AP$79,31,FALSE)*C52</f>
        <v>9.0018864</v>
      </c>
      <c r="AI52">
        <f>VLOOKUP($B52,'Data-PC'!$B$13:$AP$79,32,FALSE)</f>
        <v>16</v>
      </c>
      <c r="AJ52">
        <f>VLOOKUP($B52,'Data-PC'!$B$13:$AP$79,33,FALSE)</f>
        <v>100</v>
      </c>
      <c r="AK52">
        <f>VLOOKUP($B52,'Data-PC'!$B$13:$AP$79,34,FALSE)</f>
        <v>6</v>
      </c>
      <c r="AL52">
        <f>VLOOKUP($B52,'Data-PC'!$B$13:$AP$79,35,FALSE)</f>
        <v>10.92</v>
      </c>
      <c r="AM52">
        <f>VLOOKUP($B52,'Data-PC'!$B$13:$AP$79,36,FALSE)*C52</f>
        <v>17.2343808</v>
      </c>
      <c r="AN52">
        <f>VLOOKUP($B52,'Data-PC'!$B$13:$AP$79,37,FALSE)</f>
        <v>13</v>
      </c>
      <c r="AO52">
        <f>VLOOKUP($B52,'Data-PC'!$B$13:$AP$79,38,FALSE)</f>
        <v>100</v>
      </c>
      <c r="AP52">
        <f>VLOOKUP($B52,'Data-PC'!$B$13:$AP$79,39,FALSE)</f>
        <v>8</v>
      </c>
      <c r="AQ52">
        <f>VLOOKUP($B52,'Data-PC'!$B$13:$AP$79,40,FALSE)</f>
        <v>12.96</v>
      </c>
      <c r="AR52">
        <f>VLOOKUP($B52,'Data-PC'!$B$13:$AP$79,41,FALSE)*C52</f>
        <v>13.5028296</v>
      </c>
      <c r="AS52">
        <f>VLOOKUP($B52,'Data-PC'!$B$13:$AX$79,42,FALSE)</f>
        <v>0</v>
      </c>
      <c r="AT52">
        <f>VLOOKUP($B52,'Data-PC'!$B$13:$AX$79,43,FALSE)</f>
        <v>0</v>
      </c>
      <c r="AU52">
        <f>VLOOKUP($B52,'Data-PC'!$B$13:$AX$79,44,FALSE)</f>
        <v>1380</v>
      </c>
      <c r="AV52">
        <f>VLOOKUP($B52,'Data-PC'!$B$13:$AX$79,45,FALSE)*C52</f>
        <v>0</v>
      </c>
      <c r="AW52">
        <f>VLOOKUP($B52,'Data-PC'!$B$13:$AX$79,46,FALSE)</f>
        <v>0</v>
      </c>
      <c r="AX52">
        <f>VLOOKUP($B52,'Data-PC'!$B$13:$AX$79,47,FALSE)</f>
        <v>0</v>
      </c>
      <c r="AY52">
        <f>VLOOKUP($B52,'Data-PC'!$B$19:$AX$79,48,FALSE)</f>
        <v>0</v>
      </c>
      <c r="AZ52">
        <f>VLOOKUP($B52,'Data-PC'!$B$13:$AX$79,49,FALSE)*C52</f>
        <v>0</v>
      </c>
      <c r="BA52">
        <f>SUM(X52,AC52,AH52,AM52,AR52,AV52,AZ52)</f>
        <v>57.519499319999994</v>
      </c>
    </row>
    <row r="53">
      <c r="A53">
        <f>A52+1</f>
        <v>42</v>
      </c>
      <c r="B53" t="str">
        <v>PC.1</v>
      </c>
      <c r="C53">
        <v>1</v>
      </c>
      <c r="E53">
        <f>D53-(G53+'Data-PC'!$D$5)/1000</f>
        <v>-0.55</v>
      </c>
      <c r="F53">
        <f>VLOOKUP(B53,'Data-PC'!$B$13:$AP$56,15,FALSE)</f>
        <v>1.69</v>
      </c>
      <c r="G53">
        <f>VLOOKUP(B53,'Data-PC'!$B$13:$G$56,4,FALSE)</f>
        <v>500</v>
      </c>
      <c r="H53">
        <f>C53*VLOOKUP(B53,'Data-PC'!$B$13:$BC$56,18,FALSE)</f>
        <v>1</v>
      </c>
      <c r="I53">
        <f>C53*VLOOKUP(B53,'Data-PC'!$B$13:$BC$56,51,FALSE)</f>
        <v>0</v>
      </c>
      <c r="J53">
        <f>F53*C53*'Data-PC'!$D$5/1000</f>
        <v>0.0845</v>
      </c>
      <c r="K53">
        <f>F53*('Data-PC'!$D$4/1000)*C53</f>
        <v>0</v>
      </c>
      <c r="L53">
        <f>C53*F53*($T$3-E53)</f>
        <v>0.9295</v>
      </c>
      <c r="M53">
        <f>L53-(T53+J53)</f>
        <v>0.72</v>
      </c>
      <c r="S53">
        <f>L53-M53</f>
        <v>0.20950000000000002</v>
      </c>
      <c r="T53">
        <f>C53*VLOOKUP(B53,'Data-PC'!$B$13:$AP$56,16,FALSE)*(1+'Data-PC'!$T$3/100)</f>
        <v>0.125</v>
      </c>
      <c r="U53">
        <f>C53*VLOOKUP(B53,'Data-PC'!$B$13:$AP$56,17,FALSE)*(1+'Data-PC'!$T$5/100)</f>
        <v>1</v>
      </c>
      <c r="V53">
        <f>VLOOKUP($B53,'Data-PC'!$B$13:$AP$79,19,FALSE)</f>
        <v>2</v>
      </c>
      <c r="W53">
        <f>VLOOKUP($B53,'Data-PC'!$B$13:$AP$79,20,FALSE)</f>
        <v>13</v>
      </c>
      <c r="X53">
        <f>VLOOKUP($B53,'Data-PC'!$B$13:$AP$79,21,FALSE)*C53</f>
        <v>3.9925033199999995</v>
      </c>
      <c r="Y53">
        <f>VLOOKUP($B53,'Data-PC'!$B$13:$AP$79,22,FALSE)</f>
        <v>13</v>
      </c>
      <c r="Z53">
        <f>VLOOKUP($B53,'Data-PC'!$B$13:$AP$79,23,FALSE)</f>
        <v>125</v>
      </c>
      <c r="AA53">
        <f>VLOOKUP($B53,'Data-PC'!$B$13:$AP$79,24,FALSE)</f>
        <v>4</v>
      </c>
      <c r="AB53">
        <f>VLOOKUP($B53,'Data-PC'!$B$13:$AP$79,25,FALSE)</f>
        <v>3.52</v>
      </c>
      <c r="AC53">
        <f>VLOOKUP($B53,'Data-PC'!$B$13:$AP$79,26,FALSE)*C53</f>
        <v>3.6674352</v>
      </c>
      <c r="AD53">
        <f>VLOOKUP($B53,'Data-PC'!$B$13:$AP$79,27,FALSE)</f>
        <v>13</v>
      </c>
      <c r="AE53">
        <f>VLOOKUP($B53,'Data-PC'!$B$13:$AP$79,28,FALSE)</f>
        <v>125</v>
      </c>
      <c r="AF53">
        <f>VLOOKUP($B53,'Data-PC'!$B$13:$AP$79,29,FALSE)</f>
        <v>4</v>
      </c>
      <c r="AG53">
        <f>VLOOKUP($B53,'Data-PC'!$B$13:$AP$79,30,FALSE)</f>
        <v>3.52</v>
      </c>
      <c r="AH53">
        <f>VLOOKUP($B53,'Data-PC'!$B$13:$AP$79,31,FALSE)*C53</f>
        <v>3.6674352</v>
      </c>
      <c r="AI53">
        <f>VLOOKUP($B53,'Data-PC'!$B$13:$AP$79,32,FALSE)</f>
        <v>13</v>
      </c>
      <c r="AJ53">
        <f>VLOOKUP($B53,'Data-PC'!$B$13:$AP$79,33,FALSE)</f>
        <v>125</v>
      </c>
      <c r="AK53">
        <f>VLOOKUP($B53,'Data-PC'!$B$13:$AP$79,34,FALSE)</f>
        <v>4</v>
      </c>
      <c r="AL53">
        <f>VLOOKUP($B53,'Data-PC'!$B$13:$AP$79,35,FALSE)</f>
        <v>5.28</v>
      </c>
      <c r="AM53">
        <f>VLOOKUP($B53,'Data-PC'!$B$13:$AP$79,36,FALSE)*C53</f>
        <v>5.5011528</v>
      </c>
      <c r="AN53">
        <f>VLOOKUP($B53,'Data-PC'!$B$13:$AP$79,37,FALSE)</f>
        <v>13</v>
      </c>
      <c r="AO53">
        <f>VLOOKUP($B53,'Data-PC'!$B$13:$AP$79,38,FALSE)</f>
        <v>125</v>
      </c>
      <c r="AP53">
        <f>VLOOKUP($B53,'Data-PC'!$B$13:$AP$79,39,FALSE)</f>
        <v>4</v>
      </c>
      <c r="AQ53">
        <f>VLOOKUP($B53,'Data-PC'!$B$13:$AP$79,40,FALSE)</f>
        <v>5.28</v>
      </c>
      <c r="AR53">
        <f>VLOOKUP($B53,'Data-PC'!$B$13:$AP$79,41,FALSE)*C53</f>
        <v>5.5011528</v>
      </c>
      <c r="AS53">
        <f>VLOOKUP($B53,'Data-PC'!$B$13:$AX$79,42,FALSE)</f>
        <v>0</v>
      </c>
      <c r="AT53">
        <f>VLOOKUP($B53,'Data-PC'!$B$13:$AX$79,43,FALSE)</f>
        <v>0</v>
      </c>
      <c r="AU53">
        <f>VLOOKUP($B53,'Data-PC'!$B$13:$AX$79,44,FALSE)</f>
        <v>1180</v>
      </c>
      <c r="AV53">
        <f>VLOOKUP($B53,'Data-PC'!$B$13:$AX$79,45,FALSE)*C53</f>
        <v>0</v>
      </c>
      <c r="AW53">
        <f>VLOOKUP($B53,'Data-PC'!$B$13:$AX$79,46,FALSE)</f>
        <v>0</v>
      </c>
      <c r="AX53">
        <f>VLOOKUP($B53,'Data-PC'!$B$13:$AX$79,47,FALSE)</f>
        <v>0</v>
      </c>
      <c r="AY53" t="e">
        <f>VLOOKUP($B53,'Data-PC'!$B$19:$AX$79,48,FALSE)</f>
        <v>#N/A</v>
      </c>
      <c r="AZ53">
        <f>VLOOKUP($B53,'Data-PC'!$B$13:$AX$79,49,FALSE)*C53</f>
        <v>0</v>
      </c>
      <c r="BA53">
        <f>SUM(X53,AC53,AH53,AM53,AR53,AV53,AZ53)</f>
        <v>22.329679319999997</v>
      </c>
    </row>
    <row r="54">
      <c r="A54">
        <f>A53+1</f>
        <v>43</v>
      </c>
      <c r="B54" t="str">
        <v>PC.1</v>
      </c>
      <c r="C54">
        <v>1</v>
      </c>
      <c r="E54">
        <f>D54-(G54+'Data-PC'!$D$5)/1000</f>
        <v>-0.55</v>
      </c>
      <c r="F54">
        <f>VLOOKUP(B54,'Data-PC'!$B$13:$AP$56,15,FALSE)</f>
        <v>1.69</v>
      </c>
      <c r="G54">
        <f>VLOOKUP(B54,'Data-PC'!$B$13:$G$56,4,FALSE)</f>
        <v>500</v>
      </c>
      <c r="H54">
        <f>C54*VLOOKUP(B54,'Data-PC'!$B$13:$BC$56,18,FALSE)</f>
        <v>1</v>
      </c>
      <c r="I54">
        <f>C54*VLOOKUP(B54,'Data-PC'!$B$13:$BC$56,51,FALSE)</f>
        <v>0</v>
      </c>
      <c r="J54">
        <f>F54*C54*'Data-PC'!$D$5/1000</f>
        <v>0.0845</v>
      </c>
      <c r="K54">
        <f>F54*('Data-PC'!$D$4/1000)*C54</f>
        <v>0</v>
      </c>
      <c r="L54">
        <f>C54*F54*($T$3-E54)</f>
        <v>0.9295</v>
      </c>
      <c r="M54">
        <f>L54-(T54+J54)</f>
        <v>0.72</v>
      </c>
      <c r="S54">
        <f>L54-M54</f>
        <v>0.20950000000000002</v>
      </c>
      <c r="T54">
        <f>C54*VLOOKUP(B54,'Data-PC'!$B$13:$AP$56,16,FALSE)*(1+'Data-PC'!$T$3/100)</f>
        <v>0.125</v>
      </c>
      <c r="U54">
        <f>C54*VLOOKUP(B54,'Data-PC'!$B$13:$AP$56,17,FALSE)*(1+'Data-PC'!$T$5/100)</f>
        <v>1</v>
      </c>
      <c r="V54">
        <f>VLOOKUP($B54,'Data-PC'!$B$13:$AP$79,19,FALSE)</f>
        <v>2</v>
      </c>
      <c r="W54">
        <f>VLOOKUP($B54,'Data-PC'!$B$13:$AP$79,20,FALSE)</f>
        <v>13</v>
      </c>
      <c r="X54">
        <f>VLOOKUP($B54,'Data-PC'!$B$13:$AP$79,21,FALSE)*C54</f>
        <v>3.9925033199999995</v>
      </c>
      <c r="Y54">
        <f>VLOOKUP($B54,'Data-PC'!$B$13:$AP$79,22,FALSE)</f>
        <v>13</v>
      </c>
      <c r="Z54">
        <f>VLOOKUP($B54,'Data-PC'!$B$13:$AP$79,23,FALSE)</f>
        <v>125</v>
      </c>
      <c r="AA54">
        <f>VLOOKUP($B54,'Data-PC'!$B$13:$AP$79,24,FALSE)</f>
        <v>4</v>
      </c>
      <c r="AB54">
        <f>VLOOKUP($B54,'Data-PC'!$B$13:$AP$79,25,FALSE)</f>
        <v>3.52</v>
      </c>
      <c r="AC54">
        <f>VLOOKUP($B54,'Data-PC'!$B$13:$AP$79,26,FALSE)*C54</f>
        <v>3.6674352</v>
      </c>
      <c r="AD54">
        <f>VLOOKUP($B54,'Data-PC'!$B$13:$AP$79,27,FALSE)</f>
        <v>13</v>
      </c>
      <c r="AE54">
        <f>VLOOKUP($B54,'Data-PC'!$B$13:$AP$79,28,FALSE)</f>
        <v>125</v>
      </c>
      <c r="AF54">
        <f>VLOOKUP($B54,'Data-PC'!$B$13:$AP$79,29,FALSE)</f>
        <v>4</v>
      </c>
      <c r="AG54">
        <f>VLOOKUP($B54,'Data-PC'!$B$13:$AP$79,30,FALSE)</f>
        <v>3.52</v>
      </c>
      <c r="AH54">
        <f>VLOOKUP($B54,'Data-PC'!$B$13:$AP$79,31,FALSE)*C54</f>
        <v>3.6674352</v>
      </c>
      <c r="AI54">
        <f>VLOOKUP($B54,'Data-PC'!$B$13:$AP$79,32,FALSE)</f>
        <v>13</v>
      </c>
      <c r="AJ54">
        <f>VLOOKUP($B54,'Data-PC'!$B$13:$AP$79,33,FALSE)</f>
        <v>125</v>
      </c>
      <c r="AK54">
        <f>VLOOKUP($B54,'Data-PC'!$B$13:$AP$79,34,FALSE)</f>
        <v>4</v>
      </c>
      <c r="AL54">
        <f>VLOOKUP($B54,'Data-PC'!$B$13:$AP$79,35,FALSE)</f>
        <v>5.28</v>
      </c>
      <c r="AM54">
        <f>VLOOKUP($B54,'Data-PC'!$B$13:$AP$79,36,FALSE)*C54</f>
        <v>5.5011528</v>
      </c>
      <c r="AN54">
        <f>VLOOKUP($B54,'Data-PC'!$B$13:$AP$79,37,FALSE)</f>
        <v>13</v>
      </c>
      <c r="AO54">
        <f>VLOOKUP($B54,'Data-PC'!$B$13:$AP$79,38,FALSE)</f>
        <v>125</v>
      </c>
      <c r="AP54">
        <f>VLOOKUP($B54,'Data-PC'!$B$13:$AP$79,39,FALSE)</f>
        <v>4</v>
      </c>
      <c r="AQ54">
        <f>VLOOKUP($B54,'Data-PC'!$B$13:$AP$79,40,FALSE)</f>
        <v>5.28</v>
      </c>
      <c r="AR54">
        <f>VLOOKUP($B54,'Data-PC'!$B$13:$AP$79,41,FALSE)*C54</f>
        <v>5.5011528</v>
      </c>
      <c r="AS54">
        <f>VLOOKUP($B54,'Data-PC'!$B$13:$AX$79,42,FALSE)</f>
        <v>0</v>
      </c>
      <c r="AT54">
        <f>VLOOKUP($B54,'Data-PC'!$B$13:$AX$79,43,FALSE)</f>
        <v>0</v>
      </c>
      <c r="AU54">
        <f>VLOOKUP($B54,'Data-PC'!$B$13:$AX$79,44,FALSE)</f>
        <v>1180</v>
      </c>
      <c r="AV54">
        <f>VLOOKUP($B54,'Data-PC'!$B$13:$AX$79,45,FALSE)*C54</f>
        <v>0</v>
      </c>
      <c r="AW54">
        <f>VLOOKUP($B54,'Data-PC'!$B$13:$AX$79,46,FALSE)</f>
        <v>0</v>
      </c>
      <c r="AX54">
        <f>VLOOKUP($B54,'Data-PC'!$B$13:$AX$79,47,FALSE)</f>
        <v>0</v>
      </c>
      <c r="AY54" t="e">
        <f>VLOOKUP($B54,'Data-PC'!$B$19:$AX$79,48,FALSE)</f>
        <v>#N/A</v>
      </c>
      <c r="AZ54">
        <f>VLOOKUP($B54,'Data-PC'!$B$13:$AX$79,49,FALSE)*C54</f>
        <v>0</v>
      </c>
      <c r="BA54">
        <f>SUM(X54,AC54,AH54,AM54,AR54,AV54,AZ54)</f>
        <v>22.329679319999997</v>
      </c>
    </row>
    <row r="55">
      <c r="A55">
        <f>A54+1</f>
        <v>44</v>
      </c>
      <c r="B55" t="str">
        <v>PC.1</v>
      </c>
      <c r="C55">
        <v>1</v>
      </c>
      <c r="E55">
        <f>D55-(G55+'Data-PC'!$D$5)/1000</f>
        <v>-0.55</v>
      </c>
      <c r="F55">
        <f>VLOOKUP(B55,'Data-PC'!$B$13:$AP$56,15,FALSE)</f>
        <v>1.69</v>
      </c>
      <c r="G55">
        <f>VLOOKUP(B55,'Data-PC'!$B$13:$G$56,4,FALSE)</f>
        <v>500</v>
      </c>
      <c r="H55">
        <f>C55*VLOOKUP(B55,'Data-PC'!$B$13:$BC$56,18,FALSE)</f>
        <v>1</v>
      </c>
      <c r="I55">
        <f>C55*VLOOKUP(B55,'Data-PC'!$B$13:$BC$56,51,FALSE)</f>
        <v>0</v>
      </c>
      <c r="J55">
        <f>F55*C55*'Data-PC'!$D$5/1000</f>
        <v>0.0845</v>
      </c>
      <c r="K55">
        <f>F55*('Data-PC'!$D$4/1000)*C55</f>
        <v>0</v>
      </c>
      <c r="L55">
        <f>C55*F55*($T$3-E55)</f>
        <v>0.9295</v>
      </c>
      <c r="M55">
        <f>L55-(T55+J55)</f>
        <v>0.72</v>
      </c>
      <c r="S55">
        <f>L55-M55</f>
        <v>0.20950000000000002</v>
      </c>
      <c r="T55">
        <f>C55*VLOOKUP(B55,'Data-PC'!$B$13:$AP$56,16,FALSE)*(1+'Data-PC'!$T$3/100)</f>
        <v>0.125</v>
      </c>
      <c r="U55">
        <f>C55*VLOOKUP(B55,'Data-PC'!$B$13:$AP$56,17,FALSE)*(1+'Data-PC'!$T$5/100)</f>
        <v>1</v>
      </c>
      <c r="V55">
        <f>VLOOKUP($B55,'Data-PC'!$B$13:$AP$79,19,FALSE)</f>
        <v>2</v>
      </c>
      <c r="W55">
        <f>VLOOKUP($B55,'Data-PC'!$B$13:$AP$79,20,FALSE)</f>
        <v>13</v>
      </c>
      <c r="X55">
        <f>VLOOKUP($B55,'Data-PC'!$B$13:$AP$79,21,FALSE)*C55</f>
        <v>3.9925033199999995</v>
      </c>
      <c r="Y55">
        <f>VLOOKUP($B55,'Data-PC'!$B$13:$AP$79,22,FALSE)</f>
        <v>13</v>
      </c>
      <c r="Z55">
        <f>VLOOKUP($B55,'Data-PC'!$B$13:$AP$79,23,FALSE)</f>
        <v>125</v>
      </c>
      <c r="AA55">
        <f>VLOOKUP($B55,'Data-PC'!$B$13:$AP$79,24,FALSE)</f>
        <v>4</v>
      </c>
      <c r="AB55">
        <f>VLOOKUP($B55,'Data-PC'!$B$13:$AP$79,25,FALSE)</f>
        <v>3.52</v>
      </c>
      <c r="AC55">
        <f>VLOOKUP($B55,'Data-PC'!$B$13:$AP$79,26,FALSE)*C55</f>
        <v>3.6674352</v>
      </c>
      <c r="AD55">
        <f>VLOOKUP($B55,'Data-PC'!$B$13:$AP$79,27,FALSE)</f>
        <v>13</v>
      </c>
      <c r="AE55">
        <f>VLOOKUP($B55,'Data-PC'!$B$13:$AP$79,28,FALSE)</f>
        <v>125</v>
      </c>
      <c r="AF55">
        <f>VLOOKUP($B55,'Data-PC'!$B$13:$AP$79,29,FALSE)</f>
        <v>4</v>
      </c>
      <c r="AG55">
        <f>VLOOKUP($B55,'Data-PC'!$B$13:$AP$79,30,FALSE)</f>
        <v>3.52</v>
      </c>
      <c r="AH55">
        <f>VLOOKUP($B55,'Data-PC'!$B$13:$AP$79,31,FALSE)*C55</f>
        <v>3.6674352</v>
      </c>
      <c r="AI55">
        <f>VLOOKUP($B55,'Data-PC'!$B$13:$AP$79,32,FALSE)</f>
        <v>13</v>
      </c>
      <c r="AJ55">
        <f>VLOOKUP($B55,'Data-PC'!$B$13:$AP$79,33,FALSE)</f>
        <v>125</v>
      </c>
      <c r="AK55">
        <f>VLOOKUP($B55,'Data-PC'!$B$13:$AP$79,34,FALSE)</f>
        <v>4</v>
      </c>
      <c r="AL55">
        <f>VLOOKUP($B55,'Data-PC'!$B$13:$AP$79,35,FALSE)</f>
        <v>5.28</v>
      </c>
      <c r="AM55">
        <f>VLOOKUP($B55,'Data-PC'!$B$13:$AP$79,36,FALSE)*C55</f>
        <v>5.5011528</v>
      </c>
      <c r="AN55">
        <f>VLOOKUP($B55,'Data-PC'!$B$13:$AP$79,37,FALSE)</f>
        <v>13</v>
      </c>
      <c r="AO55">
        <f>VLOOKUP($B55,'Data-PC'!$B$13:$AP$79,38,FALSE)</f>
        <v>125</v>
      </c>
      <c r="AP55">
        <f>VLOOKUP($B55,'Data-PC'!$B$13:$AP$79,39,FALSE)</f>
        <v>4</v>
      </c>
      <c r="AQ55">
        <f>VLOOKUP($B55,'Data-PC'!$B$13:$AP$79,40,FALSE)</f>
        <v>5.28</v>
      </c>
      <c r="AR55">
        <f>VLOOKUP($B55,'Data-PC'!$B$13:$AP$79,41,FALSE)*C55</f>
        <v>5.5011528</v>
      </c>
      <c r="AS55">
        <f>VLOOKUP($B55,'Data-PC'!$B$13:$AX$79,42,FALSE)</f>
        <v>0</v>
      </c>
      <c r="AT55">
        <f>VLOOKUP($B55,'Data-PC'!$B$13:$AX$79,43,FALSE)</f>
        <v>0</v>
      </c>
      <c r="AU55">
        <f>VLOOKUP($B55,'Data-PC'!$B$13:$AX$79,44,FALSE)</f>
        <v>1180</v>
      </c>
      <c r="AV55">
        <f>VLOOKUP($B55,'Data-PC'!$B$13:$AX$79,45,FALSE)*C55</f>
        <v>0</v>
      </c>
      <c r="AW55">
        <f>VLOOKUP($B55,'Data-PC'!$B$13:$AX$79,46,FALSE)</f>
        <v>0</v>
      </c>
      <c r="AX55">
        <f>VLOOKUP($B55,'Data-PC'!$B$13:$AX$79,47,FALSE)</f>
        <v>0</v>
      </c>
      <c r="AY55" t="e">
        <f>VLOOKUP($B55,'Data-PC'!$B$19:$AX$79,48,FALSE)</f>
        <v>#N/A</v>
      </c>
      <c r="AZ55">
        <f>VLOOKUP($B55,'Data-PC'!$B$13:$AX$79,49,FALSE)*C55</f>
        <v>0</v>
      </c>
      <c r="BA55">
        <f>SUM(X55,AC55,AH55,AM55,AR55,AV55,AZ55)</f>
        <v>22.329679319999997</v>
      </c>
    </row>
    <row r="56">
      <c r="A56">
        <f>A55+1</f>
        <v>45</v>
      </c>
      <c r="B56" t="str">
        <v>PC.1</v>
      </c>
      <c r="C56">
        <v>1</v>
      </c>
      <c r="E56">
        <f>D56-(G56+'Data-PC'!$D$5)/1000</f>
        <v>-0.55</v>
      </c>
      <c r="F56">
        <f>VLOOKUP(B56,'Data-PC'!$B$13:$AP$56,15,FALSE)</f>
        <v>1.69</v>
      </c>
      <c r="G56">
        <f>VLOOKUP(B56,'Data-PC'!$B$13:$G$56,4,FALSE)</f>
        <v>500</v>
      </c>
      <c r="H56">
        <f>C56*VLOOKUP(B56,'Data-PC'!$B$13:$BC$56,18,FALSE)</f>
        <v>1</v>
      </c>
      <c r="I56">
        <f>C56*VLOOKUP(B56,'Data-PC'!$B$13:$BC$56,51,FALSE)</f>
        <v>0</v>
      </c>
      <c r="J56">
        <f>F56*C56*'Data-PC'!$D$5/1000</f>
        <v>0.0845</v>
      </c>
      <c r="K56">
        <f>F56*('Data-PC'!$D$4/1000)*C56</f>
        <v>0</v>
      </c>
      <c r="L56">
        <f>C56*F56*($T$3-E56)</f>
        <v>0.9295</v>
      </c>
      <c r="M56">
        <f>L56-(T56+J56)</f>
        <v>0.72</v>
      </c>
      <c r="S56">
        <f>L56-M56</f>
        <v>0.20950000000000002</v>
      </c>
      <c r="T56">
        <f>C56*VLOOKUP(B56,'Data-PC'!$B$13:$AP$56,16,FALSE)*(1+'Data-PC'!$T$3/100)</f>
        <v>0.125</v>
      </c>
      <c r="U56">
        <f>C56*VLOOKUP(B56,'Data-PC'!$B$13:$AP$56,17,FALSE)*(1+'Data-PC'!$T$5/100)</f>
        <v>1</v>
      </c>
      <c r="V56">
        <f>VLOOKUP($B56,'Data-PC'!$B$13:$AP$79,19,FALSE)</f>
        <v>2</v>
      </c>
      <c r="W56">
        <f>VLOOKUP($B56,'Data-PC'!$B$13:$AP$79,20,FALSE)</f>
        <v>13</v>
      </c>
      <c r="X56">
        <f>VLOOKUP($B56,'Data-PC'!$B$13:$AP$79,21,FALSE)*C56</f>
        <v>3.9925033199999995</v>
      </c>
      <c r="Y56">
        <f>VLOOKUP($B56,'Data-PC'!$B$13:$AP$79,22,FALSE)</f>
        <v>13</v>
      </c>
      <c r="Z56">
        <f>VLOOKUP($B56,'Data-PC'!$B$13:$AP$79,23,FALSE)</f>
        <v>125</v>
      </c>
      <c r="AA56">
        <f>VLOOKUP($B56,'Data-PC'!$B$13:$AP$79,24,FALSE)</f>
        <v>4</v>
      </c>
      <c r="AB56">
        <f>VLOOKUP($B56,'Data-PC'!$B$13:$AP$79,25,FALSE)</f>
        <v>3.52</v>
      </c>
      <c r="AC56">
        <f>VLOOKUP($B56,'Data-PC'!$B$13:$AP$79,26,FALSE)*C56</f>
        <v>3.6674352</v>
      </c>
      <c r="AD56">
        <f>VLOOKUP($B56,'Data-PC'!$B$13:$AP$79,27,FALSE)</f>
        <v>13</v>
      </c>
      <c r="AE56">
        <f>VLOOKUP($B56,'Data-PC'!$B$13:$AP$79,28,FALSE)</f>
        <v>125</v>
      </c>
      <c r="AF56">
        <f>VLOOKUP($B56,'Data-PC'!$B$13:$AP$79,29,FALSE)</f>
        <v>4</v>
      </c>
      <c r="AG56">
        <f>VLOOKUP($B56,'Data-PC'!$B$13:$AP$79,30,FALSE)</f>
        <v>3.52</v>
      </c>
      <c r="AH56">
        <f>VLOOKUP($B56,'Data-PC'!$B$13:$AP$79,31,FALSE)*C56</f>
        <v>3.6674352</v>
      </c>
      <c r="AI56">
        <f>VLOOKUP($B56,'Data-PC'!$B$13:$AP$79,32,FALSE)</f>
        <v>13</v>
      </c>
      <c r="AJ56">
        <f>VLOOKUP($B56,'Data-PC'!$B$13:$AP$79,33,FALSE)</f>
        <v>125</v>
      </c>
      <c r="AK56">
        <f>VLOOKUP($B56,'Data-PC'!$B$13:$AP$79,34,FALSE)</f>
        <v>4</v>
      </c>
      <c r="AL56">
        <f>VLOOKUP($B56,'Data-PC'!$B$13:$AP$79,35,FALSE)</f>
        <v>5.28</v>
      </c>
      <c r="AM56">
        <f>VLOOKUP($B56,'Data-PC'!$B$13:$AP$79,36,FALSE)*C56</f>
        <v>5.5011528</v>
      </c>
      <c r="AN56">
        <f>VLOOKUP($B56,'Data-PC'!$B$13:$AP$79,37,FALSE)</f>
        <v>13</v>
      </c>
      <c r="AO56">
        <f>VLOOKUP($B56,'Data-PC'!$B$13:$AP$79,38,FALSE)</f>
        <v>125</v>
      </c>
      <c r="AP56">
        <f>VLOOKUP($B56,'Data-PC'!$B$13:$AP$79,39,FALSE)</f>
        <v>4</v>
      </c>
      <c r="AQ56">
        <f>VLOOKUP($B56,'Data-PC'!$B$13:$AP$79,40,FALSE)</f>
        <v>5.28</v>
      </c>
      <c r="AR56">
        <f>VLOOKUP($B56,'Data-PC'!$B$13:$AP$79,41,FALSE)*C56</f>
        <v>5.5011528</v>
      </c>
      <c r="AS56">
        <f>VLOOKUP($B56,'Data-PC'!$B$13:$AX$79,42,FALSE)</f>
        <v>0</v>
      </c>
      <c r="AT56">
        <f>VLOOKUP($B56,'Data-PC'!$B$13:$AX$79,43,FALSE)</f>
        <v>0</v>
      </c>
      <c r="AU56">
        <f>VLOOKUP($B56,'Data-PC'!$B$13:$AX$79,44,FALSE)</f>
        <v>1180</v>
      </c>
      <c r="AV56">
        <f>VLOOKUP($B56,'Data-PC'!$B$13:$AX$79,45,FALSE)*C56</f>
        <v>0</v>
      </c>
      <c r="AW56">
        <f>VLOOKUP($B56,'Data-PC'!$B$13:$AX$79,46,FALSE)</f>
        <v>0</v>
      </c>
      <c r="AX56">
        <f>VLOOKUP($B56,'Data-PC'!$B$13:$AX$79,47,FALSE)</f>
        <v>0</v>
      </c>
      <c r="AY56" t="e">
        <f>VLOOKUP($B56,'Data-PC'!$B$19:$AX$79,48,FALSE)</f>
        <v>#N/A</v>
      </c>
      <c r="AZ56">
        <f>VLOOKUP($B56,'Data-PC'!$B$13:$AX$79,49,FALSE)*C56</f>
        <v>0</v>
      </c>
      <c r="BA56">
        <f>SUM(X56,AC56,AH56,AM56,AR56,AV56,AZ56)</f>
        <v>22.329679319999997</v>
      </c>
    </row>
    <row r="57">
      <c r="A57">
        <f>A56+1</f>
        <v>46</v>
      </c>
      <c r="B57" t="str">
        <v>PC.1</v>
      </c>
      <c r="C57">
        <v>1</v>
      </c>
      <c r="E57">
        <f>D57-(G57+'Data-PC'!$D$5)/1000</f>
        <v>-0.55</v>
      </c>
      <c r="F57">
        <f>VLOOKUP(B57,'Data-PC'!$B$13:$AP$56,15,FALSE)</f>
        <v>1.69</v>
      </c>
      <c r="G57">
        <f>VLOOKUP(B57,'Data-PC'!$B$13:$G$56,4,FALSE)</f>
        <v>500</v>
      </c>
      <c r="H57">
        <f>C57*VLOOKUP(B57,'Data-PC'!$B$13:$BC$56,18,FALSE)</f>
        <v>1</v>
      </c>
      <c r="I57">
        <f>C57*VLOOKUP(B57,'Data-PC'!$B$13:$BC$56,51,FALSE)</f>
        <v>0</v>
      </c>
      <c r="J57">
        <f>F57*C57*'Data-PC'!$D$5/1000</f>
        <v>0.0845</v>
      </c>
      <c r="K57">
        <f>F57*('Data-PC'!$D$4/1000)*C57</f>
        <v>0</v>
      </c>
      <c r="L57">
        <f>C57*F57*($T$3-E57)</f>
        <v>0.9295</v>
      </c>
      <c r="M57">
        <f>L57-(T57+J57)</f>
        <v>0.72</v>
      </c>
      <c r="S57">
        <f>L57-M57</f>
        <v>0.20950000000000002</v>
      </c>
      <c r="T57">
        <f>C57*VLOOKUP(B57,'Data-PC'!$B$13:$AP$56,16,FALSE)*(1+'Data-PC'!$T$3/100)</f>
        <v>0.125</v>
      </c>
      <c r="U57">
        <f>C57*VLOOKUP(B57,'Data-PC'!$B$13:$AP$56,17,FALSE)*(1+'Data-PC'!$T$5/100)</f>
        <v>1</v>
      </c>
      <c r="V57">
        <f>VLOOKUP($B57,'Data-PC'!$B$13:$AP$79,19,FALSE)</f>
        <v>2</v>
      </c>
      <c r="W57">
        <f>VLOOKUP($B57,'Data-PC'!$B$13:$AP$79,20,FALSE)</f>
        <v>13</v>
      </c>
      <c r="X57">
        <f>VLOOKUP($B57,'Data-PC'!$B$13:$AP$79,21,FALSE)*C57</f>
        <v>3.9925033199999995</v>
      </c>
      <c r="Y57">
        <f>VLOOKUP($B57,'Data-PC'!$B$13:$AP$79,22,FALSE)</f>
        <v>13</v>
      </c>
      <c r="Z57">
        <f>VLOOKUP($B57,'Data-PC'!$B$13:$AP$79,23,FALSE)</f>
        <v>125</v>
      </c>
      <c r="AA57">
        <f>VLOOKUP($B57,'Data-PC'!$B$13:$AP$79,24,FALSE)</f>
        <v>4</v>
      </c>
      <c r="AB57">
        <f>VLOOKUP($B57,'Data-PC'!$B$13:$AP$79,25,FALSE)</f>
        <v>3.52</v>
      </c>
      <c r="AC57">
        <f>VLOOKUP($B57,'Data-PC'!$B$13:$AP$79,26,FALSE)*C57</f>
        <v>3.6674352</v>
      </c>
      <c r="AD57">
        <f>VLOOKUP($B57,'Data-PC'!$B$13:$AP$79,27,FALSE)</f>
        <v>13</v>
      </c>
      <c r="AE57">
        <f>VLOOKUP($B57,'Data-PC'!$B$13:$AP$79,28,FALSE)</f>
        <v>125</v>
      </c>
      <c r="AF57">
        <f>VLOOKUP($B57,'Data-PC'!$B$13:$AP$79,29,FALSE)</f>
        <v>4</v>
      </c>
      <c r="AG57">
        <f>VLOOKUP($B57,'Data-PC'!$B$13:$AP$79,30,FALSE)</f>
        <v>3.52</v>
      </c>
      <c r="AH57">
        <f>VLOOKUP($B57,'Data-PC'!$B$13:$AP$79,31,FALSE)*C57</f>
        <v>3.6674352</v>
      </c>
      <c r="AI57">
        <f>VLOOKUP($B57,'Data-PC'!$B$13:$AP$79,32,FALSE)</f>
        <v>13</v>
      </c>
      <c r="AJ57">
        <f>VLOOKUP($B57,'Data-PC'!$B$13:$AP$79,33,FALSE)</f>
        <v>125</v>
      </c>
      <c r="AK57">
        <f>VLOOKUP($B57,'Data-PC'!$B$13:$AP$79,34,FALSE)</f>
        <v>4</v>
      </c>
      <c r="AL57">
        <f>VLOOKUP($B57,'Data-PC'!$B$13:$AP$79,35,FALSE)</f>
        <v>5.28</v>
      </c>
      <c r="AM57">
        <f>VLOOKUP($B57,'Data-PC'!$B$13:$AP$79,36,FALSE)*C57</f>
        <v>5.5011528</v>
      </c>
      <c r="AN57">
        <f>VLOOKUP($B57,'Data-PC'!$B$13:$AP$79,37,FALSE)</f>
        <v>13</v>
      </c>
      <c r="AO57">
        <f>VLOOKUP($B57,'Data-PC'!$B$13:$AP$79,38,FALSE)</f>
        <v>125</v>
      </c>
      <c r="AP57">
        <f>VLOOKUP($B57,'Data-PC'!$B$13:$AP$79,39,FALSE)</f>
        <v>4</v>
      </c>
      <c r="AQ57">
        <f>VLOOKUP($B57,'Data-PC'!$B$13:$AP$79,40,FALSE)</f>
        <v>5.28</v>
      </c>
      <c r="AR57">
        <f>VLOOKUP($B57,'Data-PC'!$B$13:$AP$79,41,FALSE)*C57</f>
        <v>5.5011528</v>
      </c>
      <c r="AS57">
        <f>VLOOKUP($B57,'Data-PC'!$B$13:$AX$79,42,FALSE)</f>
        <v>0</v>
      </c>
      <c r="AT57">
        <f>VLOOKUP($B57,'Data-PC'!$B$13:$AX$79,43,FALSE)</f>
        <v>0</v>
      </c>
      <c r="AU57">
        <f>VLOOKUP($B57,'Data-PC'!$B$13:$AX$79,44,FALSE)</f>
        <v>1180</v>
      </c>
      <c r="AV57">
        <f>VLOOKUP($B57,'Data-PC'!$B$13:$AX$79,45,FALSE)*C57</f>
        <v>0</v>
      </c>
      <c r="AW57">
        <f>VLOOKUP($B57,'Data-PC'!$B$13:$AX$79,46,FALSE)</f>
        <v>0</v>
      </c>
      <c r="AX57">
        <f>VLOOKUP($B57,'Data-PC'!$B$13:$AX$79,47,FALSE)</f>
        <v>0</v>
      </c>
      <c r="AY57" t="e">
        <f>VLOOKUP($B57,'Data-PC'!$B$19:$AX$79,48,FALSE)</f>
        <v>#N/A</v>
      </c>
      <c r="AZ57">
        <f>VLOOKUP($B57,'Data-PC'!$B$13:$AX$79,49,FALSE)*C57</f>
        <v>0</v>
      </c>
      <c r="BA57">
        <f>SUM(X57,AC57,AH57,AM57,AR57,AV57,AZ57)</f>
        <v>22.329679319999997</v>
      </c>
    </row>
    <row r="58">
      <c r="A58">
        <f>A57+1</f>
        <v>47</v>
      </c>
      <c r="B58" t="str">
        <v>PC.1</v>
      </c>
      <c r="C58">
        <v>1</v>
      </c>
      <c r="E58">
        <f>D58-(G58+'Data-PC'!$D$5)/1000</f>
        <v>-0.55</v>
      </c>
      <c r="F58">
        <f>VLOOKUP(B58,'Data-PC'!$B$13:$AP$56,15,FALSE)</f>
        <v>1.69</v>
      </c>
      <c r="G58">
        <f>VLOOKUP(B58,'Data-PC'!$B$13:$G$56,4,FALSE)</f>
        <v>500</v>
      </c>
      <c r="H58">
        <f>C58*VLOOKUP(B58,'Data-PC'!$B$13:$BC$56,18,FALSE)</f>
        <v>1</v>
      </c>
      <c r="I58">
        <f>C58*VLOOKUP(B58,'Data-PC'!$B$13:$BC$56,51,FALSE)</f>
        <v>0</v>
      </c>
      <c r="J58">
        <f>F58*C58*'Data-PC'!$D$5/1000</f>
        <v>0.0845</v>
      </c>
      <c r="K58">
        <f>F58*('Data-PC'!$D$4/1000)*C58</f>
        <v>0</v>
      </c>
      <c r="L58">
        <f>C58*F58*($T$3-E58)</f>
        <v>0.9295</v>
      </c>
      <c r="M58">
        <f>L58-(T58+J58)</f>
        <v>0.72</v>
      </c>
      <c r="S58">
        <f>L58-M58</f>
        <v>0.20950000000000002</v>
      </c>
      <c r="T58">
        <f>C58*VLOOKUP(B58,'Data-PC'!$B$13:$AP$56,16,FALSE)*(1+'Data-PC'!$T$3/100)</f>
        <v>0.125</v>
      </c>
      <c r="U58">
        <f>C58*VLOOKUP(B58,'Data-PC'!$B$13:$AP$56,17,FALSE)*(1+'Data-PC'!$T$5/100)</f>
        <v>1</v>
      </c>
      <c r="V58">
        <f>VLOOKUP($B58,'Data-PC'!$B$13:$AP$79,19,FALSE)</f>
        <v>2</v>
      </c>
      <c r="W58">
        <f>VLOOKUP($B58,'Data-PC'!$B$13:$AP$79,20,FALSE)</f>
        <v>13</v>
      </c>
      <c r="X58">
        <f>VLOOKUP($B58,'Data-PC'!$B$13:$AP$79,21,FALSE)*C58</f>
        <v>3.9925033199999995</v>
      </c>
      <c r="Y58">
        <f>VLOOKUP($B58,'Data-PC'!$B$13:$AP$79,22,FALSE)</f>
        <v>13</v>
      </c>
      <c r="Z58">
        <f>VLOOKUP($B58,'Data-PC'!$B$13:$AP$79,23,FALSE)</f>
        <v>125</v>
      </c>
      <c r="AA58">
        <f>VLOOKUP($B58,'Data-PC'!$B$13:$AP$79,24,FALSE)</f>
        <v>4</v>
      </c>
      <c r="AB58">
        <f>VLOOKUP($B58,'Data-PC'!$B$13:$AP$79,25,FALSE)</f>
        <v>3.52</v>
      </c>
      <c r="AC58">
        <f>VLOOKUP($B58,'Data-PC'!$B$13:$AP$79,26,FALSE)*C58</f>
        <v>3.6674352</v>
      </c>
      <c r="AD58">
        <f>VLOOKUP($B58,'Data-PC'!$B$13:$AP$79,27,FALSE)</f>
        <v>13</v>
      </c>
      <c r="AE58">
        <f>VLOOKUP($B58,'Data-PC'!$B$13:$AP$79,28,FALSE)</f>
        <v>125</v>
      </c>
      <c r="AF58">
        <f>VLOOKUP($B58,'Data-PC'!$B$13:$AP$79,29,FALSE)</f>
        <v>4</v>
      </c>
      <c r="AG58">
        <f>VLOOKUP($B58,'Data-PC'!$B$13:$AP$79,30,FALSE)</f>
        <v>3.52</v>
      </c>
      <c r="AH58">
        <f>VLOOKUP($B58,'Data-PC'!$B$13:$AP$79,31,FALSE)*C58</f>
        <v>3.6674352</v>
      </c>
      <c r="AI58">
        <f>VLOOKUP($B58,'Data-PC'!$B$13:$AP$79,32,FALSE)</f>
        <v>13</v>
      </c>
      <c r="AJ58">
        <f>VLOOKUP($B58,'Data-PC'!$B$13:$AP$79,33,FALSE)</f>
        <v>125</v>
      </c>
      <c r="AK58">
        <f>VLOOKUP($B58,'Data-PC'!$B$13:$AP$79,34,FALSE)</f>
        <v>4</v>
      </c>
      <c r="AL58">
        <f>VLOOKUP($B58,'Data-PC'!$B$13:$AP$79,35,FALSE)</f>
        <v>5.28</v>
      </c>
      <c r="AM58">
        <f>VLOOKUP($B58,'Data-PC'!$B$13:$AP$79,36,FALSE)*C58</f>
        <v>5.5011528</v>
      </c>
      <c r="AN58">
        <f>VLOOKUP($B58,'Data-PC'!$B$13:$AP$79,37,FALSE)</f>
        <v>13</v>
      </c>
      <c r="AO58">
        <f>VLOOKUP($B58,'Data-PC'!$B$13:$AP$79,38,FALSE)</f>
        <v>125</v>
      </c>
      <c r="AP58">
        <f>VLOOKUP($B58,'Data-PC'!$B$13:$AP$79,39,FALSE)</f>
        <v>4</v>
      </c>
      <c r="AQ58">
        <f>VLOOKUP($B58,'Data-PC'!$B$13:$AP$79,40,FALSE)</f>
        <v>5.28</v>
      </c>
      <c r="AR58">
        <f>VLOOKUP($B58,'Data-PC'!$B$13:$AP$79,41,FALSE)*C58</f>
        <v>5.5011528</v>
      </c>
      <c r="AS58">
        <f>VLOOKUP($B58,'Data-PC'!$B$13:$AX$79,42,FALSE)</f>
        <v>0</v>
      </c>
      <c r="AT58">
        <f>VLOOKUP($B58,'Data-PC'!$B$13:$AX$79,43,FALSE)</f>
        <v>0</v>
      </c>
      <c r="AU58">
        <f>VLOOKUP($B58,'Data-PC'!$B$13:$AX$79,44,FALSE)</f>
        <v>1180</v>
      </c>
      <c r="AV58">
        <f>VLOOKUP($B58,'Data-PC'!$B$13:$AX$79,45,FALSE)*C58</f>
        <v>0</v>
      </c>
      <c r="AW58">
        <f>VLOOKUP($B58,'Data-PC'!$B$13:$AX$79,46,FALSE)</f>
        <v>0</v>
      </c>
      <c r="AX58">
        <f>VLOOKUP($B58,'Data-PC'!$B$13:$AX$79,47,FALSE)</f>
        <v>0</v>
      </c>
      <c r="AY58" t="e">
        <f>VLOOKUP($B58,'Data-PC'!$B$19:$AX$79,48,FALSE)</f>
        <v>#N/A</v>
      </c>
      <c r="AZ58">
        <f>VLOOKUP($B58,'Data-PC'!$B$13:$AX$79,49,FALSE)*C58</f>
        <v>0</v>
      </c>
      <c r="BA58">
        <f>SUM(X58,AC58,AH58,AM58,AR58,AV58,AZ58)</f>
        <v>22.329679319999997</v>
      </c>
    </row>
    <row r="59">
      <c r="S59">
        <f>L59-M59</f>
        <v>0</v>
      </c>
    </row>
    <row r="60">
      <c r="S60">
        <f>L60-M60</f>
        <v>0</v>
      </c>
    </row>
    <row r="61">
      <c r="S61">
        <f>L61-M61</f>
        <v>0</v>
      </c>
    </row>
    <row r="62">
      <c r="S62">
        <f>L62-M62</f>
        <v>0</v>
      </c>
    </row>
    <row r="63">
      <c r="C63">
        <f>SUM(C10:C62)</f>
        <v>47</v>
      </c>
      <c r="F63">
        <f>SUM(F10:F62)</f>
        <v>130.98216749999997</v>
      </c>
      <c r="H63">
        <f>SUM(H10:H62)</f>
        <v>74</v>
      </c>
      <c r="I63">
        <f>SUM(I10:I62)</f>
        <v>21</v>
      </c>
      <c r="J63">
        <f>SUM(J10:J62)</f>
        <v>6.549108375000002</v>
      </c>
      <c r="K63">
        <f>SUM(K10:K62)</f>
        <v>0</v>
      </c>
      <c r="L63">
        <f>SUM(L10:L62)</f>
        <v>86.01046402500005</v>
      </c>
      <c r="M63">
        <f>SUM(M10:M62)</f>
        <v>54.92079999999999</v>
      </c>
      <c r="N63">
        <f>SUM(N10:N62)</f>
        <v>0</v>
      </c>
      <c r="O63">
        <f>SUM(O10:O62)</f>
        <v>0</v>
      </c>
      <c r="P63">
        <f>SUM(P10:P62)</f>
        <v>0</v>
      </c>
      <c r="Q63">
        <f>SUM(Q10:Q62)</f>
        <v>0</v>
      </c>
      <c r="R63">
        <f>SUM(R10:R62)</f>
        <v>0</v>
      </c>
      <c r="S63">
        <f>SUM(S10:S62)</f>
        <v>31.089664024999983</v>
      </c>
      <c r="T63">
        <f>SUM(T10:T62)</f>
        <v>24.540555650000005</v>
      </c>
      <c r="U63">
        <f>SUM(U10:U62)</f>
        <v>91.04659053224319</v>
      </c>
      <c r="X63">
        <f>SUM(X10:X62)</f>
        <v>350.2208489387243</v>
      </c>
      <c r="AC63">
        <f>SUM(AC10:AC62)</f>
        <v>770.88081051</v>
      </c>
      <c r="AH63">
        <f>SUM(AH10:AH62)</f>
        <v>543.172916655</v>
      </c>
      <c r="AM63">
        <f>SUM(AM10:AM62)</f>
        <v>1028.6317296000002</v>
      </c>
      <c r="AR63">
        <f>SUM(AR10:AR62)</f>
        <v>838.4999731200003</v>
      </c>
      <c r="AV63">
        <f>SUM(AV10:AV62)</f>
        <v>0</v>
      </c>
      <c r="AZ63">
        <f>SUM(AZ10:AZ62)</f>
        <v>0</v>
      </c>
      <c r="BA63">
        <f>SUM(BA10:BA62)</f>
        <v>3531.4062788237266</v>
      </c>
      <c r="BB63">
        <f>SUM(X63:AZ63)-BA63</f>
        <v>0</v>
      </c>
      <c r="BE63" t="str">
        <v>kontrol</v>
      </c>
    </row>
    <row r="65">
      <c r="D65" t="str">
        <v>Jumlah titik pancang di elevasi TOPC:</v>
      </c>
      <c r="L65" t="str">
        <v>NB: GALIAN DIHITUNG DARI ELEVASI RATA, UNTUK MUDAHKAN PERHITUNGAN</v>
      </c>
    </row>
    <row r="66">
      <c r="D66">
        <v>-3.6</v>
      </c>
      <c r="H66">
        <f>SUMIF($D$9:$D$62,D66,$H$9:$H$62)</f>
        <v>0</v>
      </c>
    </row>
    <row r="67">
      <c r="D67">
        <v>-1.5</v>
      </c>
      <c r="H67">
        <f>SUMIF($D$9:$D$62,D67,$H$9:$H$62)</f>
        <v>0</v>
      </c>
    </row>
    <row r="68">
      <c r="D68">
        <v>-0.3</v>
      </c>
      <c r="H68">
        <f>SUMIF($D$9:$D$62,D68,$H$9:$H$62)</f>
        <v>0</v>
      </c>
    </row>
  </sheetData>
  <autoFilter ref="A9:BA63"/>
  <mergeCells count="27">
    <mergeCell ref="F3:L3"/>
    <mergeCell ref="F4:L4"/>
    <mergeCell ref="A6:A8"/>
    <mergeCell ref="B6:B8"/>
    <mergeCell ref="C6:C7"/>
    <mergeCell ref="D6:D7"/>
    <mergeCell ref="E6:E7"/>
    <mergeCell ref="F6:F7"/>
    <mergeCell ref="G6:G7"/>
    <mergeCell ref="H6:H7"/>
    <mergeCell ref="AD6:AH6"/>
    <mergeCell ref="I6:I7"/>
    <mergeCell ref="J6:J7"/>
    <mergeCell ref="K6:K7"/>
    <mergeCell ref="L6:L7"/>
    <mergeCell ref="M6:M7"/>
    <mergeCell ref="P6:R6"/>
    <mergeCell ref="S6:S7"/>
    <mergeCell ref="T6:T7"/>
    <mergeCell ref="U6:U7"/>
    <mergeCell ref="V6:X6"/>
    <mergeCell ref="Y6:AC6"/>
    <mergeCell ref="AI6:AM6"/>
    <mergeCell ref="AN6:AR6"/>
    <mergeCell ref="AS6:AV6"/>
    <mergeCell ref="AW6:AZ6"/>
    <mergeCell ref="BA6:BA7"/>
  </mergeCells>
  <pageMargins left="0.15" right="0.15" top="0.75" bottom="0.4" header="0.25" footer="0.1"/>
  <ignoredErrors>
    <ignoredError numberStoredAsText="1" sqref="A1:BI104846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U25"/>
  <sheetViews>
    <sheetView workbookViewId="0" rightToLeft="0"/>
  </sheetViews>
  <sheetData>
    <row r="1">
      <c r="A1" t="str">
        <v>Rekapitulasi Perhitungan Volume Pile Cap + Tanah</v>
      </c>
    </row>
    <row r="3">
      <c r="A3" t="str">
        <v>Proyek</v>
      </c>
      <c r="B3" t="str">
        <f>'Data-PC'!D2</f>
        <v>: ERNAWATI</v>
      </c>
    </row>
    <row r="8">
      <c r="A8" t="str">
        <f>'Hasil-PC'!A10</f>
        <v>BANGUNAN UTAMA</v>
      </c>
      <c r="B8" t="str">
        <v>Beton</v>
      </c>
      <c r="C8" t="str">
        <v>Bekisting</v>
      </c>
      <c r="D8" t="str">
        <v>Jmlh Pile Cap</v>
      </c>
      <c r="E8" t="str">
        <v>Jmlh Pancang</v>
      </c>
      <c r="F8" t="str">
        <v>Jmlh Bored Pile</v>
      </c>
      <c r="G8" t="str">
        <v>Galian</v>
      </c>
      <c r="H8" t="str">
        <v>Pasir Urug</v>
      </c>
      <c r="I8" t="str">
        <v>Lantai Kerja</v>
      </c>
      <c r="J8" t="str">
        <v>Besi</v>
      </c>
      <c r="R8" t="str">
        <v>Total Besi</v>
      </c>
      <c r="T8" t="str">
        <v>Rasio Bekisting</v>
      </c>
      <c r="U8" t="str">
        <v>Rasio Besi</v>
      </c>
    </row>
    <row r="9">
      <c r="J9">
        <v>6</v>
      </c>
      <c r="K9">
        <v>8</v>
      </c>
      <c r="L9">
        <v>10</v>
      </c>
      <c r="M9">
        <v>13</v>
      </c>
      <c r="N9">
        <v>16</v>
      </c>
      <c r="O9">
        <v>19</v>
      </c>
      <c r="P9">
        <v>22</v>
      </c>
      <c r="Q9">
        <v>25</v>
      </c>
    </row>
    <row r="11">
      <c r="A11" t="str">
        <v>PC.1</v>
      </c>
      <c r="B11">
        <f>SUMIF('Hasil-PC'!$B$12:$B$58,$A11,'Hasil-PC'!$T$12:$T$58)</f>
        <v>3.125</v>
      </c>
      <c r="C11">
        <f>SUMIF('Hasil-PC'!$B$12:$B$58,$A11,'Hasil-PC'!$U$12:$U$58)</f>
        <v>25</v>
      </c>
      <c r="D11">
        <f>SUMIF('Hasil-PC'!$B$12:$B$58,$A11,'Hasil-PC'!$C$12:$C$58)</f>
        <v>25</v>
      </c>
      <c r="E11">
        <f>SUMIF('Hasil-PC'!$B$12:$B$58,$A11,'Hasil-PC'!H$12:H$58)</f>
        <v>25</v>
      </c>
      <c r="F11">
        <f>SUMIF('Hasil-PC'!$B$12:$B$58,$A11,'Hasil-PC'!I$12:I$58)</f>
        <v>0</v>
      </c>
      <c r="G11">
        <f>SUMIF('Hasil-PC'!$B$12:$B$58,$A11,'Hasil-PC'!$L$12:$L$58)</f>
        <v>23.237500000000015</v>
      </c>
      <c r="H11">
        <f>SUMIF('Hasil-PC'!$B$12:$B$58,$A11,'Hasil-PC'!$K$12:$K$58)</f>
        <v>0</v>
      </c>
      <c r="I11">
        <f>SUMIF('Hasil-PC'!$B$12:$B$58,$A11,'Hasil-PC'!$J$12:$J$58)</f>
        <v>2.1125</v>
      </c>
      <c r="J11">
        <f>SUMIFS('Hasil-PC'!$X$12:$X$58,'Hasil-PC'!$B$12:$B$58,$A11,'Hasil-PC'!$W$12:$W$58,J$9)+SUMIFS('Hasil-PC'!$AC$12:$AC$58,'Hasil-PC'!$B$12:$B$58,$A11,'Hasil-PC'!$Y$12:$Y$58,J$9)+SUMIFS('Hasil-PC'!$AH$12:$AH$58,'Hasil-PC'!$B$12:$B$58,$A11,'Hasil-PC'!$AD$12:$AD$58,J$9)+SUMIFS('Hasil-PC'!$AM$12:$AM$58,'Hasil-PC'!$B$12:$B$58,$A11,'Hasil-PC'!$AI$12:$AI$58,J$9)+SUMIFS('Hasil-PC'!$AR$12:$AR$58,'Hasil-PC'!$B$12:$B$58,$A11,'Hasil-PC'!$AN$12:$AN$58,J$9)+SUMIFS('Hasil-PC'!$AV$12:$AV$58,'Hasil-PC'!$B$12:$B$58,$A11,'Hasil-PC'!$AT$12:$AT$58,J$9)</f>
        <v>0</v>
      </c>
      <c r="K11">
        <f>SUMIFS('Hasil-PC'!$X$12:$X$58,'Hasil-PC'!$B$12:$B$58,$A11,'Hasil-PC'!$W$12:$W$58,K$9)+SUMIFS('Hasil-PC'!$AC$12:$AC$58,'Hasil-PC'!$B$12:$B$58,$A11,'Hasil-PC'!$Y$12:$Y$58,K$9)+SUMIFS('Hasil-PC'!$AH$12:$AH$58,'Hasil-PC'!$B$12:$B$58,$A11,'Hasil-PC'!$AD$12:$AD$58,K$9)+SUMIFS('Hasil-PC'!$AM$12:$AM$58,'Hasil-PC'!$B$12:$B$58,$A11,'Hasil-PC'!$AI$12:$AI$58,K$9)+SUMIFS('Hasil-PC'!$AR$12:$AR$58,'Hasil-PC'!$B$12:$B$58,$A11,'Hasil-PC'!$AN$12:$AN$58,K$9)+SUMIFS('Hasil-PC'!$AV$12:$AV$58,'Hasil-PC'!$B$12:$B$58,$A11,'Hasil-PC'!$AT$12:$AT$58,K$9)</f>
        <v>0</v>
      </c>
      <c r="L11">
        <f>SUMIFS('Hasil-PC'!$X$12:$X$58,'Hasil-PC'!$B$12:$B$58,$A11,'Hasil-PC'!$W$12:$W$58,L$9)+SUMIFS('Hasil-PC'!$AC$12:$AC$58,'Hasil-PC'!$B$12:$B$58,$A11,'Hasil-PC'!$Y$12:$Y$58,L$9)+SUMIFS('Hasil-PC'!$AH$12:$AH$58,'Hasil-PC'!$B$12:$B$58,$A11,'Hasil-PC'!$AD$12:$AD$58,L$9)+SUMIFS('Hasil-PC'!$AM$12:$AM$58,'Hasil-PC'!$B$12:$B$58,$A11,'Hasil-PC'!$AI$12:$AI$58,L$9)+SUMIFS('Hasil-PC'!$AR$12:$AR$58,'Hasil-PC'!$B$12:$B$58,$A11,'Hasil-PC'!$AN$12:$AN$58,L$9)+SUMIFS('Hasil-PC'!$AV$12:$AV$58,'Hasil-PC'!$B$12:$B$58,$A11,'Hasil-PC'!$AT$12:$AT$58,L$9)</f>
        <v>0</v>
      </c>
      <c r="M11">
        <f>SUMIFS('Hasil-PC'!$X$12:$X$58,'Hasil-PC'!$B$12:$B$58,$A11,'Hasil-PC'!$W$12:$W$58,M$9)+SUMIFS('Hasil-PC'!$AC$12:$AC$58,'Hasil-PC'!$B$12:$B$58,$A11,'Hasil-PC'!$Y$12:$Y$58,M$9)+SUMIFS('Hasil-PC'!$AH$12:$AH$58,'Hasil-PC'!$B$12:$B$58,$A11,'Hasil-PC'!$AD$12:$AD$58,M$9)+SUMIFS('Hasil-PC'!$AM$12:$AM$58,'Hasil-PC'!$B$12:$B$58,$A11,'Hasil-PC'!$AI$12:$AI$58,M$9)+SUMIFS('Hasil-PC'!$AR$12:$AR$58,'Hasil-PC'!$B$12:$B$58,$A11,'Hasil-PC'!$AN$12:$AN$58,M$9)+SUMIFS('Hasil-PC'!$AV$12:$AV$58,'Hasil-PC'!$B$12:$B$58,$A11,'Hasil-PC'!$AT$12:$AT$58,M$9)</f>
        <v>558.2419829999999</v>
      </c>
      <c r="N11">
        <f>SUMIFS('Hasil-PC'!$X$12:$X$58,'Hasil-PC'!$B$12:$B$58,$A11,'Hasil-PC'!$W$12:$W$58,N$9)+SUMIFS('Hasil-PC'!$AC$12:$AC$58,'Hasil-PC'!$B$12:$B$58,$A11,'Hasil-PC'!$Y$12:$Y$58,N$9)+SUMIFS('Hasil-PC'!$AH$12:$AH$58,'Hasil-PC'!$B$12:$B$58,$A11,'Hasil-PC'!$AD$12:$AD$58,N$9)+SUMIFS('Hasil-PC'!$AM$12:$AM$58,'Hasil-PC'!$B$12:$B$58,$A11,'Hasil-PC'!$AI$12:$AI$58,N$9)+SUMIFS('Hasil-PC'!$AR$12:$AR$58,'Hasil-PC'!$B$12:$B$58,$A11,'Hasil-PC'!$AN$12:$AN$58,N$9)+SUMIFS('Hasil-PC'!$AV$12:$AV$58,'Hasil-PC'!$B$12:$B$58,$A11,'Hasil-PC'!$AT$12:$AT$58,N$9)</f>
        <v>0</v>
      </c>
      <c r="O11">
        <f>SUMIFS('Hasil-PC'!$X$12:$X$58,'Hasil-PC'!$B$12:$B$58,$A11,'Hasil-PC'!$W$12:$W$58,O$9)+SUMIFS('Hasil-PC'!$AC$12:$AC$58,'Hasil-PC'!$B$12:$B$58,$A11,'Hasil-PC'!$Y$12:$Y$58,O$9)+SUMIFS('Hasil-PC'!$AH$12:$AH$58,'Hasil-PC'!$B$12:$B$58,$A11,'Hasil-PC'!$AD$12:$AD$58,O$9)+SUMIFS('Hasil-PC'!$AM$12:$AM$58,'Hasil-PC'!$B$12:$B$58,$A11,'Hasil-PC'!$AI$12:$AI$58,O$9)+SUMIFS('Hasil-PC'!$AR$12:$AR$58,'Hasil-PC'!$B$12:$B$58,$A11,'Hasil-PC'!$AN$12:$AN$58,O$9)+SUMIFS('Hasil-PC'!$AV$12:$AV$58,'Hasil-PC'!$B$12:$B$58,$A11,'Hasil-PC'!$AT$12:$AT$58,O$9)</f>
        <v>0</v>
      </c>
      <c r="P11">
        <f>SUMIFS('Hasil-PC'!$X$12:$X$58,'Hasil-PC'!$B$12:$B$58,$A11,'Hasil-PC'!$W$12:$W$58,P$9)+SUMIFS('Hasil-PC'!$AC$12:$AC$58,'Hasil-PC'!$B$12:$B$58,$A11,'Hasil-PC'!$Y$12:$Y$58,P$9)+SUMIFS('Hasil-PC'!$AH$12:$AH$58,'Hasil-PC'!$B$12:$B$58,$A11,'Hasil-PC'!$AD$12:$AD$58,P$9)+SUMIFS('Hasil-PC'!$AM$12:$AM$58,'Hasil-PC'!$B$12:$B$58,$A11,'Hasil-PC'!$AI$12:$AI$58,P$9)+SUMIFS('Hasil-PC'!$AR$12:$AR$58,'Hasil-PC'!$B$12:$B$58,$A11,'Hasil-PC'!$AN$12:$AN$58,P$9)+SUMIFS('Hasil-PC'!$AV$12:$AV$58,'Hasil-PC'!$B$12:$B$58,$A11,'Hasil-PC'!$AT$12:$AT$58,P$9)</f>
        <v>0</v>
      </c>
      <c r="Q11">
        <f>SUMIFS('Hasil-PC'!$X$12:$X$58,'Hasil-PC'!$B$12:$B$58,$A11,'Hasil-PC'!$W$12:$W$58,Q$9)+SUMIFS('Hasil-PC'!$AC$12:$AC$58,'Hasil-PC'!$B$12:$B$58,$A11,'Hasil-PC'!$Y$12:$Y$58,Q$9)+SUMIFS('Hasil-PC'!$AH$12:$AH$58,'Hasil-PC'!$B$12:$B$58,$A11,'Hasil-PC'!$AD$12:$AD$58,Q$9)+SUMIFS('Hasil-PC'!$AM$12:$AM$58,'Hasil-PC'!$B$12:$B$58,$A11,'Hasil-PC'!$AI$12:$AI$58,Q$9)+SUMIFS('Hasil-PC'!$AR$12:$AR$58,'Hasil-PC'!$B$12:$B$58,$A11,'Hasil-PC'!$AN$12:$AN$58,Q$9)+SUMIFS('Hasil-PC'!$AV$12:$AV$58,'Hasil-PC'!$B$12:$B$58,$A11,'Hasil-PC'!$AT$12:$AT$58,Q$9)</f>
        <v>0</v>
      </c>
      <c r="R11">
        <f>SUM(J11:Q11)</f>
        <v>558.2419829999999</v>
      </c>
      <c r="T11">
        <f>IF(B11&gt;0,C11/B11,0)</f>
        <v>8</v>
      </c>
      <c r="U11">
        <f>IF(B11&gt;0,R11/B11,0)</f>
        <v>178.63743455999997</v>
      </c>
    </row>
    <row r="12">
      <c r="A12" t="str">
        <v>PC.2</v>
      </c>
      <c r="B12">
        <f>SUMIF('Hasil-PC'!$B$12:$B$58,$A12,'Hasil-PC'!$T$12:$T$58)</f>
        <v>0.33</v>
      </c>
      <c r="C12">
        <f>SUMIF('Hasil-PC'!$B$12:$B$58,$A12,'Hasil-PC'!$U$12:$U$58)</f>
        <v>1.92</v>
      </c>
      <c r="D12">
        <f>SUMIF('Hasil-PC'!$B$12:$B$58,$A12,'Hasil-PC'!$C$12:$C$58)</f>
        <v>1</v>
      </c>
      <c r="E12">
        <f>SUMIF('Hasil-PC'!$B$12:$B$58,$A12,'Hasil-PC'!H$12:H$58)</f>
        <v>2</v>
      </c>
      <c r="F12">
        <f>SUMIF('Hasil-PC'!$B$12:$B$58,$A12,'Hasil-PC'!I$12:I$58)</f>
        <v>0</v>
      </c>
      <c r="G12">
        <f>SUMIF('Hasil-PC'!$B$12:$B$58,$A12,'Hasil-PC'!$L$12:$L$58)</f>
        <v>1.6055000000000001</v>
      </c>
      <c r="H12">
        <f>SUMIF('Hasil-PC'!$B$12:$B$58,$A12,'Hasil-PC'!$K$12:$K$58)</f>
        <v>0</v>
      </c>
      <c r="I12">
        <f>SUMIF('Hasil-PC'!$B$12:$B$58,$A12,'Hasil-PC'!$J$12:$J$58)</f>
        <v>0.12350000000000001</v>
      </c>
      <c r="J12">
        <f>SUMIFS('Hasil-PC'!$X$12:$X$58,'Hasil-PC'!$B$12:$B$58,$A12,'Hasil-PC'!$W$12:$W$58,J$9)+SUMIFS('Hasil-PC'!$AC$12:$AC$58,'Hasil-PC'!$B$12:$B$58,$A12,'Hasil-PC'!$Y$12:$Y$58,J$9)+SUMIFS('Hasil-PC'!$AH$12:$AH$58,'Hasil-PC'!$B$12:$B$58,$A12,'Hasil-PC'!$AD$12:$AD$58,J$9)+SUMIFS('Hasil-PC'!$AM$12:$AM$58,'Hasil-PC'!$B$12:$B$58,$A12,'Hasil-PC'!$AI$12:$AI$58,J$9)+SUMIFS('Hasil-PC'!$AR$12:$AR$58,'Hasil-PC'!$B$12:$B$58,$A12,'Hasil-PC'!$AN$12:$AN$58,J$9)+SUMIFS('Hasil-PC'!$AV$12:$AV$58,'Hasil-PC'!$B$12:$B$58,$A12,'Hasil-PC'!$AT$12:$AT$58,J$9)</f>
        <v>0</v>
      </c>
      <c r="K12">
        <f>SUMIFS('Hasil-PC'!$X$12:$X$58,'Hasil-PC'!$B$12:$B$58,$A12,'Hasil-PC'!$W$12:$W$58,K$9)+SUMIFS('Hasil-PC'!$AC$12:$AC$58,'Hasil-PC'!$B$12:$B$58,$A12,'Hasil-PC'!$Y$12:$Y$58,K$9)+SUMIFS('Hasil-PC'!$AH$12:$AH$58,'Hasil-PC'!$B$12:$B$58,$A12,'Hasil-PC'!$AD$12:$AD$58,K$9)+SUMIFS('Hasil-PC'!$AM$12:$AM$58,'Hasil-PC'!$B$12:$B$58,$A12,'Hasil-PC'!$AI$12:$AI$58,K$9)+SUMIFS('Hasil-PC'!$AR$12:$AR$58,'Hasil-PC'!$B$12:$B$58,$A12,'Hasil-PC'!$AN$12:$AN$58,K$9)+SUMIFS('Hasil-PC'!$AV$12:$AV$58,'Hasil-PC'!$B$12:$B$58,$A12,'Hasil-PC'!$AT$12:$AT$58,K$9)</f>
        <v>0</v>
      </c>
      <c r="L12">
        <f>SUMIFS('Hasil-PC'!$X$12:$X$58,'Hasil-PC'!$B$12:$B$58,$A12,'Hasil-PC'!$W$12:$W$58,L$9)+SUMIFS('Hasil-PC'!$AC$12:$AC$58,'Hasil-PC'!$B$12:$B$58,$A12,'Hasil-PC'!$Y$12:$Y$58,L$9)+SUMIFS('Hasil-PC'!$AH$12:$AH$58,'Hasil-PC'!$B$12:$B$58,$A12,'Hasil-PC'!$AD$12:$AD$58,L$9)+SUMIFS('Hasil-PC'!$AM$12:$AM$58,'Hasil-PC'!$B$12:$B$58,$A12,'Hasil-PC'!$AI$12:$AI$58,L$9)+SUMIFS('Hasil-PC'!$AR$12:$AR$58,'Hasil-PC'!$B$12:$B$58,$A12,'Hasil-PC'!$AN$12:$AN$58,L$9)+SUMIFS('Hasil-PC'!$AV$12:$AV$58,'Hasil-PC'!$B$12:$B$58,$A12,'Hasil-PC'!$AT$12:$AT$58,L$9)</f>
        <v>0</v>
      </c>
      <c r="M12">
        <f>SUMIFS('Hasil-PC'!$X$12:$X$58,'Hasil-PC'!$B$12:$B$58,$A12,'Hasil-PC'!$W$12:$W$58,M$9)+SUMIFS('Hasil-PC'!$AC$12:$AC$58,'Hasil-PC'!$B$12:$B$58,$A12,'Hasil-PC'!$Y$12:$Y$58,M$9)+SUMIFS('Hasil-PC'!$AH$12:$AH$58,'Hasil-PC'!$B$12:$B$58,$A12,'Hasil-PC'!$AD$12:$AD$58,M$9)+SUMIFS('Hasil-PC'!$AM$12:$AM$58,'Hasil-PC'!$B$12:$B$58,$A12,'Hasil-PC'!$AI$12:$AI$58,M$9)+SUMIFS('Hasil-PC'!$AR$12:$AR$58,'Hasil-PC'!$B$12:$B$58,$A12,'Hasil-PC'!$AN$12:$AN$58,M$9)+SUMIFS('Hasil-PC'!$AV$12:$AV$58,'Hasil-PC'!$B$12:$B$58,$A12,'Hasil-PC'!$AT$12:$AT$58,M$9)</f>
        <v>30.08130372</v>
      </c>
      <c r="N12">
        <f>SUMIFS('Hasil-PC'!$X$12:$X$58,'Hasil-PC'!$B$12:$B$58,$A12,'Hasil-PC'!$W$12:$W$58,N$9)+SUMIFS('Hasil-PC'!$AC$12:$AC$58,'Hasil-PC'!$B$12:$B$58,$A12,'Hasil-PC'!$Y$12:$Y$58,N$9)+SUMIFS('Hasil-PC'!$AH$12:$AH$58,'Hasil-PC'!$B$12:$B$58,$A12,'Hasil-PC'!$AD$12:$AD$58,N$9)+SUMIFS('Hasil-PC'!$AM$12:$AM$58,'Hasil-PC'!$B$12:$B$58,$A12,'Hasil-PC'!$AI$12:$AI$58,N$9)+SUMIFS('Hasil-PC'!$AR$12:$AR$58,'Hasil-PC'!$B$12:$B$58,$A12,'Hasil-PC'!$AN$12:$AN$58,N$9)+SUMIFS('Hasil-PC'!$AV$12:$AV$58,'Hasil-PC'!$B$12:$B$58,$A12,'Hasil-PC'!$AT$12:$AT$58,N$9)</f>
        <v>19.1913984</v>
      </c>
      <c r="O12">
        <f>SUMIFS('Hasil-PC'!$X$12:$X$58,'Hasil-PC'!$B$12:$B$58,$A12,'Hasil-PC'!$W$12:$W$58,O$9)+SUMIFS('Hasil-PC'!$AC$12:$AC$58,'Hasil-PC'!$B$12:$B$58,$A12,'Hasil-PC'!$Y$12:$Y$58,O$9)+SUMIFS('Hasil-PC'!$AH$12:$AH$58,'Hasil-PC'!$B$12:$B$58,$A12,'Hasil-PC'!$AD$12:$AD$58,O$9)+SUMIFS('Hasil-PC'!$AM$12:$AM$58,'Hasil-PC'!$B$12:$B$58,$A12,'Hasil-PC'!$AI$12:$AI$58,O$9)+SUMIFS('Hasil-PC'!$AR$12:$AR$58,'Hasil-PC'!$B$12:$B$58,$A12,'Hasil-PC'!$AN$12:$AN$58,O$9)+SUMIFS('Hasil-PC'!$AV$12:$AV$58,'Hasil-PC'!$B$12:$B$58,$A12,'Hasil-PC'!$AT$12:$AT$58,O$9)</f>
        <v>0</v>
      </c>
      <c r="P12">
        <f>SUMIFS('Hasil-PC'!$X$12:$X$58,'Hasil-PC'!$B$12:$B$58,$A12,'Hasil-PC'!$W$12:$W$58,P$9)+SUMIFS('Hasil-PC'!$AC$12:$AC$58,'Hasil-PC'!$B$12:$B$58,$A12,'Hasil-PC'!$Y$12:$Y$58,P$9)+SUMIFS('Hasil-PC'!$AH$12:$AH$58,'Hasil-PC'!$B$12:$B$58,$A12,'Hasil-PC'!$AD$12:$AD$58,P$9)+SUMIFS('Hasil-PC'!$AM$12:$AM$58,'Hasil-PC'!$B$12:$B$58,$A12,'Hasil-PC'!$AI$12:$AI$58,P$9)+SUMIFS('Hasil-PC'!$AR$12:$AR$58,'Hasil-PC'!$B$12:$B$58,$A12,'Hasil-PC'!$AN$12:$AN$58,P$9)+SUMIFS('Hasil-PC'!$AV$12:$AV$58,'Hasil-PC'!$B$12:$B$58,$A12,'Hasil-PC'!$AT$12:$AT$58,P$9)</f>
        <v>0</v>
      </c>
      <c r="Q12">
        <f>SUMIFS('Hasil-PC'!$X$12:$X$58,'Hasil-PC'!$B$12:$B$58,$A12,'Hasil-PC'!$W$12:$W$58,Q$9)+SUMIFS('Hasil-PC'!$AC$12:$AC$58,'Hasil-PC'!$B$12:$B$58,$A12,'Hasil-PC'!$Y$12:$Y$58,Q$9)+SUMIFS('Hasil-PC'!$AH$12:$AH$58,'Hasil-PC'!$B$12:$B$58,$A12,'Hasil-PC'!$AD$12:$AD$58,Q$9)+SUMIFS('Hasil-PC'!$AM$12:$AM$58,'Hasil-PC'!$B$12:$B$58,$A12,'Hasil-PC'!$AI$12:$AI$58,Q$9)+SUMIFS('Hasil-PC'!$AR$12:$AR$58,'Hasil-PC'!$B$12:$B$58,$A12,'Hasil-PC'!$AN$12:$AN$58,Q$9)+SUMIFS('Hasil-PC'!$AV$12:$AV$58,'Hasil-PC'!$B$12:$B$58,$A12,'Hasil-PC'!$AT$12:$AT$58,Q$9)</f>
        <v>0</v>
      </c>
      <c r="R12">
        <f>SUM(J12:Q12)</f>
        <v>49.272702120000005</v>
      </c>
      <c r="T12">
        <f>IF(B12&gt;0,C12/B12,0)</f>
        <v>5.8181818181818175</v>
      </c>
      <c r="U12">
        <f>IF(B12&gt;0,R12/B12,0)</f>
        <v>149.31121854545455</v>
      </c>
    </row>
    <row r="13">
      <c r="A13" t="str">
        <v>PC.3</v>
      </c>
      <c r="B13">
        <f>SUMIF('Hasil-PC'!$B$12:$B$58,$A13,'Hasil-PC'!$T$12:$T$58)</f>
        <v>4.0223424</v>
      </c>
      <c r="C13">
        <f>SUMIF('Hasil-PC'!$B$12:$B$58,$A13,'Hasil-PC'!$U$12:$U$58)</f>
        <v>17.5086478916279</v>
      </c>
      <c r="D13">
        <f>SUMIF('Hasil-PC'!$B$12:$B$58,$A13,'Hasil-PC'!$C$12:$C$58)</f>
        <v>8</v>
      </c>
      <c r="E13">
        <f>SUMIF('Hasil-PC'!$B$12:$B$58,$A13,'Hasil-PC'!H$12:H$58)</f>
        <v>24</v>
      </c>
      <c r="F13">
        <f>SUMIF('Hasil-PC'!$B$12:$B$58,$A13,'Hasil-PC'!I$12:I$58)</f>
        <v>0</v>
      </c>
      <c r="G13">
        <f>SUMIF('Hasil-PC'!$B$12:$B$58,$A13,'Hasil-PC'!$L$12:$L$58)</f>
        <v>16.504737600000002</v>
      </c>
      <c r="H13">
        <f>SUMIF('Hasil-PC'!$B$12:$B$58,$A13,'Hasil-PC'!$K$12:$K$58)</f>
        <v>0</v>
      </c>
      <c r="I13">
        <f>SUMIF('Hasil-PC'!$B$12:$B$58,$A13,'Hasil-PC'!$J$12:$J$58)</f>
        <v>1.2695951999999997</v>
      </c>
      <c r="J13">
        <f>SUMIFS('Hasil-PC'!$X$12:$X$58,'Hasil-PC'!$B$12:$B$58,$A13,'Hasil-PC'!$W$12:$W$58,J$9)+SUMIFS('Hasil-PC'!$AC$12:$AC$58,'Hasil-PC'!$B$12:$B$58,$A13,'Hasil-PC'!$Y$12:$Y$58,J$9)+SUMIFS('Hasil-PC'!$AH$12:$AH$58,'Hasil-PC'!$B$12:$B$58,$A13,'Hasil-PC'!$AD$12:$AD$58,J$9)+SUMIFS('Hasil-PC'!$AM$12:$AM$58,'Hasil-PC'!$B$12:$B$58,$A13,'Hasil-PC'!$AI$12:$AI$58,J$9)+SUMIFS('Hasil-PC'!$AR$12:$AR$58,'Hasil-PC'!$B$12:$B$58,$A13,'Hasil-PC'!$AN$12:$AN$58,J$9)+SUMIFS('Hasil-PC'!$AV$12:$AV$58,'Hasil-PC'!$B$12:$B$58,$A13,'Hasil-PC'!$AT$12:$AT$58,J$9)</f>
        <v>0</v>
      </c>
      <c r="K13">
        <f>SUMIFS('Hasil-PC'!$X$12:$X$58,'Hasil-PC'!$B$12:$B$58,$A13,'Hasil-PC'!$W$12:$W$58,K$9)+SUMIFS('Hasil-PC'!$AC$12:$AC$58,'Hasil-PC'!$B$12:$B$58,$A13,'Hasil-PC'!$Y$12:$Y$58,K$9)+SUMIFS('Hasil-PC'!$AH$12:$AH$58,'Hasil-PC'!$B$12:$B$58,$A13,'Hasil-PC'!$AD$12:$AD$58,K$9)+SUMIFS('Hasil-PC'!$AM$12:$AM$58,'Hasil-PC'!$B$12:$B$58,$A13,'Hasil-PC'!$AI$12:$AI$58,K$9)+SUMIFS('Hasil-PC'!$AR$12:$AR$58,'Hasil-PC'!$B$12:$B$58,$A13,'Hasil-PC'!$AN$12:$AN$58,K$9)+SUMIFS('Hasil-PC'!$AV$12:$AV$58,'Hasil-PC'!$B$12:$B$58,$A13,'Hasil-PC'!$AT$12:$AT$58,K$9)</f>
        <v>0</v>
      </c>
      <c r="L13">
        <f>SUMIFS('Hasil-PC'!$X$12:$X$58,'Hasil-PC'!$B$12:$B$58,$A13,'Hasil-PC'!$W$12:$W$58,L$9)+SUMIFS('Hasil-PC'!$AC$12:$AC$58,'Hasil-PC'!$B$12:$B$58,$A13,'Hasil-PC'!$Y$12:$Y$58,L$9)+SUMIFS('Hasil-PC'!$AH$12:$AH$58,'Hasil-PC'!$B$12:$B$58,$A13,'Hasil-PC'!$AD$12:$AD$58,L$9)+SUMIFS('Hasil-PC'!$AM$12:$AM$58,'Hasil-PC'!$B$12:$B$58,$A13,'Hasil-PC'!$AI$12:$AI$58,L$9)+SUMIFS('Hasil-PC'!$AR$12:$AR$58,'Hasil-PC'!$B$12:$B$58,$A13,'Hasil-PC'!$AN$12:$AN$58,L$9)+SUMIFS('Hasil-PC'!$AV$12:$AV$58,'Hasil-PC'!$B$12:$B$58,$A13,'Hasil-PC'!$AT$12:$AT$58,L$9)</f>
        <v>0</v>
      </c>
      <c r="M13">
        <f>SUMIFS('Hasil-PC'!$X$12:$X$58,'Hasil-PC'!$B$12:$B$58,$A13,'Hasil-PC'!$W$12:$W$58,M$9)+SUMIFS('Hasil-PC'!$AC$12:$AC$58,'Hasil-PC'!$B$12:$B$58,$A13,'Hasil-PC'!$Y$12:$Y$58,M$9)+SUMIFS('Hasil-PC'!$AH$12:$AH$58,'Hasil-PC'!$B$12:$B$58,$A13,'Hasil-PC'!$AD$12:$AD$58,M$9)+SUMIFS('Hasil-PC'!$AM$12:$AM$58,'Hasil-PC'!$B$12:$B$58,$A13,'Hasil-PC'!$AI$12:$AI$58,M$9)+SUMIFS('Hasil-PC'!$AR$12:$AR$58,'Hasil-PC'!$B$12:$B$58,$A13,'Hasil-PC'!$AN$12:$AN$58,M$9)+SUMIFS('Hasil-PC'!$AV$12:$AV$58,'Hasil-PC'!$B$12:$B$58,$A13,'Hasil-PC'!$AT$12:$AT$58,M$9)</f>
        <v>265.1744852152291</v>
      </c>
      <c r="N13">
        <f>SUMIFS('Hasil-PC'!$X$12:$X$58,'Hasil-PC'!$B$12:$B$58,$A13,'Hasil-PC'!$W$12:$W$58,N$9)+SUMIFS('Hasil-PC'!$AC$12:$AC$58,'Hasil-PC'!$B$12:$B$58,$A13,'Hasil-PC'!$Y$12:$Y$58,N$9)+SUMIFS('Hasil-PC'!$AH$12:$AH$58,'Hasil-PC'!$B$12:$B$58,$A13,'Hasil-PC'!$AD$12:$AD$58,N$9)+SUMIFS('Hasil-PC'!$AM$12:$AM$58,'Hasil-PC'!$B$12:$B$58,$A13,'Hasil-PC'!$AI$12:$AI$58,N$9)+SUMIFS('Hasil-PC'!$AR$12:$AR$58,'Hasil-PC'!$B$12:$B$58,$A13,'Hasil-PC'!$AN$12:$AN$58,N$9)+SUMIFS('Hasil-PC'!$AV$12:$AV$58,'Hasil-PC'!$B$12:$B$58,$A13,'Hasil-PC'!$AT$12:$AT$58,N$9)</f>
        <v>389.72427264</v>
      </c>
      <c r="O13">
        <f>SUMIFS('Hasil-PC'!$X$12:$X$58,'Hasil-PC'!$B$12:$B$58,$A13,'Hasil-PC'!$W$12:$W$58,O$9)+SUMIFS('Hasil-PC'!$AC$12:$AC$58,'Hasil-PC'!$B$12:$B$58,$A13,'Hasil-PC'!$Y$12:$Y$58,O$9)+SUMIFS('Hasil-PC'!$AH$12:$AH$58,'Hasil-PC'!$B$12:$B$58,$A13,'Hasil-PC'!$AD$12:$AD$58,O$9)+SUMIFS('Hasil-PC'!$AM$12:$AM$58,'Hasil-PC'!$B$12:$B$58,$A13,'Hasil-PC'!$AI$12:$AI$58,O$9)+SUMIFS('Hasil-PC'!$AR$12:$AR$58,'Hasil-PC'!$B$12:$B$58,$A13,'Hasil-PC'!$AN$12:$AN$58,O$9)+SUMIFS('Hasil-PC'!$AV$12:$AV$58,'Hasil-PC'!$B$12:$B$58,$A13,'Hasil-PC'!$AT$12:$AT$58,O$9)</f>
        <v>0</v>
      </c>
      <c r="P13">
        <f>SUMIFS('Hasil-PC'!$X$12:$X$58,'Hasil-PC'!$B$12:$B$58,$A13,'Hasil-PC'!$W$12:$W$58,P$9)+SUMIFS('Hasil-PC'!$AC$12:$AC$58,'Hasil-PC'!$B$12:$B$58,$A13,'Hasil-PC'!$Y$12:$Y$58,P$9)+SUMIFS('Hasil-PC'!$AH$12:$AH$58,'Hasil-PC'!$B$12:$B$58,$A13,'Hasil-PC'!$AD$12:$AD$58,P$9)+SUMIFS('Hasil-PC'!$AM$12:$AM$58,'Hasil-PC'!$B$12:$B$58,$A13,'Hasil-PC'!$AI$12:$AI$58,P$9)+SUMIFS('Hasil-PC'!$AR$12:$AR$58,'Hasil-PC'!$B$12:$B$58,$A13,'Hasil-PC'!$AN$12:$AN$58,P$9)+SUMIFS('Hasil-PC'!$AV$12:$AV$58,'Hasil-PC'!$B$12:$B$58,$A13,'Hasil-PC'!$AT$12:$AT$58,P$9)</f>
        <v>0</v>
      </c>
      <c r="Q13">
        <f>SUMIFS('Hasil-PC'!$X$12:$X$58,'Hasil-PC'!$B$12:$B$58,$A13,'Hasil-PC'!$W$12:$W$58,Q$9)+SUMIFS('Hasil-PC'!$AC$12:$AC$58,'Hasil-PC'!$B$12:$B$58,$A13,'Hasil-PC'!$Y$12:$Y$58,Q$9)+SUMIFS('Hasil-PC'!$AH$12:$AH$58,'Hasil-PC'!$B$12:$B$58,$A13,'Hasil-PC'!$AD$12:$AD$58,Q$9)+SUMIFS('Hasil-PC'!$AM$12:$AM$58,'Hasil-PC'!$B$12:$B$58,$A13,'Hasil-PC'!$AI$12:$AI$58,Q$9)+SUMIFS('Hasil-PC'!$AR$12:$AR$58,'Hasil-PC'!$B$12:$B$58,$A13,'Hasil-PC'!$AN$12:$AN$58,Q$9)+SUMIFS('Hasil-PC'!$AV$12:$AV$58,'Hasil-PC'!$B$12:$B$58,$A13,'Hasil-PC'!$AT$12:$AT$58,Q$9)</f>
        <v>0</v>
      </c>
      <c r="R13">
        <f>SUM(J13:Q13)</f>
        <v>654.8987578552291</v>
      </c>
      <c r="T13">
        <f>IF(B13&gt;0,C13/B13,0)</f>
        <v>4.352848701201543</v>
      </c>
      <c r="U13">
        <f>IF(B13&gt;0,R13/B13,0)</f>
        <v>162.81526850007324</v>
      </c>
    </row>
    <row r="14">
      <c r="A14" t="str">
        <v>PC.4</v>
      </c>
      <c r="B14">
        <f>SUMIF('Hasil-PC'!$B$12:$B$58,$A14,'Hasil-PC'!$T$12:$T$58)</f>
        <v>0.847</v>
      </c>
      <c r="C14">
        <f>SUMIF('Hasil-PC'!$B$12:$B$58,$A14,'Hasil-PC'!$U$12:$U$58)</f>
        <v>3.0800000000000005</v>
      </c>
      <c r="D14">
        <f>SUMIF('Hasil-PC'!$B$12:$B$58,$A14,'Hasil-PC'!$C$12:$C$58)</f>
        <v>1</v>
      </c>
      <c r="E14">
        <f>SUMIF('Hasil-PC'!$B$12:$B$58,$A14,'Hasil-PC'!H$12:H$58)</f>
        <v>4</v>
      </c>
      <c r="F14">
        <f>SUMIF('Hasil-PC'!$B$12:$B$58,$A14,'Hasil-PC'!I$12:I$58)</f>
        <v>0</v>
      </c>
      <c r="G14">
        <f>SUMIF('Hasil-PC'!$B$12:$B$58,$A14,'Hasil-PC'!$L$12:$L$58)</f>
        <v>2.7075</v>
      </c>
      <c r="H14">
        <f>SUMIF('Hasil-PC'!$B$12:$B$58,$A14,'Hasil-PC'!$K$12:$K$58)</f>
        <v>0</v>
      </c>
      <c r="I14">
        <f>SUMIF('Hasil-PC'!$B$12:$B$58,$A14,'Hasil-PC'!$J$12:$J$58)</f>
        <v>0.1805</v>
      </c>
      <c r="J14">
        <f>SUMIFS('Hasil-PC'!$X$12:$X$58,'Hasil-PC'!$B$12:$B$58,$A14,'Hasil-PC'!$W$12:$W$58,J$9)+SUMIFS('Hasil-PC'!$AC$12:$AC$58,'Hasil-PC'!$B$12:$B$58,$A14,'Hasil-PC'!$Y$12:$Y$58,J$9)+SUMIFS('Hasil-PC'!$AH$12:$AH$58,'Hasil-PC'!$B$12:$B$58,$A14,'Hasil-PC'!$AD$12:$AD$58,J$9)+SUMIFS('Hasil-PC'!$AM$12:$AM$58,'Hasil-PC'!$B$12:$B$58,$A14,'Hasil-PC'!$AI$12:$AI$58,J$9)+SUMIFS('Hasil-PC'!$AR$12:$AR$58,'Hasil-PC'!$B$12:$B$58,$A14,'Hasil-PC'!$AN$12:$AN$58,J$9)+SUMIFS('Hasil-PC'!$AV$12:$AV$58,'Hasil-PC'!$B$12:$B$58,$A14,'Hasil-PC'!$AT$12:$AT$58,J$9)</f>
        <v>0</v>
      </c>
      <c r="K14">
        <f>SUMIFS('Hasil-PC'!$X$12:$X$58,'Hasil-PC'!$B$12:$B$58,$A14,'Hasil-PC'!$W$12:$W$58,K$9)+SUMIFS('Hasil-PC'!$AC$12:$AC$58,'Hasil-PC'!$B$12:$B$58,$A14,'Hasil-PC'!$Y$12:$Y$58,K$9)+SUMIFS('Hasil-PC'!$AH$12:$AH$58,'Hasil-PC'!$B$12:$B$58,$A14,'Hasil-PC'!$AD$12:$AD$58,K$9)+SUMIFS('Hasil-PC'!$AM$12:$AM$58,'Hasil-PC'!$B$12:$B$58,$A14,'Hasil-PC'!$AI$12:$AI$58,K$9)+SUMIFS('Hasil-PC'!$AR$12:$AR$58,'Hasil-PC'!$B$12:$B$58,$A14,'Hasil-PC'!$AN$12:$AN$58,K$9)+SUMIFS('Hasil-PC'!$AV$12:$AV$58,'Hasil-PC'!$B$12:$B$58,$A14,'Hasil-PC'!$AT$12:$AT$58,K$9)</f>
        <v>0</v>
      </c>
      <c r="L14">
        <f>SUMIFS('Hasil-PC'!$X$12:$X$58,'Hasil-PC'!$B$12:$B$58,$A14,'Hasil-PC'!$W$12:$W$58,L$9)+SUMIFS('Hasil-PC'!$AC$12:$AC$58,'Hasil-PC'!$B$12:$B$58,$A14,'Hasil-PC'!$Y$12:$Y$58,L$9)+SUMIFS('Hasil-PC'!$AH$12:$AH$58,'Hasil-PC'!$B$12:$B$58,$A14,'Hasil-PC'!$AD$12:$AD$58,L$9)+SUMIFS('Hasil-PC'!$AM$12:$AM$58,'Hasil-PC'!$B$12:$B$58,$A14,'Hasil-PC'!$AI$12:$AI$58,L$9)+SUMIFS('Hasil-PC'!$AR$12:$AR$58,'Hasil-PC'!$B$12:$B$58,$A14,'Hasil-PC'!$AN$12:$AN$58,L$9)+SUMIFS('Hasil-PC'!$AV$12:$AV$58,'Hasil-PC'!$B$12:$B$58,$A14,'Hasil-PC'!$AT$12:$AT$58,L$9)</f>
        <v>0</v>
      </c>
      <c r="M14">
        <f>SUMIFS('Hasil-PC'!$X$12:$X$58,'Hasil-PC'!$B$12:$B$58,$A14,'Hasil-PC'!$W$12:$W$58,M$9)+SUMIFS('Hasil-PC'!$AC$12:$AC$58,'Hasil-PC'!$B$12:$B$58,$A14,'Hasil-PC'!$Y$12:$Y$58,M$9)+SUMIFS('Hasil-PC'!$AH$12:$AH$58,'Hasil-PC'!$B$12:$B$58,$A14,'Hasil-PC'!$AD$12:$AD$58,M$9)+SUMIFS('Hasil-PC'!$AM$12:$AM$58,'Hasil-PC'!$B$12:$B$58,$A14,'Hasil-PC'!$AI$12:$AI$58,M$9)+SUMIFS('Hasil-PC'!$AR$12:$AR$58,'Hasil-PC'!$B$12:$B$58,$A14,'Hasil-PC'!$AN$12:$AN$58,M$9)+SUMIFS('Hasil-PC'!$AV$12:$AV$58,'Hasil-PC'!$B$12:$B$58,$A14,'Hasil-PC'!$AT$12:$AT$58,M$9)</f>
        <v>41.49619578</v>
      </c>
      <c r="N14">
        <f>SUMIFS('Hasil-PC'!$X$12:$X$58,'Hasil-PC'!$B$12:$B$58,$A14,'Hasil-PC'!$W$12:$W$58,N$9)+SUMIFS('Hasil-PC'!$AC$12:$AC$58,'Hasil-PC'!$B$12:$B$58,$A14,'Hasil-PC'!$Y$12:$Y$58,N$9)+SUMIFS('Hasil-PC'!$AH$12:$AH$58,'Hasil-PC'!$B$12:$B$58,$A14,'Hasil-PC'!$AD$12:$AD$58,N$9)+SUMIFS('Hasil-PC'!$AM$12:$AM$58,'Hasil-PC'!$B$12:$B$58,$A14,'Hasil-PC'!$AI$12:$AI$58,N$9)+SUMIFS('Hasil-PC'!$AR$12:$AR$58,'Hasil-PC'!$B$12:$B$58,$A14,'Hasil-PC'!$AN$12:$AN$58,N$9)+SUMIFS('Hasil-PC'!$AV$12:$AV$58,'Hasil-PC'!$B$12:$B$58,$A14,'Hasil-PC'!$AT$12:$AT$58,N$9)</f>
        <v>58.5842688</v>
      </c>
      <c r="O14">
        <f>SUMIFS('Hasil-PC'!$X$12:$X$58,'Hasil-PC'!$B$12:$B$58,$A14,'Hasil-PC'!$W$12:$W$58,O$9)+SUMIFS('Hasil-PC'!$AC$12:$AC$58,'Hasil-PC'!$B$12:$B$58,$A14,'Hasil-PC'!$Y$12:$Y$58,O$9)+SUMIFS('Hasil-PC'!$AH$12:$AH$58,'Hasil-PC'!$B$12:$B$58,$A14,'Hasil-PC'!$AD$12:$AD$58,O$9)+SUMIFS('Hasil-PC'!$AM$12:$AM$58,'Hasil-PC'!$B$12:$B$58,$A14,'Hasil-PC'!$AI$12:$AI$58,O$9)+SUMIFS('Hasil-PC'!$AR$12:$AR$58,'Hasil-PC'!$B$12:$B$58,$A14,'Hasil-PC'!$AN$12:$AN$58,O$9)+SUMIFS('Hasil-PC'!$AV$12:$AV$58,'Hasil-PC'!$B$12:$B$58,$A14,'Hasil-PC'!$AT$12:$AT$58,O$9)</f>
        <v>0</v>
      </c>
      <c r="P14">
        <f>SUMIFS('Hasil-PC'!$X$12:$X$58,'Hasil-PC'!$B$12:$B$58,$A14,'Hasil-PC'!$W$12:$W$58,P$9)+SUMIFS('Hasil-PC'!$AC$12:$AC$58,'Hasil-PC'!$B$12:$B$58,$A14,'Hasil-PC'!$Y$12:$Y$58,P$9)+SUMIFS('Hasil-PC'!$AH$12:$AH$58,'Hasil-PC'!$B$12:$B$58,$A14,'Hasil-PC'!$AD$12:$AD$58,P$9)+SUMIFS('Hasil-PC'!$AM$12:$AM$58,'Hasil-PC'!$B$12:$B$58,$A14,'Hasil-PC'!$AI$12:$AI$58,P$9)+SUMIFS('Hasil-PC'!$AR$12:$AR$58,'Hasil-PC'!$B$12:$B$58,$A14,'Hasil-PC'!$AN$12:$AN$58,P$9)+SUMIFS('Hasil-PC'!$AV$12:$AV$58,'Hasil-PC'!$B$12:$B$58,$A14,'Hasil-PC'!$AT$12:$AT$58,P$9)</f>
        <v>0</v>
      </c>
      <c r="Q14">
        <f>SUMIFS('Hasil-PC'!$X$12:$X$58,'Hasil-PC'!$B$12:$B$58,$A14,'Hasil-PC'!$W$12:$W$58,Q$9)+SUMIFS('Hasil-PC'!$AC$12:$AC$58,'Hasil-PC'!$B$12:$B$58,$A14,'Hasil-PC'!$Y$12:$Y$58,Q$9)+SUMIFS('Hasil-PC'!$AH$12:$AH$58,'Hasil-PC'!$B$12:$B$58,$A14,'Hasil-PC'!$AD$12:$AD$58,Q$9)+SUMIFS('Hasil-PC'!$AM$12:$AM$58,'Hasil-PC'!$B$12:$B$58,$A14,'Hasil-PC'!$AI$12:$AI$58,Q$9)+SUMIFS('Hasil-PC'!$AR$12:$AR$58,'Hasil-PC'!$B$12:$B$58,$A14,'Hasil-PC'!$AN$12:$AN$58,Q$9)+SUMIFS('Hasil-PC'!$AV$12:$AV$58,'Hasil-PC'!$B$12:$B$58,$A14,'Hasil-PC'!$AT$12:$AT$58,Q$9)</f>
        <v>0</v>
      </c>
      <c r="R14">
        <f>SUM(J14:Q14)</f>
        <v>100.08046458</v>
      </c>
      <c r="T14">
        <f>IF(B14&gt;0,C14/B14,0)</f>
        <v>3.636363636363637</v>
      </c>
      <c r="U14">
        <f>IF(B14&gt;0,R14/B14,0)</f>
        <v>118.15875393152302</v>
      </c>
    </row>
    <row r="15">
      <c r="A15" t="str">
        <v>PC.5</v>
      </c>
      <c r="B15">
        <f>SUMIF('Hasil-PC'!$B$12:$B$58,$A15,'Hasil-PC'!$T$12:$T$58)</f>
        <v>2.5515</v>
      </c>
      <c r="C15">
        <f>SUMIF('Hasil-PC'!$B$12:$B$58,$A15,'Hasil-PC'!$U$12:$U$58)</f>
        <v>7.5600000000000005</v>
      </c>
      <c r="D15">
        <f>SUMIF('Hasil-PC'!$B$12:$B$58,$A15,'Hasil-PC'!$C$12:$C$58)</f>
        <v>2</v>
      </c>
      <c r="E15">
        <f>SUMIF('Hasil-PC'!$B$12:$B$58,$A15,'Hasil-PC'!H$12:H$58)</f>
        <v>10</v>
      </c>
      <c r="F15">
        <f>SUMIF('Hasil-PC'!$B$12:$B$58,$A15,'Hasil-PC'!I$12:I$58)</f>
        <v>0</v>
      </c>
      <c r="G15">
        <f>SUMIF('Hasil-PC'!$B$12:$B$58,$A15,'Hasil-PC'!$L$12:$L$58)</f>
        <v>6.93375</v>
      </c>
      <c r="H15">
        <f>SUMIF('Hasil-PC'!$B$12:$B$58,$A15,'Hasil-PC'!$K$12:$K$58)</f>
        <v>0</v>
      </c>
      <c r="I15">
        <f>SUMIF('Hasil-PC'!$B$12:$B$58,$A15,'Hasil-PC'!$J$12:$J$58)</f>
        <v>0.46224999999999994</v>
      </c>
      <c r="J15">
        <f>SUMIFS('Hasil-PC'!$X$12:$X$58,'Hasil-PC'!$B$12:$B$58,$A15,'Hasil-PC'!$W$12:$W$58,J$9)+SUMIFS('Hasil-PC'!$AC$12:$AC$58,'Hasil-PC'!$B$12:$B$58,$A15,'Hasil-PC'!$Y$12:$Y$58,J$9)+SUMIFS('Hasil-PC'!$AH$12:$AH$58,'Hasil-PC'!$B$12:$B$58,$A15,'Hasil-PC'!$AD$12:$AD$58,J$9)+SUMIFS('Hasil-PC'!$AM$12:$AM$58,'Hasil-PC'!$B$12:$B$58,$A15,'Hasil-PC'!$AI$12:$AI$58,J$9)+SUMIFS('Hasil-PC'!$AR$12:$AR$58,'Hasil-PC'!$B$12:$B$58,$A15,'Hasil-PC'!$AN$12:$AN$58,J$9)+SUMIFS('Hasil-PC'!$AV$12:$AV$58,'Hasil-PC'!$B$12:$B$58,$A15,'Hasil-PC'!$AT$12:$AT$58,J$9)</f>
        <v>0</v>
      </c>
      <c r="K15">
        <f>SUMIFS('Hasil-PC'!$X$12:$X$58,'Hasil-PC'!$B$12:$B$58,$A15,'Hasil-PC'!$W$12:$W$58,K$9)+SUMIFS('Hasil-PC'!$AC$12:$AC$58,'Hasil-PC'!$B$12:$B$58,$A15,'Hasil-PC'!$Y$12:$Y$58,K$9)+SUMIFS('Hasil-PC'!$AH$12:$AH$58,'Hasil-PC'!$B$12:$B$58,$A15,'Hasil-PC'!$AD$12:$AD$58,K$9)+SUMIFS('Hasil-PC'!$AM$12:$AM$58,'Hasil-PC'!$B$12:$B$58,$A15,'Hasil-PC'!$AI$12:$AI$58,K$9)+SUMIFS('Hasil-PC'!$AR$12:$AR$58,'Hasil-PC'!$B$12:$B$58,$A15,'Hasil-PC'!$AN$12:$AN$58,K$9)+SUMIFS('Hasil-PC'!$AV$12:$AV$58,'Hasil-PC'!$B$12:$B$58,$A15,'Hasil-PC'!$AT$12:$AT$58,K$9)</f>
        <v>0</v>
      </c>
      <c r="L15">
        <f>SUMIFS('Hasil-PC'!$X$12:$X$58,'Hasil-PC'!$B$12:$B$58,$A15,'Hasil-PC'!$W$12:$W$58,L$9)+SUMIFS('Hasil-PC'!$AC$12:$AC$58,'Hasil-PC'!$B$12:$B$58,$A15,'Hasil-PC'!$Y$12:$Y$58,L$9)+SUMIFS('Hasil-PC'!$AH$12:$AH$58,'Hasil-PC'!$B$12:$B$58,$A15,'Hasil-PC'!$AD$12:$AD$58,L$9)+SUMIFS('Hasil-PC'!$AM$12:$AM$58,'Hasil-PC'!$B$12:$B$58,$A15,'Hasil-PC'!$AI$12:$AI$58,L$9)+SUMIFS('Hasil-PC'!$AR$12:$AR$58,'Hasil-PC'!$B$12:$B$58,$A15,'Hasil-PC'!$AN$12:$AN$58,L$9)+SUMIFS('Hasil-PC'!$AV$12:$AV$58,'Hasil-PC'!$B$12:$B$58,$A15,'Hasil-PC'!$AT$12:$AT$58,L$9)</f>
        <v>0</v>
      </c>
      <c r="M15">
        <f>SUMIFS('Hasil-PC'!$X$12:$X$58,'Hasil-PC'!$B$12:$B$58,$A15,'Hasil-PC'!$W$12:$W$58,M$9)+SUMIFS('Hasil-PC'!$AC$12:$AC$58,'Hasil-PC'!$B$12:$B$58,$A15,'Hasil-PC'!$Y$12:$Y$58,M$9)+SUMIFS('Hasil-PC'!$AH$12:$AH$58,'Hasil-PC'!$B$12:$B$58,$A15,'Hasil-PC'!$AD$12:$AD$58,M$9)+SUMIFS('Hasil-PC'!$AM$12:$AM$58,'Hasil-PC'!$B$12:$B$58,$A15,'Hasil-PC'!$AI$12:$AI$58,M$9)+SUMIFS('Hasil-PC'!$AR$12:$AR$58,'Hasil-PC'!$B$12:$B$58,$A15,'Hasil-PC'!$AN$12:$AN$58,M$9)+SUMIFS('Hasil-PC'!$AV$12:$AV$58,'Hasil-PC'!$B$12:$B$58,$A15,'Hasil-PC'!$AT$12:$AT$58,M$9)</f>
        <v>105.62213376</v>
      </c>
      <c r="N15">
        <f>SUMIFS('Hasil-PC'!$X$12:$X$58,'Hasil-PC'!$B$12:$B$58,$A15,'Hasil-PC'!$W$12:$W$58,N$9)+SUMIFS('Hasil-PC'!$AC$12:$AC$58,'Hasil-PC'!$B$12:$B$58,$A15,'Hasil-PC'!$Y$12:$Y$58,N$9)+SUMIFS('Hasil-PC'!$AH$12:$AH$58,'Hasil-PC'!$B$12:$B$58,$A15,'Hasil-PC'!$AD$12:$AD$58,N$9)+SUMIFS('Hasil-PC'!$AM$12:$AM$58,'Hasil-PC'!$B$12:$B$58,$A15,'Hasil-PC'!$AI$12:$AI$58,N$9)+SUMIFS('Hasil-PC'!$AR$12:$AR$58,'Hasil-PC'!$B$12:$B$58,$A15,'Hasil-PC'!$AN$12:$AN$58,N$9)+SUMIFS('Hasil-PC'!$AV$12:$AV$58,'Hasil-PC'!$B$12:$B$58,$A15,'Hasil-PC'!$AT$12:$AT$58,N$9)</f>
        <v>146.0187648</v>
      </c>
      <c r="O15">
        <f>SUMIFS('Hasil-PC'!$X$12:$X$58,'Hasil-PC'!$B$12:$B$58,$A15,'Hasil-PC'!$W$12:$W$58,O$9)+SUMIFS('Hasil-PC'!$AC$12:$AC$58,'Hasil-PC'!$B$12:$B$58,$A15,'Hasil-PC'!$Y$12:$Y$58,O$9)+SUMIFS('Hasil-PC'!$AH$12:$AH$58,'Hasil-PC'!$B$12:$B$58,$A15,'Hasil-PC'!$AD$12:$AD$58,O$9)+SUMIFS('Hasil-PC'!$AM$12:$AM$58,'Hasil-PC'!$B$12:$B$58,$A15,'Hasil-PC'!$AI$12:$AI$58,O$9)+SUMIFS('Hasil-PC'!$AR$12:$AR$58,'Hasil-PC'!$B$12:$B$58,$A15,'Hasil-PC'!$AN$12:$AN$58,O$9)+SUMIFS('Hasil-PC'!$AV$12:$AV$58,'Hasil-PC'!$B$12:$B$58,$A15,'Hasil-PC'!$AT$12:$AT$58,O$9)</f>
        <v>0</v>
      </c>
      <c r="P15">
        <f>SUMIFS('Hasil-PC'!$X$12:$X$58,'Hasil-PC'!$B$12:$B$58,$A15,'Hasil-PC'!$W$12:$W$58,P$9)+SUMIFS('Hasil-PC'!$AC$12:$AC$58,'Hasil-PC'!$B$12:$B$58,$A15,'Hasil-PC'!$Y$12:$Y$58,P$9)+SUMIFS('Hasil-PC'!$AH$12:$AH$58,'Hasil-PC'!$B$12:$B$58,$A15,'Hasil-PC'!$AD$12:$AD$58,P$9)+SUMIFS('Hasil-PC'!$AM$12:$AM$58,'Hasil-PC'!$B$12:$B$58,$A15,'Hasil-PC'!$AI$12:$AI$58,P$9)+SUMIFS('Hasil-PC'!$AR$12:$AR$58,'Hasil-PC'!$B$12:$B$58,$A15,'Hasil-PC'!$AN$12:$AN$58,P$9)+SUMIFS('Hasil-PC'!$AV$12:$AV$58,'Hasil-PC'!$B$12:$B$58,$A15,'Hasil-PC'!$AT$12:$AT$58,P$9)</f>
        <v>0</v>
      </c>
      <c r="Q15">
        <f>SUMIFS('Hasil-PC'!$X$12:$X$58,'Hasil-PC'!$B$12:$B$58,$A15,'Hasil-PC'!$W$12:$W$58,Q$9)+SUMIFS('Hasil-PC'!$AC$12:$AC$58,'Hasil-PC'!$B$12:$B$58,$A15,'Hasil-PC'!$Y$12:$Y$58,Q$9)+SUMIFS('Hasil-PC'!$AH$12:$AH$58,'Hasil-PC'!$B$12:$B$58,$A15,'Hasil-PC'!$AD$12:$AD$58,Q$9)+SUMIFS('Hasil-PC'!$AM$12:$AM$58,'Hasil-PC'!$B$12:$B$58,$A15,'Hasil-PC'!$AI$12:$AI$58,Q$9)+SUMIFS('Hasil-PC'!$AR$12:$AR$58,'Hasil-PC'!$B$12:$B$58,$A15,'Hasil-PC'!$AN$12:$AN$58,Q$9)+SUMIFS('Hasil-PC'!$AV$12:$AV$58,'Hasil-PC'!$B$12:$B$58,$A15,'Hasil-PC'!$AT$12:$AT$58,Q$9)</f>
        <v>0</v>
      </c>
      <c r="R15">
        <f>SUM(J15:Q15)</f>
        <v>251.64089856</v>
      </c>
      <c r="T15">
        <f>IF(B15&gt;0,C15/B15,0)</f>
        <v>2.9629629629629632</v>
      </c>
      <c r="U15">
        <f>IF(B15&gt;0,R15/B15,0)</f>
        <v>98.6246907936508</v>
      </c>
    </row>
    <row r="16">
      <c r="A16" t="str">
        <v>PC.9</v>
      </c>
      <c r="B16">
        <f>SUMIF('Hasil-PC'!$B$12:$B$58,$A16,'Hasil-PC'!$T$12:$T$58)</f>
        <v>5.07</v>
      </c>
      <c r="C16">
        <f>SUMIF('Hasil-PC'!$B$12:$B$58,$A16,'Hasil-PC'!$U$12:$U$58)</f>
        <v>7.8</v>
      </c>
      <c r="D16">
        <f>SUMIF('Hasil-PC'!$B$12:$B$58,$A16,'Hasil-PC'!$C$12:$C$58)</f>
        <v>1</v>
      </c>
      <c r="E16">
        <f>SUMIF('Hasil-PC'!$B$12:$B$58,$A16,'Hasil-PC'!H$12:H$58)</f>
        <v>9</v>
      </c>
      <c r="F16">
        <f>SUMIF('Hasil-PC'!$B$12:$B$58,$A16,'Hasil-PC'!I$12:I$58)</f>
        <v>0</v>
      </c>
      <c r="G16">
        <f>SUMIF('Hasil-PC'!$B$12:$B$58,$A16,'Hasil-PC'!$L$12:$L$58)</f>
        <v>9.248000000000001</v>
      </c>
      <c r="H16">
        <f>SUMIF('Hasil-PC'!$B$12:$B$58,$A16,'Hasil-PC'!$K$12:$K$58)</f>
        <v>0</v>
      </c>
      <c r="I16">
        <f>SUMIF('Hasil-PC'!$B$12:$B$58,$A16,'Hasil-PC'!$J$12:$J$58)</f>
        <v>0.578</v>
      </c>
      <c r="J16">
        <f>SUMIFS('Hasil-PC'!$X$12:$X$58,'Hasil-PC'!$B$12:$B$58,$A16,'Hasil-PC'!$W$12:$W$58,J$9)+SUMIFS('Hasil-PC'!$AC$12:$AC$58,'Hasil-PC'!$B$12:$B$58,$A16,'Hasil-PC'!$Y$12:$Y$58,J$9)+SUMIFS('Hasil-PC'!$AH$12:$AH$58,'Hasil-PC'!$B$12:$B$58,$A16,'Hasil-PC'!$AD$12:$AD$58,J$9)+SUMIFS('Hasil-PC'!$AM$12:$AM$58,'Hasil-PC'!$B$12:$B$58,$A16,'Hasil-PC'!$AI$12:$AI$58,J$9)+SUMIFS('Hasil-PC'!$AR$12:$AR$58,'Hasil-PC'!$B$12:$B$58,$A16,'Hasil-PC'!$AN$12:$AN$58,J$9)+SUMIFS('Hasil-PC'!$AV$12:$AV$58,'Hasil-PC'!$B$12:$B$58,$A16,'Hasil-PC'!$AT$12:$AT$58,J$9)</f>
        <v>0</v>
      </c>
      <c r="K16">
        <f>SUMIFS('Hasil-PC'!$X$12:$X$58,'Hasil-PC'!$B$12:$B$58,$A16,'Hasil-PC'!$W$12:$W$58,K$9)+SUMIFS('Hasil-PC'!$AC$12:$AC$58,'Hasil-PC'!$B$12:$B$58,$A16,'Hasil-PC'!$Y$12:$Y$58,K$9)+SUMIFS('Hasil-PC'!$AH$12:$AH$58,'Hasil-PC'!$B$12:$B$58,$A16,'Hasil-PC'!$AD$12:$AD$58,K$9)+SUMIFS('Hasil-PC'!$AM$12:$AM$58,'Hasil-PC'!$B$12:$B$58,$A16,'Hasil-PC'!$AI$12:$AI$58,K$9)+SUMIFS('Hasil-PC'!$AR$12:$AR$58,'Hasil-PC'!$B$12:$B$58,$A16,'Hasil-PC'!$AN$12:$AN$58,K$9)+SUMIFS('Hasil-PC'!$AV$12:$AV$58,'Hasil-PC'!$B$12:$B$58,$A16,'Hasil-PC'!$AT$12:$AT$58,K$9)</f>
        <v>0</v>
      </c>
      <c r="L16">
        <f>SUMIFS('Hasil-PC'!$X$12:$X$58,'Hasil-PC'!$B$12:$B$58,$A16,'Hasil-PC'!$W$12:$W$58,L$9)+SUMIFS('Hasil-PC'!$AC$12:$AC$58,'Hasil-PC'!$B$12:$B$58,$A16,'Hasil-PC'!$Y$12:$Y$58,L$9)+SUMIFS('Hasil-PC'!$AH$12:$AH$58,'Hasil-PC'!$B$12:$B$58,$A16,'Hasil-PC'!$AD$12:$AD$58,L$9)+SUMIFS('Hasil-PC'!$AM$12:$AM$58,'Hasil-PC'!$B$12:$B$58,$A16,'Hasil-PC'!$AI$12:$AI$58,L$9)+SUMIFS('Hasil-PC'!$AR$12:$AR$58,'Hasil-PC'!$B$12:$B$58,$A16,'Hasil-PC'!$AN$12:$AN$58,L$9)+SUMIFS('Hasil-PC'!$AV$12:$AV$58,'Hasil-PC'!$B$12:$B$58,$A16,'Hasil-PC'!$AT$12:$AT$58,L$9)</f>
        <v>0</v>
      </c>
      <c r="M16">
        <f>SUMIFS('Hasil-PC'!$X$12:$X$58,'Hasil-PC'!$B$12:$B$58,$A16,'Hasil-PC'!$W$12:$W$58,M$9)+SUMIFS('Hasil-PC'!$AC$12:$AC$58,'Hasil-PC'!$B$12:$B$58,$A16,'Hasil-PC'!$Y$12:$Y$58,M$9)+SUMIFS('Hasil-PC'!$AH$12:$AH$58,'Hasil-PC'!$B$12:$B$58,$A16,'Hasil-PC'!$AD$12:$AD$58,M$9)+SUMIFS('Hasil-PC'!$AM$12:$AM$58,'Hasil-PC'!$B$12:$B$58,$A16,'Hasil-PC'!$AI$12:$AI$58,M$9)+SUMIFS('Hasil-PC'!$AR$12:$AR$58,'Hasil-PC'!$B$12:$B$58,$A16,'Hasil-PC'!$AN$12:$AN$58,M$9)+SUMIFS('Hasil-PC'!$AV$12:$AV$58,'Hasil-PC'!$B$12:$B$58,$A16,'Hasil-PC'!$AT$12:$AT$58,M$9)</f>
        <v>32.24425698</v>
      </c>
      <c r="N16">
        <f>SUMIFS('Hasil-PC'!$X$12:$X$58,'Hasil-PC'!$B$12:$B$58,$A16,'Hasil-PC'!$W$12:$W$58,N$9)+SUMIFS('Hasil-PC'!$AC$12:$AC$58,'Hasil-PC'!$B$12:$B$58,$A16,'Hasil-PC'!$Y$12:$Y$58,N$9)+SUMIFS('Hasil-PC'!$AH$12:$AH$58,'Hasil-PC'!$B$12:$B$58,$A16,'Hasil-PC'!$AD$12:$AD$58,N$9)+SUMIFS('Hasil-PC'!$AM$12:$AM$58,'Hasil-PC'!$B$12:$B$58,$A16,'Hasil-PC'!$AI$12:$AI$58,N$9)+SUMIFS('Hasil-PC'!$AR$12:$AR$58,'Hasil-PC'!$B$12:$B$58,$A16,'Hasil-PC'!$AN$12:$AN$58,N$9)+SUMIFS('Hasil-PC'!$AV$12:$AV$58,'Hasil-PC'!$B$12:$B$58,$A16,'Hasil-PC'!$AT$12:$AT$58,N$9)</f>
        <v>406.238976</v>
      </c>
      <c r="O16">
        <f>SUMIFS('Hasil-PC'!$X$12:$X$58,'Hasil-PC'!$B$12:$B$58,$A16,'Hasil-PC'!$W$12:$W$58,O$9)+SUMIFS('Hasil-PC'!$AC$12:$AC$58,'Hasil-PC'!$B$12:$B$58,$A16,'Hasil-PC'!$Y$12:$Y$58,O$9)+SUMIFS('Hasil-PC'!$AH$12:$AH$58,'Hasil-PC'!$B$12:$B$58,$A16,'Hasil-PC'!$AD$12:$AD$58,O$9)+SUMIFS('Hasil-PC'!$AM$12:$AM$58,'Hasil-PC'!$B$12:$B$58,$A16,'Hasil-PC'!$AI$12:$AI$58,O$9)+SUMIFS('Hasil-PC'!$AR$12:$AR$58,'Hasil-PC'!$B$12:$B$58,$A16,'Hasil-PC'!$AN$12:$AN$58,O$9)+SUMIFS('Hasil-PC'!$AV$12:$AV$58,'Hasil-PC'!$B$12:$B$58,$A16,'Hasil-PC'!$AT$12:$AT$58,O$9)</f>
        <v>0</v>
      </c>
      <c r="P16">
        <f>SUMIFS('Hasil-PC'!$X$12:$X$58,'Hasil-PC'!$B$12:$B$58,$A16,'Hasil-PC'!$W$12:$W$58,P$9)+SUMIFS('Hasil-PC'!$AC$12:$AC$58,'Hasil-PC'!$B$12:$B$58,$A16,'Hasil-PC'!$Y$12:$Y$58,P$9)+SUMIFS('Hasil-PC'!$AH$12:$AH$58,'Hasil-PC'!$B$12:$B$58,$A16,'Hasil-PC'!$AD$12:$AD$58,P$9)+SUMIFS('Hasil-PC'!$AM$12:$AM$58,'Hasil-PC'!$B$12:$B$58,$A16,'Hasil-PC'!$AI$12:$AI$58,P$9)+SUMIFS('Hasil-PC'!$AR$12:$AR$58,'Hasil-PC'!$B$12:$B$58,$A16,'Hasil-PC'!$AN$12:$AN$58,P$9)+SUMIFS('Hasil-PC'!$AV$12:$AV$58,'Hasil-PC'!$B$12:$B$58,$A16,'Hasil-PC'!$AT$12:$AT$58,P$9)</f>
        <v>0</v>
      </c>
      <c r="Q16">
        <f>SUMIFS('Hasil-PC'!$X$12:$X$58,'Hasil-PC'!$B$12:$B$58,$A16,'Hasil-PC'!$W$12:$W$58,Q$9)+SUMIFS('Hasil-PC'!$AC$12:$AC$58,'Hasil-PC'!$B$12:$B$58,$A16,'Hasil-PC'!$Y$12:$Y$58,Q$9)+SUMIFS('Hasil-PC'!$AH$12:$AH$58,'Hasil-PC'!$B$12:$B$58,$A16,'Hasil-PC'!$AD$12:$AD$58,Q$9)+SUMIFS('Hasil-PC'!$AM$12:$AM$58,'Hasil-PC'!$B$12:$B$58,$A16,'Hasil-PC'!$AI$12:$AI$58,Q$9)+SUMIFS('Hasil-PC'!$AR$12:$AR$58,'Hasil-PC'!$B$12:$B$58,$A16,'Hasil-PC'!$AN$12:$AN$58,Q$9)+SUMIFS('Hasil-PC'!$AV$12:$AV$58,'Hasil-PC'!$B$12:$B$58,$A16,'Hasil-PC'!$AT$12:$AT$58,Q$9)</f>
        <v>0</v>
      </c>
      <c r="R16">
        <f>SUM(J16:Q16)</f>
        <v>438.48323297999997</v>
      </c>
      <c r="T16">
        <f>IF(B16&gt;0,C16/B16,0)</f>
        <v>1.5384615384615383</v>
      </c>
      <c r="U16">
        <f>IF(B16&gt;0,R16/B16,0)</f>
        <v>86.48584476923075</v>
      </c>
    </row>
    <row r="17">
      <c r="A17" t="str">
        <v>PCS.1</v>
      </c>
      <c r="B17">
        <f>SUMIF('Hasil-PC'!$B$12:$B$58,$A17,'Hasil-PC'!$T$12:$T$58)</f>
        <v>0.576</v>
      </c>
      <c r="C17">
        <f>SUMIF('Hasil-PC'!$B$12:$B$58,$A17,'Hasil-PC'!$U$12:$U$58)</f>
        <v>3.36</v>
      </c>
      <c r="D17">
        <f>SUMIF('Hasil-PC'!$B$12:$B$58,$A17,'Hasil-PC'!$C$12:$C$58)</f>
        <v>2</v>
      </c>
      <c r="E17">
        <f>SUMIF('Hasil-PC'!$B$12:$B$58,$A17,'Hasil-PC'!H$12:H$58)</f>
        <v>0</v>
      </c>
      <c r="F17">
        <f>SUMIF('Hasil-PC'!$B$12:$B$58,$A17,'Hasil-PC'!I$12:I$58)</f>
        <v>2</v>
      </c>
      <c r="G17">
        <f>SUMIF('Hasil-PC'!$B$12:$B$58,$A17,'Hasil-PC'!$L$12:$L$58)</f>
        <v>2.9120000000000004</v>
      </c>
      <c r="H17">
        <f>SUMIF('Hasil-PC'!$B$12:$B$58,$A17,'Hasil-PC'!$K$12:$K$58)</f>
        <v>0</v>
      </c>
      <c r="I17">
        <f>SUMIF('Hasil-PC'!$B$12:$B$58,$A17,'Hasil-PC'!$J$12:$J$58)</f>
        <v>0.22400000000000003</v>
      </c>
      <c r="J17">
        <f>SUMIFS('Hasil-PC'!$X$12:$X$58,'Hasil-PC'!$B$12:$B$58,$A17,'Hasil-PC'!$W$12:$W$58,J$9)+SUMIFS('Hasil-PC'!$AC$12:$AC$58,'Hasil-PC'!$B$12:$B$58,$A17,'Hasil-PC'!$Y$12:$Y$58,J$9)+SUMIFS('Hasil-PC'!$AH$12:$AH$58,'Hasil-PC'!$B$12:$B$58,$A17,'Hasil-PC'!$AD$12:$AD$58,J$9)+SUMIFS('Hasil-PC'!$AM$12:$AM$58,'Hasil-PC'!$B$12:$B$58,$A17,'Hasil-PC'!$AI$12:$AI$58,J$9)+SUMIFS('Hasil-PC'!$AR$12:$AR$58,'Hasil-PC'!$B$12:$B$58,$A17,'Hasil-PC'!$AN$12:$AN$58,J$9)+SUMIFS('Hasil-PC'!$AV$12:$AV$58,'Hasil-PC'!$B$12:$B$58,$A17,'Hasil-PC'!$AT$12:$AT$58,J$9)</f>
        <v>0</v>
      </c>
      <c r="K17">
        <f>SUMIFS('Hasil-PC'!$X$12:$X$58,'Hasil-PC'!$B$12:$B$58,$A17,'Hasil-PC'!$W$12:$W$58,K$9)+SUMIFS('Hasil-PC'!$AC$12:$AC$58,'Hasil-PC'!$B$12:$B$58,$A17,'Hasil-PC'!$Y$12:$Y$58,K$9)+SUMIFS('Hasil-PC'!$AH$12:$AH$58,'Hasil-PC'!$B$12:$B$58,$A17,'Hasil-PC'!$AD$12:$AD$58,K$9)+SUMIFS('Hasil-PC'!$AM$12:$AM$58,'Hasil-PC'!$B$12:$B$58,$A17,'Hasil-PC'!$AI$12:$AI$58,K$9)+SUMIFS('Hasil-PC'!$AR$12:$AR$58,'Hasil-PC'!$B$12:$B$58,$A17,'Hasil-PC'!$AN$12:$AN$58,K$9)+SUMIFS('Hasil-PC'!$AV$12:$AV$58,'Hasil-PC'!$B$12:$B$58,$A17,'Hasil-PC'!$AT$12:$AT$58,K$9)</f>
        <v>0</v>
      </c>
      <c r="L17">
        <f>SUMIFS('Hasil-PC'!$X$12:$X$58,'Hasil-PC'!$B$12:$B$58,$A17,'Hasil-PC'!$W$12:$W$58,L$9)+SUMIFS('Hasil-PC'!$AC$12:$AC$58,'Hasil-PC'!$B$12:$B$58,$A17,'Hasil-PC'!$Y$12:$Y$58,L$9)+SUMIFS('Hasil-PC'!$AH$12:$AH$58,'Hasil-PC'!$B$12:$B$58,$A17,'Hasil-PC'!$AD$12:$AD$58,L$9)+SUMIFS('Hasil-PC'!$AM$12:$AM$58,'Hasil-PC'!$B$12:$B$58,$A17,'Hasil-PC'!$AI$12:$AI$58,L$9)+SUMIFS('Hasil-PC'!$AR$12:$AR$58,'Hasil-PC'!$B$12:$B$58,$A17,'Hasil-PC'!$AN$12:$AN$58,L$9)+SUMIFS('Hasil-PC'!$AV$12:$AV$58,'Hasil-PC'!$B$12:$B$58,$A17,'Hasil-PC'!$AT$12:$AT$58,L$9)</f>
        <v>0</v>
      </c>
      <c r="M17">
        <f>SUMIFS('Hasil-PC'!$X$12:$X$58,'Hasil-PC'!$B$12:$B$58,$A17,'Hasil-PC'!$W$12:$W$58,M$9)+SUMIFS('Hasil-PC'!$AC$12:$AC$58,'Hasil-PC'!$B$12:$B$58,$A17,'Hasil-PC'!$Y$12:$Y$58,M$9)+SUMIFS('Hasil-PC'!$AH$12:$AH$58,'Hasil-PC'!$B$12:$B$58,$A17,'Hasil-PC'!$AD$12:$AD$58,M$9)+SUMIFS('Hasil-PC'!$AM$12:$AM$58,'Hasil-PC'!$B$12:$B$58,$A17,'Hasil-PC'!$AI$12:$AI$58,M$9)+SUMIFS('Hasil-PC'!$AR$12:$AR$58,'Hasil-PC'!$B$12:$B$58,$A17,'Hasil-PC'!$AN$12:$AN$58,M$9)+SUMIFS('Hasil-PC'!$AV$12:$AV$58,'Hasil-PC'!$B$12:$B$58,$A17,'Hasil-PC'!$AT$12:$AT$58,M$9)</f>
        <v>56.32847064</v>
      </c>
      <c r="N17">
        <f>SUMIFS('Hasil-PC'!$X$12:$X$58,'Hasil-PC'!$B$12:$B$58,$A17,'Hasil-PC'!$W$12:$W$58,N$9)+SUMIFS('Hasil-PC'!$AC$12:$AC$58,'Hasil-PC'!$B$12:$B$58,$A17,'Hasil-PC'!$Y$12:$Y$58,N$9)+SUMIFS('Hasil-PC'!$AH$12:$AH$58,'Hasil-PC'!$B$12:$B$58,$A17,'Hasil-PC'!$AD$12:$AD$58,N$9)+SUMIFS('Hasil-PC'!$AM$12:$AM$58,'Hasil-PC'!$B$12:$B$58,$A17,'Hasil-PC'!$AI$12:$AI$58,N$9)+SUMIFS('Hasil-PC'!$AR$12:$AR$58,'Hasil-PC'!$B$12:$B$58,$A17,'Hasil-PC'!$AN$12:$AN$58,N$9)+SUMIFS('Hasil-PC'!$AV$12:$AV$58,'Hasil-PC'!$B$12:$B$58,$A17,'Hasil-PC'!$AT$12:$AT$58,N$9)</f>
        <v>58.710528</v>
      </c>
      <c r="O17">
        <f>SUMIFS('Hasil-PC'!$X$12:$X$58,'Hasil-PC'!$B$12:$B$58,$A17,'Hasil-PC'!$W$12:$W$58,O$9)+SUMIFS('Hasil-PC'!$AC$12:$AC$58,'Hasil-PC'!$B$12:$B$58,$A17,'Hasil-PC'!$Y$12:$Y$58,O$9)+SUMIFS('Hasil-PC'!$AH$12:$AH$58,'Hasil-PC'!$B$12:$B$58,$A17,'Hasil-PC'!$AD$12:$AD$58,O$9)+SUMIFS('Hasil-PC'!$AM$12:$AM$58,'Hasil-PC'!$B$12:$B$58,$A17,'Hasil-PC'!$AI$12:$AI$58,O$9)+SUMIFS('Hasil-PC'!$AR$12:$AR$58,'Hasil-PC'!$B$12:$B$58,$A17,'Hasil-PC'!$AN$12:$AN$58,O$9)+SUMIFS('Hasil-PC'!$AV$12:$AV$58,'Hasil-PC'!$B$12:$B$58,$A17,'Hasil-PC'!$AT$12:$AT$58,O$9)</f>
        <v>0</v>
      </c>
      <c r="P17">
        <f>SUMIFS('Hasil-PC'!$X$12:$X$58,'Hasil-PC'!$B$12:$B$58,$A17,'Hasil-PC'!$W$12:$W$58,P$9)+SUMIFS('Hasil-PC'!$AC$12:$AC$58,'Hasil-PC'!$B$12:$B$58,$A17,'Hasil-PC'!$Y$12:$Y$58,P$9)+SUMIFS('Hasil-PC'!$AH$12:$AH$58,'Hasil-PC'!$B$12:$B$58,$A17,'Hasil-PC'!$AD$12:$AD$58,P$9)+SUMIFS('Hasil-PC'!$AM$12:$AM$58,'Hasil-PC'!$B$12:$B$58,$A17,'Hasil-PC'!$AI$12:$AI$58,P$9)+SUMIFS('Hasil-PC'!$AR$12:$AR$58,'Hasil-PC'!$B$12:$B$58,$A17,'Hasil-PC'!$AN$12:$AN$58,P$9)+SUMIFS('Hasil-PC'!$AV$12:$AV$58,'Hasil-PC'!$B$12:$B$58,$A17,'Hasil-PC'!$AT$12:$AT$58,P$9)</f>
        <v>0</v>
      </c>
      <c r="Q17">
        <f>SUMIFS('Hasil-PC'!$X$12:$X$58,'Hasil-PC'!$B$12:$B$58,$A17,'Hasil-PC'!$W$12:$W$58,Q$9)+SUMIFS('Hasil-PC'!$AC$12:$AC$58,'Hasil-PC'!$B$12:$B$58,$A17,'Hasil-PC'!$Y$12:$Y$58,Q$9)+SUMIFS('Hasil-PC'!$AH$12:$AH$58,'Hasil-PC'!$B$12:$B$58,$A17,'Hasil-PC'!$AD$12:$AD$58,Q$9)+SUMIFS('Hasil-PC'!$AM$12:$AM$58,'Hasil-PC'!$B$12:$B$58,$A17,'Hasil-PC'!$AI$12:$AI$58,Q$9)+SUMIFS('Hasil-PC'!$AR$12:$AR$58,'Hasil-PC'!$B$12:$B$58,$A17,'Hasil-PC'!$AN$12:$AN$58,Q$9)+SUMIFS('Hasil-PC'!$AV$12:$AV$58,'Hasil-PC'!$B$12:$B$58,$A17,'Hasil-PC'!$AT$12:$AT$58,Q$9)</f>
        <v>0</v>
      </c>
      <c r="R17">
        <f>SUM(J17:Q17)</f>
        <v>115.03899863999999</v>
      </c>
      <c r="T17">
        <f>IF(B17&gt;0,C17/B17,0)</f>
        <v>5.833333333333334</v>
      </c>
      <c r="U17">
        <f>IF(B17&gt;0,R17/B17,0)</f>
        <v>199.72048375</v>
      </c>
    </row>
    <row r="18">
      <c r="A18" t="str">
        <v>PCS.2</v>
      </c>
      <c r="B18">
        <f>SUMIF('Hasil-PC'!$B$12:$B$58,$A18,'Hasil-PC'!$T$12:$T$58)</f>
        <v>2.88</v>
      </c>
      <c r="C18">
        <f>SUMIF('Hasil-PC'!$B$12:$B$58,$A18,'Hasil-PC'!$U$12:$U$58)</f>
        <v>11.04</v>
      </c>
      <c r="D18">
        <f>SUMIF('Hasil-PC'!$B$12:$B$58,$A18,'Hasil-PC'!$C$12:$C$58)</f>
        <v>4</v>
      </c>
      <c r="E18">
        <f>SUMIF('Hasil-PC'!$B$12:$B$58,$A18,'Hasil-PC'!H$12:H$58)</f>
        <v>0</v>
      </c>
      <c r="F18">
        <f>SUMIF('Hasil-PC'!$B$12:$B$58,$A18,'Hasil-PC'!I$12:I$58)</f>
        <v>8</v>
      </c>
      <c r="G18">
        <f>SUMIF('Hasil-PC'!$B$12:$B$58,$A18,'Hasil-PC'!$L$12:$L$58)</f>
        <v>9.568000000000001</v>
      </c>
      <c r="H18">
        <f>SUMIF('Hasil-PC'!$B$12:$B$58,$A18,'Hasil-PC'!$K$12:$K$58)</f>
        <v>0</v>
      </c>
      <c r="I18">
        <f>SUMIF('Hasil-PC'!$B$12:$B$58,$A18,'Hasil-PC'!$J$12:$J$58)</f>
        <v>0.736</v>
      </c>
      <c r="J18">
        <f>SUMIFS('Hasil-PC'!$X$12:$X$58,'Hasil-PC'!$B$12:$B$58,$A18,'Hasil-PC'!$W$12:$W$58,J$9)+SUMIFS('Hasil-PC'!$AC$12:$AC$58,'Hasil-PC'!$B$12:$B$58,$A18,'Hasil-PC'!$Y$12:$Y$58,J$9)+SUMIFS('Hasil-PC'!$AH$12:$AH$58,'Hasil-PC'!$B$12:$B$58,$A18,'Hasil-PC'!$AD$12:$AD$58,J$9)+SUMIFS('Hasil-PC'!$AM$12:$AM$58,'Hasil-PC'!$B$12:$B$58,$A18,'Hasil-PC'!$AI$12:$AI$58,J$9)+SUMIFS('Hasil-PC'!$AR$12:$AR$58,'Hasil-PC'!$B$12:$B$58,$A18,'Hasil-PC'!$AN$12:$AN$58,J$9)+SUMIFS('Hasil-PC'!$AV$12:$AV$58,'Hasil-PC'!$B$12:$B$58,$A18,'Hasil-PC'!$AT$12:$AT$58,J$9)</f>
        <v>0</v>
      </c>
      <c r="K18">
        <f>SUMIFS('Hasil-PC'!$X$12:$X$58,'Hasil-PC'!$B$12:$B$58,$A18,'Hasil-PC'!$W$12:$W$58,K$9)+SUMIFS('Hasil-PC'!$AC$12:$AC$58,'Hasil-PC'!$B$12:$B$58,$A18,'Hasil-PC'!$Y$12:$Y$58,K$9)+SUMIFS('Hasil-PC'!$AH$12:$AH$58,'Hasil-PC'!$B$12:$B$58,$A18,'Hasil-PC'!$AD$12:$AD$58,K$9)+SUMIFS('Hasil-PC'!$AM$12:$AM$58,'Hasil-PC'!$B$12:$B$58,$A18,'Hasil-PC'!$AI$12:$AI$58,K$9)+SUMIFS('Hasil-PC'!$AR$12:$AR$58,'Hasil-PC'!$B$12:$B$58,$A18,'Hasil-PC'!$AN$12:$AN$58,K$9)+SUMIFS('Hasil-PC'!$AV$12:$AV$58,'Hasil-PC'!$B$12:$B$58,$A18,'Hasil-PC'!$AT$12:$AT$58,K$9)</f>
        <v>0</v>
      </c>
      <c r="L18">
        <f>SUMIFS('Hasil-PC'!$X$12:$X$58,'Hasil-PC'!$B$12:$B$58,$A18,'Hasil-PC'!$W$12:$W$58,L$9)+SUMIFS('Hasil-PC'!$AC$12:$AC$58,'Hasil-PC'!$B$12:$B$58,$A18,'Hasil-PC'!$Y$12:$Y$58,L$9)+SUMIFS('Hasil-PC'!$AH$12:$AH$58,'Hasil-PC'!$B$12:$B$58,$A18,'Hasil-PC'!$AD$12:$AD$58,L$9)+SUMIFS('Hasil-PC'!$AM$12:$AM$58,'Hasil-PC'!$B$12:$B$58,$A18,'Hasil-PC'!$AI$12:$AI$58,L$9)+SUMIFS('Hasil-PC'!$AR$12:$AR$58,'Hasil-PC'!$B$12:$B$58,$A18,'Hasil-PC'!$AN$12:$AN$58,L$9)+SUMIFS('Hasil-PC'!$AV$12:$AV$58,'Hasil-PC'!$B$12:$B$58,$A18,'Hasil-PC'!$AT$12:$AT$58,L$9)</f>
        <v>0</v>
      </c>
      <c r="M18">
        <f>SUMIFS('Hasil-PC'!$X$12:$X$58,'Hasil-PC'!$B$12:$B$58,$A18,'Hasil-PC'!$W$12:$W$58,M$9)+SUMIFS('Hasil-PC'!$AC$12:$AC$58,'Hasil-PC'!$B$12:$B$58,$A18,'Hasil-PC'!$Y$12:$Y$58,M$9)+SUMIFS('Hasil-PC'!$AH$12:$AH$58,'Hasil-PC'!$B$12:$B$58,$A18,'Hasil-PC'!$AD$12:$AD$58,M$9)+SUMIFS('Hasil-PC'!$AM$12:$AM$58,'Hasil-PC'!$B$12:$B$58,$A18,'Hasil-PC'!$AI$12:$AI$58,M$9)+SUMIFS('Hasil-PC'!$AR$12:$AR$58,'Hasil-PC'!$B$12:$B$58,$A18,'Hasil-PC'!$AN$12:$AN$58,M$9)+SUMIFS('Hasil-PC'!$AV$12:$AV$58,'Hasil-PC'!$B$12:$B$58,$A18,'Hasil-PC'!$AT$12:$AT$58,M$9)</f>
        <v>187.67266128</v>
      </c>
      <c r="N18">
        <f>SUMIFS('Hasil-PC'!$X$12:$X$58,'Hasil-PC'!$B$12:$B$58,$A18,'Hasil-PC'!$W$12:$W$58,N$9)+SUMIFS('Hasil-PC'!$AC$12:$AC$58,'Hasil-PC'!$B$12:$B$58,$A18,'Hasil-PC'!$Y$12:$Y$58,N$9)+SUMIFS('Hasil-PC'!$AH$12:$AH$58,'Hasil-PC'!$B$12:$B$58,$A18,'Hasil-PC'!$AD$12:$AD$58,N$9)+SUMIFS('Hasil-PC'!$AM$12:$AM$58,'Hasil-PC'!$B$12:$B$58,$A18,'Hasil-PC'!$AI$12:$AI$58,N$9)+SUMIFS('Hasil-PC'!$AR$12:$AR$58,'Hasil-PC'!$B$12:$B$58,$A18,'Hasil-PC'!$AN$12:$AN$58,N$9)+SUMIFS('Hasil-PC'!$AV$12:$AV$58,'Hasil-PC'!$B$12:$B$58,$A18,'Hasil-PC'!$AT$12:$AT$58,N$9)</f>
        <v>293.55264</v>
      </c>
      <c r="O18">
        <f>SUMIFS('Hasil-PC'!$X$12:$X$58,'Hasil-PC'!$B$12:$B$58,$A18,'Hasil-PC'!$W$12:$W$58,O$9)+SUMIFS('Hasil-PC'!$AC$12:$AC$58,'Hasil-PC'!$B$12:$B$58,$A18,'Hasil-PC'!$Y$12:$Y$58,O$9)+SUMIFS('Hasil-PC'!$AH$12:$AH$58,'Hasil-PC'!$B$12:$B$58,$A18,'Hasil-PC'!$AD$12:$AD$58,O$9)+SUMIFS('Hasil-PC'!$AM$12:$AM$58,'Hasil-PC'!$B$12:$B$58,$A18,'Hasil-PC'!$AI$12:$AI$58,O$9)+SUMIFS('Hasil-PC'!$AR$12:$AR$58,'Hasil-PC'!$B$12:$B$58,$A18,'Hasil-PC'!$AN$12:$AN$58,O$9)+SUMIFS('Hasil-PC'!$AV$12:$AV$58,'Hasil-PC'!$B$12:$B$58,$A18,'Hasil-PC'!$AT$12:$AT$58,O$9)</f>
        <v>0</v>
      </c>
      <c r="P18">
        <f>SUMIFS('Hasil-PC'!$X$12:$X$58,'Hasil-PC'!$B$12:$B$58,$A18,'Hasil-PC'!$W$12:$W$58,P$9)+SUMIFS('Hasil-PC'!$AC$12:$AC$58,'Hasil-PC'!$B$12:$B$58,$A18,'Hasil-PC'!$Y$12:$Y$58,P$9)+SUMIFS('Hasil-PC'!$AH$12:$AH$58,'Hasil-PC'!$B$12:$B$58,$A18,'Hasil-PC'!$AD$12:$AD$58,P$9)+SUMIFS('Hasil-PC'!$AM$12:$AM$58,'Hasil-PC'!$B$12:$B$58,$A18,'Hasil-PC'!$AI$12:$AI$58,P$9)+SUMIFS('Hasil-PC'!$AR$12:$AR$58,'Hasil-PC'!$B$12:$B$58,$A18,'Hasil-PC'!$AN$12:$AN$58,P$9)+SUMIFS('Hasil-PC'!$AV$12:$AV$58,'Hasil-PC'!$B$12:$B$58,$A18,'Hasil-PC'!$AT$12:$AT$58,P$9)</f>
        <v>0</v>
      </c>
      <c r="Q18">
        <f>SUMIFS('Hasil-PC'!$X$12:$X$58,'Hasil-PC'!$B$12:$B$58,$A18,'Hasil-PC'!$W$12:$W$58,Q$9)+SUMIFS('Hasil-PC'!$AC$12:$AC$58,'Hasil-PC'!$B$12:$B$58,$A18,'Hasil-PC'!$Y$12:$Y$58,Q$9)+SUMIFS('Hasil-PC'!$AH$12:$AH$58,'Hasil-PC'!$B$12:$B$58,$A18,'Hasil-PC'!$AD$12:$AD$58,Q$9)+SUMIFS('Hasil-PC'!$AM$12:$AM$58,'Hasil-PC'!$B$12:$B$58,$A18,'Hasil-PC'!$AI$12:$AI$58,Q$9)+SUMIFS('Hasil-PC'!$AR$12:$AR$58,'Hasil-PC'!$B$12:$B$58,$A18,'Hasil-PC'!$AN$12:$AN$58,Q$9)+SUMIFS('Hasil-PC'!$AV$12:$AV$58,'Hasil-PC'!$B$12:$B$58,$A18,'Hasil-PC'!$AT$12:$AT$58,Q$9)</f>
        <v>0</v>
      </c>
      <c r="R18">
        <f>SUM(J18:Q18)</f>
        <v>481.22530128</v>
      </c>
      <c r="T18">
        <f>IF(B18&gt;0,C18/B18,0)</f>
        <v>3.833333333333333</v>
      </c>
      <c r="U18">
        <f>IF(B18&gt;0,R18/B18,0)</f>
        <v>167.0921185</v>
      </c>
    </row>
    <row r="19">
      <c r="A19" t="str">
        <v>PCS.3</v>
      </c>
      <c r="B19">
        <f>SUMIF('Hasil-PC'!$B$12:$B$58,$A19,'Hasil-PC'!$T$12:$T$58)</f>
        <v>1.344</v>
      </c>
      <c r="C19">
        <f>SUMIF('Hasil-PC'!$B$12:$B$58,$A19,'Hasil-PC'!$U$12:$U$58)</f>
        <v>4.48</v>
      </c>
      <c r="D19">
        <f>SUMIF('Hasil-PC'!$B$12:$B$58,$A19,'Hasil-PC'!$C$12:$C$58)</f>
        <v>1</v>
      </c>
      <c r="E19">
        <f>SUMIF('Hasil-PC'!$B$12:$B$58,$A19,'Hasil-PC'!H$12:H$58)</f>
        <v>0</v>
      </c>
      <c r="F19">
        <f>SUMIF('Hasil-PC'!$B$12:$B$58,$A19,'Hasil-PC'!I$12:I$58)</f>
        <v>3</v>
      </c>
      <c r="G19">
        <f>SUMIF('Hasil-PC'!$B$12:$B$58,$A19,'Hasil-PC'!$L$12:$L$58)</f>
        <v>3.84</v>
      </c>
      <c r="H19">
        <f>SUMIF('Hasil-PC'!$B$12:$B$58,$A19,'Hasil-PC'!$K$12:$K$58)</f>
        <v>0</v>
      </c>
      <c r="I19">
        <f>SUMIF('Hasil-PC'!$B$12:$B$58,$A19,'Hasil-PC'!$J$12:$J$58)</f>
        <v>0.256</v>
      </c>
      <c r="J19">
        <f>SUMIFS('Hasil-PC'!$X$12:$X$58,'Hasil-PC'!$B$12:$B$58,$A19,'Hasil-PC'!$W$12:$W$58,J$9)+SUMIFS('Hasil-PC'!$AC$12:$AC$58,'Hasil-PC'!$B$12:$B$58,$A19,'Hasil-PC'!$Y$12:$Y$58,J$9)+SUMIFS('Hasil-PC'!$AH$12:$AH$58,'Hasil-PC'!$B$12:$B$58,$A19,'Hasil-PC'!$AD$12:$AD$58,J$9)+SUMIFS('Hasil-PC'!$AM$12:$AM$58,'Hasil-PC'!$B$12:$B$58,$A19,'Hasil-PC'!$AI$12:$AI$58,J$9)+SUMIFS('Hasil-PC'!$AR$12:$AR$58,'Hasil-PC'!$B$12:$B$58,$A19,'Hasil-PC'!$AN$12:$AN$58,J$9)+SUMIFS('Hasil-PC'!$AV$12:$AV$58,'Hasil-PC'!$B$12:$B$58,$A19,'Hasil-PC'!$AT$12:$AT$58,J$9)</f>
        <v>0</v>
      </c>
      <c r="K19">
        <f>SUMIFS('Hasil-PC'!$X$12:$X$58,'Hasil-PC'!$B$12:$B$58,$A19,'Hasil-PC'!$W$12:$W$58,K$9)+SUMIFS('Hasil-PC'!$AC$12:$AC$58,'Hasil-PC'!$B$12:$B$58,$A19,'Hasil-PC'!$Y$12:$Y$58,K$9)+SUMIFS('Hasil-PC'!$AH$12:$AH$58,'Hasil-PC'!$B$12:$B$58,$A19,'Hasil-PC'!$AD$12:$AD$58,K$9)+SUMIFS('Hasil-PC'!$AM$12:$AM$58,'Hasil-PC'!$B$12:$B$58,$A19,'Hasil-PC'!$AI$12:$AI$58,K$9)+SUMIFS('Hasil-PC'!$AR$12:$AR$58,'Hasil-PC'!$B$12:$B$58,$A19,'Hasil-PC'!$AN$12:$AN$58,K$9)+SUMIFS('Hasil-PC'!$AV$12:$AV$58,'Hasil-PC'!$B$12:$B$58,$A19,'Hasil-PC'!$AT$12:$AT$58,K$9)</f>
        <v>0</v>
      </c>
      <c r="L19">
        <f>SUMIFS('Hasil-PC'!$X$12:$X$58,'Hasil-PC'!$B$12:$B$58,$A19,'Hasil-PC'!$W$12:$W$58,L$9)+SUMIFS('Hasil-PC'!$AC$12:$AC$58,'Hasil-PC'!$B$12:$B$58,$A19,'Hasil-PC'!$Y$12:$Y$58,L$9)+SUMIFS('Hasil-PC'!$AH$12:$AH$58,'Hasil-PC'!$B$12:$B$58,$A19,'Hasil-PC'!$AD$12:$AD$58,L$9)+SUMIFS('Hasil-PC'!$AM$12:$AM$58,'Hasil-PC'!$B$12:$B$58,$A19,'Hasil-PC'!$AI$12:$AI$58,L$9)+SUMIFS('Hasil-PC'!$AR$12:$AR$58,'Hasil-PC'!$B$12:$B$58,$A19,'Hasil-PC'!$AN$12:$AN$58,L$9)+SUMIFS('Hasil-PC'!$AV$12:$AV$58,'Hasil-PC'!$B$12:$B$58,$A19,'Hasil-PC'!$AT$12:$AT$58,L$9)</f>
        <v>0</v>
      </c>
      <c r="M19">
        <f>SUMIFS('Hasil-PC'!$X$12:$X$58,'Hasil-PC'!$B$12:$B$58,$A19,'Hasil-PC'!$W$12:$W$58,M$9)+SUMIFS('Hasil-PC'!$AC$12:$AC$58,'Hasil-PC'!$B$12:$B$58,$A19,'Hasil-PC'!$Y$12:$Y$58,M$9)+SUMIFS('Hasil-PC'!$AH$12:$AH$58,'Hasil-PC'!$B$12:$B$58,$A19,'Hasil-PC'!$AD$12:$AD$58,M$9)+SUMIFS('Hasil-PC'!$AM$12:$AM$58,'Hasil-PC'!$B$12:$B$58,$A19,'Hasil-PC'!$AI$12:$AI$58,M$9)+SUMIFS('Hasil-PC'!$AR$12:$AR$58,'Hasil-PC'!$B$12:$B$58,$A19,'Hasil-PC'!$AN$12:$AN$58,M$9)+SUMIFS('Hasil-PC'!$AV$12:$AV$58,'Hasil-PC'!$B$12:$B$58,$A19,'Hasil-PC'!$AT$12:$AT$58,M$9)</f>
        <v>74.75316498000001</v>
      </c>
      <c r="N19">
        <f>SUMIFS('Hasil-PC'!$X$12:$X$58,'Hasil-PC'!$B$12:$B$58,$A19,'Hasil-PC'!$W$12:$W$58,N$9)+SUMIFS('Hasil-PC'!$AC$12:$AC$58,'Hasil-PC'!$B$12:$B$58,$A19,'Hasil-PC'!$Y$12:$Y$58,N$9)+SUMIFS('Hasil-PC'!$AH$12:$AH$58,'Hasil-PC'!$B$12:$B$58,$A19,'Hasil-PC'!$AD$12:$AD$58,N$9)+SUMIFS('Hasil-PC'!$AM$12:$AM$58,'Hasil-PC'!$B$12:$B$58,$A19,'Hasil-PC'!$AI$12:$AI$58,N$9)+SUMIFS('Hasil-PC'!$AR$12:$AR$58,'Hasil-PC'!$B$12:$B$58,$A19,'Hasil-PC'!$AN$12:$AN$58,N$9)+SUMIFS('Hasil-PC'!$AV$12:$AV$58,'Hasil-PC'!$B$12:$B$58,$A19,'Hasil-PC'!$AT$12:$AT$58,N$9)</f>
        <v>128.784384</v>
      </c>
      <c r="O19">
        <f>SUMIFS('Hasil-PC'!$X$12:$X$58,'Hasil-PC'!$B$12:$B$58,$A19,'Hasil-PC'!$W$12:$W$58,O$9)+SUMIFS('Hasil-PC'!$AC$12:$AC$58,'Hasil-PC'!$B$12:$B$58,$A19,'Hasil-PC'!$Y$12:$Y$58,O$9)+SUMIFS('Hasil-PC'!$AH$12:$AH$58,'Hasil-PC'!$B$12:$B$58,$A19,'Hasil-PC'!$AD$12:$AD$58,O$9)+SUMIFS('Hasil-PC'!$AM$12:$AM$58,'Hasil-PC'!$B$12:$B$58,$A19,'Hasil-PC'!$AI$12:$AI$58,O$9)+SUMIFS('Hasil-PC'!$AR$12:$AR$58,'Hasil-PC'!$B$12:$B$58,$A19,'Hasil-PC'!$AN$12:$AN$58,O$9)+SUMIFS('Hasil-PC'!$AV$12:$AV$58,'Hasil-PC'!$B$12:$B$58,$A19,'Hasil-PC'!$AT$12:$AT$58,O$9)</f>
        <v>0</v>
      </c>
      <c r="P19">
        <f>SUMIFS('Hasil-PC'!$X$12:$X$58,'Hasil-PC'!$B$12:$B$58,$A19,'Hasil-PC'!$W$12:$W$58,P$9)+SUMIFS('Hasil-PC'!$AC$12:$AC$58,'Hasil-PC'!$B$12:$B$58,$A19,'Hasil-PC'!$Y$12:$Y$58,P$9)+SUMIFS('Hasil-PC'!$AH$12:$AH$58,'Hasil-PC'!$B$12:$B$58,$A19,'Hasil-PC'!$AD$12:$AD$58,P$9)+SUMIFS('Hasil-PC'!$AM$12:$AM$58,'Hasil-PC'!$B$12:$B$58,$A19,'Hasil-PC'!$AI$12:$AI$58,P$9)+SUMIFS('Hasil-PC'!$AR$12:$AR$58,'Hasil-PC'!$B$12:$B$58,$A19,'Hasil-PC'!$AN$12:$AN$58,P$9)+SUMIFS('Hasil-PC'!$AV$12:$AV$58,'Hasil-PC'!$B$12:$B$58,$A19,'Hasil-PC'!$AT$12:$AT$58,P$9)</f>
        <v>0</v>
      </c>
      <c r="Q19">
        <f>SUMIFS('Hasil-PC'!$X$12:$X$58,'Hasil-PC'!$B$12:$B$58,$A19,'Hasil-PC'!$W$12:$W$58,Q$9)+SUMIFS('Hasil-PC'!$AC$12:$AC$58,'Hasil-PC'!$B$12:$B$58,$A19,'Hasil-PC'!$Y$12:$Y$58,Q$9)+SUMIFS('Hasil-PC'!$AH$12:$AH$58,'Hasil-PC'!$B$12:$B$58,$A19,'Hasil-PC'!$AD$12:$AD$58,Q$9)+SUMIFS('Hasil-PC'!$AM$12:$AM$58,'Hasil-PC'!$B$12:$B$58,$A19,'Hasil-PC'!$AI$12:$AI$58,Q$9)+SUMIFS('Hasil-PC'!$AR$12:$AR$58,'Hasil-PC'!$B$12:$B$58,$A19,'Hasil-PC'!$AN$12:$AN$58,Q$9)+SUMIFS('Hasil-PC'!$AV$12:$AV$58,'Hasil-PC'!$B$12:$B$58,$A19,'Hasil-PC'!$AT$12:$AT$58,Q$9)</f>
        <v>0</v>
      </c>
      <c r="R19">
        <f>SUM(J19:Q19)</f>
        <v>203.53754898</v>
      </c>
      <c r="T19">
        <f>IF(B19&gt;0,C19/B19,0)</f>
        <v>3.3333333333333335</v>
      </c>
      <c r="U19">
        <f>IF(B19&gt;0,R19/B19,0)</f>
        <v>151.44162870535712</v>
      </c>
    </row>
    <row r="20">
      <c r="A20" t="str">
        <v>PCS.5</v>
      </c>
      <c r="B20">
        <f>SUMIF('Hasil-PC'!$B$12:$B$58,$A20,'Hasil-PC'!$T$12:$T$58)</f>
        <v>2.412432</v>
      </c>
      <c r="C20">
        <f>SUMIF('Hasil-PC'!$B$12:$B$58,$A20,'Hasil-PC'!$U$12:$U$58)</f>
        <v>5.337239358978687</v>
      </c>
      <c r="D20">
        <f>SUMIF('Hasil-PC'!$B$12:$B$58,$A20,'Hasil-PC'!$C$12:$C$58)</f>
        <v>1</v>
      </c>
      <c r="E20">
        <f>SUMIF('Hasil-PC'!$B$12:$B$58,$A20,'Hasil-PC'!H$12:H$58)</f>
        <v>0</v>
      </c>
      <c r="F20">
        <f>SUMIF('Hasil-PC'!$B$12:$B$58,$A20,'Hasil-PC'!I$12:I$58)</f>
        <v>5</v>
      </c>
      <c r="G20">
        <f>SUMIF('Hasil-PC'!$B$12:$B$58,$A20,'Hasil-PC'!$L$12:$L$58)</f>
        <v>5.6324608000000005</v>
      </c>
      <c r="H20">
        <f>SUMIF('Hasil-PC'!$B$12:$B$58,$A20,'Hasil-PC'!$K$12:$K$58)</f>
        <v>0</v>
      </c>
      <c r="I20">
        <f>SUMIF('Hasil-PC'!$B$12:$B$58,$A20,'Hasil-PC'!$J$12:$J$58)</f>
        <v>0.3520288</v>
      </c>
      <c r="J20">
        <f>SUMIFS('Hasil-PC'!$X$12:$X$58,'Hasil-PC'!$B$12:$B$58,$A20,'Hasil-PC'!$W$12:$W$58,J$9)+SUMIFS('Hasil-PC'!$AC$12:$AC$58,'Hasil-PC'!$B$12:$B$58,$A20,'Hasil-PC'!$Y$12:$Y$58,J$9)+SUMIFS('Hasil-PC'!$AH$12:$AH$58,'Hasil-PC'!$B$12:$B$58,$A20,'Hasil-PC'!$AD$12:$AD$58,J$9)+SUMIFS('Hasil-PC'!$AM$12:$AM$58,'Hasil-PC'!$B$12:$B$58,$A20,'Hasil-PC'!$AI$12:$AI$58,J$9)+SUMIFS('Hasil-PC'!$AR$12:$AR$58,'Hasil-PC'!$B$12:$B$58,$A20,'Hasil-PC'!$AN$12:$AN$58,J$9)+SUMIFS('Hasil-PC'!$AV$12:$AV$58,'Hasil-PC'!$B$12:$B$58,$A20,'Hasil-PC'!$AT$12:$AT$58,J$9)</f>
        <v>0</v>
      </c>
      <c r="K20">
        <f>SUMIFS('Hasil-PC'!$X$12:$X$58,'Hasil-PC'!$B$12:$B$58,$A20,'Hasil-PC'!$W$12:$W$58,K$9)+SUMIFS('Hasil-PC'!$AC$12:$AC$58,'Hasil-PC'!$B$12:$B$58,$A20,'Hasil-PC'!$Y$12:$Y$58,K$9)+SUMIFS('Hasil-PC'!$AH$12:$AH$58,'Hasil-PC'!$B$12:$B$58,$A20,'Hasil-PC'!$AD$12:$AD$58,K$9)+SUMIFS('Hasil-PC'!$AM$12:$AM$58,'Hasil-PC'!$B$12:$B$58,$A20,'Hasil-PC'!$AI$12:$AI$58,K$9)+SUMIFS('Hasil-PC'!$AR$12:$AR$58,'Hasil-PC'!$B$12:$B$58,$A20,'Hasil-PC'!$AN$12:$AN$58,K$9)+SUMIFS('Hasil-PC'!$AV$12:$AV$58,'Hasil-PC'!$B$12:$B$58,$A20,'Hasil-PC'!$AT$12:$AT$58,K$9)</f>
        <v>0</v>
      </c>
      <c r="L20">
        <f>SUMIFS('Hasil-PC'!$X$12:$X$58,'Hasil-PC'!$B$12:$B$58,$A20,'Hasil-PC'!$W$12:$W$58,L$9)+SUMIFS('Hasil-PC'!$AC$12:$AC$58,'Hasil-PC'!$B$12:$B$58,$A20,'Hasil-PC'!$Y$12:$Y$58,L$9)+SUMIFS('Hasil-PC'!$AH$12:$AH$58,'Hasil-PC'!$B$12:$B$58,$A20,'Hasil-PC'!$AD$12:$AD$58,L$9)+SUMIFS('Hasil-PC'!$AM$12:$AM$58,'Hasil-PC'!$B$12:$B$58,$A20,'Hasil-PC'!$AI$12:$AI$58,L$9)+SUMIFS('Hasil-PC'!$AR$12:$AR$58,'Hasil-PC'!$B$12:$B$58,$A20,'Hasil-PC'!$AN$12:$AN$58,L$9)+SUMIFS('Hasil-PC'!$AV$12:$AV$58,'Hasil-PC'!$B$12:$B$58,$A20,'Hasil-PC'!$AT$12:$AT$58,L$9)</f>
        <v>0</v>
      </c>
      <c r="M20">
        <f>SUMIFS('Hasil-PC'!$X$12:$X$58,'Hasil-PC'!$B$12:$B$58,$A20,'Hasil-PC'!$W$12:$W$58,M$9)+SUMIFS('Hasil-PC'!$AC$12:$AC$58,'Hasil-PC'!$B$12:$B$58,$A20,'Hasil-PC'!$Y$12:$Y$58,M$9)+SUMIFS('Hasil-PC'!$AH$12:$AH$58,'Hasil-PC'!$B$12:$B$58,$A20,'Hasil-PC'!$AD$12:$AD$58,M$9)+SUMIFS('Hasil-PC'!$AM$12:$AM$58,'Hasil-PC'!$B$12:$B$58,$A20,'Hasil-PC'!$AI$12:$AI$58,M$9)+SUMIFS('Hasil-PC'!$AR$12:$AR$58,'Hasil-PC'!$B$12:$B$58,$A20,'Hasil-PC'!$AN$12:$AN$58,M$9)+SUMIFS('Hasil-PC'!$AV$12:$AV$58,'Hasil-PC'!$B$12:$B$58,$A20,'Hasil-PC'!$AT$12:$AT$58,M$9)</f>
        <v>66.11485209811804</v>
      </c>
      <c r="N20">
        <f>SUMIFS('Hasil-PC'!$X$12:$X$58,'Hasil-PC'!$B$12:$B$58,$A20,'Hasil-PC'!$W$12:$W$58,N$9)+SUMIFS('Hasil-PC'!$AC$12:$AC$58,'Hasil-PC'!$B$12:$B$58,$A20,'Hasil-PC'!$Y$12:$Y$58,N$9)+SUMIFS('Hasil-PC'!$AH$12:$AH$58,'Hasil-PC'!$B$12:$B$58,$A20,'Hasil-PC'!$AD$12:$AD$58,N$9)+SUMIFS('Hasil-PC'!$AM$12:$AM$58,'Hasil-PC'!$B$12:$B$58,$A20,'Hasil-PC'!$AI$12:$AI$58,N$9)+SUMIFS('Hasil-PC'!$AR$12:$AR$58,'Hasil-PC'!$B$12:$B$58,$A20,'Hasil-PC'!$AN$12:$AN$58,N$9)+SUMIFS('Hasil-PC'!$AV$12:$AV$58,'Hasil-PC'!$B$12:$B$58,$A20,'Hasil-PC'!$AT$12:$AT$58,N$9)</f>
        <v>192.80884608000002</v>
      </c>
      <c r="O20">
        <f>SUMIFS('Hasil-PC'!$X$12:$X$58,'Hasil-PC'!$B$12:$B$58,$A20,'Hasil-PC'!$W$12:$W$58,O$9)+SUMIFS('Hasil-PC'!$AC$12:$AC$58,'Hasil-PC'!$B$12:$B$58,$A20,'Hasil-PC'!$Y$12:$Y$58,O$9)+SUMIFS('Hasil-PC'!$AH$12:$AH$58,'Hasil-PC'!$B$12:$B$58,$A20,'Hasil-PC'!$AD$12:$AD$58,O$9)+SUMIFS('Hasil-PC'!$AM$12:$AM$58,'Hasil-PC'!$B$12:$B$58,$A20,'Hasil-PC'!$AI$12:$AI$58,O$9)+SUMIFS('Hasil-PC'!$AR$12:$AR$58,'Hasil-PC'!$B$12:$B$58,$A20,'Hasil-PC'!$AN$12:$AN$58,O$9)+SUMIFS('Hasil-PC'!$AV$12:$AV$58,'Hasil-PC'!$B$12:$B$58,$A20,'Hasil-PC'!$AT$12:$AT$58,O$9)</f>
        <v>123.067067805</v>
      </c>
      <c r="P20">
        <f>SUMIFS('Hasil-PC'!$X$12:$X$58,'Hasil-PC'!$B$12:$B$58,$A20,'Hasil-PC'!$W$12:$W$58,P$9)+SUMIFS('Hasil-PC'!$AC$12:$AC$58,'Hasil-PC'!$B$12:$B$58,$A20,'Hasil-PC'!$Y$12:$Y$58,P$9)+SUMIFS('Hasil-PC'!$AH$12:$AH$58,'Hasil-PC'!$B$12:$B$58,$A20,'Hasil-PC'!$AD$12:$AD$58,P$9)+SUMIFS('Hasil-PC'!$AM$12:$AM$58,'Hasil-PC'!$B$12:$B$58,$A20,'Hasil-PC'!$AI$12:$AI$58,P$9)+SUMIFS('Hasil-PC'!$AR$12:$AR$58,'Hasil-PC'!$B$12:$B$58,$A20,'Hasil-PC'!$AN$12:$AN$58,P$9)+SUMIFS('Hasil-PC'!$AV$12:$AV$58,'Hasil-PC'!$B$12:$B$58,$A20,'Hasil-PC'!$AT$12:$AT$58,P$9)</f>
        <v>0</v>
      </c>
      <c r="Q20">
        <f>SUMIFS('Hasil-PC'!$X$12:$X$58,'Hasil-PC'!$B$12:$B$58,$A20,'Hasil-PC'!$W$12:$W$58,Q$9)+SUMIFS('Hasil-PC'!$AC$12:$AC$58,'Hasil-PC'!$B$12:$B$58,$A20,'Hasil-PC'!$Y$12:$Y$58,Q$9)+SUMIFS('Hasil-PC'!$AH$12:$AH$58,'Hasil-PC'!$B$12:$B$58,$A20,'Hasil-PC'!$AD$12:$AD$58,Q$9)+SUMIFS('Hasil-PC'!$AM$12:$AM$58,'Hasil-PC'!$B$12:$B$58,$A20,'Hasil-PC'!$AI$12:$AI$58,Q$9)+SUMIFS('Hasil-PC'!$AR$12:$AR$58,'Hasil-PC'!$B$12:$B$58,$A20,'Hasil-PC'!$AN$12:$AN$58,Q$9)+SUMIFS('Hasil-PC'!$AV$12:$AV$58,'Hasil-PC'!$B$12:$B$58,$A20,'Hasil-PC'!$AT$12:$AT$58,Q$9)</f>
        <v>0</v>
      </c>
      <c r="R20">
        <f>SUM(J20:Q20)</f>
        <v>381.9907659831181</v>
      </c>
      <c r="T20">
        <f>IF(B20&gt;0,C20/B20,0)</f>
        <v>2.21238955501282</v>
      </c>
      <c r="U20">
        <f>IF(B20&gt;0,R20/B20,0)</f>
        <v>158.34260446848577</v>
      </c>
    </row>
    <row r="21">
      <c r="A21" t="str">
        <v>PCS.3A</v>
      </c>
      <c r="B21">
        <f>SUMIF('Hasil-PC'!$B$12:$B$58,$A21,'Hasil-PC'!$T$12:$T$58)</f>
        <v>1.38228125</v>
      </c>
      <c r="C21">
        <f>SUMIF('Hasil-PC'!$B$12:$B$58,$A21,'Hasil-PC'!$U$12:$U$58)</f>
        <v>3.960703281636579</v>
      </c>
      <c r="D21">
        <f>SUMIF('Hasil-PC'!$B$12:$B$58,$A21,'Hasil-PC'!$C$12:$C$58)</f>
        <v>1</v>
      </c>
      <c r="E21">
        <f>SUMIF('Hasil-PC'!$B$12:$B$58,$A21,'Hasil-PC'!H$12:H$58)</f>
        <v>0</v>
      </c>
      <c r="F21">
        <f>SUMIF('Hasil-PC'!$B$12:$B$58,$A21,'Hasil-PC'!I$12:I$58)</f>
        <v>3</v>
      </c>
      <c r="G21">
        <f>SUMIF('Hasil-PC'!$B$12:$B$58,$A21,'Hasil-PC'!$L$12:$L$58)</f>
        <v>3.8210156250000002</v>
      </c>
      <c r="H21">
        <f>SUMIF('Hasil-PC'!$B$12:$B$58,$A21,'Hasil-PC'!$K$12:$K$58)</f>
        <v>0</v>
      </c>
      <c r="I21">
        <f>SUMIF('Hasil-PC'!$B$12:$B$58,$A21,'Hasil-PC'!$J$12:$J$58)</f>
        <v>0.254734375</v>
      </c>
      <c r="J21">
        <f>SUMIFS('Hasil-PC'!$X$12:$X$58,'Hasil-PC'!$B$12:$B$58,$A21,'Hasil-PC'!$W$12:$W$58,J$9)+SUMIFS('Hasil-PC'!$AC$12:$AC$58,'Hasil-PC'!$B$12:$B$58,$A21,'Hasil-PC'!$Y$12:$Y$58,J$9)+SUMIFS('Hasil-PC'!$AH$12:$AH$58,'Hasil-PC'!$B$12:$B$58,$A21,'Hasil-PC'!$AD$12:$AD$58,J$9)+SUMIFS('Hasil-PC'!$AM$12:$AM$58,'Hasil-PC'!$B$12:$B$58,$A21,'Hasil-PC'!$AI$12:$AI$58,J$9)+SUMIFS('Hasil-PC'!$AR$12:$AR$58,'Hasil-PC'!$B$12:$B$58,$A21,'Hasil-PC'!$AN$12:$AN$58,J$9)+SUMIFS('Hasil-PC'!$AV$12:$AV$58,'Hasil-PC'!$B$12:$B$58,$A21,'Hasil-PC'!$AT$12:$AT$58,J$9)</f>
        <v>0</v>
      </c>
      <c r="K21">
        <f>SUMIFS('Hasil-PC'!$X$12:$X$58,'Hasil-PC'!$B$12:$B$58,$A21,'Hasil-PC'!$W$12:$W$58,K$9)+SUMIFS('Hasil-PC'!$AC$12:$AC$58,'Hasil-PC'!$B$12:$B$58,$A21,'Hasil-PC'!$Y$12:$Y$58,K$9)+SUMIFS('Hasil-PC'!$AH$12:$AH$58,'Hasil-PC'!$B$12:$B$58,$A21,'Hasil-PC'!$AD$12:$AD$58,K$9)+SUMIFS('Hasil-PC'!$AM$12:$AM$58,'Hasil-PC'!$B$12:$B$58,$A21,'Hasil-PC'!$AI$12:$AI$58,K$9)+SUMIFS('Hasil-PC'!$AR$12:$AR$58,'Hasil-PC'!$B$12:$B$58,$A21,'Hasil-PC'!$AN$12:$AN$58,K$9)+SUMIFS('Hasil-PC'!$AV$12:$AV$58,'Hasil-PC'!$B$12:$B$58,$A21,'Hasil-PC'!$AT$12:$AT$58,K$9)</f>
        <v>0</v>
      </c>
      <c r="L21">
        <f>SUMIFS('Hasil-PC'!$X$12:$X$58,'Hasil-PC'!$B$12:$B$58,$A21,'Hasil-PC'!$W$12:$W$58,L$9)+SUMIFS('Hasil-PC'!$AC$12:$AC$58,'Hasil-PC'!$B$12:$B$58,$A21,'Hasil-PC'!$Y$12:$Y$58,L$9)+SUMIFS('Hasil-PC'!$AH$12:$AH$58,'Hasil-PC'!$B$12:$B$58,$A21,'Hasil-PC'!$AD$12:$AD$58,L$9)+SUMIFS('Hasil-PC'!$AM$12:$AM$58,'Hasil-PC'!$B$12:$B$58,$A21,'Hasil-PC'!$AI$12:$AI$58,L$9)+SUMIFS('Hasil-PC'!$AR$12:$AR$58,'Hasil-PC'!$B$12:$B$58,$A21,'Hasil-PC'!$AN$12:$AN$58,L$9)+SUMIFS('Hasil-PC'!$AV$12:$AV$58,'Hasil-PC'!$B$12:$B$58,$A21,'Hasil-PC'!$AT$12:$AT$58,L$9)</f>
        <v>0</v>
      </c>
      <c r="M21">
        <f>SUMIFS('Hasil-PC'!$X$12:$X$58,'Hasil-PC'!$B$12:$B$58,$A21,'Hasil-PC'!$W$12:$W$58,M$9)+SUMIFS('Hasil-PC'!$AC$12:$AC$58,'Hasil-PC'!$B$12:$B$58,$A21,'Hasil-PC'!$Y$12:$Y$58,M$9)+SUMIFS('Hasil-PC'!$AH$12:$AH$58,'Hasil-PC'!$B$12:$B$58,$A21,'Hasil-PC'!$AD$12:$AD$58,M$9)+SUMIFS('Hasil-PC'!$AM$12:$AM$58,'Hasil-PC'!$B$12:$B$58,$A21,'Hasil-PC'!$AI$12:$AI$58,M$9)+SUMIFS('Hasil-PC'!$AR$12:$AR$58,'Hasil-PC'!$B$12:$B$58,$A21,'Hasil-PC'!$AN$12:$AN$58,M$9)+SUMIFS('Hasil-PC'!$AV$12:$AV$58,'Hasil-PC'!$B$12:$B$58,$A21,'Hasil-PC'!$AT$12:$AT$58,M$9)</f>
        <v>17.235322845376828</v>
      </c>
      <c r="N21">
        <f>SUMIFS('Hasil-PC'!$X$12:$X$58,'Hasil-PC'!$B$12:$B$58,$A21,'Hasil-PC'!$W$12:$W$58,N$9)+SUMIFS('Hasil-PC'!$AC$12:$AC$58,'Hasil-PC'!$B$12:$B$58,$A21,'Hasil-PC'!$Y$12:$Y$58,N$9)+SUMIFS('Hasil-PC'!$AH$12:$AH$58,'Hasil-PC'!$B$12:$B$58,$A21,'Hasil-PC'!$AD$12:$AD$58,N$9)+SUMIFS('Hasil-PC'!$AM$12:$AM$58,'Hasil-PC'!$B$12:$B$58,$A21,'Hasil-PC'!$AI$12:$AI$58,N$9)+SUMIFS('Hasil-PC'!$AR$12:$AR$58,'Hasil-PC'!$B$12:$B$58,$A21,'Hasil-PC'!$AN$12:$AN$58,N$9)+SUMIFS('Hasil-PC'!$AV$12:$AV$58,'Hasil-PC'!$B$12:$B$58,$A21,'Hasil-PC'!$AT$12:$AT$58,N$9)</f>
        <v>129.6681984</v>
      </c>
      <c r="O21">
        <f>SUMIFS('Hasil-PC'!$X$12:$X$58,'Hasil-PC'!$B$12:$B$58,$A21,'Hasil-PC'!$W$12:$W$58,O$9)+SUMIFS('Hasil-PC'!$AC$12:$AC$58,'Hasil-PC'!$B$12:$B$58,$A21,'Hasil-PC'!$Y$12:$Y$58,O$9)+SUMIFS('Hasil-PC'!$AH$12:$AH$58,'Hasil-PC'!$B$12:$B$58,$A21,'Hasil-PC'!$AD$12:$AD$58,O$9)+SUMIFS('Hasil-PC'!$AM$12:$AM$58,'Hasil-PC'!$B$12:$B$58,$A21,'Hasil-PC'!$AI$12:$AI$58,O$9)+SUMIFS('Hasil-PC'!$AR$12:$AR$58,'Hasil-PC'!$B$12:$B$58,$A21,'Hasil-PC'!$AN$12:$AN$58,O$9)+SUMIFS('Hasil-PC'!$AV$12:$AV$58,'Hasil-PC'!$B$12:$B$58,$A21,'Hasil-PC'!$AT$12:$AT$58,O$9)</f>
        <v>150.09210359999997</v>
      </c>
      <c r="P21">
        <f>SUMIFS('Hasil-PC'!$X$12:$X$58,'Hasil-PC'!$B$12:$B$58,$A21,'Hasil-PC'!$W$12:$W$58,P$9)+SUMIFS('Hasil-PC'!$AC$12:$AC$58,'Hasil-PC'!$B$12:$B$58,$A21,'Hasil-PC'!$Y$12:$Y$58,P$9)+SUMIFS('Hasil-PC'!$AH$12:$AH$58,'Hasil-PC'!$B$12:$B$58,$A21,'Hasil-PC'!$AD$12:$AD$58,P$9)+SUMIFS('Hasil-PC'!$AM$12:$AM$58,'Hasil-PC'!$B$12:$B$58,$A21,'Hasil-PC'!$AI$12:$AI$58,P$9)+SUMIFS('Hasil-PC'!$AR$12:$AR$58,'Hasil-PC'!$B$12:$B$58,$A21,'Hasil-PC'!$AN$12:$AN$58,P$9)+SUMIFS('Hasil-PC'!$AV$12:$AV$58,'Hasil-PC'!$B$12:$B$58,$A21,'Hasil-PC'!$AT$12:$AT$58,P$9)</f>
        <v>0</v>
      </c>
      <c r="Q21">
        <f>SUMIFS('Hasil-PC'!$X$12:$X$58,'Hasil-PC'!$B$12:$B$58,$A21,'Hasil-PC'!$W$12:$W$58,Q$9)+SUMIFS('Hasil-PC'!$AC$12:$AC$58,'Hasil-PC'!$B$12:$B$58,$A21,'Hasil-PC'!$Y$12:$Y$58,Q$9)+SUMIFS('Hasil-PC'!$AH$12:$AH$58,'Hasil-PC'!$B$12:$B$58,$A21,'Hasil-PC'!$AD$12:$AD$58,Q$9)+SUMIFS('Hasil-PC'!$AM$12:$AM$58,'Hasil-PC'!$B$12:$B$58,$A21,'Hasil-PC'!$AI$12:$AI$58,Q$9)+SUMIFS('Hasil-PC'!$AR$12:$AR$58,'Hasil-PC'!$B$12:$B$58,$A21,'Hasil-PC'!$AN$12:$AN$58,Q$9)+SUMIFS('Hasil-PC'!$AV$12:$AV$58,'Hasil-PC'!$B$12:$B$58,$A21,'Hasil-PC'!$AT$12:$AT$58,Q$9)</f>
        <v>0</v>
      </c>
      <c r="R21">
        <f>SUM(J21:Q21)</f>
        <v>296.9956248453768</v>
      </c>
      <c r="T21">
        <f>IF(B21&gt;0,C21/B21,0)</f>
        <v>2.865338209309125</v>
      </c>
      <c r="U21">
        <f>IF(B21&gt;0,R21/B21,0)</f>
        <v>214.8590417799394</v>
      </c>
    </row>
    <row r="22">
      <c r="A22" t="str">
        <v>Total</v>
      </c>
      <c r="B22">
        <f>SUM(B10:B21)</f>
        <v>24.540555649999998</v>
      </c>
      <c r="C22">
        <f>SUM(C10:C21)</f>
        <v>91.04659053224317</v>
      </c>
      <c r="D22">
        <f>SUM(D10:D21)</f>
        <v>47</v>
      </c>
      <c r="E22">
        <f>SUM(E10:E21)</f>
        <v>74</v>
      </c>
      <c r="F22">
        <f>SUM(F10:F21)</f>
        <v>21</v>
      </c>
      <c r="G22">
        <f>SUM(G10:G21)</f>
        <v>86.01046402500003</v>
      </c>
      <c r="H22">
        <f>SUM(H10:H21)</f>
        <v>0</v>
      </c>
      <c r="I22">
        <f>SUM(I10:I21)</f>
        <v>6.549108374999999</v>
      </c>
      <c r="J22">
        <f>SUM(J10:J21)</f>
        <v>0</v>
      </c>
      <c r="K22">
        <f>SUM(K10:K21)</f>
        <v>0</v>
      </c>
      <c r="L22">
        <f>SUM(L10:L21)</f>
        <v>0</v>
      </c>
      <c r="M22">
        <f>SUM(M10:M21)</f>
        <v>1434.964830298724</v>
      </c>
      <c r="N22">
        <f>SUM(N10:N21)</f>
        <v>1823.2822771200001</v>
      </c>
      <c r="O22">
        <f>SUM(O10:O21)</f>
        <v>273.15917140499994</v>
      </c>
      <c r="P22">
        <f>SUM(P10:P21)</f>
        <v>0</v>
      </c>
      <c r="Q22">
        <f>SUM(Q10:Q21)</f>
        <v>0</v>
      </c>
      <c r="R22">
        <f>SUM(R10:R21)</f>
        <v>3531.406278823724</v>
      </c>
    </row>
    <row r="25">
      <c r="Q25" t="str">
        <v>cek</v>
      </c>
      <c r="R25">
        <f>R22-'Hasil-PC'!BA63</f>
        <v>0</v>
      </c>
    </row>
  </sheetData>
  <mergeCells count="11">
    <mergeCell ref="A8:A9"/>
    <mergeCell ref="C8:C9"/>
    <mergeCell ref="D8:D9"/>
    <mergeCell ref="E8:E9"/>
    <mergeCell ref="J8:Q8"/>
    <mergeCell ref="B8:B9"/>
    <mergeCell ref="R8:R9"/>
    <mergeCell ref="F8:F9"/>
    <mergeCell ref="G8:G9"/>
    <mergeCell ref="H8:H9"/>
    <mergeCell ref="I8:I9"/>
  </mergeCells>
  <pageMargins left="0.7" right="0.7" top="0.75" bottom="0.75" header="0.3" footer="0.3"/>
  <ignoredErrors>
    <ignoredError numberStoredAsText="1" sqref="A1:U2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122"/>
  <sheetViews>
    <sheetView workbookViewId="0" rightToLeft="0"/>
  </sheetViews>
  <sheetData>
    <row r="1">
      <c r="A1" t="str">
        <v>Recipe Index — auto-generated</v>
      </c>
    </row>
    <row r="2">
      <c r="A2" t="str">
        <v>Normalizer version: 1.0  |  Generated: 2026-05-26T15:45:43.400Z</v>
      </c>
    </row>
    <row r="4">
      <c r="A4" t="str">
        <v>BoQ Code</v>
      </c>
      <c r="B4" t="str">
        <v>Description</v>
      </c>
      <c r="C4" t="str">
        <v>Sheet Name</v>
      </c>
      <c r="D4" t="str">
        <v>Volume</v>
      </c>
      <c r="E4" t="str">
        <v>Components</v>
      </c>
      <c r="F4" t="str">
        <v>Reconciles?</v>
      </c>
      <c r="G4" t="str">
        <v>Variance (Rp)</v>
      </c>
      <c r="H4" t="str">
        <v>Notes</v>
      </c>
    </row>
    <row r="5">
      <c r="A5" t="str">
        <v>(A) III.A.1.1</v>
      </c>
      <c r="B5" t="str">
        <v>- Beton</v>
      </c>
      <c r="C5" t="str">
        <v>Breakdown (A) III.A.1.1</v>
      </c>
      <c r="D5">
        <v>3.125</v>
      </c>
      <c r="E5">
        <v>4</v>
      </c>
      <c r="F5" t="str">
        <v>✓</v>
      </c>
      <c r="G5">
        <v>-1072781.25</v>
      </c>
      <c r="H5" t="str">
        <v/>
      </c>
    </row>
    <row r="6">
      <c r="A6" t="str">
        <v>(A) III.A.1.2</v>
      </c>
      <c r="B6" t="str">
        <v>- Besi D13</v>
      </c>
      <c r="C6" t="str">
        <v>Breakdown (A) III.A.1.2</v>
      </c>
      <c r="D6">
        <v>558.2419829999999</v>
      </c>
      <c r="E6">
        <v>1</v>
      </c>
      <c r="F6" t="str">
        <v>✓</v>
      </c>
      <c r="G6">
        <v>-874416.2861216236</v>
      </c>
      <c r="H6" t="str">
        <v/>
      </c>
    </row>
    <row r="7">
      <c r="A7" t="str">
        <v>(A) III.A.1.3</v>
      </c>
      <c r="B7" t="str">
        <v>- Besi D16</v>
      </c>
      <c r="C7" t="str">
        <v>Breakdown (A) III.A.1.3</v>
      </c>
      <c r="D7">
        <v>0</v>
      </c>
      <c r="E7">
        <v>1</v>
      </c>
      <c r="F7" t="str">
        <v>✓</v>
      </c>
      <c r="G7">
        <v>0</v>
      </c>
      <c r="H7" t="str">
        <v/>
      </c>
    </row>
    <row r="8">
      <c r="A8" t="str">
        <v>(A) III.A.1.4</v>
      </c>
      <c r="B8" t="str">
        <v>- Besi D19</v>
      </c>
      <c r="C8" t="str">
        <v>Breakdown (A) III.A.1.4</v>
      </c>
      <c r="D8">
        <v>0</v>
      </c>
      <c r="E8">
        <v>1</v>
      </c>
      <c r="F8" t="str">
        <v>✓</v>
      </c>
      <c r="G8">
        <v>0</v>
      </c>
      <c r="H8" t="str">
        <v/>
      </c>
    </row>
    <row r="9">
      <c r="A9" t="str">
        <v>(A) III.A.2.1</v>
      </c>
      <c r="B9" t="str">
        <v>- Beton</v>
      </c>
      <c r="C9" t="str">
        <v>Breakdown (A) III.A.2.1</v>
      </c>
      <c r="D9">
        <v>0.33</v>
      </c>
      <c r="E9">
        <v>4</v>
      </c>
      <c r="F9" t="str">
        <v>✓</v>
      </c>
      <c r="G9">
        <v>-113285.70000000007</v>
      </c>
      <c r="H9" t="str">
        <v/>
      </c>
    </row>
    <row r="10">
      <c r="A10" t="str">
        <v>(A) III.A.2.2</v>
      </c>
      <c r="B10" t="str">
        <v>- Besi D13</v>
      </c>
      <c r="C10" t="str">
        <v>Breakdown (A) III.A.2.2</v>
      </c>
      <c r="D10">
        <v>30.08130372</v>
      </c>
      <c r="E10">
        <v>1</v>
      </c>
      <c r="F10" t="str">
        <v>✓</v>
      </c>
      <c r="G10">
        <v>-47118.60211441497</v>
      </c>
      <c r="H10" t="str">
        <v/>
      </c>
    </row>
    <row r="11">
      <c r="A11" t="str">
        <v>(A) III.A.2.3</v>
      </c>
      <c r="B11" t="str">
        <v>- Besi D16</v>
      </c>
      <c r="C11" t="str">
        <v>Breakdown (A) III.A.2.3</v>
      </c>
      <c r="D11">
        <v>19.1913984</v>
      </c>
      <c r="E11">
        <v>1</v>
      </c>
      <c r="F11" t="str">
        <v>✓</v>
      </c>
      <c r="G11">
        <v>-30060.926668799977</v>
      </c>
      <c r="H11" t="str">
        <v/>
      </c>
    </row>
    <row r="12">
      <c r="A12" t="str">
        <v>(A) III.A.2.4</v>
      </c>
      <c r="B12" t="str">
        <v>- Besi D19</v>
      </c>
      <c r="C12" t="str">
        <v>Breakdown (A) III.A.2.4</v>
      </c>
      <c r="D12">
        <v>0</v>
      </c>
      <c r="E12">
        <v>1</v>
      </c>
      <c r="F12" t="str">
        <v>✓</v>
      </c>
      <c r="G12">
        <v>0</v>
      </c>
      <c r="H12" t="str">
        <v/>
      </c>
    </row>
    <row r="13">
      <c r="A13" t="str">
        <v>(A) III.A.3.1</v>
      </c>
      <c r="B13" t="str">
        <v>- Beton</v>
      </c>
      <c r="C13" t="str">
        <v>Breakdown (A) III.A.3.1</v>
      </c>
      <c r="D13">
        <v>4.0223424</v>
      </c>
      <c r="E13">
        <v>4</v>
      </c>
      <c r="F13" t="str">
        <v>✓</v>
      </c>
      <c r="G13">
        <v>-1380829.9224960003</v>
      </c>
      <c r="H13" t="str">
        <v/>
      </c>
    </row>
    <row r="14">
      <c r="A14" t="str">
        <v>(A) III.A.3.2</v>
      </c>
      <c r="B14" t="str">
        <v>- Besi D13</v>
      </c>
      <c r="C14" t="str">
        <v>Breakdown (A) III.A.3.2</v>
      </c>
      <c r="D14">
        <v>265.1744852152291</v>
      </c>
      <c r="E14">
        <v>1</v>
      </c>
      <c r="F14" t="str">
        <v>✓</v>
      </c>
      <c r="G14">
        <v>-415362.6842790041</v>
      </c>
      <c r="H14" t="str">
        <v/>
      </c>
    </row>
    <row r="15">
      <c r="A15" t="str">
        <v>(A) III.A.3.3</v>
      </c>
      <c r="B15" t="str">
        <v>- Besi D16</v>
      </c>
      <c r="C15" t="str">
        <v>Breakdown (A) III.A.3.3</v>
      </c>
      <c r="D15">
        <v>389.72427264</v>
      </c>
      <c r="E15">
        <v>1</v>
      </c>
      <c r="F15" t="str">
        <v>✓</v>
      </c>
      <c r="G15">
        <v>-610454.357556479</v>
      </c>
      <c r="H15" t="str">
        <v/>
      </c>
    </row>
    <row r="16">
      <c r="A16" t="str">
        <v>(A) III.A.3.4</v>
      </c>
      <c r="B16" t="str">
        <v>- Besi D19</v>
      </c>
      <c r="C16" t="str">
        <v>Breakdown (A) III.A.3.4</v>
      </c>
      <c r="D16">
        <v>0</v>
      </c>
      <c r="E16">
        <v>1</v>
      </c>
      <c r="F16" t="str">
        <v>✓</v>
      </c>
      <c r="G16">
        <v>0</v>
      </c>
      <c r="H16" t="str">
        <v/>
      </c>
    </row>
    <row r="17">
      <c r="A17" t="str">
        <v>(A) III.A.4.1</v>
      </c>
      <c r="B17" t="str">
        <v>- Beton</v>
      </c>
      <c r="C17" t="str">
        <v>Breakdown (A) III.A.4.1</v>
      </c>
      <c r="D17">
        <v>0.847</v>
      </c>
      <c r="E17">
        <v>4</v>
      </c>
      <c r="F17" t="str">
        <v>✓</v>
      </c>
      <c r="G17">
        <v>-290766.6300000001</v>
      </c>
      <c r="H17" t="str">
        <v/>
      </c>
    </row>
    <row r="18">
      <c r="A18" t="str">
        <v>(A) III.A.4.2</v>
      </c>
      <c r="B18" t="str">
        <v>- Besi D13</v>
      </c>
      <c r="C18" t="str">
        <v>Breakdown (A) III.A.4.2</v>
      </c>
      <c r="D18">
        <v>41.49619578</v>
      </c>
      <c r="E18">
        <v>1</v>
      </c>
      <c r="F18" t="str">
        <v>✓</v>
      </c>
      <c r="G18">
        <v>-64998.60366489744</v>
      </c>
      <c r="H18" t="str">
        <v/>
      </c>
    </row>
    <row r="19">
      <c r="A19" t="str">
        <v>(A) III.A.4.3</v>
      </c>
      <c r="B19" t="str">
        <v>- Besi D16</v>
      </c>
      <c r="C19" t="str">
        <v>Breakdown (A) III.A.4.3</v>
      </c>
      <c r="D19">
        <v>58.5842688</v>
      </c>
      <c r="E19">
        <v>1</v>
      </c>
      <c r="F19" t="str">
        <v>✓</v>
      </c>
      <c r="G19">
        <v>-91764.93404159986</v>
      </c>
      <c r="H19" t="str">
        <v/>
      </c>
    </row>
    <row r="20">
      <c r="A20" t="str">
        <v>(A) III.A.4.4</v>
      </c>
      <c r="B20" t="str">
        <v>- Besi D19</v>
      </c>
      <c r="C20" t="str">
        <v>Breakdown (A) III.A.4.4</v>
      </c>
      <c r="D20">
        <v>0</v>
      </c>
      <c r="E20">
        <v>1</v>
      </c>
      <c r="F20" t="str">
        <v>✓</v>
      </c>
      <c r="G20">
        <v>0</v>
      </c>
      <c r="H20" t="str">
        <v/>
      </c>
    </row>
    <row r="21">
      <c r="A21" t="str">
        <v>(A) III.A.5.1</v>
      </c>
      <c r="B21" t="str">
        <v>- Beton</v>
      </c>
      <c r="C21" t="str">
        <v>Breakdown (A) III.A.5.1</v>
      </c>
      <c r="D21">
        <v>2.5515</v>
      </c>
      <c r="E21">
        <v>4</v>
      </c>
      <c r="F21" t="str">
        <v>✓</v>
      </c>
      <c r="G21">
        <v>-875904.4350000005</v>
      </c>
      <c r="H21" t="str">
        <v/>
      </c>
    </row>
    <row r="22">
      <c r="A22" t="str">
        <v>(A) III.A.5.2</v>
      </c>
      <c r="B22" t="str">
        <v>- Besi D13</v>
      </c>
      <c r="C22" t="str">
        <v>Breakdown (A) III.A.5.2</v>
      </c>
      <c r="D22">
        <v>105.62213376</v>
      </c>
      <c r="E22">
        <v>1</v>
      </c>
      <c r="F22" t="str">
        <v>✓</v>
      </c>
      <c r="G22">
        <v>-165443.86976831965</v>
      </c>
      <c r="H22" t="str">
        <v/>
      </c>
    </row>
    <row r="23">
      <c r="A23" t="str">
        <v>(A) III.A.5.3</v>
      </c>
      <c r="B23" t="str">
        <v>- Besi D16</v>
      </c>
      <c r="C23" t="str">
        <v>Breakdown (A) III.A.5.3</v>
      </c>
      <c r="D23">
        <v>146.0187648</v>
      </c>
      <c r="E23">
        <v>1</v>
      </c>
      <c r="F23" t="str">
        <v>✓</v>
      </c>
      <c r="G23">
        <v>-228720.14271359984</v>
      </c>
      <c r="H23" t="str">
        <v/>
      </c>
    </row>
    <row r="24">
      <c r="A24" t="str">
        <v>(A) III.A.5.4</v>
      </c>
      <c r="B24" t="str">
        <v>- Besi D19</v>
      </c>
      <c r="C24" t="str">
        <v>Breakdown (A) III.A.5.4</v>
      </c>
      <c r="D24">
        <v>0</v>
      </c>
      <c r="E24">
        <v>1</v>
      </c>
      <c r="F24" t="str">
        <v>✓</v>
      </c>
      <c r="G24">
        <v>0</v>
      </c>
      <c r="H24" t="str">
        <v/>
      </c>
    </row>
    <row r="25">
      <c r="A25" t="str">
        <v>(A) III.A.6.1</v>
      </c>
      <c r="B25" t="str">
        <v>- Beton</v>
      </c>
      <c r="C25" t="str">
        <v>Breakdown (A) III.A.6.1</v>
      </c>
      <c r="D25">
        <v>5.07</v>
      </c>
      <c r="E25">
        <v>4</v>
      </c>
      <c r="F25" t="str">
        <v>✓</v>
      </c>
      <c r="G25">
        <v>-1740480.3000000007</v>
      </c>
      <c r="H25" t="str">
        <v/>
      </c>
    </row>
    <row r="26">
      <c r="A26" t="str">
        <v>(A) III.A.6.2</v>
      </c>
      <c r="B26" t="str">
        <v>- Besi D13</v>
      </c>
      <c r="C26" t="str">
        <v>Breakdown (A) III.A.6.2</v>
      </c>
      <c r="D26">
        <v>32.24425698</v>
      </c>
      <c r="E26">
        <v>1</v>
      </c>
      <c r="F26" t="str">
        <v>✓</v>
      </c>
      <c r="G26">
        <v>-50506.59802704747</v>
      </c>
      <c r="H26" t="str">
        <v/>
      </c>
    </row>
    <row r="27">
      <c r="A27" t="str">
        <v>(A) III.A.6.3</v>
      </c>
      <c r="B27" t="str">
        <v>- Besi D16</v>
      </c>
      <c r="C27" t="str">
        <v>Breakdown (A) III.A.6.3</v>
      </c>
      <c r="D27">
        <v>406.238976</v>
      </c>
      <c r="E27">
        <v>1</v>
      </c>
      <c r="F27" t="str">
        <v>✓</v>
      </c>
      <c r="G27">
        <v>-636322.5760319987</v>
      </c>
      <c r="H27" t="str">
        <v/>
      </c>
    </row>
    <row r="28">
      <c r="A28" t="str">
        <v>(A) III.A.6.4</v>
      </c>
      <c r="B28" t="str">
        <v>- Besi D19</v>
      </c>
      <c r="C28" t="str">
        <v>Breakdown (A) III.A.6.4</v>
      </c>
      <c r="D28">
        <v>0</v>
      </c>
      <c r="E28">
        <v>1</v>
      </c>
      <c r="F28" t="str">
        <v>✓</v>
      </c>
      <c r="G28">
        <v>0</v>
      </c>
      <c r="H28" t="str">
        <v/>
      </c>
    </row>
    <row r="29">
      <c r="A29" t="str">
        <v>(A) III.A.7.1</v>
      </c>
      <c r="B29" t="str">
        <v>- Beton</v>
      </c>
      <c r="C29" t="str">
        <v>Breakdown (A) III.A.7.1</v>
      </c>
      <c r="D29">
        <v>0.576</v>
      </c>
      <c r="E29">
        <v>4</v>
      </c>
      <c r="F29" t="str">
        <v>✓</v>
      </c>
      <c r="G29">
        <v>-197735.04000000004</v>
      </c>
      <c r="H29" t="str">
        <v/>
      </c>
    </row>
    <row r="30">
      <c r="A30" t="str">
        <v>(A) III.A.7.2</v>
      </c>
      <c r="B30" t="str">
        <v>- Besi D13</v>
      </c>
      <c r="C30" t="str">
        <v>Breakdown (A) III.A.7.2</v>
      </c>
      <c r="D30">
        <v>56.32847064</v>
      </c>
      <c r="E30">
        <v>1</v>
      </c>
      <c r="F30" t="str">
        <v>✓</v>
      </c>
      <c r="G30">
        <v>-88231.50819872983</v>
      </c>
      <c r="H30" t="str">
        <v/>
      </c>
    </row>
    <row r="31">
      <c r="A31" t="str">
        <v>(A) III.A.7.3</v>
      </c>
      <c r="B31" t="str">
        <v>- Besi D16</v>
      </c>
      <c r="C31" t="str">
        <v>Breakdown (A) III.A.7.3</v>
      </c>
      <c r="D31">
        <v>58.710528</v>
      </c>
      <c r="E31">
        <v>1</v>
      </c>
      <c r="F31" t="str">
        <v>✓</v>
      </c>
      <c r="G31">
        <v>-91962.7032959999</v>
      </c>
      <c r="H31" t="str">
        <v/>
      </c>
    </row>
    <row r="32">
      <c r="A32" t="str">
        <v>(A) III.A.7.4</v>
      </c>
      <c r="B32" t="str">
        <v>- Besi D19</v>
      </c>
      <c r="C32" t="str">
        <v>Breakdown (A) III.A.7.4</v>
      </c>
      <c r="D32">
        <v>0</v>
      </c>
      <c r="E32">
        <v>1</v>
      </c>
      <c r="F32" t="str">
        <v>✓</v>
      </c>
      <c r="G32">
        <v>0</v>
      </c>
      <c r="H32" t="str">
        <v/>
      </c>
    </row>
    <row r="33">
      <c r="A33" t="str">
        <v>(A) III.A.8.1</v>
      </c>
      <c r="B33" t="str">
        <v>- Beton</v>
      </c>
      <c r="C33" t="str">
        <v>Breakdown (A) III.A.8.1</v>
      </c>
      <c r="D33">
        <v>2.88</v>
      </c>
      <c r="E33">
        <v>4</v>
      </c>
      <c r="F33" t="str">
        <v>✓</v>
      </c>
      <c r="G33">
        <v>-988675.1999999993</v>
      </c>
      <c r="H33" t="str">
        <v/>
      </c>
    </row>
    <row r="34">
      <c r="A34" t="str">
        <v>(A) III.A.8.2</v>
      </c>
      <c r="B34" t="str">
        <v>- Besi D13</v>
      </c>
      <c r="C34" t="str">
        <v>Breakdown (A) III.A.8.2</v>
      </c>
      <c r="D34">
        <v>187.67266128</v>
      </c>
      <c r="E34">
        <v>1</v>
      </c>
      <c r="F34" t="str">
        <v>✓</v>
      </c>
      <c r="G34">
        <v>-293965.7648124597</v>
      </c>
      <c r="H34" t="str">
        <v/>
      </c>
    </row>
    <row r="35">
      <c r="A35" t="str">
        <v>(A) III.A.8.3</v>
      </c>
      <c r="B35" t="str">
        <v>- Besi D16</v>
      </c>
      <c r="C35" t="str">
        <v>Breakdown (A) III.A.8.3</v>
      </c>
      <c r="D35">
        <v>293.55264</v>
      </c>
      <c r="E35">
        <v>1</v>
      </c>
      <c r="F35" t="str">
        <v>✓</v>
      </c>
      <c r="G35">
        <v>-459813.5164799993</v>
      </c>
      <c r="H35" t="str">
        <v/>
      </c>
    </row>
    <row r="36">
      <c r="A36" t="str">
        <v>(A) III.A.8.4</v>
      </c>
      <c r="B36" t="str">
        <v>- Besi D19</v>
      </c>
      <c r="C36" t="str">
        <v>Breakdown (A) III.A.8.4</v>
      </c>
      <c r="D36">
        <v>0</v>
      </c>
      <c r="E36">
        <v>1</v>
      </c>
      <c r="F36" t="str">
        <v>✓</v>
      </c>
      <c r="G36">
        <v>0</v>
      </c>
      <c r="H36" t="str">
        <v/>
      </c>
    </row>
    <row r="37">
      <c r="A37" t="str">
        <v>(A) III.A.9.1</v>
      </c>
      <c r="B37" t="str">
        <v>- Beton</v>
      </c>
      <c r="C37" t="str">
        <v>Breakdown (A) III.A.9.1</v>
      </c>
      <c r="D37">
        <v>1.344</v>
      </c>
      <c r="E37">
        <v>4</v>
      </c>
      <c r="F37" t="str">
        <v>✓</v>
      </c>
      <c r="G37">
        <v>-461381.7599999998</v>
      </c>
      <c r="H37" t="str">
        <v/>
      </c>
    </row>
    <row r="38">
      <c r="A38" t="str">
        <v>(A) III.A.9.2</v>
      </c>
      <c r="B38" t="str">
        <v>- Besi D13</v>
      </c>
      <c r="C38" t="str">
        <v>Breakdown (A) III.A.9.2</v>
      </c>
      <c r="D38">
        <v>74.75316498000001</v>
      </c>
      <c r="E38">
        <v>1</v>
      </c>
      <c r="F38" t="str">
        <v>✓</v>
      </c>
      <c r="G38">
        <v>-117091.4887955474</v>
      </c>
      <c r="H38" t="str">
        <v/>
      </c>
    </row>
    <row r="39">
      <c r="A39" t="str">
        <v>(A) III.A.9.3</v>
      </c>
      <c r="B39" t="str">
        <v>- Besi D16</v>
      </c>
      <c r="C39" t="str">
        <v>Breakdown (A) III.A.9.3</v>
      </c>
      <c r="D39">
        <v>128.784384</v>
      </c>
      <c r="E39">
        <v>1</v>
      </c>
      <c r="F39" t="str">
        <v>✓</v>
      </c>
      <c r="G39">
        <v>-201724.63948799972</v>
      </c>
      <c r="H39" t="str">
        <v/>
      </c>
    </row>
    <row r="40">
      <c r="A40" t="str">
        <v>(A) III.A.9.4</v>
      </c>
      <c r="B40" t="str">
        <v>- Besi D19</v>
      </c>
      <c r="C40" t="str">
        <v>Breakdown (A) III.A.9.4</v>
      </c>
      <c r="D40">
        <v>0</v>
      </c>
      <c r="E40">
        <v>1</v>
      </c>
      <c r="F40" t="str">
        <v>✓</v>
      </c>
      <c r="G40">
        <v>0</v>
      </c>
      <c r="H40" t="str">
        <v/>
      </c>
    </row>
    <row r="41">
      <c r="A41" t="str">
        <v>(A) III.A.10.1</v>
      </c>
      <c r="B41" t="str">
        <v>- Beton</v>
      </c>
      <c r="C41" t="str">
        <v>Breakdown (A) III.A.10.1</v>
      </c>
      <c r="D41">
        <v>2.412432</v>
      </c>
      <c r="E41">
        <v>4</v>
      </c>
      <c r="F41" t="str">
        <v>✓</v>
      </c>
      <c r="G41">
        <v>-828163.7812799998</v>
      </c>
      <c r="H41" t="str">
        <v/>
      </c>
    </row>
    <row r="42">
      <c r="A42" t="str">
        <v>(A) III.A.10.2</v>
      </c>
      <c r="B42" t="str">
        <v>- Besi D13</v>
      </c>
      <c r="C42" t="str">
        <v>Breakdown (A) III.A.10.2</v>
      </c>
      <c r="D42">
        <v>66.11485209811804</v>
      </c>
      <c r="E42">
        <v>1</v>
      </c>
      <c r="F42" t="str">
        <v>✓</v>
      </c>
      <c r="G42">
        <v>-103560.65145518957</v>
      </c>
      <c r="H42" t="str">
        <v/>
      </c>
    </row>
    <row r="43">
      <c r="A43" t="str">
        <v>(A) III.A.10.3</v>
      </c>
      <c r="B43" t="str">
        <v>- Besi D16</v>
      </c>
      <c r="C43" t="str">
        <v>Breakdown (A) III.A.10.3</v>
      </c>
      <c r="D43">
        <v>192.80884608000002</v>
      </c>
      <c r="E43">
        <v>1</v>
      </c>
      <c r="F43" t="str">
        <v>✓</v>
      </c>
      <c r="G43">
        <v>-302010.9562785595</v>
      </c>
      <c r="H43" t="str">
        <v/>
      </c>
    </row>
    <row r="44">
      <c r="A44" t="str">
        <v>(A) III.A.10.4</v>
      </c>
      <c r="B44" t="str">
        <v>- Besi D19</v>
      </c>
      <c r="C44" t="str">
        <v>Breakdown (A) III.A.10.4</v>
      </c>
      <c r="D44">
        <v>123.067067805</v>
      </c>
      <c r="E44">
        <v>1</v>
      </c>
      <c r="F44" t="str">
        <v>✓</v>
      </c>
      <c r="G44">
        <v>-192769.17833305662</v>
      </c>
      <c r="H44" t="str">
        <v/>
      </c>
    </row>
    <row r="45">
      <c r="A45" t="str">
        <v>(A) III.A.11.1</v>
      </c>
      <c r="B45" t="str">
        <v>- Beton</v>
      </c>
      <c r="C45" t="str">
        <v>Breakdown (A) III.A.11.1</v>
      </c>
      <c r="D45">
        <v>1.38228125</v>
      </c>
      <c r="E45">
        <v>4</v>
      </c>
      <c r="F45" t="str">
        <v>✓</v>
      </c>
      <c r="G45">
        <v>-474523.3303124998</v>
      </c>
      <c r="H45" t="str">
        <v/>
      </c>
    </row>
    <row r="46">
      <c r="A46" t="str">
        <v>(A) III.A.11.2</v>
      </c>
      <c r="B46" t="str">
        <v>- Besi D13</v>
      </c>
      <c r="C46" t="str">
        <v>Breakdown (A) III.A.11.2</v>
      </c>
      <c r="D46">
        <v>17.235322845376828</v>
      </c>
      <c r="E46">
        <v>1</v>
      </c>
      <c r="F46" t="str">
        <v>✓</v>
      </c>
      <c r="G46">
        <v>-26996.9788219271</v>
      </c>
      <c r="H46" t="str">
        <v/>
      </c>
    </row>
    <row r="47">
      <c r="A47" t="str">
        <v>(A) III.A.11.3</v>
      </c>
      <c r="B47" t="str">
        <v>- Besi D16</v>
      </c>
      <c r="C47" t="str">
        <v>Breakdown (A) III.A.11.3</v>
      </c>
      <c r="D47">
        <v>129.6681984</v>
      </c>
      <c r="E47">
        <v>1</v>
      </c>
      <c r="F47" t="str">
        <v>✓</v>
      </c>
      <c r="G47">
        <v>-203109.02426879993</v>
      </c>
      <c r="H47" t="str">
        <v/>
      </c>
    </row>
    <row r="48">
      <c r="A48" t="str">
        <v>(A) III.A.11.4</v>
      </c>
      <c r="B48" t="str">
        <v>- Besi D19</v>
      </c>
      <c r="C48" t="str">
        <v>Breakdown (A) III.A.11.4</v>
      </c>
      <c r="D48">
        <v>150.09210359999997</v>
      </c>
      <c r="E48">
        <v>1</v>
      </c>
      <c r="F48" t="str">
        <v>✓</v>
      </c>
      <c r="G48">
        <v>-235100.51877644984</v>
      </c>
      <c r="H48" t="str">
        <v/>
      </c>
    </row>
    <row r="49">
      <c r="A49" t="str">
        <v>(A) III.A.11.2.1</v>
      </c>
      <c r="B49" t="str">
        <v>- Sloof S23-1</v>
      </c>
      <c r="C49" t="str">
        <v>Breakdown (A) III.A.11.2.1</v>
      </c>
      <c r="D49">
        <v>0.15</v>
      </c>
      <c r="E49">
        <v>13</v>
      </c>
      <c r="F49" t="str">
        <v>✓</v>
      </c>
      <c r="G49">
        <v>-130475.53454435989</v>
      </c>
      <c r="H49" t="str">
        <v/>
      </c>
    </row>
    <row r="50">
      <c r="A50" t="str">
        <v>(A) III.A.11.2.2</v>
      </c>
      <c r="B50" t="str">
        <v>- Sloof S24-1</v>
      </c>
      <c r="C50" t="str">
        <v>Breakdown (A) III.A.11.2.2</v>
      </c>
      <c r="D50">
        <v>10.2132</v>
      </c>
      <c r="E50">
        <v>13</v>
      </c>
      <c r="F50" t="str">
        <v>✓</v>
      </c>
      <c r="G50">
        <v>-7589617.260821894</v>
      </c>
      <c r="H50" t="str">
        <v/>
      </c>
    </row>
    <row r="51">
      <c r="A51" t="str">
        <v>(A) III.A.11.2.3</v>
      </c>
      <c r="B51" t="str">
        <v>- Sloof S24-2</v>
      </c>
      <c r="C51" t="str">
        <v>Breakdown (A) III.A.11.2.3</v>
      </c>
      <c r="D51">
        <v>4.80855</v>
      </c>
      <c r="E51">
        <v>13</v>
      </c>
      <c r="F51" t="str">
        <v>✓</v>
      </c>
      <c r="G51">
        <v>-4116861.320472859</v>
      </c>
      <c r="H51" t="str">
        <v/>
      </c>
    </row>
    <row r="52">
      <c r="A52" t="str">
        <v>(A) III.A.11.2.4</v>
      </c>
      <c r="B52" t="str">
        <v>- Sloof S25-1</v>
      </c>
      <c r="C52" t="str">
        <v>Breakdown (A) III.A.11.2.4</v>
      </c>
      <c r="D52">
        <v>6.601200000000001</v>
      </c>
      <c r="E52">
        <v>14</v>
      </c>
      <c r="F52" t="str">
        <v>✓</v>
      </c>
      <c r="G52">
        <v>-5552518.012848996</v>
      </c>
      <c r="H52" t="str">
        <v/>
      </c>
    </row>
    <row r="53">
      <c r="A53" t="str">
        <v>(A) III.A.11.2.5</v>
      </c>
      <c r="B53" t="str">
        <v>- Sloof S36-1</v>
      </c>
      <c r="C53" t="str">
        <v>Breakdown (A) III.A.11.2.5</v>
      </c>
      <c r="D53">
        <v>6.939000000000001</v>
      </c>
      <c r="E53">
        <v>14</v>
      </c>
      <c r="F53" t="str">
        <v>✓</v>
      </c>
      <c r="G53">
        <v>-4815600.346454393</v>
      </c>
      <c r="H53" t="str">
        <v/>
      </c>
    </row>
    <row r="54">
      <c r="A54" t="str">
        <v>(A) III.A.11.2.6</v>
      </c>
      <c r="B54" t="str">
        <v>- Balok B24-1</v>
      </c>
      <c r="C54" t="str">
        <v>Breakdown (A) III.A.11.2.6</v>
      </c>
      <c r="D54">
        <v>0.309</v>
      </c>
      <c r="E54">
        <v>13</v>
      </c>
      <c r="F54" t="str">
        <v>✓</v>
      </c>
      <c r="G54">
        <v>-276717.6542240551</v>
      </c>
      <c r="H54" t="str">
        <v/>
      </c>
    </row>
    <row r="55">
      <c r="A55" t="str">
        <v>(A) III.A.11.2.7</v>
      </c>
      <c r="B55" t="str">
        <v>- Balok B24-2</v>
      </c>
      <c r="C55" t="str">
        <v>Breakdown (A) III.A.11.2.7</v>
      </c>
      <c r="D55">
        <v>0.1835</v>
      </c>
      <c r="E55">
        <v>13</v>
      </c>
      <c r="F55" t="str">
        <v>✓</v>
      </c>
      <c r="G55">
        <v>-195870.8132311653</v>
      </c>
      <c r="H55" t="str">
        <v/>
      </c>
    </row>
    <row r="56">
      <c r="A56" t="str">
        <v>(A) III.A.11.2.8</v>
      </c>
      <c r="B56" t="str">
        <v>- Balok B25-1</v>
      </c>
      <c r="C56" t="str">
        <v>Breakdown (A) III.A.11.2.8</v>
      </c>
      <c r="D56">
        <v>3.1496500000000003</v>
      </c>
      <c r="E56">
        <v>13</v>
      </c>
      <c r="F56" t="str">
        <v>✓</v>
      </c>
      <c r="G56">
        <v>-2932909.962508913</v>
      </c>
      <c r="H56" t="str">
        <v/>
      </c>
    </row>
    <row r="57">
      <c r="A57" t="str">
        <v>(A) III.A.11.3.1</v>
      </c>
      <c r="B57" t="str">
        <v>- Kolom K24</v>
      </c>
      <c r="C57" t="str">
        <v>Breakdown (A) III.A.11.3.1</v>
      </c>
      <c r="D57">
        <v>0.8160000000000001</v>
      </c>
      <c r="E57">
        <v>14</v>
      </c>
      <c r="F57" t="str">
        <v>✓</v>
      </c>
      <c r="G57">
        <v>-1018754.9759870805</v>
      </c>
      <c r="H57" t="str">
        <v/>
      </c>
    </row>
    <row r="58">
      <c r="A58" t="str">
        <v>(A) III.A.11.3.2</v>
      </c>
      <c r="B58" t="str">
        <v>- Kolom K25</v>
      </c>
      <c r="C58" t="str">
        <v>Breakdown (A) III.A.11.3.2</v>
      </c>
      <c r="D58">
        <v>1.6500000000000001</v>
      </c>
      <c r="E58">
        <v>14</v>
      </c>
      <c r="F58" t="str">
        <v>✓</v>
      </c>
      <c r="G58">
        <v>-1930875.6152474321</v>
      </c>
      <c r="H58" t="str">
        <v/>
      </c>
    </row>
    <row r="59">
      <c r="A59" t="str">
        <v>(A) III.A.11.3.3</v>
      </c>
      <c r="B59" t="str">
        <v>- Kolom K26</v>
      </c>
      <c r="C59" t="str">
        <v>Breakdown (A) III.A.11.3.3</v>
      </c>
      <c r="D59">
        <v>5.388</v>
      </c>
      <c r="E59">
        <v>14</v>
      </c>
      <c r="F59" t="str">
        <v>✓</v>
      </c>
      <c r="G59">
        <v>-6115205.492441215</v>
      </c>
      <c r="H59" t="str">
        <v/>
      </c>
    </row>
    <row r="60">
      <c r="A60" t="str">
        <v>(A) III.A.11.3.4</v>
      </c>
      <c r="B60" t="str">
        <v>- Kolom K2A5</v>
      </c>
      <c r="C60" t="str">
        <v>Breakdown (A) III.A.11.3.4</v>
      </c>
      <c r="D60">
        <v>1.15</v>
      </c>
      <c r="E60">
        <v>14</v>
      </c>
      <c r="F60" t="str">
        <v>✓</v>
      </c>
      <c r="G60">
        <v>-1224171.972773281</v>
      </c>
      <c r="H60" t="str">
        <v/>
      </c>
    </row>
    <row r="61">
      <c r="A61" t="str">
        <v>(A) III.A.11.3.5</v>
      </c>
      <c r="B61" t="str">
        <v>- Kolom K2A6</v>
      </c>
      <c r="C61" t="str">
        <v>Breakdown (A) III.A.11.3.5</v>
      </c>
      <c r="D61">
        <v>0.69</v>
      </c>
      <c r="E61">
        <v>14</v>
      </c>
      <c r="F61" t="str">
        <v>✓</v>
      </c>
      <c r="G61">
        <v>-724060.4957127832</v>
      </c>
      <c r="H61" t="str">
        <v/>
      </c>
    </row>
    <row r="62">
      <c r="A62" t="str">
        <v>(A) III.A.11.3.6</v>
      </c>
      <c r="B62" t="str">
        <v>- Kolom K4</v>
      </c>
      <c r="C62" t="str">
        <v>Breakdown (A) III.A.11.3.6</v>
      </c>
      <c r="D62">
        <v>5.664399999999999</v>
      </c>
      <c r="E62">
        <v>14</v>
      </c>
      <c r="F62" t="str">
        <v>✓</v>
      </c>
      <c r="G62">
        <v>-7054334.479453124</v>
      </c>
      <c r="H62" t="str">
        <v/>
      </c>
    </row>
    <row r="63">
      <c r="A63" t="str">
        <v>(A) III.A.11.3.7</v>
      </c>
      <c r="B63" t="str">
        <v>- Kolom KB2A</v>
      </c>
      <c r="C63" t="str">
        <v>Breakdown (A) III.A.11.3.7</v>
      </c>
      <c r="D63">
        <v>3.966260725157114</v>
      </c>
      <c r="E63">
        <v>14</v>
      </c>
      <c r="F63" t="str">
        <v>✓</v>
      </c>
      <c r="G63">
        <v>-2825178.935871832</v>
      </c>
      <c r="H63" t="str">
        <v/>
      </c>
    </row>
    <row r="64">
      <c r="A64" t="str">
        <v>(A) III.A.11.3.8</v>
      </c>
      <c r="B64" t="str">
        <v>- Kolom KL55</v>
      </c>
      <c r="C64" t="str">
        <v>Breakdown (A) III.A.11.3.8</v>
      </c>
      <c r="D64">
        <v>6.579000000000001</v>
      </c>
      <c r="E64">
        <v>14</v>
      </c>
      <c r="F64" t="str">
        <v>✓</v>
      </c>
      <c r="G64">
        <v>-7617771.473811306</v>
      </c>
      <c r="H64" t="str">
        <v/>
      </c>
    </row>
    <row r="65">
      <c r="A65" t="str">
        <v>(A) III.A.11.3.9</v>
      </c>
      <c r="B65" t="str">
        <v>- Kolom KL66</v>
      </c>
      <c r="C65" t="str">
        <v>Breakdown (A) III.A.11.3.9</v>
      </c>
      <c r="D65">
        <v>2.9988</v>
      </c>
      <c r="E65">
        <v>14</v>
      </c>
      <c r="F65" t="str">
        <v>✓</v>
      </c>
      <c r="G65">
        <v>-3680924.289239347</v>
      </c>
      <c r="H65" t="str">
        <v/>
      </c>
    </row>
    <row r="66">
      <c r="A66" t="str">
        <v>(A) III.A.11.4.1</v>
      </c>
      <c r="B66" t="str">
        <v>- Plat lantai - tebal 15 cm, besi D10-200 (2 lapis)</v>
      </c>
      <c r="C66" t="str">
        <v>Breakdown (A) III.A.11.4.1</v>
      </c>
      <c r="D66">
        <v>46.99062981</v>
      </c>
      <c r="E66">
        <v>5</v>
      </c>
      <c r="F66" t="str">
        <v>✓</v>
      </c>
      <c r="G66">
        <v>-23614960.091279984</v>
      </c>
      <c r="H66" t="str">
        <v/>
      </c>
    </row>
    <row r="67">
      <c r="A67" t="str">
        <v>(A) III.A.11.4.2</v>
      </c>
      <c r="B67" t="str">
        <v>- Plat kolam renang - tebal 20 cm, besi D10-150 (2 lapis)</v>
      </c>
      <c r="C67" t="str">
        <v>Breakdown (A) III.A.11.4.2</v>
      </c>
      <c r="D67">
        <v>4.9137356</v>
      </c>
      <c r="E67">
        <v>12</v>
      </c>
      <c r="F67" t="str">
        <v>✓</v>
      </c>
      <c r="G67">
        <v>-2440560.704335239</v>
      </c>
      <c r="H67" t="str">
        <v/>
      </c>
    </row>
    <row r="68">
      <c r="A68" t="str">
        <v>(A) III.A.11.5.1</v>
      </c>
      <c r="B68" t="str">
        <v>- Dinding penahan tanah</v>
      </c>
      <c r="C68" t="str">
        <v>Breakdown (A) III.A.11.5.1</v>
      </c>
      <c r="D68">
        <v>8.573343750000001</v>
      </c>
      <c r="E68">
        <v>5</v>
      </c>
      <c r="F68" t="str">
        <v>✓</v>
      </c>
      <c r="G68">
        <v>-7445926.871682182</v>
      </c>
      <c r="H68" t="str">
        <v/>
      </c>
    </row>
    <row r="69">
      <c r="A69" t="str">
        <v>(A) III.A.11.5.2</v>
      </c>
      <c r="B69" t="str">
        <v>- Dinding pagar alas</v>
      </c>
      <c r="C69" t="str">
        <v>Breakdown (A) III.A.11.5.2</v>
      </c>
      <c r="D69">
        <v>31.741349999999997</v>
      </c>
      <c r="E69">
        <v>5</v>
      </c>
      <c r="F69" t="str">
        <v>✓</v>
      </c>
      <c r="G69">
        <v>-22945717.346610844</v>
      </c>
      <c r="H69" t="str">
        <v/>
      </c>
    </row>
    <row r="70">
      <c r="A70" t="str">
        <v>(A) III.A.11.5.3</v>
      </c>
      <c r="B70" t="str">
        <v>- Dinding kolam renang</v>
      </c>
      <c r="C70" t="str">
        <v>Breakdown (A) III.A.11.5.3</v>
      </c>
      <c r="D70">
        <v>7.497</v>
      </c>
      <c r="E70">
        <v>5</v>
      </c>
      <c r="F70" t="str">
        <v>✓</v>
      </c>
      <c r="G70">
        <v>-6033791.1468902975</v>
      </c>
      <c r="H70" t="str">
        <v/>
      </c>
    </row>
    <row r="71">
      <c r="A71" t="str">
        <v>(A) III.A.11.5.4</v>
      </c>
      <c r="B71" t="str">
        <v>- Dinding tanggulan kamar mandi</v>
      </c>
      <c r="C71" t="str">
        <v>Breakdown (A) III.A.11.5.4</v>
      </c>
      <c r="D71">
        <v>0.2685</v>
      </c>
      <c r="E71">
        <v>5</v>
      </c>
      <c r="F71" t="str">
        <v>✓</v>
      </c>
      <c r="G71">
        <v>-294847.86974583333</v>
      </c>
      <c r="H71" t="str">
        <v/>
      </c>
    </row>
    <row r="72">
      <c r="A72" t="str">
        <v>(A) III.A.11.5.5</v>
      </c>
      <c r="B72" t="str">
        <v>- Penebalan sloof</v>
      </c>
      <c r="C72" t="str">
        <v>Breakdown (A) III.A.11.5.5</v>
      </c>
      <c r="D72">
        <v>2.9974000000000003</v>
      </c>
      <c r="E72">
        <v>5</v>
      </c>
      <c r="F72" t="str">
        <v>✓</v>
      </c>
      <c r="G72">
        <v>-3159279.2583835386</v>
      </c>
      <c r="H72" t="str">
        <v/>
      </c>
    </row>
    <row r="73">
      <c r="A73" t="str">
        <v>(A) III.A.11.5.6</v>
      </c>
      <c r="B73" t="str">
        <v>- Dinding lift</v>
      </c>
      <c r="C73" t="str">
        <v>Breakdown (A) III.A.11.5.6</v>
      </c>
      <c r="D73">
        <v>4.896</v>
      </c>
      <c r="E73">
        <v>5</v>
      </c>
      <c r="F73" t="str">
        <v>✓</v>
      </c>
      <c r="G73">
        <v>-4954282.012787696</v>
      </c>
      <c r="H73" t="str">
        <v/>
      </c>
    </row>
    <row r="74">
      <c r="A74" t="str">
        <v>(A) IV.A.1.1</v>
      </c>
      <c r="B74" t="str">
        <v>- Plat lantai - tebal 15 cm, besi D10-200 (2 lapis)</v>
      </c>
      <c r="C74" t="str">
        <v>Breakdown (A) IV.A.1.1</v>
      </c>
      <c r="D74">
        <v>32.04976635</v>
      </c>
      <c r="E74">
        <v>6</v>
      </c>
      <c r="F74" t="str">
        <v>✓</v>
      </c>
      <c r="G74">
        <v>-22888603.02392283</v>
      </c>
      <c r="H74" t="str">
        <v/>
      </c>
    </row>
    <row r="75">
      <c r="A75" t="str">
        <v>(A) IV.A.2.1</v>
      </c>
      <c r="B75" t="str">
        <v>- Balok B4-1</v>
      </c>
      <c r="C75" t="str">
        <v>Breakdown (A) IV.A.2.1</v>
      </c>
      <c r="D75">
        <v>0.572</v>
      </c>
      <c r="E75">
        <v>15</v>
      </c>
      <c r="F75" t="str">
        <v>✓</v>
      </c>
      <c r="G75">
        <v>-866628.4059174936</v>
      </c>
      <c r="H75" t="str">
        <v/>
      </c>
    </row>
    <row r="76">
      <c r="A76" t="str">
        <v>(A) IV.A.2.2</v>
      </c>
      <c r="B76" t="str">
        <v>- Balok B23-1</v>
      </c>
      <c r="C76" t="str">
        <v>Breakdown (A) IV.A.2.2</v>
      </c>
      <c r="D76">
        <v>0.2952</v>
      </c>
      <c r="E76">
        <v>15</v>
      </c>
      <c r="F76" t="str">
        <v>✓</v>
      </c>
      <c r="G76">
        <v>-449921.6807635855</v>
      </c>
      <c r="H76" t="str">
        <v/>
      </c>
    </row>
    <row r="77">
      <c r="A77" t="str">
        <v>(A) IV.A.2.3</v>
      </c>
      <c r="B77" t="str">
        <v>- Balok B24-1</v>
      </c>
      <c r="C77" t="str">
        <v>Breakdown (A) IV.A.2.3</v>
      </c>
      <c r="D77">
        <v>2.7522</v>
      </c>
      <c r="E77">
        <v>15</v>
      </c>
      <c r="F77" t="str">
        <v>✓</v>
      </c>
      <c r="G77">
        <v>-3588116.605390817</v>
      </c>
      <c r="H77" t="str">
        <v/>
      </c>
    </row>
    <row r="78">
      <c r="A78" t="str">
        <v>(A) IV.A.2.4</v>
      </c>
      <c r="B78" t="str">
        <v>- Balok B24-2</v>
      </c>
      <c r="C78" t="str">
        <v>Breakdown (A) IV.A.2.4</v>
      </c>
      <c r="D78">
        <v>1.0412499999999998</v>
      </c>
      <c r="E78">
        <v>15</v>
      </c>
      <c r="F78" t="str">
        <v>✓</v>
      </c>
      <c r="G78">
        <v>-1459514.0473378114</v>
      </c>
      <c r="H78" t="str">
        <v/>
      </c>
    </row>
    <row r="79">
      <c r="A79" t="str">
        <v>(A) IV.A.2.5</v>
      </c>
      <c r="B79" t="str">
        <v>- Balok CL24-1</v>
      </c>
      <c r="C79" t="str">
        <v>Breakdown (A) IV.A.2.5</v>
      </c>
      <c r="D79">
        <v>0.7932499999999999</v>
      </c>
      <c r="E79">
        <v>15</v>
      </c>
      <c r="F79" t="str">
        <v>✓</v>
      </c>
      <c r="G79">
        <v>-1173767.8860687548</v>
      </c>
      <c r="H79" t="str">
        <v/>
      </c>
    </row>
    <row r="80">
      <c r="A80" t="str">
        <v>(A) IV.A.2.6</v>
      </c>
      <c r="B80" t="str">
        <v>- Balok B25-1</v>
      </c>
      <c r="C80" t="str">
        <v>Breakdown (A) IV.A.2.6</v>
      </c>
      <c r="D80">
        <v>6.7695500000000015</v>
      </c>
      <c r="E80">
        <v>15</v>
      </c>
      <c r="F80" t="str">
        <v>✓</v>
      </c>
      <c r="G80">
        <v>-9070674.57731495</v>
      </c>
      <c r="H80" t="str">
        <v/>
      </c>
    </row>
    <row r="81">
      <c r="A81" t="str">
        <v>(A) IV.A.2.7</v>
      </c>
      <c r="B81" t="str">
        <v>- Balok B26-1</v>
      </c>
      <c r="C81" t="str">
        <v>Breakdown (A) IV.A.2.7</v>
      </c>
      <c r="D81">
        <v>2.72025</v>
      </c>
      <c r="E81">
        <v>15</v>
      </c>
      <c r="F81" t="str">
        <v>✓</v>
      </c>
      <c r="G81">
        <v>-3532546.0806095414</v>
      </c>
      <c r="H81" t="str">
        <v/>
      </c>
    </row>
    <row r="82">
      <c r="A82" t="str">
        <v>(A) IV.A.2.8</v>
      </c>
      <c r="B82" t="str">
        <v>- Balok B36-1</v>
      </c>
      <c r="C82" t="str">
        <v>Breakdown (A) IV.A.2.8</v>
      </c>
      <c r="D82">
        <v>4.311225</v>
      </c>
      <c r="E82">
        <v>15</v>
      </c>
      <c r="F82" t="str">
        <v>✓</v>
      </c>
      <c r="G82">
        <v>-4603637.686647743</v>
      </c>
      <c r="H82" t="str">
        <v/>
      </c>
    </row>
    <row r="83">
      <c r="A83" t="str">
        <v>(A) IV.A.3.1</v>
      </c>
      <c r="B83" t="str">
        <v>- Kolom K4</v>
      </c>
      <c r="C83" t="str">
        <v>Breakdown (A) IV.A.3.1</v>
      </c>
      <c r="D83">
        <v>2.686</v>
      </c>
      <c r="E83">
        <v>14</v>
      </c>
      <c r="F83" t="str">
        <v>✓</v>
      </c>
      <c r="G83">
        <v>-3302790.401454594</v>
      </c>
      <c r="H83" t="str">
        <v/>
      </c>
    </row>
    <row r="84">
      <c r="A84" t="str">
        <v>(A) IV.A.3.2</v>
      </c>
      <c r="B84" t="str">
        <v>- Kolom K5</v>
      </c>
      <c r="C84" t="str">
        <v>Breakdown (A) IV.A.3.2</v>
      </c>
      <c r="D84">
        <v>4.2075</v>
      </c>
      <c r="E84">
        <v>14</v>
      </c>
      <c r="F84" t="str">
        <v>✓</v>
      </c>
      <c r="G84">
        <v>-5270031.998693667</v>
      </c>
      <c r="H84" t="str">
        <v/>
      </c>
    </row>
    <row r="85">
      <c r="A85" t="str">
        <v>(A) IV.A.3.3</v>
      </c>
      <c r="B85" t="str">
        <v>- Kolom K6</v>
      </c>
      <c r="C85" t="str">
        <v>Breakdown (A) IV.A.3.3</v>
      </c>
      <c r="D85">
        <v>1.377</v>
      </c>
      <c r="E85">
        <v>14</v>
      </c>
      <c r="F85" t="str">
        <v>✓</v>
      </c>
      <c r="G85">
        <v>-1701455.771574296</v>
      </c>
      <c r="H85" t="str">
        <v/>
      </c>
    </row>
    <row r="86">
      <c r="A86" t="str">
        <v>(A) IV.A.3.4</v>
      </c>
      <c r="B86" t="str">
        <v>- Kolom K7</v>
      </c>
      <c r="C86" t="str">
        <v>Breakdown (A) IV.A.3.4</v>
      </c>
      <c r="D86">
        <v>0.5355</v>
      </c>
      <c r="E86">
        <v>14</v>
      </c>
      <c r="F86" t="str">
        <v>✓</v>
      </c>
      <c r="G86">
        <v>-629351.6996403355</v>
      </c>
      <c r="H86" t="str">
        <v/>
      </c>
    </row>
    <row r="87">
      <c r="A87" t="str">
        <v>(A) IV.A.3.5</v>
      </c>
      <c r="B87" t="str">
        <v>- Kolom KL55</v>
      </c>
      <c r="C87" t="str">
        <v>Breakdown (A) IV.A.3.5</v>
      </c>
      <c r="D87">
        <v>6.119999999999999</v>
      </c>
      <c r="E87">
        <v>14</v>
      </c>
      <c r="F87" t="str">
        <v>✓</v>
      </c>
      <c r="G87">
        <v>-7004135.981138587</v>
      </c>
      <c r="H87" t="str">
        <v/>
      </c>
    </row>
    <row r="88">
      <c r="A88" t="str">
        <v>(A) IV.A.5.1</v>
      </c>
      <c r="B88" t="str">
        <v>- Dinding Pagar Alas</v>
      </c>
      <c r="C88" t="str">
        <v>Breakdown (A) IV.A.5.1</v>
      </c>
      <c r="D88">
        <v>11.139000000000001</v>
      </c>
      <c r="E88">
        <v>5</v>
      </c>
      <c r="F88" t="str">
        <v>✓</v>
      </c>
      <c r="G88">
        <v>-7191417.362029165</v>
      </c>
      <c r="H88" t="str">
        <v/>
      </c>
    </row>
    <row r="89">
      <c r="A89" t="str">
        <v>(A) IV.A.5.2</v>
      </c>
      <c r="B89" t="str">
        <v>- Dinding tanggulan</v>
      </c>
      <c r="C89" t="str">
        <v>Breakdown (A) IV.A.5.2</v>
      </c>
      <c r="D89">
        <v>1.7430000000000003</v>
      </c>
      <c r="E89">
        <v>5</v>
      </c>
      <c r="F89" t="str">
        <v>✓</v>
      </c>
      <c r="G89">
        <v>-1891869.8683916647</v>
      </c>
      <c r="H89" t="str">
        <v/>
      </c>
    </row>
    <row r="90">
      <c r="A90" t="str">
        <v>(A) IV.A.5.3</v>
      </c>
      <c r="B90" t="str">
        <v>- Dinding lift</v>
      </c>
      <c r="C90" t="str">
        <v>Breakdown (A) IV.A.5.3</v>
      </c>
      <c r="D90">
        <v>3.672</v>
      </c>
      <c r="E90">
        <v>5</v>
      </c>
      <c r="F90" t="str">
        <v>✓</v>
      </c>
      <c r="G90">
        <v>-3761545.6931021996</v>
      </c>
      <c r="H90" t="str">
        <v/>
      </c>
    </row>
    <row r="91">
      <c r="A91" t="str">
        <v>(A) V.A.1.1</v>
      </c>
      <c r="B91" t="str">
        <v>- Plat lantai - tebal 15 cm, besi D10-200 (2 lapis)</v>
      </c>
      <c r="C91" t="str">
        <v>Breakdown (A) V.A.1.1</v>
      </c>
      <c r="D91">
        <v>31.936546049999997</v>
      </c>
      <c r="E91">
        <v>6</v>
      </c>
      <c r="F91" t="str">
        <v>✓</v>
      </c>
      <c r="G91">
        <v>-22437101.740744352</v>
      </c>
      <c r="H91" t="str">
        <v/>
      </c>
    </row>
    <row r="92">
      <c r="A92" t="str">
        <v>(A) V.A.2.1</v>
      </c>
      <c r="B92" t="str">
        <v>- Balok B4-1</v>
      </c>
      <c r="C92" t="str">
        <v>Breakdown (A) V.A.2.1</v>
      </c>
      <c r="D92">
        <v>0.9006400000000001</v>
      </c>
      <c r="E92">
        <v>15</v>
      </c>
      <c r="F92" t="str">
        <v>✓</v>
      </c>
      <c r="G92">
        <v>-1366006.396074487</v>
      </c>
      <c r="H92" t="str">
        <v/>
      </c>
    </row>
    <row r="93">
      <c r="A93" t="str">
        <v>(A) V.A.2.2</v>
      </c>
      <c r="B93" t="str">
        <v>- Balok B23-1</v>
      </c>
      <c r="C93" t="str">
        <v>Breakdown (A) V.A.2.2</v>
      </c>
      <c r="D93">
        <v>0.2505</v>
      </c>
      <c r="E93">
        <v>15</v>
      </c>
      <c r="F93" t="str">
        <v>✓</v>
      </c>
      <c r="G93">
        <v>-371018.0862371847</v>
      </c>
      <c r="H93" t="str">
        <v/>
      </c>
    </row>
    <row r="94">
      <c r="A94" t="str">
        <v>(A) V.A.2.3</v>
      </c>
      <c r="B94" t="str">
        <v>- Balok B24-1</v>
      </c>
      <c r="C94" t="str">
        <v>Breakdown (A) V.A.2.3</v>
      </c>
      <c r="D94">
        <v>1.7806500000000003</v>
      </c>
      <c r="E94">
        <v>15</v>
      </c>
      <c r="F94" t="str">
        <v>✓</v>
      </c>
      <c r="G94">
        <v>-2320604.8714337014</v>
      </c>
      <c r="H94" t="str">
        <v/>
      </c>
    </row>
    <row r="95">
      <c r="A95" t="str">
        <v>(A) V.A.2.4</v>
      </c>
      <c r="B95" t="str">
        <v>- Balok B24-2</v>
      </c>
      <c r="C95" t="str">
        <v>Breakdown (A) V.A.2.4</v>
      </c>
      <c r="D95">
        <v>2.49125</v>
      </c>
      <c r="E95">
        <v>15</v>
      </c>
      <c r="F95" t="str">
        <v>✓</v>
      </c>
      <c r="G95">
        <v>-3466912.8406137936</v>
      </c>
      <c r="H95" t="str">
        <v/>
      </c>
    </row>
    <row r="96">
      <c r="A96" t="str">
        <v>(A) V.A.2.5</v>
      </c>
      <c r="B96" t="str">
        <v>- Balok CL24-1</v>
      </c>
      <c r="C96" t="str">
        <v>Breakdown (A) V.A.2.5</v>
      </c>
      <c r="D96">
        <v>3.04175</v>
      </c>
      <c r="E96">
        <v>15</v>
      </c>
      <c r="F96" t="str">
        <v>✓</v>
      </c>
      <c r="G96">
        <v>-4472726.713955894</v>
      </c>
      <c r="H96" t="str">
        <v/>
      </c>
    </row>
    <row r="97">
      <c r="A97" t="str">
        <v>(A) V.A.2.6</v>
      </c>
      <c r="B97" t="str">
        <v>- Balok B25-1</v>
      </c>
      <c r="C97" t="str">
        <v>Breakdown (A) V.A.2.6</v>
      </c>
      <c r="D97">
        <v>3.9059999999999997</v>
      </c>
      <c r="E97">
        <v>15</v>
      </c>
      <c r="F97" t="str">
        <v>✓</v>
      </c>
      <c r="G97">
        <v>-5308805.879823267</v>
      </c>
      <c r="H97" t="str">
        <v/>
      </c>
    </row>
    <row r="98">
      <c r="A98" t="str">
        <v>(A) V.A.2.7</v>
      </c>
      <c r="B98" t="str">
        <v>- Balok B26-1</v>
      </c>
      <c r="C98" t="str">
        <v>Breakdown (A) V.A.2.7</v>
      </c>
      <c r="D98">
        <v>8.198850000000002</v>
      </c>
      <c r="E98">
        <v>15</v>
      </c>
      <c r="F98" t="str">
        <v>✓</v>
      </c>
      <c r="G98">
        <v>-10595643.390922219</v>
      </c>
      <c r="H98" t="str">
        <v/>
      </c>
    </row>
    <row r="99">
      <c r="A99" t="str">
        <v>(A) V.A.3.1</v>
      </c>
      <c r="B99" t="str">
        <v>- Kolom K1A4</v>
      </c>
      <c r="C99" t="str">
        <v>Breakdown (A) V.A.3.1</v>
      </c>
      <c r="D99">
        <v>1.8199999999999996</v>
      </c>
      <c r="E99">
        <v>14</v>
      </c>
      <c r="F99" t="str">
        <v>✓</v>
      </c>
      <c r="G99">
        <v>-2537498.3843330145</v>
      </c>
      <c r="H99" t="str">
        <v/>
      </c>
    </row>
    <row r="100">
      <c r="A100" t="str">
        <v>(A) V.A.3.2</v>
      </c>
      <c r="B100" t="str">
        <v>- Kolom K1A5</v>
      </c>
      <c r="C100" t="str">
        <v>Breakdown (A) V.A.3.2</v>
      </c>
      <c r="D100">
        <v>2.275</v>
      </c>
      <c r="E100">
        <v>14</v>
      </c>
      <c r="F100" t="str">
        <v>✓</v>
      </c>
      <c r="G100">
        <v>-2946855.9654506855</v>
      </c>
      <c r="H100" t="str">
        <v/>
      </c>
    </row>
    <row r="101">
      <c r="A101" t="str">
        <v>(A) V.A.3.3</v>
      </c>
      <c r="B101" t="str">
        <v>- Kolom K4</v>
      </c>
      <c r="C101" t="str">
        <v>Breakdown (A) V.A.3.3</v>
      </c>
      <c r="D101">
        <v>1.19</v>
      </c>
      <c r="E101">
        <v>14</v>
      </c>
      <c r="F101" t="str">
        <v>✓</v>
      </c>
      <c r="G101">
        <v>-1417427.6410056744</v>
      </c>
      <c r="H101" t="str">
        <v/>
      </c>
    </row>
    <row r="102">
      <c r="A102" t="str">
        <v>(A) V.A.3.4</v>
      </c>
      <c r="B102" t="str">
        <v>- Kolom KL55</v>
      </c>
      <c r="C102" t="str">
        <v>Breakdown (A) V.A.3.4</v>
      </c>
      <c r="D102">
        <v>2.38</v>
      </c>
      <c r="E102">
        <v>14</v>
      </c>
      <c r="F102" t="str">
        <v>✓</v>
      </c>
      <c r="G102">
        <v>-2655591.751498554</v>
      </c>
      <c r="H102" t="str">
        <v/>
      </c>
    </row>
    <row r="103">
      <c r="A103" t="str">
        <v>(A) V.A.5.1</v>
      </c>
      <c r="B103" t="str">
        <v>- Dinding Pagar Alas</v>
      </c>
      <c r="C103" t="str">
        <v>Breakdown (A) V.A.5.1</v>
      </c>
      <c r="D103">
        <v>2.35375</v>
      </c>
      <c r="E103">
        <v>5</v>
      </c>
      <c r="F103" t="str">
        <v>✓</v>
      </c>
      <c r="G103">
        <v>-1871759.1874276046</v>
      </c>
      <c r="H103" t="str">
        <v/>
      </c>
    </row>
    <row r="104">
      <c r="A104" t="str">
        <v>(A) V.A.5.2</v>
      </c>
      <c r="B104" t="str">
        <v>- Dinding lengkung</v>
      </c>
      <c r="C104" t="str">
        <v>Breakdown (A) V.A.5.2</v>
      </c>
      <c r="D104">
        <v>4.8345</v>
      </c>
      <c r="E104">
        <v>5</v>
      </c>
      <c r="F104" t="str">
        <v>✓</v>
      </c>
      <c r="G104">
        <v>-3941364.494329162</v>
      </c>
      <c r="H104" t="str">
        <v/>
      </c>
    </row>
    <row r="105">
      <c r="A105" t="str">
        <v>(A) V.A.5.3</v>
      </c>
      <c r="B105" t="str">
        <v>- Dinding tanggulan</v>
      </c>
      <c r="C105" t="str">
        <v>Breakdown (A) V.A.5.3</v>
      </c>
      <c r="D105">
        <v>0.2775</v>
      </c>
      <c r="E105">
        <v>5</v>
      </c>
      <c r="F105" t="str">
        <v>✓</v>
      </c>
      <c r="G105">
        <v>-315386.858420833</v>
      </c>
      <c r="H105" t="str">
        <v/>
      </c>
    </row>
    <row r="106">
      <c r="A106" t="str">
        <v>(A) V.A.5.4</v>
      </c>
      <c r="B106" t="str">
        <v>- Dinding lift</v>
      </c>
      <c r="C106" t="str">
        <v>Breakdown (A) V.A.5.4</v>
      </c>
      <c r="D106">
        <v>3.672</v>
      </c>
      <c r="E106">
        <v>5</v>
      </c>
      <c r="F106" t="str">
        <v>✓</v>
      </c>
      <c r="G106">
        <v>-3761545.6931021996</v>
      </c>
      <c r="H106" t="str">
        <v/>
      </c>
    </row>
    <row r="107">
      <c r="A107" t="str">
        <v>(A) VI.A.1.1</v>
      </c>
      <c r="B107" t="str">
        <v>- Plat lantai - tebal 15 cm, besi D10-200 (2 lapis)</v>
      </c>
      <c r="C107" t="str">
        <v>Breakdown (A) VI.A.1.1</v>
      </c>
      <c r="D107">
        <v>6.088730400000001</v>
      </c>
      <c r="E107">
        <v>6</v>
      </c>
      <c r="F107" t="str">
        <v>✓</v>
      </c>
      <c r="G107">
        <v>-4293250.32479769</v>
      </c>
      <c r="H107" t="str">
        <v/>
      </c>
    </row>
    <row r="108">
      <c r="A108" t="str">
        <v>(A) VI.A.2.1</v>
      </c>
      <c r="B108" t="str">
        <v>- Balok B4-1</v>
      </c>
      <c r="C108" t="str">
        <v>Breakdown (A) VI.A.2.1</v>
      </c>
      <c r="D108">
        <v>1.8280599999999998</v>
      </c>
      <c r="E108">
        <v>15</v>
      </c>
      <c r="F108" t="str">
        <v>✓</v>
      </c>
      <c r="G108">
        <v>-2789226.0194437355</v>
      </c>
      <c r="H108" t="str">
        <v/>
      </c>
    </row>
    <row r="109">
      <c r="A109" t="str">
        <v>(A) VI.A.2.2</v>
      </c>
      <c r="B109" t="str">
        <v>- Balok B5-1</v>
      </c>
      <c r="C109" t="str">
        <v>Breakdown (A) VI.A.2.2</v>
      </c>
      <c r="D109">
        <v>1.42748125</v>
      </c>
      <c r="E109">
        <v>16</v>
      </c>
      <c r="F109" t="str">
        <v>✓</v>
      </c>
      <c r="G109">
        <v>-2172429.783149136</v>
      </c>
      <c r="H109" t="str">
        <v/>
      </c>
    </row>
    <row r="110">
      <c r="A110" t="str">
        <v>(A) VI.A.2.3</v>
      </c>
      <c r="B110" t="str">
        <v>- Balok B24-1</v>
      </c>
      <c r="C110" t="str">
        <v>Breakdown (A) VI.A.2.3</v>
      </c>
      <c r="D110">
        <v>5.28285</v>
      </c>
      <c r="E110">
        <v>15</v>
      </c>
      <c r="F110" t="str">
        <v>✓</v>
      </c>
      <c r="G110">
        <v>-6783257.611095011</v>
      </c>
      <c r="H110" t="str">
        <v/>
      </c>
    </row>
    <row r="111">
      <c r="A111" t="str">
        <v>(A) VI.A.2.4</v>
      </c>
      <c r="B111" t="str">
        <v>- Balok B25-1</v>
      </c>
      <c r="C111" t="str">
        <v>Breakdown (A) VI.A.2.4</v>
      </c>
      <c r="D111">
        <v>1.065</v>
      </c>
      <c r="E111">
        <v>15</v>
      </c>
      <c r="F111" t="str">
        <v>✓</v>
      </c>
      <c r="G111">
        <v>-1409403.5984793361</v>
      </c>
      <c r="H111" t="str">
        <v/>
      </c>
    </row>
    <row r="112">
      <c r="A112" t="str">
        <v>(A) VI.A.2.5</v>
      </c>
      <c r="B112" t="str">
        <v>- Balok B2A4A-1</v>
      </c>
      <c r="C112" t="str">
        <v>Breakdown (A) VI.A.2.5</v>
      </c>
      <c r="D112">
        <v>4.91625</v>
      </c>
      <c r="E112">
        <v>15</v>
      </c>
      <c r="F112" t="str">
        <v>✓</v>
      </c>
      <c r="G112">
        <v>-5463105.21070227</v>
      </c>
      <c r="H112" t="str">
        <v/>
      </c>
    </row>
    <row r="113">
      <c r="A113" t="str">
        <v>(A) VI.A.5.1</v>
      </c>
      <c r="B113" t="str">
        <v>- Dinding tanggulan</v>
      </c>
      <c r="C113" t="str">
        <v>Breakdown (A) VI.A.5.1</v>
      </c>
      <c r="D113">
        <v>1.2361499999999999</v>
      </c>
      <c r="E113">
        <v>5</v>
      </c>
      <c r="F113" t="str">
        <v>✓</v>
      </c>
      <c r="G113">
        <v>-1318988.058066249</v>
      </c>
      <c r="H113" t="str">
        <v/>
      </c>
    </row>
    <row r="114">
      <c r="A114" t="str">
        <v>(A) VIII.A.1</v>
      </c>
      <c r="B114" t="str">
        <v>Pasangan dinding bata merah tebal 10 cm; termasuk kolom praktis, balok praktis, dan balok latei</v>
      </c>
      <c r="C114" t="str">
        <v>Breakdown (A) VIII.A.1</v>
      </c>
      <c r="D114">
        <v>188.0775</v>
      </c>
      <c r="E114">
        <v>2</v>
      </c>
      <c r="F114" t="str">
        <v>✓</v>
      </c>
      <c r="G114">
        <v>-5506669.310910299</v>
      </c>
      <c r="H114" t="str">
        <v/>
      </c>
    </row>
    <row r="115">
      <c r="A115" t="str">
        <v>(A) VIII.A.2</v>
      </c>
      <c r="B115" t="str">
        <v>Pasangan dinding bata merah tebal 15 cm; termasuk kolom praktis, balok praktis, dan balok latei</v>
      </c>
      <c r="C115" t="str">
        <v>Breakdown (A) VIII.A.2</v>
      </c>
      <c r="D115">
        <v>148.67</v>
      </c>
      <c r="E115">
        <v>2</v>
      </c>
      <c r="F115" t="str">
        <v>✓</v>
      </c>
      <c r="G115">
        <v>-5511024.027118675</v>
      </c>
      <c r="H115" t="str">
        <v/>
      </c>
    </row>
    <row r="116">
      <c r="A116" t="str">
        <v>(A) VIII.A.3</v>
      </c>
      <c r="B116" t="str">
        <v>Pasangan dinding bata merah tebal 20 cm; termasuk kolom praktis, balok praktis, dan balok latei</v>
      </c>
      <c r="C116" t="str">
        <v>Breakdown (A) VIII.A.3</v>
      </c>
      <c r="D116">
        <v>294.96000000000004</v>
      </c>
      <c r="E116">
        <v>2</v>
      </c>
      <c r="F116" t="str">
        <v>✓</v>
      </c>
      <c r="G116">
        <v>-14064162.710804626</v>
      </c>
      <c r="H116" t="str">
        <v/>
      </c>
    </row>
    <row r="117">
      <c r="A117" t="str">
        <v>(A) VIII.A.4</v>
      </c>
      <c r="B117" t="str">
        <v>Pasangan dinding bata merah tebal 40 cm; termasuk kolom praktis, balok praktis, dan balok latei</v>
      </c>
      <c r="C117" t="str">
        <v>Breakdown (A) VIII.A.4</v>
      </c>
      <c r="D117">
        <v>11.462499999999999</v>
      </c>
      <c r="E117">
        <v>2</v>
      </c>
      <c r="F117" t="str">
        <v>✓</v>
      </c>
      <c r="G117">
        <v>-929490.0772043895</v>
      </c>
      <c r="H117" t="str">
        <v/>
      </c>
    </row>
    <row r="118">
      <c r="A118" t="str">
        <v>(A) VIII.B.1</v>
      </c>
      <c r="B118" t="str">
        <v>Pasangan dinding bata merah tebal 10 cm; termasuk kolom praktis, balok praktis, dan balok latei</v>
      </c>
      <c r="C118" t="str">
        <v>Breakdown (A) VIII.B.1</v>
      </c>
      <c r="D118">
        <v>108</v>
      </c>
      <c r="E118">
        <v>2</v>
      </c>
      <c r="F118" t="str">
        <v>✓</v>
      </c>
      <c r="G118">
        <v>-3162102.248160001</v>
      </c>
      <c r="H118" t="str">
        <v/>
      </c>
    </row>
    <row r="119">
      <c r="A119" t="str">
        <v>(A) VIII.B.2</v>
      </c>
      <c r="B119" t="str">
        <v>Pasangan dinding bata merah tebal 15 cm; termasuk kolom praktis, balok praktis, dan balok latei</v>
      </c>
      <c r="C119" t="str">
        <v>Breakdown (A) VIII.B.2</v>
      </c>
      <c r="D119">
        <v>294.87749999999994</v>
      </c>
      <c r="E119">
        <v>2</v>
      </c>
      <c r="F119" t="str">
        <v>✓</v>
      </c>
      <c r="G119">
        <v>-10930766.042622492</v>
      </c>
      <c r="H119" t="str">
        <v/>
      </c>
    </row>
    <row r="120">
      <c r="A120" t="str">
        <v>(A) VIII.B.3</v>
      </c>
      <c r="B120" t="str">
        <v>Pasangan dinding bata merah tebal 20 cm; termasuk kolom praktis, balok praktis, dan balok latei</v>
      </c>
      <c r="C120" t="str">
        <v>Breakdown (A) VIII.B.3</v>
      </c>
      <c r="D120">
        <v>195.74599999999998</v>
      </c>
      <c r="E120">
        <v>2</v>
      </c>
      <c r="F120" t="str">
        <v>✓</v>
      </c>
      <c r="G120">
        <v>-9333481.129607953</v>
      </c>
      <c r="H120" t="str">
        <v/>
      </c>
    </row>
    <row r="121">
      <c r="A121" t="str">
        <v>(A) VIII.C.1</v>
      </c>
      <c r="B121" t="str">
        <v>Pasangan dinding bata merah tebal 15 cm; termasuk kolom praktis, balok praktis, dan balok latei</v>
      </c>
      <c r="C121" t="str">
        <v>Breakdown (A) VIII.C.1</v>
      </c>
      <c r="D121">
        <v>280.168</v>
      </c>
      <c r="E121">
        <v>2</v>
      </c>
      <c r="F121" t="str">
        <v>✓</v>
      </c>
      <c r="G121">
        <v>-10385501.981770262</v>
      </c>
      <c r="H121" t="str">
        <v/>
      </c>
    </row>
    <row r="122">
      <c r="A122" t="str">
        <v>(A) VIII.C.2</v>
      </c>
      <c r="B122" t="str">
        <v>Pasangan dinding bata merah tebal 20 cm; termasuk kolom praktis, balok praktis, dan balok latei</v>
      </c>
      <c r="C122" t="str">
        <v>Breakdown (A) VIII.C.2</v>
      </c>
      <c r="D122">
        <v>16.585</v>
      </c>
      <c r="E122">
        <v>2</v>
      </c>
      <c r="F122" t="str">
        <v>✓</v>
      </c>
      <c r="G122">
        <v>-790799.2221273892</v>
      </c>
      <c r="H122" t="str">
        <v/>
      </c>
    </row>
  </sheetData>
  <ignoredErrors>
    <ignoredError numberStoredAsText="1" sqref="A1:H12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(A) III.A.1.1 -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Beton</v>
      </c>
    </row>
    <row r="5">
      <c r="A5" t="str">
        <v>Unit</v>
      </c>
      <c r="B5" t="str">
        <v>m3</v>
      </c>
    </row>
    <row r="6">
      <c r="A6" t="str">
        <v>Volume</v>
      </c>
      <c r="B6">
        <v>3.125</v>
      </c>
    </row>
    <row r="7">
      <c r="A7" t="str">
        <v>Unit cost (Rp/m3)</v>
      </c>
      <c r="B7">
        <v>2288600</v>
      </c>
    </row>
    <row r="8">
      <c r="A8" t="str">
        <v>Line total at-cost (Rp)</v>
      </c>
      <c r="B8">
        <v>7151875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3.75</v>
      </c>
      <c r="L12">
        <v>4370625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3.125</v>
      </c>
      <c r="L14">
        <v>46875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3.125</v>
      </c>
      <c r="L15">
        <v>234375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800000</v>
      </c>
      <c r="I17">
        <v>1</v>
      </c>
      <c r="J17">
        <v>800000</v>
      </c>
      <c r="K17">
        <v>3.125</v>
      </c>
      <c r="L17">
        <v>2500000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2288600</v>
      </c>
      <c r="J19" t="str">
        <v/>
      </c>
      <c r="K19" t="str">
        <v/>
      </c>
      <c r="L19">
        <v>7151875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2288600</v>
      </c>
    </row>
    <row r="23">
      <c r="A23" t="str">
        <v>RAB (A) source unit cost</v>
      </c>
      <c r="B23">
        <v>2288600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7151875</v>
      </c>
    </row>
    <row r="27">
      <c r="A27" t="str">
        <v>RAB (A) source line total</v>
      </c>
      <c r="B27">
        <v>8224656.25</v>
      </c>
    </row>
    <row r="28">
      <c r="A28" t="str">
        <v>Variance</v>
      </c>
      <c r="B28">
        <v>-1072781.25</v>
      </c>
      <c r="C28" t="str">
        <v>✓ OK</v>
      </c>
    </row>
  </sheetData>
  <ignoredErrors>
    <ignoredError numberStoredAsText="1" sqref="A1:L2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III.A.1.2 - Besi D13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D13</v>
      </c>
    </row>
    <row r="5">
      <c r="A5" t="str">
        <v>Unit</v>
      </c>
      <c r="B5" t="str">
        <v>kg</v>
      </c>
    </row>
    <row r="6">
      <c r="A6" t="str">
        <v>Volume</v>
      </c>
      <c r="B6">
        <v>558.2419829999999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5829441.907477499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558.2419829999999</v>
      </c>
      <c r="L12">
        <v>5829441.907477499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5829441.907477499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5829441.907477499</v>
      </c>
    </row>
    <row r="22">
      <c r="A22" t="str">
        <v>RAB (A) source line total</v>
      </c>
      <c r="B22">
        <v>6703858.193599123</v>
      </c>
    </row>
    <row r="23">
      <c r="A23" t="str">
        <v>Variance</v>
      </c>
      <c r="B23">
        <v>-874416.2861216236</v>
      </c>
      <c r="C23" t="str">
        <v>✓ OK</v>
      </c>
    </row>
  </sheetData>
  <ignoredErrors>
    <ignoredError numberStoredAsText="1" sqref="A1:L2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III.A.1.3 - Besi D16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D16</v>
      </c>
    </row>
    <row r="5">
      <c r="A5" t="str">
        <v>Unit</v>
      </c>
      <c r="B5" t="str">
        <v>kg</v>
      </c>
    </row>
    <row r="6">
      <c r="A6" t="str">
        <v>Volume</v>
      </c>
      <c r="B6">
        <v>0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0</v>
      </c>
      <c r="L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0</v>
      </c>
    </row>
    <row r="22">
      <c r="A22" t="str">
        <v>RAB (A) source line total</v>
      </c>
      <c r="B22">
        <v>0</v>
      </c>
    </row>
    <row r="23">
      <c r="A23" t="str">
        <v>Variance</v>
      </c>
      <c r="B23">
        <v>0</v>
      </c>
      <c r="C23" t="str">
        <v>✓ OK</v>
      </c>
    </row>
  </sheetData>
  <ignoredErrors>
    <ignoredError numberStoredAsText="1" sqref="A1:L2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III.A.1.4 - Besi D19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D19</v>
      </c>
    </row>
    <row r="5">
      <c r="A5" t="str">
        <v>Unit</v>
      </c>
      <c r="B5" t="str">
        <v>kg</v>
      </c>
    </row>
    <row r="6">
      <c r="A6" t="str">
        <v>Volume</v>
      </c>
      <c r="B6">
        <v>0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0</v>
      </c>
      <c r="L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0</v>
      </c>
    </row>
    <row r="22">
      <c r="A22" t="str">
        <v>RAB (A) source line total</v>
      </c>
      <c r="B22">
        <v>0</v>
      </c>
    </row>
    <row r="23">
      <c r="A23" t="str">
        <v>Variance</v>
      </c>
      <c r="B23">
        <v>0</v>
      </c>
      <c r="C23" t="str">
        <v>✓ OK</v>
      </c>
    </row>
  </sheetData>
  <ignoredErrors>
    <ignoredError numberStoredAsText="1" sqref="A1:L2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(A) III.A.2.1 -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Beton</v>
      </c>
    </row>
    <row r="5">
      <c r="A5" t="str">
        <v>Unit</v>
      </c>
      <c r="B5" t="str">
        <v>m3</v>
      </c>
    </row>
    <row r="6">
      <c r="A6" t="str">
        <v>Volume</v>
      </c>
      <c r="B6">
        <v>0.33</v>
      </c>
    </row>
    <row r="7">
      <c r="A7" t="str">
        <v>Unit cost (Rp/m3)</v>
      </c>
      <c r="B7">
        <v>2288600</v>
      </c>
    </row>
    <row r="8">
      <c r="A8" t="str">
        <v>Line total at-cost (Rp)</v>
      </c>
      <c r="B8">
        <v>755238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0.396</v>
      </c>
      <c r="L12">
        <v>461538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0.33</v>
      </c>
      <c r="L14">
        <v>4950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0.33</v>
      </c>
      <c r="L15">
        <v>24750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800000</v>
      </c>
      <c r="I17">
        <v>1</v>
      </c>
      <c r="J17">
        <v>800000</v>
      </c>
      <c r="K17">
        <v>0.33</v>
      </c>
      <c r="L17">
        <v>264000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2288600</v>
      </c>
      <c r="J19" t="str">
        <v/>
      </c>
      <c r="K19" t="str">
        <v/>
      </c>
      <c r="L19">
        <v>755238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2288600</v>
      </c>
    </row>
    <row r="23">
      <c r="A23" t="str">
        <v>RAB (A) source unit cost</v>
      </c>
      <c r="B23">
        <v>2288600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755238</v>
      </c>
    </row>
    <row r="27">
      <c r="A27" t="str">
        <v>RAB (A) source line total</v>
      </c>
      <c r="B27">
        <v>868523.7000000001</v>
      </c>
    </row>
    <row r="28">
      <c r="A28" t="str">
        <v>Variance</v>
      </c>
      <c r="B28">
        <v>-113285.70000000007</v>
      </c>
      <c r="C28" t="str">
        <v>✓ OK</v>
      </c>
    </row>
  </sheetData>
  <ignoredErrors>
    <ignoredError numberStoredAsText="1" sqref="A1:L28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III.A.2.2 - Besi D13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D13</v>
      </c>
    </row>
    <row r="5">
      <c r="A5" t="str">
        <v>Unit</v>
      </c>
      <c r="B5" t="str">
        <v>kg</v>
      </c>
    </row>
    <row r="6">
      <c r="A6" t="str">
        <v>Volume</v>
      </c>
      <c r="B6">
        <v>30.08130372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314124.0140961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30.08130372</v>
      </c>
      <c r="L12">
        <v>314124.0140961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314124.0140961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314124.0140961</v>
      </c>
    </row>
    <row r="22">
      <c r="A22" t="str">
        <v>RAB (A) source line total</v>
      </c>
      <c r="B22">
        <v>361242.61621051497</v>
      </c>
    </row>
    <row r="23">
      <c r="A23" t="str">
        <v>Variance</v>
      </c>
      <c r="B23">
        <v>-47118.60211441497</v>
      </c>
      <c r="C23" t="str">
        <v>✓ OK</v>
      </c>
    </row>
  </sheetData>
  <ignoredErrors>
    <ignoredError numberStoredAsText="1" sqref="A1:L2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III.A.2.3 - Besi D16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D16</v>
      </c>
    </row>
    <row r="5">
      <c r="A5" t="str">
        <v>Unit</v>
      </c>
      <c r="B5" t="str">
        <v>kg</v>
      </c>
    </row>
    <row r="6">
      <c r="A6" t="str">
        <v>Volume</v>
      </c>
      <c r="B6">
        <v>19.1913984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200406.177792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19.1913984</v>
      </c>
      <c r="L12">
        <v>200406.177792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200406.177792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200406.177792</v>
      </c>
    </row>
    <row r="22">
      <c r="A22" t="str">
        <v>RAB (A) source line total</v>
      </c>
      <c r="B22">
        <v>230467.10446079998</v>
      </c>
    </row>
    <row r="23">
      <c r="A23" t="str">
        <v>Variance</v>
      </c>
      <c r="B23">
        <v>-30060.926668799977</v>
      </c>
      <c r="C23" t="str">
        <v>✓ OK</v>
      </c>
    </row>
  </sheetData>
  <ignoredErrors>
    <ignoredError numberStoredAsText="1" sqref="A1:L23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III.A.2.4 - Besi D19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D19</v>
      </c>
    </row>
    <row r="5">
      <c r="A5" t="str">
        <v>Unit</v>
      </c>
      <c r="B5" t="str">
        <v>kg</v>
      </c>
    </row>
    <row r="6">
      <c r="A6" t="str">
        <v>Volume</v>
      </c>
      <c r="B6">
        <v>0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0</v>
      </c>
      <c r="L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0</v>
      </c>
    </row>
    <row r="22">
      <c r="A22" t="str">
        <v>RAB (A) source line total</v>
      </c>
      <c r="B22">
        <v>0</v>
      </c>
    </row>
    <row r="23">
      <c r="A23" t="str">
        <v>Variance</v>
      </c>
      <c r="B23">
        <v>0</v>
      </c>
      <c r="C23" t="str">
        <v>✓ OK</v>
      </c>
    </row>
  </sheetData>
  <ignoredErrors>
    <ignoredError numberStoredAsText="1" sqref="A1:L2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(A) III.A.3.1 -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Beton</v>
      </c>
    </row>
    <row r="5">
      <c r="A5" t="str">
        <v>Unit</v>
      </c>
      <c r="B5" t="str">
        <v>m3</v>
      </c>
    </row>
    <row r="6">
      <c r="A6" t="str">
        <v>Volume</v>
      </c>
      <c r="B6">
        <v>4.0223424</v>
      </c>
    </row>
    <row r="7">
      <c r="A7" t="str">
        <v>Unit cost (Rp/m3)</v>
      </c>
      <c r="B7">
        <v>2288600</v>
      </c>
    </row>
    <row r="8">
      <c r="A8" t="str">
        <v>Line total at-cost (Rp)</v>
      </c>
      <c r="B8">
        <v>9205532.81664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4.82681088</v>
      </c>
      <c r="L12">
        <v>5625648.08064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4.0223424</v>
      </c>
      <c r="L14">
        <v>60335.136000000006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4.0223424</v>
      </c>
      <c r="L15">
        <v>301675.68000000005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800000</v>
      </c>
      <c r="I17">
        <v>1</v>
      </c>
      <c r="J17">
        <v>800000</v>
      </c>
      <c r="K17">
        <v>4.0223424</v>
      </c>
      <c r="L17">
        <v>3217873.9200000004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2288600</v>
      </c>
      <c r="J19" t="str">
        <v/>
      </c>
      <c r="K19" t="str">
        <v/>
      </c>
      <c r="L19">
        <v>9205532.81664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2288600</v>
      </c>
    </row>
    <row r="23">
      <c r="A23" t="str">
        <v>RAB (A) source unit cost</v>
      </c>
      <c r="B23">
        <v>2288600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9205532.81664</v>
      </c>
    </row>
    <row r="27">
      <c r="A27" t="str">
        <v>RAB (A) source line total</v>
      </c>
      <c r="B27">
        <v>10586362.739136001</v>
      </c>
    </row>
    <row r="28">
      <c r="A28" t="str">
        <v>Variance</v>
      </c>
      <c r="B28">
        <v>-1380829.9224960003</v>
      </c>
      <c r="C28" t="str">
        <v>✓ OK</v>
      </c>
    </row>
  </sheetData>
  <ignoredErrors>
    <ignoredError numberStoredAsText="1" sqref="A1:L2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III.A.3.2 - Besi D13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D13</v>
      </c>
    </row>
    <row r="5">
      <c r="A5" t="str">
        <v>Unit</v>
      </c>
      <c r="B5" t="str">
        <v>kg</v>
      </c>
    </row>
    <row r="6">
      <c r="A6" t="str">
        <v>Volume</v>
      </c>
      <c r="B6">
        <v>265.1744852152291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2769084.5618600296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265.1744852152291</v>
      </c>
      <c r="L12">
        <v>2769084.5618600296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2769084.5618600296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2769084.5618600296</v>
      </c>
    </row>
    <row r="22">
      <c r="A22" t="str">
        <v>RAB (A) source line total</v>
      </c>
      <c r="B22">
        <v>3184447.2461390337</v>
      </c>
    </row>
    <row r="23">
      <c r="A23" t="str">
        <v>Variance</v>
      </c>
      <c r="B23">
        <v>-415362.6842790041</v>
      </c>
      <c r="C23" t="str">
        <v>✓ OK</v>
      </c>
    </row>
  </sheetData>
  <ignoredErrors>
    <ignoredError numberStoredAsText="1" sqref="A1:L23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III.A.3.3 - Besi D16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D16</v>
      </c>
    </row>
    <row r="5">
      <c r="A5" t="str">
        <v>Unit</v>
      </c>
      <c r="B5" t="str">
        <v>kg</v>
      </c>
    </row>
    <row r="6">
      <c r="A6" t="str">
        <v>Volume</v>
      </c>
      <c r="B6">
        <v>389.72427264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4069695.7170431996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389.72427264</v>
      </c>
      <c r="L12">
        <v>4069695.7170431996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4069695.7170431996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4069695.7170431996</v>
      </c>
    </row>
    <row r="22">
      <c r="A22" t="str">
        <v>RAB (A) source line total</v>
      </c>
      <c r="B22">
        <v>4680150.074599679</v>
      </c>
    </row>
    <row r="23">
      <c r="A23" t="str">
        <v>Variance</v>
      </c>
      <c r="B23">
        <v>-610454.357556479</v>
      </c>
      <c r="C23" t="str">
        <v>✓ OK</v>
      </c>
    </row>
  </sheetData>
  <ignoredErrors>
    <ignoredError numberStoredAsText="1" sqref="A1:L2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III.A.3.4 - Besi D19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D19</v>
      </c>
    </row>
    <row r="5">
      <c r="A5" t="str">
        <v>Unit</v>
      </c>
      <c r="B5" t="str">
        <v>kg</v>
      </c>
    </row>
    <row r="6">
      <c r="A6" t="str">
        <v>Volume</v>
      </c>
      <c r="B6">
        <v>0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0</v>
      </c>
      <c r="L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0</v>
      </c>
    </row>
    <row r="22">
      <c r="A22" t="str">
        <v>RAB (A) source line total</v>
      </c>
      <c r="B22">
        <v>0</v>
      </c>
    </row>
    <row r="23">
      <c r="A23" t="str">
        <v>Variance</v>
      </c>
      <c r="B23">
        <v>0</v>
      </c>
      <c r="C23" t="str">
        <v>✓ OK</v>
      </c>
    </row>
  </sheetData>
  <ignoredErrors>
    <ignoredError numberStoredAsText="1" sqref="A1:L2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(A) III.A.4.1 -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Beton</v>
      </c>
    </row>
    <row r="5">
      <c r="A5" t="str">
        <v>Unit</v>
      </c>
      <c r="B5" t="str">
        <v>m3</v>
      </c>
    </row>
    <row r="6">
      <c r="A6" t="str">
        <v>Volume</v>
      </c>
      <c r="B6">
        <v>0.847</v>
      </c>
    </row>
    <row r="7">
      <c r="A7" t="str">
        <v>Unit cost (Rp/m3)</v>
      </c>
      <c r="B7">
        <v>2288600</v>
      </c>
    </row>
    <row r="8">
      <c r="A8" t="str">
        <v>Line total at-cost (Rp)</v>
      </c>
      <c r="B8">
        <v>1938444.2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1.0164</v>
      </c>
      <c r="L12">
        <v>1184614.2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0.847</v>
      </c>
      <c r="L14">
        <v>12705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0.847</v>
      </c>
      <c r="L15">
        <v>63525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800000</v>
      </c>
      <c r="I17">
        <v>1</v>
      </c>
      <c r="J17">
        <v>800000</v>
      </c>
      <c r="K17">
        <v>0.847</v>
      </c>
      <c r="L17">
        <v>677600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2288600</v>
      </c>
      <c r="J19" t="str">
        <v/>
      </c>
      <c r="K19" t="str">
        <v/>
      </c>
      <c r="L19">
        <v>1938444.2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2288600</v>
      </c>
    </row>
    <row r="23">
      <c r="A23" t="str">
        <v>RAB (A) source unit cost</v>
      </c>
      <c r="B23">
        <v>2288600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1938444.2</v>
      </c>
    </row>
    <row r="27">
      <c r="A27" t="str">
        <v>RAB (A) source line total</v>
      </c>
      <c r="B27">
        <v>2229210.83</v>
      </c>
    </row>
    <row r="28">
      <c r="A28" t="str">
        <v>Variance</v>
      </c>
      <c r="B28">
        <v>-290766.6300000001</v>
      </c>
      <c r="C28" t="str">
        <v>✓ OK</v>
      </c>
    </row>
  </sheetData>
  <ignoredErrors>
    <ignoredError numberStoredAsText="1" sqref="A1:L2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III.A.4.2 - Besi D13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D13</v>
      </c>
    </row>
    <row r="5">
      <c r="A5" t="str">
        <v>Unit</v>
      </c>
      <c r="B5" t="str">
        <v>kg</v>
      </c>
    </row>
    <row r="6">
      <c r="A6" t="str">
        <v>Volume</v>
      </c>
      <c r="B6">
        <v>41.49619578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433324.02443265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41.49619578</v>
      </c>
      <c r="L12">
        <v>433324.02443265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433324.02443265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433324.02443265</v>
      </c>
    </row>
    <row r="22">
      <c r="A22" t="str">
        <v>RAB (A) source line total</v>
      </c>
      <c r="B22">
        <v>498322.62809754745</v>
      </c>
    </row>
    <row r="23">
      <c r="A23" t="str">
        <v>Variance</v>
      </c>
      <c r="B23">
        <v>-64998.60366489744</v>
      </c>
      <c r="C23" t="str">
        <v>✓ OK</v>
      </c>
    </row>
  </sheetData>
  <ignoredErrors>
    <ignoredError numberStoredAsText="1" sqref="A1:L23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III.A.4.3 - Besi D16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D16</v>
      </c>
    </row>
    <row r="5">
      <c r="A5" t="str">
        <v>Unit</v>
      </c>
      <c r="B5" t="str">
        <v>kg</v>
      </c>
    </row>
    <row r="6">
      <c r="A6" t="str">
        <v>Volume</v>
      </c>
      <c r="B6">
        <v>58.5842688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611766.226944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58.5842688</v>
      </c>
      <c r="L12">
        <v>611766.226944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611766.226944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611766.226944</v>
      </c>
    </row>
    <row r="22">
      <c r="A22" t="str">
        <v>RAB (A) source line total</v>
      </c>
      <c r="B22">
        <v>703531.1609855999</v>
      </c>
    </row>
    <row r="23">
      <c r="A23" t="str">
        <v>Variance</v>
      </c>
      <c r="B23">
        <v>-91764.93404159986</v>
      </c>
      <c r="C23" t="str">
        <v>✓ OK</v>
      </c>
    </row>
  </sheetData>
  <ignoredErrors>
    <ignoredError numberStoredAsText="1" sqref="A1:L23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III.A.4.4 - Besi D19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D19</v>
      </c>
    </row>
    <row r="5">
      <c r="A5" t="str">
        <v>Unit</v>
      </c>
      <c r="B5" t="str">
        <v>kg</v>
      </c>
    </row>
    <row r="6">
      <c r="A6" t="str">
        <v>Volume</v>
      </c>
      <c r="B6">
        <v>0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0</v>
      </c>
      <c r="L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0</v>
      </c>
    </row>
    <row r="22">
      <c r="A22" t="str">
        <v>RAB (A) source line total</v>
      </c>
      <c r="B22">
        <v>0</v>
      </c>
    </row>
    <row r="23">
      <c r="A23" t="str">
        <v>Variance</v>
      </c>
      <c r="B23">
        <v>0</v>
      </c>
      <c r="C23" t="str">
        <v>✓ OK</v>
      </c>
    </row>
  </sheetData>
  <ignoredErrors>
    <ignoredError numberStoredAsText="1" sqref="A1:L23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(A) III.A.5.1 -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Beton</v>
      </c>
    </row>
    <row r="5">
      <c r="A5" t="str">
        <v>Unit</v>
      </c>
      <c r="B5" t="str">
        <v>m3</v>
      </c>
    </row>
    <row r="6">
      <c r="A6" t="str">
        <v>Volume</v>
      </c>
      <c r="B6">
        <v>2.5515</v>
      </c>
    </row>
    <row r="7">
      <c r="A7" t="str">
        <v>Unit cost (Rp/m3)</v>
      </c>
      <c r="B7">
        <v>2288600</v>
      </c>
    </row>
    <row r="8">
      <c r="A8" t="str">
        <v>Line total at-cost (Rp)</v>
      </c>
      <c r="B8">
        <v>5839362.899999999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3.0618</v>
      </c>
      <c r="L12">
        <v>3568527.9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2.5515</v>
      </c>
      <c r="L14">
        <v>38272.5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2.5515</v>
      </c>
      <c r="L15">
        <v>191362.5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800000</v>
      </c>
      <c r="I17">
        <v>1</v>
      </c>
      <c r="J17">
        <v>800000</v>
      </c>
      <c r="K17">
        <v>2.5515</v>
      </c>
      <c r="L17">
        <v>2041200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2288600</v>
      </c>
      <c r="J19" t="str">
        <v/>
      </c>
      <c r="K19" t="str">
        <v/>
      </c>
      <c r="L19">
        <v>5839362.899999999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2288600</v>
      </c>
    </row>
    <row r="23">
      <c r="A23" t="str">
        <v>RAB (A) source unit cost</v>
      </c>
      <c r="B23">
        <v>2288600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5839362.899999999</v>
      </c>
    </row>
    <row r="27">
      <c r="A27" t="str">
        <v>RAB (A) source line total</v>
      </c>
      <c r="B27">
        <v>6715267.335</v>
      </c>
    </row>
    <row r="28">
      <c r="A28" t="str">
        <v>Variance</v>
      </c>
      <c r="B28">
        <v>-875904.4350000005</v>
      </c>
      <c r="C28" t="str">
        <v>✓ OK</v>
      </c>
    </row>
  </sheetData>
  <ignoredErrors>
    <ignoredError numberStoredAsText="1" sqref="A1:L2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III.A.5.2 - Besi D13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D13</v>
      </c>
    </row>
    <row r="5">
      <c r="A5" t="str">
        <v>Unit</v>
      </c>
      <c r="B5" t="str">
        <v>kg</v>
      </c>
    </row>
    <row r="6">
      <c r="A6" t="str">
        <v>Volume</v>
      </c>
      <c r="B6">
        <v>105.62213376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1102959.1317888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105.62213376</v>
      </c>
      <c r="L12">
        <v>1102959.1317888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1102959.1317888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1102959.1317888</v>
      </c>
    </row>
    <row r="22">
      <c r="A22" t="str">
        <v>RAB (A) source line total</v>
      </c>
      <c r="B22">
        <v>1268403.0015571197</v>
      </c>
    </row>
    <row r="23">
      <c r="A23" t="str">
        <v>Variance</v>
      </c>
      <c r="B23">
        <v>-165443.86976831965</v>
      </c>
      <c r="C23" t="str">
        <v>✓ OK</v>
      </c>
    </row>
  </sheetData>
  <ignoredErrors>
    <ignoredError numberStoredAsText="1" sqref="A1:L23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III.A.5.3 - Besi D16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D16</v>
      </c>
    </row>
    <row r="5">
      <c r="A5" t="str">
        <v>Unit</v>
      </c>
      <c r="B5" t="str">
        <v>kg</v>
      </c>
    </row>
    <row r="6">
      <c r="A6" t="str">
        <v>Volume</v>
      </c>
      <c r="B6">
        <v>146.0187648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1524800.951424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146.0187648</v>
      </c>
      <c r="L12">
        <v>1524800.951424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1524800.951424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1524800.951424</v>
      </c>
    </row>
    <row r="22">
      <c r="A22" t="str">
        <v>RAB (A) source line total</v>
      </c>
      <c r="B22">
        <v>1753521.0941376</v>
      </c>
    </row>
    <row r="23">
      <c r="A23" t="str">
        <v>Variance</v>
      </c>
      <c r="B23">
        <v>-228720.14271359984</v>
      </c>
      <c r="C23" t="str">
        <v>✓ OK</v>
      </c>
    </row>
  </sheetData>
  <ignoredErrors>
    <ignoredError numberStoredAsText="1" sqref="A1:L2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III.A.5.4 - Besi D19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D19</v>
      </c>
    </row>
    <row r="5">
      <c r="A5" t="str">
        <v>Unit</v>
      </c>
      <c r="B5" t="str">
        <v>kg</v>
      </c>
    </row>
    <row r="6">
      <c r="A6" t="str">
        <v>Volume</v>
      </c>
      <c r="B6">
        <v>0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0</v>
      </c>
      <c r="L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0</v>
      </c>
    </row>
    <row r="22">
      <c r="A22" t="str">
        <v>RAB (A) source line total</v>
      </c>
      <c r="B22">
        <v>0</v>
      </c>
    </row>
    <row r="23">
      <c r="A23" t="str">
        <v>Variance</v>
      </c>
      <c r="B23">
        <v>0</v>
      </c>
      <c r="C23" t="str">
        <v>✓ OK</v>
      </c>
    </row>
  </sheetData>
  <ignoredErrors>
    <ignoredError numberStoredAsText="1" sqref="A1:L23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(A) III.A.6.1 -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Beton</v>
      </c>
    </row>
    <row r="5">
      <c r="A5" t="str">
        <v>Unit</v>
      </c>
      <c r="B5" t="str">
        <v>m3</v>
      </c>
    </row>
    <row r="6">
      <c r="A6" t="str">
        <v>Volume</v>
      </c>
      <c r="B6">
        <v>5.07</v>
      </c>
    </row>
    <row r="7">
      <c r="A7" t="str">
        <v>Unit cost (Rp/m3)</v>
      </c>
      <c r="B7">
        <v>2288600</v>
      </c>
    </row>
    <row r="8">
      <c r="A8" t="str">
        <v>Line total at-cost (Rp)</v>
      </c>
      <c r="B8">
        <v>11603202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6.0840000000000005</v>
      </c>
      <c r="L12">
        <v>7090902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5.07</v>
      </c>
      <c r="L14">
        <v>76050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5.07</v>
      </c>
      <c r="L15">
        <v>380250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800000</v>
      </c>
      <c r="I17">
        <v>1</v>
      </c>
      <c r="J17">
        <v>800000</v>
      </c>
      <c r="K17">
        <v>5.07</v>
      </c>
      <c r="L17">
        <v>4056000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2288600</v>
      </c>
      <c r="J19" t="str">
        <v/>
      </c>
      <c r="K19" t="str">
        <v/>
      </c>
      <c r="L19">
        <v>11603202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2288600</v>
      </c>
    </row>
    <row r="23">
      <c r="A23" t="str">
        <v>RAB (A) source unit cost</v>
      </c>
      <c r="B23">
        <v>2288600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11603202</v>
      </c>
    </row>
    <row r="27">
      <c r="A27" t="str">
        <v>RAB (A) source line total</v>
      </c>
      <c r="B27">
        <v>13343682.3</v>
      </c>
    </row>
    <row r="28">
      <c r="A28" t="str">
        <v>Variance</v>
      </c>
      <c r="B28">
        <v>-1740480.3000000007</v>
      </c>
      <c r="C28" t="str">
        <v>✓ OK</v>
      </c>
    </row>
  </sheetData>
  <ignoredErrors>
    <ignoredError numberStoredAsText="1" sqref="A1:L28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III.A.6.2 - Besi D13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D13</v>
      </c>
    </row>
    <row r="5">
      <c r="A5" t="str">
        <v>Unit</v>
      </c>
      <c r="B5" t="str">
        <v>kg</v>
      </c>
    </row>
    <row r="6">
      <c r="A6" t="str">
        <v>Volume</v>
      </c>
      <c r="B6">
        <v>32.24425698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336710.65351365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32.24425698</v>
      </c>
      <c r="L12">
        <v>336710.65351365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336710.65351365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336710.65351365</v>
      </c>
    </row>
    <row r="22">
      <c r="A22" t="str">
        <v>RAB (A) source line total</v>
      </c>
      <c r="B22">
        <v>387217.25154069747</v>
      </c>
    </row>
    <row r="23">
      <c r="A23" t="str">
        <v>Variance</v>
      </c>
      <c r="B23">
        <v>-50506.59802704747</v>
      </c>
      <c r="C23" t="str">
        <v>✓ OK</v>
      </c>
    </row>
  </sheetData>
  <ignoredErrors>
    <ignoredError numberStoredAsText="1" sqref="A1:L23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III.A.6.3 - Besi D16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D16</v>
      </c>
    </row>
    <row r="5">
      <c r="A5" t="str">
        <v>Unit</v>
      </c>
      <c r="B5" t="str">
        <v>kg</v>
      </c>
    </row>
    <row r="6">
      <c r="A6" t="str">
        <v>Volume</v>
      </c>
      <c r="B6">
        <v>406.238976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4242150.50688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406.238976</v>
      </c>
      <c r="L12">
        <v>4242150.50688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4242150.50688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4242150.50688</v>
      </c>
    </row>
    <row r="22">
      <c r="A22" t="str">
        <v>RAB (A) source line total</v>
      </c>
      <c r="B22">
        <v>4878473.082911999</v>
      </c>
    </row>
    <row r="23">
      <c r="A23" t="str">
        <v>Variance</v>
      </c>
      <c r="B23">
        <v>-636322.5760319987</v>
      </c>
      <c r="C23" t="str">
        <v>✓ OK</v>
      </c>
    </row>
  </sheetData>
  <ignoredErrors>
    <ignoredError numberStoredAsText="1" sqref="A1:L23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III.A.6.4 - Besi D19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D19</v>
      </c>
    </row>
    <row r="5">
      <c r="A5" t="str">
        <v>Unit</v>
      </c>
      <c r="B5" t="str">
        <v>kg</v>
      </c>
    </row>
    <row r="6">
      <c r="A6" t="str">
        <v>Volume</v>
      </c>
      <c r="B6">
        <v>0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0</v>
      </c>
      <c r="L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0</v>
      </c>
    </row>
    <row r="22">
      <c r="A22" t="str">
        <v>RAB (A) source line total</v>
      </c>
      <c r="B22">
        <v>0</v>
      </c>
    </row>
    <row r="23">
      <c r="A23" t="str">
        <v>Variance</v>
      </c>
      <c r="B23">
        <v>0</v>
      </c>
      <c r="C23" t="str">
        <v>✓ OK</v>
      </c>
    </row>
  </sheetData>
  <ignoredErrors>
    <ignoredError numberStoredAsText="1" sqref="A1:L23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(A) III.A.7.1 -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Beton</v>
      </c>
    </row>
    <row r="5">
      <c r="A5" t="str">
        <v>Unit</v>
      </c>
      <c r="B5" t="str">
        <v>m3</v>
      </c>
    </row>
    <row r="6">
      <c r="A6" t="str">
        <v>Volume</v>
      </c>
      <c r="B6">
        <v>0.576</v>
      </c>
    </row>
    <row r="7">
      <c r="A7" t="str">
        <v>Unit cost (Rp/m3)</v>
      </c>
      <c r="B7">
        <v>2288600</v>
      </c>
    </row>
    <row r="8">
      <c r="A8" t="str">
        <v>Line total at-cost (Rp)</v>
      </c>
      <c r="B8">
        <v>1318233.5999999999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0.6911999999999999</v>
      </c>
      <c r="L12">
        <v>805593.6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0.576</v>
      </c>
      <c r="L14">
        <v>8640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0.576</v>
      </c>
      <c r="L15">
        <v>43200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800000</v>
      </c>
      <c r="I17">
        <v>1</v>
      </c>
      <c r="J17">
        <v>800000</v>
      </c>
      <c r="K17">
        <v>0.576</v>
      </c>
      <c r="L17">
        <v>460799.99999999994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2288600</v>
      </c>
      <c r="J19" t="str">
        <v/>
      </c>
      <c r="K19" t="str">
        <v/>
      </c>
      <c r="L19">
        <v>1318233.5999999999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2288600</v>
      </c>
    </row>
    <row r="23">
      <c r="A23" t="str">
        <v>RAB (A) source unit cost</v>
      </c>
      <c r="B23">
        <v>2288600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1318233.5999999999</v>
      </c>
    </row>
    <row r="27">
      <c r="A27" t="str">
        <v>RAB (A) source line total</v>
      </c>
      <c r="B27">
        <v>1515968.64</v>
      </c>
    </row>
    <row r="28">
      <c r="A28" t="str">
        <v>Variance</v>
      </c>
      <c r="B28">
        <v>-197735.04000000004</v>
      </c>
      <c r="C28" t="str">
        <v>✓ OK</v>
      </c>
    </row>
  </sheetData>
  <ignoredErrors>
    <ignoredError numberStoredAsText="1" sqref="A1:L28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III.A.7.2 - Besi D13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D13</v>
      </c>
    </row>
    <row r="5">
      <c r="A5" t="str">
        <v>Unit</v>
      </c>
      <c r="B5" t="str">
        <v>kg</v>
      </c>
    </row>
    <row r="6">
      <c r="A6" t="str">
        <v>Volume</v>
      </c>
      <c r="B6">
        <v>56.32847064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588210.0546582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56.32847064</v>
      </c>
      <c r="L12">
        <v>588210.0546582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588210.0546582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588210.0546582</v>
      </c>
    </row>
    <row r="22">
      <c r="A22" t="str">
        <v>RAB (A) source line total</v>
      </c>
      <c r="B22">
        <v>676441.5628569298</v>
      </c>
    </row>
    <row r="23">
      <c r="A23" t="str">
        <v>Variance</v>
      </c>
      <c r="B23">
        <v>-88231.50819872983</v>
      </c>
      <c r="C23" t="str">
        <v>✓ OK</v>
      </c>
    </row>
  </sheetData>
  <ignoredErrors>
    <ignoredError numberStoredAsText="1" sqref="A1:L23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III.A.7.3 - Besi D16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D16</v>
      </c>
    </row>
    <row r="5">
      <c r="A5" t="str">
        <v>Unit</v>
      </c>
      <c r="B5" t="str">
        <v>kg</v>
      </c>
    </row>
    <row r="6">
      <c r="A6" t="str">
        <v>Volume</v>
      </c>
      <c r="B6">
        <v>58.710528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613084.68864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58.710528</v>
      </c>
      <c r="L12">
        <v>613084.68864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613084.68864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613084.68864</v>
      </c>
    </row>
    <row r="22">
      <c r="A22" t="str">
        <v>RAB (A) source line total</v>
      </c>
      <c r="B22">
        <v>705047.3919359999</v>
      </c>
    </row>
    <row r="23">
      <c r="A23" t="str">
        <v>Variance</v>
      </c>
      <c r="B23">
        <v>-91962.7032959999</v>
      </c>
      <c r="C23" t="str">
        <v>✓ OK</v>
      </c>
    </row>
  </sheetData>
  <ignoredErrors>
    <ignoredError numberStoredAsText="1" sqref="A1:L23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III.A.7.4 - Besi D19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D19</v>
      </c>
    </row>
    <row r="5">
      <c r="A5" t="str">
        <v>Unit</v>
      </c>
      <c r="B5" t="str">
        <v>kg</v>
      </c>
    </row>
    <row r="6">
      <c r="A6" t="str">
        <v>Volume</v>
      </c>
      <c r="B6">
        <v>0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0</v>
      </c>
      <c r="L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0</v>
      </c>
    </row>
    <row r="22">
      <c r="A22" t="str">
        <v>RAB (A) source line total</v>
      </c>
      <c r="B22">
        <v>0</v>
      </c>
    </row>
    <row r="23">
      <c r="A23" t="str">
        <v>Variance</v>
      </c>
      <c r="B23">
        <v>0</v>
      </c>
      <c r="C23" t="str">
        <v>✓ OK</v>
      </c>
    </row>
  </sheetData>
  <ignoredErrors>
    <ignoredError numberStoredAsText="1" sqref="A1:L23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(A) III.A.8.1 -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Beton</v>
      </c>
    </row>
    <row r="5">
      <c r="A5" t="str">
        <v>Unit</v>
      </c>
      <c r="B5" t="str">
        <v>m3</v>
      </c>
    </row>
    <row r="6">
      <c r="A6" t="str">
        <v>Volume</v>
      </c>
      <c r="B6">
        <v>2.88</v>
      </c>
    </row>
    <row r="7">
      <c r="A7" t="str">
        <v>Unit cost (Rp/m3)</v>
      </c>
      <c r="B7">
        <v>2288600</v>
      </c>
    </row>
    <row r="8">
      <c r="A8" t="str">
        <v>Line total at-cost (Rp)</v>
      </c>
      <c r="B8">
        <v>6591168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3.456</v>
      </c>
      <c r="L12">
        <v>4027968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2.88</v>
      </c>
      <c r="L14">
        <v>43200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2.88</v>
      </c>
      <c r="L15">
        <v>216000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800000</v>
      </c>
      <c r="I17">
        <v>1</v>
      </c>
      <c r="J17">
        <v>800000</v>
      </c>
      <c r="K17">
        <v>2.88</v>
      </c>
      <c r="L17">
        <v>2304000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2288600</v>
      </c>
      <c r="J19" t="str">
        <v/>
      </c>
      <c r="K19" t="str">
        <v/>
      </c>
      <c r="L19">
        <v>6591168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2288600</v>
      </c>
    </row>
    <row r="23">
      <c r="A23" t="str">
        <v>RAB (A) source unit cost</v>
      </c>
      <c r="B23">
        <v>2288600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6591168</v>
      </c>
    </row>
    <row r="27">
      <c r="A27" t="str">
        <v>RAB (A) source line total</v>
      </c>
      <c r="B27">
        <v>7579843.199999999</v>
      </c>
    </row>
    <row r="28">
      <c r="A28" t="str">
        <v>Variance</v>
      </c>
      <c r="B28">
        <v>-988675.1999999993</v>
      </c>
      <c r="C28" t="str">
        <v>✓ OK</v>
      </c>
    </row>
  </sheetData>
  <ignoredErrors>
    <ignoredError numberStoredAsText="1" sqref="A1:L28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III.A.8.2 - Besi D13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D13</v>
      </c>
    </row>
    <row r="5">
      <c r="A5" t="str">
        <v>Unit</v>
      </c>
      <c r="B5" t="str">
        <v>kg</v>
      </c>
    </row>
    <row r="6">
      <c r="A6" t="str">
        <v>Volume</v>
      </c>
      <c r="B6">
        <v>187.67266128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1959771.7654164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187.67266128</v>
      </c>
      <c r="L12">
        <v>1959771.7654164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1959771.7654164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1959771.7654164</v>
      </c>
    </row>
    <row r="22">
      <c r="A22" t="str">
        <v>RAB (A) source line total</v>
      </c>
      <c r="B22">
        <v>2253737.5302288597</v>
      </c>
    </row>
    <row r="23">
      <c r="A23" t="str">
        <v>Variance</v>
      </c>
      <c r="B23">
        <v>-293965.7648124597</v>
      </c>
      <c r="C23" t="str">
        <v>✓ OK</v>
      </c>
    </row>
  </sheetData>
  <ignoredErrors>
    <ignoredError numberStoredAsText="1" sqref="A1:L23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III.A.8.3 - Besi D16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D16</v>
      </c>
    </row>
    <row r="5">
      <c r="A5" t="str">
        <v>Unit</v>
      </c>
      <c r="B5" t="str">
        <v>kg</v>
      </c>
    </row>
    <row r="6">
      <c r="A6" t="str">
        <v>Volume</v>
      </c>
      <c r="B6">
        <v>293.55264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3065423.4432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293.55264</v>
      </c>
      <c r="L12">
        <v>3065423.4432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3065423.4432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3065423.4432</v>
      </c>
    </row>
    <row r="22">
      <c r="A22" t="str">
        <v>RAB (A) source line total</v>
      </c>
      <c r="B22">
        <v>3525236.9596799994</v>
      </c>
    </row>
    <row r="23">
      <c r="A23" t="str">
        <v>Variance</v>
      </c>
      <c r="B23">
        <v>-459813.5164799993</v>
      </c>
      <c r="C23" t="str">
        <v>✓ OK</v>
      </c>
    </row>
  </sheetData>
  <ignoredErrors>
    <ignoredError numberStoredAsText="1" sqref="A1:L23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III.A.8.4 - Besi D19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D19</v>
      </c>
    </row>
    <row r="5">
      <c r="A5" t="str">
        <v>Unit</v>
      </c>
      <c r="B5" t="str">
        <v>kg</v>
      </c>
    </row>
    <row r="6">
      <c r="A6" t="str">
        <v>Volume</v>
      </c>
      <c r="B6">
        <v>0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0</v>
      </c>
      <c r="L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0</v>
      </c>
    </row>
    <row r="22">
      <c r="A22" t="str">
        <v>RAB (A) source line total</v>
      </c>
      <c r="B22">
        <v>0</v>
      </c>
    </row>
    <row r="23">
      <c r="A23" t="str">
        <v>Variance</v>
      </c>
      <c r="B23">
        <v>0</v>
      </c>
      <c r="C23" t="str">
        <v>✓ OK</v>
      </c>
    </row>
  </sheetData>
  <ignoredErrors>
    <ignoredError numberStoredAsText="1" sqref="A1:L23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(A) III.A.9.1 -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Beton</v>
      </c>
    </row>
    <row r="5">
      <c r="A5" t="str">
        <v>Unit</v>
      </c>
      <c r="B5" t="str">
        <v>m3</v>
      </c>
    </row>
    <row r="6">
      <c r="A6" t="str">
        <v>Volume</v>
      </c>
      <c r="B6">
        <v>1.344</v>
      </c>
    </row>
    <row r="7">
      <c r="A7" t="str">
        <v>Unit cost (Rp/m3)</v>
      </c>
      <c r="B7">
        <v>2288600</v>
      </c>
    </row>
    <row r="8">
      <c r="A8" t="str">
        <v>Line total at-cost (Rp)</v>
      </c>
      <c r="B8">
        <v>3075878.4000000004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1.6128</v>
      </c>
      <c r="L12">
        <v>1879718.4000000001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1.344</v>
      </c>
      <c r="L14">
        <v>20160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1.344</v>
      </c>
      <c r="L15">
        <v>100800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800000</v>
      </c>
      <c r="I17">
        <v>1</v>
      </c>
      <c r="J17">
        <v>800000</v>
      </c>
      <c r="K17">
        <v>1.344</v>
      </c>
      <c r="L17">
        <v>1075200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2288600</v>
      </c>
      <c r="J19" t="str">
        <v/>
      </c>
      <c r="K19" t="str">
        <v/>
      </c>
      <c r="L19">
        <v>3075878.4000000004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2288600</v>
      </c>
    </row>
    <row r="23">
      <c r="A23" t="str">
        <v>RAB (A) source unit cost</v>
      </c>
      <c r="B23">
        <v>2288600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3075878.4000000004</v>
      </c>
    </row>
    <row r="27">
      <c r="A27" t="str">
        <v>RAB (A) source line total</v>
      </c>
      <c r="B27">
        <v>3537260.16</v>
      </c>
    </row>
    <row r="28">
      <c r="A28" t="str">
        <v>Variance</v>
      </c>
      <c r="B28">
        <v>-461381.7599999998</v>
      </c>
      <c r="C28" t="str">
        <v>✓ OK</v>
      </c>
    </row>
  </sheetData>
  <ignoredErrors>
    <ignoredError numberStoredAsText="1" sqref="A1:L28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III.A.9.2 - Besi D13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D13</v>
      </c>
    </row>
    <row r="5">
      <c r="A5" t="str">
        <v>Unit</v>
      </c>
      <c r="B5" t="str">
        <v>kg</v>
      </c>
    </row>
    <row r="6">
      <c r="A6" t="str">
        <v>Volume</v>
      </c>
      <c r="B6">
        <v>74.75316498000001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780609.9253036501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74.75316498000001</v>
      </c>
      <c r="L12">
        <v>780609.9253036501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780609.9253036501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780609.9253036501</v>
      </c>
    </row>
    <row r="22">
      <c r="A22" t="str">
        <v>RAB (A) source line total</v>
      </c>
      <c r="B22">
        <v>897701.4140991975</v>
      </c>
    </row>
    <row r="23">
      <c r="A23" t="str">
        <v>Variance</v>
      </c>
      <c r="B23">
        <v>-117091.4887955474</v>
      </c>
      <c r="C23" t="str">
        <v>✓ OK</v>
      </c>
    </row>
  </sheetData>
  <ignoredErrors>
    <ignoredError numberStoredAsText="1" sqref="A1:L23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III.A.9.3 - Besi D16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D16</v>
      </c>
    </row>
    <row r="5">
      <c r="A5" t="str">
        <v>Unit</v>
      </c>
      <c r="B5" t="str">
        <v>kg</v>
      </c>
    </row>
    <row r="6">
      <c r="A6" t="str">
        <v>Volume</v>
      </c>
      <c r="B6">
        <v>128.784384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1344830.9299199998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128.784384</v>
      </c>
      <c r="L12">
        <v>1344830.9299199998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1344830.9299199998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1344830.9299199998</v>
      </c>
    </row>
    <row r="22">
      <c r="A22" t="str">
        <v>RAB (A) source line total</v>
      </c>
      <c r="B22">
        <v>1546555.5694079995</v>
      </c>
    </row>
    <row r="23">
      <c r="A23" t="str">
        <v>Variance</v>
      </c>
      <c r="B23">
        <v>-201724.63948799972</v>
      </c>
      <c r="C23" t="str">
        <v>✓ OK</v>
      </c>
    </row>
  </sheetData>
  <ignoredErrors>
    <ignoredError numberStoredAsText="1" sqref="A1:L23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III.A.9.4 - Besi D19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D19</v>
      </c>
    </row>
    <row r="5">
      <c r="A5" t="str">
        <v>Unit</v>
      </c>
      <c r="B5" t="str">
        <v>kg</v>
      </c>
    </row>
    <row r="6">
      <c r="A6" t="str">
        <v>Volume</v>
      </c>
      <c r="B6">
        <v>0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0</v>
      </c>
      <c r="L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0</v>
      </c>
    </row>
    <row r="22">
      <c r="A22" t="str">
        <v>RAB (A) source line total</v>
      </c>
      <c r="B22">
        <v>0</v>
      </c>
    </row>
    <row r="23">
      <c r="A23" t="str">
        <v>Variance</v>
      </c>
      <c r="B23">
        <v>0</v>
      </c>
      <c r="C23" t="str">
        <v>✓ OK</v>
      </c>
    </row>
  </sheetData>
  <ignoredErrors>
    <ignoredError numberStoredAsText="1" sqref="A1:L2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(A) III.A.10.1 -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Beton</v>
      </c>
    </row>
    <row r="5">
      <c r="A5" t="str">
        <v>Unit</v>
      </c>
      <c r="B5" t="str">
        <v>m3</v>
      </c>
    </row>
    <row r="6">
      <c r="A6" t="str">
        <v>Volume</v>
      </c>
      <c r="B6">
        <v>2.412432</v>
      </c>
    </row>
    <row r="7">
      <c r="A7" t="str">
        <v>Unit cost (Rp/m3)</v>
      </c>
      <c r="B7">
        <v>2288600</v>
      </c>
    </row>
    <row r="8">
      <c r="A8" t="str">
        <v>Line total at-cost (Rp)</v>
      </c>
      <c r="B8">
        <v>5521091.8752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2.8949184</v>
      </c>
      <c r="L12">
        <v>3374027.3951999997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2.412432</v>
      </c>
      <c r="L14">
        <v>36186.479999999996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2.412432</v>
      </c>
      <c r="L15">
        <v>180932.4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800000</v>
      </c>
      <c r="I17">
        <v>1</v>
      </c>
      <c r="J17">
        <v>800000</v>
      </c>
      <c r="K17">
        <v>2.412432</v>
      </c>
      <c r="L17">
        <v>1929945.5999999999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2288600</v>
      </c>
      <c r="J19" t="str">
        <v/>
      </c>
      <c r="K19" t="str">
        <v/>
      </c>
      <c r="L19">
        <v>5521091.8752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2288600</v>
      </c>
    </row>
    <row r="23">
      <c r="A23" t="str">
        <v>RAB (A) source unit cost</v>
      </c>
      <c r="B23">
        <v>2288600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5521091.8752</v>
      </c>
    </row>
    <row r="27">
      <c r="A27" t="str">
        <v>RAB (A) source line total</v>
      </c>
      <c r="B27">
        <v>6349255.656479999</v>
      </c>
    </row>
    <row r="28">
      <c r="A28" t="str">
        <v>Variance</v>
      </c>
      <c r="B28">
        <v>-828163.7812799998</v>
      </c>
      <c r="C28" t="str">
        <v>✓ OK</v>
      </c>
    </row>
  </sheetData>
  <ignoredErrors>
    <ignoredError numberStoredAsText="1" sqref="A1:L28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III.A.10.2 - Besi D13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D13</v>
      </c>
    </row>
    <row r="5">
      <c r="A5" t="str">
        <v>Unit</v>
      </c>
      <c r="B5" t="str">
        <v>kg</v>
      </c>
    </row>
    <row r="6">
      <c r="A6" t="str">
        <v>Volume</v>
      </c>
      <c r="B6">
        <v>66.11485209811804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690404.3430345976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66.11485209811804</v>
      </c>
      <c r="L12">
        <v>690404.3430345976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690404.3430345976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690404.3430345976</v>
      </c>
    </row>
    <row r="22">
      <c r="A22" t="str">
        <v>RAB (A) source line total</v>
      </c>
      <c r="B22">
        <v>793964.9944897871</v>
      </c>
    </row>
    <row r="23">
      <c r="A23" t="str">
        <v>Variance</v>
      </c>
      <c r="B23">
        <v>-103560.65145518957</v>
      </c>
      <c r="C23" t="str">
        <v>✓ OK</v>
      </c>
    </row>
  </sheetData>
  <ignoredErrors>
    <ignoredError numberStoredAsText="1" sqref="A1:L23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III.A.10.3 - Besi D16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D16</v>
      </c>
    </row>
    <row r="5">
      <c r="A5" t="str">
        <v>Unit</v>
      </c>
      <c r="B5" t="str">
        <v>kg</v>
      </c>
    </row>
    <row r="6">
      <c r="A6" t="str">
        <v>Volume</v>
      </c>
      <c r="B6">
        <v>192.80884608000002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2013406.3751904003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192.80884608000002</v>
      </c>
      <c r="L12">
        <v>2013406.3751904003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2013406.3751904003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2013406.3751904003</v>
      </c>
    </row>
    <row r="22">
      <c r="A22" t="str">
        <v>RAB (A) source line total</v>
      </c>
      <c r="B22">
        <v>2315417.33146896</v>
      </c>
    </row>
    <row r="23">
      <c r="A23" t="str">
        <v>Variance</v>
      </c>
      <c r="B23">
        <v>-302010.9562785595</v>
      </c>
      <c r="C23" t="str">
        <v>✓ OK</v>
      </c>
    </row>
  </sheetData>
  <ignoredErrors>
    <ignoredError numberStoredAsText="1" sqref="A1:L23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III.A.10.4 - Besi D19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D19</v>
      </c>
    </row>
    <row r="5">
      <c r="A5" t="str">
        <v>Unit</v>
      </c>
      <c r="B5" t="str">
        <v>kg</v>
      </c>
    </row>
    <row r="6">
      <c r="A6" t="str">
        <v>Volume</v>
      </c>
      <c r="B6">
        <v>123.067067805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1285127.8555537125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123.067067805</v>
      </c>
      <c r="L12">
        <v>1285127.8555537125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1285127.8555537125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1285127.8555537125</v>
      </c>
    </row>
    <row r="22">
      <c r="A22" t="str">
        <v>RAB (A) source line total</v>
      </c>
      <c r="B22">
        <v>1477897.033886769</v>
      </c>
    </row>
    <row r="23">
      <c r="A23" t="str">
        <v>Variance</v>
      </c>
      <c r="B23">
        <v>-192769.17833305662</v>
      </c>
      <c r="C23" t="str">
        <v>✓ OK</v>
      </c>
    </row>
  </sheetData>
  <ignoredErrors>
    <ignoredError numberStoredAsText="1" sqref="A1:L23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BREAKDOWN — (A) III.A.11.1 - Beton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Beton</v>
      </c>
    </row>
    <row r="5">
      <c r="A5" t="str">
        <v>Unit</v>
      </c>
      <c r="B5" t="str">
        <v>m3</v>
      </c>
    </row>
    <row r="6">
      <c r="A6" t="str">
        <v>Volume</v>
      </c>
      <c r="B6">
        <v>1.38228125</v>
      </c>
    </row>
    <row r="7">
      <c r="A7" t="str">
        <v>Unit cost (Rp/m3)</v>
      </c>
      <c r="B7">
        <v>2288600</v>
      </c>
    </row>
    <row r="8">
      <c r="A8" t="str">
        <v>Line total at-cost (Rp)</v>
      </c>
      <c r="B8">
        <v>3163488.86875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1.6587374999999998</v>
      </c>
      <c r="L12">
        <v>1933258.55625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1.38228125</v>
      </c>
      <c r="L14">
        <v>20734.21875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1.38228125</v>
      </c>
      <c r="L15">
        <v>103671.09375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800000</v>
      </c>
      <c r="I17">
        <v>1</v>
      </c>
      <c r="J17">
        <v>800000</v>
      </c>
      <c r="K17">
        <v>1.38228125</v>
      </c>
      <c r="L17">
        <v>1105825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>SUBTOTAL — At-cost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2288600</v>
      </c>
      <c r="J19" t="str">
        <v/>
      </c>
      <c r="K19" t="str">
        <v/>
      </c>
      <c r="L19">
        <v>3163488.86875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RECONCILIATION</v>
      </c>
    </row>
    <row r="22">
      <c r="A22" t="str">
        <v>Computed unit cost</v>
      </c>
      <c r="B22">
        <v>2288600</v>
      </c>
    </row>
    <row r="23">
      <c r="A23" t="str">
        <v>RAB (A) source unit cost</v>
      </c>
      <c r="B23">
        <v>2288600</v>
      </c>
    </row>
    <row r="24">
      <c r="A24" t="str">
        <v>Variance</v>
      </c>
      <c r="B24">
        <v>0</v>
      </c>
      <c r="C24" t="str">
        <v>✓ OK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Computed line total</v>
      </c>
      <c r="B26">
        <v>3163488.86875</v>
      </c>
    </row>
    <row r="27">
      <c r="A27" t="str">
        <v>RAB (A) source line total</v>
      </c>
      <c r="B27">
        <v>3638012.1990624997</v>
      </c>
    </row>
    <row r="28">
      <c r="A28" t="str">
        <v>Variance</v>
      </c>
      <c r="B28">
        <v>-474523.3303124998</v>
      </c>
      <c r="C28" t="str">
        <v>✓ OK</v>
      </c>
    </row>
  </sheetData>
  <ignoredErrors>
    <ignoredError numberStoredAsText="1" sqref="A1:L28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III.A.11.2 - Besi D13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D13</v>
      </c>
    </row>
    <row r="5">
      <c r="A5" t="str">
        <v>Unit</v>
      </c>
      <c r="B5" t="str">
        <v>kg</v>
      </c>
    </row>
    <row r="6">
      <c r="A6" t="str">
        <v>Volume</v>
      </c>
      <c r="B6">
        <v>17.235322845376828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179979.85881284752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17.235322845376828</v>
      </c>
      <c r="L12">
        <v>179979.85881284752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179979.85881284752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179979.85881284752</v>
      </c>
    </row>
    <row r="22">
      <c r="A22" t="str">
        <v>RAB (A) source line total</v>
      </c>
      <c r="B22">
        <v>206976.83763477462</v>
      </c>
    </row>
    <row r="23">
      <c r="A23" t="str">
        <v>Variance</v>
      </c>
      <c r="B23">
        <v>-26996.9788219271</v>
      </c>
      <c r="C23" t="str">
        <v>✓ OK</v>
      </c>
    </row>
  </sheetData>
  <ignoredErrors>
    <ignoredError numberStoredAsText="1" sqref="A1:L23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III.A.11.3 - Besi D16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D16</v>
      </c>
    </row>
    <row r="5">
      <c r="A5" t="str">
        <v>Unit</v>
      </c>
      <c r="B5" t="str">
        <v>kg</v>
      </c>
    </row>
    <row r="6">
      <c r="A6" t="str">
        <v>Volume</v>
      </c>
      <c r="B6">
        <v>129.6681984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1354060.1617919998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129.6681984</v>
      </c>
      <c r="L12">
        <v>1354060.1617919998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1354060.1617919998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1354060.1617919998</v>
      </c>
    </row>
    <row r="22">
      <c r="A22" t="str">
        <v>RAB (A) source line total</v>
      </c>
      <c r="B22">
        <v>1557169.1860607998</v>
      </c>
    </row>
    <row r="23">
      <c r="A23" t="str">
        <v>Variance</v>
      </c>
      <c r="B23">
        <v>-203109.02426879993</v>
      </c>
      <c r="C23" t="str">
        <v>✓ OK</v>
      </c>
    </row>
  </sheetData>
  <ignoredErrors>
    <ignoredError numberStoredAsText="1" sqref="A1:L23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(A) III.A.11.4 - Besi D19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Besi D19</v>
      </c>
    </row>
    <row r="5">
      <c r="A5" t="str">
        <v>Unit</v>
      </c>
      <c r="B5" t="str">
        <v>kg</v>
      </c>
    </row>
    <row r="6">
      <c r="A6" t="str">
        <v>Volume</v>
      </c>
      <c r="B6">
        <v>150.09210359999997</v>
      </c>
    </row>
    <row r="7">
      <c r="A7" t="str">
        <v>Unit cost (Rp/kg)</v>
      </c>
      <c r="B7">
        <v>10442.5</v>
      </c>
    </row>
    <row r="8">
      <c r="A8" t="str">
        <v>Line total at-cost (Rp)</v>
      </c>
      <c r="B8">
        <v>1567336.7918429996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10442.5</v>
      </c>
      <c r="I12">
        <v>1</v>
      </c>
      <c r="J12">
        <v>10442.5</v>
      </c>
      <c r="K12">
        <v>150.09210359999997</v>
      </c>
      <c r="L12">
        <v>1567336.7918429996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10442.5</v>
      </c>
      <c r="J14" t="str">
        <v/>
      </c>
      <c r="K14" t="str">
        <v/>
      </c>
      <c r="L14">
        <v>1567336.7918429996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10442.5</v>
      </c>
    </row>
    <row r="18">
      <c r="A18" t="str">
        <v>RAB (A) source unit cost</v>
      </c>
      <c r="B18">
        <v>10442.5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1567336.7918429996</v>
      </c>
    </row>
    <row r="22">
      <c r="A22" t="str">
        <v>RAB (A) source line total</v>
      </c>
      <c r="B22">
        <v>1802437.3106194495</v>
      </c>
    </row>
    <row r="23">
      <c r="A23" t="str">
        <v>Variance</v>
      </c>
      <c r="B23">
        <v>-235100.51877644984</v>
      </c>
      <c r="C23" t="str">
        <v>✓ OK</v>
      </c>
    </row>
  </sheetData>
  <ignoredErrors>
    <ignoredError numberStoredAsText="1" sqref="A1:L23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III.A.11.2.1 - Sloof S23-1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S23-1</v>
      </c>
    </row>
    <row r="5">
      <c r="A5" t="str">
        <v>Unit</v>
      </c>
      <c r="B5" t="str">
        <v>m3</v>
      </c>
    </row>
    <row r="6">
      <c r="A6" t="str">
        <v>Volume</v>
      </c>
      <c r="B6">
        <v>0.15</v>
      </c>
    </row>
    <row r="7">
      <c r="A7" t="str">
        <v>Unit cost (Rp/m3)</v>
      </c>
      <c r="B7">
        <v>5798912.646415999</v>
      </c>
    </row>
    <row r="8">
      <c r="A8" t="str">
        <v>Line total at-cost (Rp)</v>
      </c>
      <c r="B8">
        <v>869836.8969623998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0.18</v>
      </c>
      <c r="L12">
        <v>209790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0.15</v>
      </c>
      <c r="L14">
        <v>2250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0.15</v>
      </c>
      <c r="L15">
        <v>11250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1100000</v>
      </c>
      <c r="I17">
        <v>1</v>
      </c>
      <c r="J17">
        <v>1100000</v>
      </c>
      <c r="K17">
        <v>0.15</v>
      </c>
      <c r="L17">
        <v>165000</v>
      </c>
    </row>
    <row r="18">
      <c r="A18">
        <v>4</v>
      </c>
      <c r="B18" t="str">
        <v>BEKISTING BATAKO POSISI BERDIRI UNTUK POER DAN SLOOF (Material) — ratio 10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Batako</v>
      </c>
      <c r="D19" t="str">
        <v/>
      </c>
      <c r="E19">
        <v>14</v>
      </c>
      <c r="F19" t="str">
        <v>pcs</v>
      </c>
      <c r="G19" t="str">
        <v>per m² form (cycle 1.00)</v>
      </c>
      <c r="H19">
        <v>4500</v>
      </c>
      <c r="I19">
        <v>140</v>
      </c>
      <c r="J19">
        <v>630000</v>
      </c>
      <c r="K19">
        <v>21</v>
      </c>
      <c r="L19">
        <v>94500</v>
      </c>
    </row>
    <row r="20">
      <c r="A20" t="str">
        <v/>
      </c>
      <c r="B20" t="str">
        <v/>
      </c>
      <c r="C20" t="str">
        <v>Semen PC @50kg</v>
      </c>
      <c r="D20" t="str">
        <v/>
      </c>
      <c r="E20">
        <v>0.08978310000000002</v>
      </c>
      <c r="F20" t="str">
        <v>sak</v>
      </c>
      <c r="G20" t="str">
        <v>per m² form (cycle 1.00)</v>
      </c>
      <c r="H20">
        <v>65000</v>
      </c>
      <c r="I20">
        <v>0.8978310000000002</v>
      </c>
      <c r="J20">
        <v>58359.01500000001</v>
      </c>
      <c r="K20">
        <v>0.13467465</v>
      </c>
      <c r="L20">
        <v>8753.85225</v>
      </c>
    </row>
    <row r="21">
      <c r="A21" t="str">
        <v/>
      </c>
      <c r="B21" t="str">
        <v/>
      </c>
      <c r="C21" t="str">
        <v>Pasir  Kertosono</v>
      </c>
      <c r="D21" t="str">
        <v/>
      </c>
      <c r="E21">
        <v>0.017953650000000005</v>
      </c>
      <c r="F21" t="str">
        <v>m3</v>
      </c>
      <c r="G21" t="str">
        <v>per m² form (cycle 1.00)</v>
      </c>
      <c r="H21">
        <v>350000</v>
      </c>
      <c r="I21">
        <v>0.17953650000000004</v>
      </c>
      <c r="J21">
        <v>62837.775000000016</v>
      </c>
      <c r="K21">
        <v>0.026930475000000006</v>
      </c>
      <c r="L21">
        <v>9425.666250000002</v>
      </c>
    </row>
    <row r="22">
      <c r="A22" t="str">
        <v/>
      </c>
      <c r="B22" t="str">
        <v/>
      </c>
      <c r="C22" t="str">
        <v>Air Kerja</v>
      </c>
      <c r="D22" t="str">
        <v/>
      </c>
      <c r="E22">
        <v>0.3</v>
      </c>
      <c r="F22" t="str">
        <v>m3</v>
      </c>
      <c r="G22" t="str">
        <v>per m² form (cycle 1.00)</v>
      </c>
      <c r="H22">
        <v>40000</v>
      </c>
      <c r="I22">
        <v>3</v>
      </c>
      <c r="J22">
        <v>120000</v>
      </c>
      <c r="K22">
        <v>0.44999999999999996</v>
      </c>
      <c r="L22">
        <v>18000</v>
      </c>
    </row>
    <row r="23">
      <c r="A23">
        <v>5</v>
      </c>
      <c r="B23" t="str">
        <v>PEMBESIAN (Material) — ratio 224.00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76.41312</v>
      </c>
      <c r="F24" t="str">
        <v>kg</v>
      </c>
      <c r="G24" t="str">
        <v>per m3 beton</v>
      </c>
      <c r="H24">
        <v>9500</v>
      </c>
      <c r="I24">
        <v>76.41312</v>
      </c>
      <c r="J24">
        <v>725924.64</v>
      </c>
      <c r="K24">
        <v>11.461968</v>
      </c>
      <c r="L24">
        <v>108888.696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147.58648319999998</v>
      </c>
      <c r="F25" t="str">
        <v>kg</v>
      </c>
      <c r="G25" t="str">
        <v>per m3 beton</v>
      </c>
      <c r="H25">
        <v>9500</v>
      </c>
      <c r="I25">
        <v>147.58648319999998</v>
      </c>
      <c r="J25">
        <v>1402071.5903999999</v>
      </c>
      <c r="K25">
        <v>22.137972479999995</v>
      </c>
      <c r="L25">
        <v>210310.73855999997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9500</v>
      </c>
      <c r="I26">
        <v>11.199980160000008</v>
      </c>
      <c r="J26">
        <v>106399.81152000008</v>
      </c>
      <c r="K26">
        <v>1.679997024000001</v>
      </c>
      <c r="L26">
        <v>15959.971728000011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223.99960319999997</v>
      </c>
      <c r="J27">
        <v>22399.96032</v>
      </c>
      <c r="K27">
        <v>33.599940479999994</v>
      </c>
      <c r="L27">
        <v>3359.9940479999996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4.7039916671999995</v>
      </c>
      <c r="J28">
        <v>82319.854176</v>
      </c>
      <c r="K28">
        <v>0.70559875008</v>
      </c>
      <c r="L28">
        <v>12347.9781264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5798912.646415999</v>
      </c>
      <c r="J30" t="str">
        <v/>
      </c>
      <c r="K30" t="str">
        <v/>
      </c>
      <c r="L30">
        <v>869836.8969623998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5798912.646415999</v>
      </c>
    </row>
    <row r="34">
      <c r="A34" t="str">
        <v>RAB (A) source unit cost</v>
      </c>
      <c r="B34">
        <v>5798912.646415999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869836.8969623998</v>
      </c>
    </row>
    <row r="38">
      <c r="A38" t="str">
        <v>RAB (A) source line total</v>
      </c>
      <c r="B38">
        <v>1000312.4315067597</v>
      </c>
    </row>
    <row r="39">
      <c r="A39" t="str">
        <v>Variance</v>
      </c>
      <c r="B39">
        <v>-130475.53454435989</v>
      </c>
      <c r="C39" t="str">
        <v>✓ OK</v>
      </c>
    </row>
  </sheetData>
  <ignoredErrors>
    <ignoredError numberStoredAsText="1" sqref="A1:L39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III.A.11.2.2 - Sloof S24-1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S24-1</v>
      </c>
    </row>
    <row r="5">
      <c r="A5" t="str">
        <v>Unit</v>
      </c>
      <c r="B5" t="str">
        <v>m3</v>
      </c>
    </row>
    <row r="6">
      <c r="A6" t="str">
        <v>Volume</v>
      </c>
      <c r="B6">
        <v>10.2132</v>
      </c>
    </row>
    <row r="7">
      <c r="A7" t="str">
        <v>Unit cost (Rp/m3)</v>
      </c>
      <c r="B7">
        <v>4954122.939478254</v>
      </c>
    </row>
    <row r="8">
      <c r="A8" t="str">
        <v>Line total at-cost (Rp)</v>
      </c>
      <c r="B8">
        <v>50597448.405479304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12.255840000000001</v>
      </c>
      <c r="L12">
        <v>14284181.520000001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10.2132</v>
      </c>
      <c r="L14">
        <v>153198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10.2132</v>
      </c>
      <c r="L15">
        <v>765990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1100000</v>
      </c>
      <c r="I17">
        <v>1</v>
      </c>
      <c r="J17">
        <v>1100000</v>
      </c>
      <c r="K17">
        <v>10.2132</v>
      </c>
      <c r="L17">
        <v>11234520</v>
      </c>
    </row>
    <row r="18">
      <c r="A18">
        <v>4</v>
      </c>
      <c r="B18" t="str">
        <v>BEKISTING BATAKO POSISI BERDIRI UNTUK POER DAN SLOOF (Material) — ratio 10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Batako</v>
      </c>
      <c r="D19" t="str">
        <v/>
      </c>
      <c r="E19">
        <v>14</v>
      </c>
      <c r="F19" t="str">
        <v>pcs</v>
      </c>
      <c r="G19" t="str">
        <v>per m² form (cycle 1.00)</v>
      </c>
      <c r="H19">
        <v>4500</v>
      </c>
      <c r="I19">
        <v>140</v>
      </c>
      <c r="J19">
        <v>630000</v>
      </c>
      <c r="K19">
        <v>1429.848</v>
      </c>
      <c r="L19">
        <v>6434316</v>
      </c>
    </row>
    <row r="20">
      <c r="A20" t="str">
        <v/>
      </c>
      <c r="B20" t="str">
        <v/>
      </c>
      <c r="C20" t="str">
        <v>Semen PC @50kg</v>
      </c>
      <c r="D20" t="str">
        <v/>
      </c>
      <c r="E20">
        <v>0.08978310000000002</v>
      </c>
      <c r="F20" t="str">
        <v>sak</v>
      </c>
      <c r="G20" t="str">
        <v>per m² form (cycle 1.00)</v>
      </c>
      <c r="H20">
        <v>65000</v>
      </c>
      <c r="I20">
        <v>0.8978310000000002</v>
      </c>
      <c r="J20">
        <v>58359.01500000001</v>
      </c>
      <c r="K20">
        <v>9.169727569200003</v>
      </c>
      <c r="L20">
        <v>596032.2919980001</v>
      </c>
    </row>
    <row r="21">
      <c r="A21" t="str">
        <v/>
      </c>
      <c r="B21" t="str">
        <v/>
      </c>
      <c r="C21" t="str">
        <v>Pasir  Kertosono</v>
      </c>
      <c r="D21" t="str">
        <v/>
      </c>
      <c r="E21">
        <v>0.017953650000000005</v>
      </c>
      <c r="F21" t="str">
        <v>m3</v>
      </c>
      <c r="G21" t="str">
        <v>per m² form (cycle 1.00)</v>
      </c>
      <c r="H21">
        <v>350000</v>
      </c>
      <c r="I21">
        <v>0.17953650000000004</v>
      </c>
      <c r="J21">
        <v>62837.775000000016</v>
      </c>
      <c r="K21">
        <v>1.8336421818000006</v>
      </c>
      <c r="L21">
        <v>641774.7636300002</v>
      </c>
    </row>
    <row r="22">
      <c r="A22" t="str">
        <v/>
      </c>
      <c r="B22" t="str">
        <v/>
      </c>
      <c r="C22" t="str">
        <v>Air Kerja</v>
      </c>
      <c r="D22" t="str">
        <v/>
      </c>
      <c r="E22">
        <v>0.3</v>
      </c>
      <c r="F22" t="str">
        <v>m3</v>
      </c>
      <c r="G22" t="str">
        <v>per m² form (cycle 1.00)</v>
      </c>
      <c r="H22">
        <v>40000</v>
      </c>
      <c r="I22">
        <v>3</v>
      </c>
      <c r="J22">
        <v>120000</v>
      </c>
      <c r="K22">
        <v>30.6396</v>
      </c>
      <c r="L22">
        <v>1225584</v>
      </c>
    </row>
    <row r="23">
      <c r="A23">
        <v>5</v>
      </c>
      <c r="B23" t="str">
        <v>PEMBESIAN (Material) — ratio 143.10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39.59237222418047</v>
      </c>
      <c r="F24" t="str">
        <v>kg</v>
      </c>
      <c r="G24" t="str">
        <v>per m3 beton</v>
      </c>
      <c r="H24">
        <v>9500</v>
      </c>
      <c r="I24">
        <v>39.59237222418047</v>
      </c>
      <c r="J24">
        <v>376127.5361297145</v>
      </c>
      <c r="K24">
        <v>404.364816</v>
      </c>
      <c r="L24">
        <v>3841465.7520000003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103.50804908089532</v>
      </c>
      <c r="F25" t="str">
        <v>kg</v>
      </c>
      <c r="G25" t="str">
        <v>per m3 beton</v>
      </c>
      <c r="H25">
        <v>9500</v>
      </c>
      <c r="I25">
        <v>103.50804908089532</v>
      </c>
      <c r="J25">
        <v>983326.4662685056</v>
      </c>
      <c r="K25">
        <v>1057.148406873</v>
      </c>
      <c r="L25">
        <v>10042909.865293501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9500</v>
      </c>
      <c r="I26">
        <v>7.155021065253797</v>
      </c>
      <c r="J26">
        <v>67972.70011991107</v>
      </c>
      <c r="K26">
        <v>73.07566114365008</v>
      </c>
      <c r="L26">
        <v>694218.7808646758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143.1004213050758</v>
      </c>
      <c r="J27">
        <v>14310.04213050758</v>
      </c>
      <c r="K27">
        <v>1461.5132228730001</v>
      </c>
      <c r="L27">
        <v>146151.32228730002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3.005108847406592</v>
      </c>
      <c r="J28">
        <v>52589.404829615356</v>
      </c>
      <c r="K28">
        <v>30.691777680333004</v>
      </c>
      <c r="L28">
        <v>537106.1094058276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4954122.939478254</v>
      </c>
      <c r="J30" t="str">
        <v/>
      </c>
      <c r="K30" t="str">
        <v/>
      </c>
      <c r="L30">
        <v>50597448.405479304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4954122.939478254</v>
      </c>
    </row>
    <row r="34">
      <c r="A34" t="str">
        <v>RAB (A) source unit cost</v>
      </c>
      <c r="B34">
        <v>4954122.939478254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50597448.405479304</v>
      </c>
    </row>
    <row r="38">
      <c r="A38" t="str">
        <v>RAB (A) source line total</v>
      </c>
      <c r="B38">
        <v>58187065.6663012</v>
      </c>
    </row>
    <row r="39">
      <c r="A39" t="str">
        <v>Variance</v>
      </c>
      <c r="B39">
        <v>-7589617.260821894</v>
      </c>
      <c r="C39" t="str">
        <v>✓ OK</v>
      </c>
    </row>
  </sheetData>
  <ignoredErrors>
    <ignoredError numberStoredAsText="1" sqref="A1:L39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III.A.11.2.3 - Sloof S24-2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S24-2</v>
      </c>
    </row>
    <row r="5">
      <c r="A5" t="str">
        <v>Unit</v>
      </c>
      <c r="B5" t="str">
        <v>m3</v>
      </c>
    </row>
    <row r="6">
      <c r="A6" t="str">
        <v>Volume</v>
      </c>
      <c r="B6">
        <v>4.80855</v>
      </c>
    </row>
    <row r="7">
      <c r="A7" t="str">
        <v>Unit cost (Rp/m3)</v>
      </c>
      <c r="B7">
        <v>5707696.111402751</v>
      </c>
    </row>
    <row r="8">
      <c r="A8" t="str">
        <v>Line total at-cost (Rp)</v>
      </c>
      <c r="B8">
        <v>27445742.1364857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5.77026</v>
      </c>
      <c r="L12">
        <v>6725238.03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4.80855</v>
      </c>
      <c r="L14">
        <v>72128.25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4.80855</v>
      </c>
      <c r="L15">
        <v>360641.25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1100000</v>
      </c>
      <c r="I17">
        <v>1</v>
      </c>
      <c r="J17">
        <v>1100000</v>
      </c>
      <c r="K17">
        <v>4.80855</v>
      </c>
      <c r="L17">
        <v>5289405</v>
      </c>
    </row>
    <row r="18">
      <c r="A18">
        <v>4</v>
      </c>
      <c r="B18" t="str">
        <v>BEKISTING BATAKO POSISI BERDIRI UNTUK POER DAN SLOOF (Material) — ratio 10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Batako</v>
      </c>
      <c r="D19" t="str">
        <v/>
      </c>
      <c r="E19">
        <v>14</v>
      </c>
      <c r="F19" t="str">
        <v>pcs</v>
      </c>
      <c r="G19" t="str">
        <v>per m² form (cycle 1.00)</v>
      </c>
      <c r="H19">
        <v>4500</v>
      </c>
      <c r="I19">
        <v>140</v>
      </c>
      <c r="J19">
        <v>630000</v>
      </c>
      <c r="K19">
        <v>673.197</v>
      </c>
      <c r="L19">
        <v>3029386.5</v>
      </c>
    </row>
    <row r="20">
      <c r="A20" t="str">
        <v/>
      </c>
      <c r="B20" t="str">
        <v/>
      </c>
      <c r="C20" t="str">
        <v>Semen PC @50kg</v>
      </c>
      <c r="D20" t="str">
        <v/>
      </c>
      <c r="E20">
        <v>0.08978310000000002</v>
      </c>
      <c r="F20" t="str">
        <v>sak</v>
      </c>
      <c r="G20" t="str">
        <v>per m² form (cycle 1.00)</v>
      </c>
      <c r="H20">
        <v>65000</v>
      </c>
      <c r="I20">
        <v>0.8978310000000002</v>
      </c>
      <c r="J20">
        <v>58359.01500000001</v>
      </c>
      <c r="K20">
        <v>4.3172652550500015</v>
      </c>
      <c r="L20">
        <v>280622.2415782501</v>
      </c>
    </row>
    <row r="21">
      <c r="A21" t="str">
        <v/>
      </c>
      <c r="B21" t="str">
        <v/>
      </c>
      <c r="C21" t="str">
        <v>Pasir  Kertosono</v>
      </c>
      <c r="D21" t="str">
        <v/>
      </c>
      <c r="E21">
        <v>0.017953650000000005</v>
      </c>
      <c r="F21" t="str">
        <v>m3</v>
      </c>
      <c r="G21" t="str">
        <v>per m² form (cycle 1.00)</v>
      </c>
      <c r="H21">
        <v>350000</v>
      </c>
      <c r="I21">
        <v>0.17953650000000004</v>
      </c>
      <c r="J21">
        <v>62837.775000000016</v>
      </c>
      <c r="K21">
        <v>0.8633102370750003</v>
      </c>
      <c r="L21">
        <v>302158.5829762501</v>
      </c>
    </row>
    <row r="22">
      <c r="A22" t="str">
        <v/>
      </c>
      <c r="B22" t="str">
        <v/>
      </c>
      <c r="C22" t="str">
        <v>Air Kerja</v>
      </c>
      <c r="D22" t="str">
        <v/>
      </c>
      <c r="E22">
        <v>0.3</v>
      </c>
      <c r="F22" t="str">
        <v>m3</v>
      </c>
      <c r="G22" t="str">
        <v>per m² form (cycle 1.00)</v>
      </c>
      <c r="H22">
        <v>40000</v>
      </c>
      <c r="I22">
        <v>3</v>
      </c>
      <c r="J22">
        <v>120000</v>
      </c>
      <c r="K22">
        <v>14.425650000000001</v>
      </c>
      <c r="L22">
        <v>577026</v>
      </c>
    </row>
    <row r="23">
      <c r="A23">
        <v>5</v>
      </c>
      <c r="B23" t="str">
        <v>PEMBESIAN (Material) — ratio 215.26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43.018367532832144</v>
      </c>
      <c r="F24" t="str">
        <v>kg</v>
      </c>
      <c r="G24" t="str">
        <v>per m3 beton</v>
      </c>
      <c r="H24">
        <v>9500</v>
      </c>
      <c r="I24">
        <v>43.018367532832144</v>
      </c>
      <c r="J24">
        <v>408674.49156190536</v>
      </c>
      <c r="K24">
        <v>206.85597120000003</v>
      </c>
      <c r="L24">
        <v>1965131.7264000003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172.24611141404372</v>
      </c>
      <c r="F25" t="str">
        <v>kg</v>
      </c>
      <c r="G25" t="str">
        <v>per m3 beton</v>
      </c>
      <c r="H25">
        <v>9500</v>
      </c>
      <c r="I25">
        <v>172.24611141404372</v>
      </c>
      <c r="J25">
        <v>1636338.0584334154</v>
      </c>
      <c r="K25">
        <v>828.25403904</v>
      </c>
      <c r="L25">
        <v>7868413.37088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9500</v>
      </c>
      <c r="I26">
        <v>10.763223947343803</v>
      </c>
      <c r="J26">
        <v>102250.62749976614</v>
      </c>
      <c r="K26">
        <v>51.75550051200005</v>
      </c>
      <c r="L26">
        <v>491677.2548640005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215.26447894687587</v>
      </c>
      <c r="J27">
        <v>21526.447894687586</v>
      </c>
      <c r="K27">
        <v>1035.11001024</v>
      </c>
      <c r="L27">
        <v>103511.001024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4.520554057884394</v>
      </c>
      <c r="J28">
        <v>79109.6960129769</v>
      </c>
      <c r="K28">
        <v>21.737310215040004</v>
      </c>
      <c r="L28">
        <v>380402.9287632001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5707696.111402751</v>
      </c>
      <c r="J30" t="str">
        <v/>
      </c>
      <c r="K30" t="str">
        <v/>
      </c>
      <c r="L30">
        <v>27445742.1364857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5707696.111402751</v>
      </c>
    </row>
    <row r="34">
      <c r="A34" t="str">
        <v>RAB (A) source unit cost</v>
      </c>
      <c r="B34">
        <v>5707696.111402752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27445742.1364857</v>
      </c>
    </row>
    <row r="38">
      <c r="A38" t="str">
        <v>RAB (A) source line total</v>
      </c>
      <c r="B38">
        <v>31562603.45695856</v>
      </c>
    </row>
    <row r="39">
      <c r="A39" t="str">
        <v>Variance</v>
      </c>
      <c r="B39">
        <v>-4116861.320472859</v>
      </c>
      <c r="C39" t="str">
        <v>✓ OK</v>
      </c>
    </row>
  </sheetData>
  <ignoredErrors>
    <ignoredError numberStoredAsText="1" sqref="A1:L39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III.A.11.2.4 - Sloof S25-1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S25-1</v>
      </c>
    </row>
    <row r="5">
      <c r="A5" t="str">
        <v>Unit</v>
      </c>
      <c r="B5" t="str">
        <v>m3</v>
      </c>
    </row>
    <row r="6">
      <c r="A6" t="str">
        <v>Volume</v>
      </c>
      <c r="B6">
        <v>6.601200000000001</v>
      </c>
    </row>
    <row r="7">
      <c r="A7" t="str">
        <v>Unit cost (Rp/m3)</v>
      </c>
      <c r="B7">
        <v>5607584.492565997</v>
      </c>
    </row>
    <row r="8">
      <c r="A8" t="str">
        <v>Line total at-cost (Rp)</v>
      </c>
      <c r="B8">
        <v>37016786.75232667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7.921440000000001</v>
      </c>
      <c r="L12">
        <v>9232438.320000002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6.601200000000001</v>
      </c>
      <c r="L14">
        <v>99018.00000000001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6.601200000000001</v>
      </c>
      <c r="L15">
        <v>495090.0000000001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1100000</v>
      </c>
      <c r="I17">
        <v>1</v>
      </c>
      <c r="J17">
        <v>1100000</v>
      </c>
      <c r="K17">
        <v>6.601200000000001</v>
      </c>
      <c r="L17">
        <v>7261320.000000002</v>
      </c>
    </row>
    <row r="18">
      <c r="A18">
        <v>4</v>
      </c>
      <c r="B18" t="str">
        <v>BEKISTING BATAKO POSISI BERDIRI UNTUK POER DAN SLOOF (Material) — ratio 9.999999999999998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Batako</v>
      </c>
      <c r="D19" t="str">
        <v/>
      </c>
      <c r="E19">
        <v>14</v>
      </c>
      <c r="F19" t="str">
        <v>pcs</v>
      </c>
      <c r="G19" t="str">
        <v>per m² form (cycle 1.00)</v>
      </c>
      <c r="H19">
        <v>4500</v>
      </c>
      <c r="I19">
        <v>139.99999999999997</v>
      </c>
      <c r="J19">
        <v>629999.9999999999</v>
      </c>
      <c r="K19">
        <v>924.168</v>
      </c>
      <c r="L19">
        <v>4158756</v>
      </c>
    </row>
    <row r="20">
      <c r="A20" t="str">
        <v/>
      </c>
      <c r="B20" t="str">
        <v/>
      </c>
      <c r="C20" t="str">
        <v>Semen PC @50kg</v>
      </c>
      <c r="D20" t="str">
        <v/>
      </c>
      <c r="E20">
        <v>0.08978310000000002</v>
      </c>
      <c r="F20" t="str">
        <v>sak</v>
      </c>
      <c r="G20" t="str">
        <v>per m² form (cycle 1.00)</v>
      </c>
      <c r="H20">
        <v>65000</v>
      </c>
      <c r="I20">
        <v>0.897831</v>
      </c>
      <c r="J20">
        <v>58359.015</v>
      </c>
      <c r="K20">
        <v>5.926761997200002</v>
      </c>
      <c r="L20">
        <v>385239.5298180001</v>
      </c>
    </row>
    <row r="21">
      <c r="A21" t="str">
        <v/>
      </c>
      <c r="B21" t="str">
        <v/>
      </c>
      <c r="C21" t="str">
        <v>Pasir  Kertosono</v>
      </c>
      <c r="D21" t="str">
        <v/>
      </c>
      <c r="E21">
        <v>0.017953650000000005</v>
      </c>
      <c r="F21" t="str">
        <v>m3</v>
      </c>
      <c r="G21" t="str">
        <v>per m² form (cycle 1.00)</v>
      </c>
      <c r="H21">
        <v>350000</v>
      </c>
      <c r="I21">
        <v>0.17953650000000002</v>
      </c>
      <c r="J21">
        <v>62837.77500000001</v>
      </c>
      <c r="K21">
        <v>1.1851563438000003</v>
      </c>
      <c r="L21">
        <v>414804.72033000016</v>
      </c>
    </row>
    <row r="22">
      <c r="A22" t="str">
        <v/>
      </c>
      <c r="B22" t="str">
        <v/>
      </c>
      <c r="C22" t="str">
        <v>Air Kerja</v>
      </c>
      <c r="D22" t="str">
        <v/>
      </c>
      <c r="E22">
        <v>0.3</v>
      </c>
      <c r="F22" t="str">
        <v>m3</v>
      </c>
      <c r="G22" t="str">
        <v>per m² form (cycle 1.00)</v>
      </c>
      <c r="H22">
        <v>40000</v>
      </c>
      <c r="I22">
        <v>2.9999999999999996</v>
      </c>
      <c r="J22">
        <v>119999.99999999999</v>
      </c>
      <c r="K22">
        <v>19.8036</v>
      </c>
      <c r="L22">
        <v>792144.0000000001</v>
      </c>
    </row>
    <row r="23">
      <c r="A23">
        <v>5</v>
      </c>
      <c r="B23" t="str">
        <v>PEMBESIAN (Material) — ratio 205.68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42.861151063443</v>
      </c>
      <c r="F24" t="str">
        <v>kg</v>
      </c>
      <c r="G24" t="str">
        <v>per m3 beton</v>
      </c>
      <c r="H24">
        <v>9500</v>
      </c>
      <c r="I24">
        <v>42.861151063443</v>
      </c>
      <c r="J24">
        <v>407180.9351027085</v>
      </c>
      <c r="K24">
        <v>282.9350304</v>
      </c>
      <c r="L24">
        <v>2687882.7888</v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18.32924768223959</v>
      </c>
      <c r="F25" t="str">
        <v>kg</v>
      </c>
      <c r="G25" t="str">
        <v>per m3 beton</v>
      </c>
      <c r="H25">
        <v>9500</v>
      </c>
      <c r="I25">
        <v>18.32924768223959</v>
      </c>
      <c r="J25">
        <v>174127.8529812761</v>
      </c>
      <c r="K25">
        <v>120.9950298</v>
      </c>
      <c r="L25">
        <v>1149452.7831000001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144.487140403563</v>
      </c>
      <c r="F26" t="str">
        <v>kg</v>
      </c>
      <c r="G26" t="str">
        <v>per m3 beton</v>
      </c>
      <c r="H26">
        <v>9500</v>
      </c>
      <c r="I26">
        <v>144.487140403563</v>
      </c>
      <c r="J26">
        <v>1372627.8338338484</v>
      </c>
      <c r="K26">
        <v>953.7885112320002</v>
      </c>
      <c r="L26">
        <v>9060990.856704002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10.283876957462288</v>
      </c>
      <c r="J27">
        <v>97696.83109589174</v>
      </c>
      <c r="K27">
        <v>67.88592857160008</v>
      </c>
      <c r="L27">
        <v>644916.3214302007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205.67753914924558</v>
      </c>
      <c r="J28">
        <v>20567.753914924557</v>
      </c>
      <c r="K28">
        <v>1357.718571432</v>
      </c>
      <c r="L28">
        <v>135771.8571432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4.319228322134157</v>
      </c>
      <c r="J29">
        <v>75586.49563734776</v>
      </c>
      <c r="K29">
        <v>28.512090000072007</v>
      </c>
      <c r="L29">
        <v>498961.57500126015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5607584.492565997</v>
      </c>
      <c r="J31" t="str">
        <v/>
      </c>
      <c r="K31" t="str">
        <v/>
      </c>
      <c r="L31">
        <v>37016786.75232667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5607584.492565997</v>
      </c>
    </row>
    <row r="35">
      <c r="A35" t="str">
        <v>RAB (A) source unit cost</v>
      </c>
      <c r="B35">
        <v>5607584.492565997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37016786.75232667</v>
      </c>
    </row>
    <row r="39">
      <c r="A39" t="str">
        <v>RAB (A) source line total</v>
      </c>
      <c r="B39">
        <v>42569304.76517566</v>
      </c>
    </row>
    <row r="40">
      <c r="A40" t="str">
        <v>Variance</v>
      </c>
      <c r="B40">
        <v>-5552518.012848996</v>
      </c>
      <c r="C40" t="str">
        <v>✓ OK</v>
      </c>
    </row>
  </sheetData>
  <ignoredErrors>
    <ignoredError numberStoredAsText="1" sqref="A1:L40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III.A.11.2.5 - Sloof S36-1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S36-1</v>
      </c>
    </row>
    <row r="5">
      <c r="A5" t="str">
        <v>Unit</v>
      </c>
      <c r="B5" t="str">
        <v>m3</v>
      </c>
    </row>
    <row r="6">
      <c r="A6" t="str">
        <v>Volume</v>
      </c>
      <c r="B6">
        <v>6.939000000000001</v>
      </c>
    </row>
    <row r="7">
      <c r="A7" t="str">
        <v>Unit cost (Rp/m3)</v>
      </c>
      <c r="B7">
        <v>4626603.589810635</v>
      </c>
    </row>
    <row r="8">
      <c r="A8" t="str">
        <v>Line total at-cost (Rp)</v>
      </c>
      <c r="B8">
        <v>32104002.309696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8.3268</v>
      </c>
      <c r="L12">
        <v>9704885.400000002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6.939000000000001</v>
      </c>
      <c r="L14">
        <v>104085.00000000001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6.939000000000001</v>
      </c>
      <c r="L15">
        <v>520425.00000000006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1100000</v>
      </c>
      <c r="I17">
        <v>1</v>
      </c>
      <c r="J17">
        <v>1100000</v>
      </c>
      <c r="K17">
        <v>6.939000000000001</v>
      </c>
      <c r="L17">
        <v>7632900.000000001</v>
      </c>
    </row>
    <row r="18">
      <c r="A18">
        <v>4</v>
      </c>
      <c r="B18" t="str">
        <v>BEKISTING BATAKO POSISI BERDIRI UNTUK POER DAN SLOOF (Material) — ratio 6.666666666666666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Batako</v>
      </c>
      <c r="D19" t="str">
        <v/>
      </c>
      <c r="E19">
        <v>14</v>
      </c>
      <c r="F19" t="str">
        <v>pcs</v>
      </c>
      <c r="G19" t="str">
        <v>per m² form (cycle 1.00)</v>
      </c>
      <c r="H19">
        <v>4500</v>
      </c>
      <c r="I19">
        <v>93.33333333333333</v>
      </c>
      <c r="J19">
        <v>420000</v>
      </c>
      <c r="K19">
        <v>647.6400000000001</v>
      </c>
      <c r="L19">
        <v>2914380.0000000005</v>
      </c>
    </row>
    <row r="20">
      <c r="A20" t="str">
        <v/>
      </c>
      <c r="B20" t="str">
        <v/>
      </c>
      <c r="C20" t="str">
        <v>Semen PC @50kg</v>
      </c>
      <c r="D20" t="str">
        <v/>
      </c>
      <c r="E20">
        <v>0.08978310000000002</v>
      </c>
      <c r="F20" t="str">
        <v>sak</v>
      </c>
      <c r="G20" t="str">
        <v>per m² form (cycle 1.00)</v>
      </c>
      <c r="H20">
        <v>65000</v>
      </c>
      <c r="I20">
        <v>0.598554</v>
      </c>
      <c r="J20">
        <v>38906.01</v>
      </c>
      <c r="K20">
        <v>4.153366206000001</v>
      </c>
      <c r="L20">
        <v>269968.8033900001</v>
      </c>
    </row>
    <row r="21">
      <c r="A21" t="str">
        <v/>
      </c>
      <c r="B21" t="str">
        <v/>
      </c>
      <c r="C21" t="str">
        <v>Pasir  Kertosono</v>
      </c>
      <c r="D21" t="str">
        <v/>
      </c>
      <c r="E21">
        <v>0.017953650000000005</v>
      </c>
      <c r="F21" t="str">
        <v>m3</v>
      </c>
      <c r="G21" t="str">
        <v>per m² form (cycle 1.00)</v>
      </c>
      <c r="H21">
        <v>350000</v>
      </c>
      <c r="I21">
        <v>0.11969100000000002</v>
      </c>
      <c r="J21">
        <v>41891.850000000006</v>
      </c>
      <c r="K21">
        <v>0.8305358490000002</v>
      </c>
      <c r="L21">
        <v>290687.54715000006</v>
      </c>
    </row>
    <row r="22">
      <c r="A22" t="str">
        <v/>
      </c>
      <c r="B22" t="str">
        <v/>
      </c>
      <c r="C22" t="str">
        <v>Air Kerja</v>
      </c>
      <c r="D22" t="str">
        <v/>
      </c>
      <c r="E22">
        <v>0.3</v>
      </c>
      <c r="F22" t="str">
        <v>m3</v>
      </c>
      <c r="G22" t="str">
        <v>per m² form (cycle 1.00)</v>
      </c>
      <c r="H22">
        <v>40000</v>
      </c>
      <c r="I22">
        <v>1.9999999999999998</v>
      </c>
      <c r="J22">
        <v>79999.99999999999</v>
      </c>
      <c r="K22">
        <v>13.878</v>
      </c>
      <c r="L22">
        <v>555120</v>
      </c>
    </row>
    <row r="23">
      <c r="A23">
        <v>5</v>
      </c>
      <c r="B23" t="str">
        <v>PEMBESIAN (Material) — ratio 139.55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29.473444357976657</v>
      </c>
      <c r="F24" t="str">
        <v>kg</v>
      </c>
      <c r="G24" t="str">
        <v>per m3 beton</v>
      </c>
      <c r="H24">
        <v>9500</v>
      </c>
      <c r="I24">
        <v>29.473444357976657</v>
      </c>
      <c r="J24">
        <v>279997.7214007782</v>
      </c>
      <c r="K24">
        <v>204.51623040000004</v>
      </c>
      <c r="L24">
        <v>1942904.1888000004</v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9.559792477302205</v>
      </c>
      <c r="F25" t="str">
        <v>kg</v>
      </c>
      <c r="G25" t="str">
        <v>per m3 beton</v>
      </c>
      <c r="H25">
        <v>9500</v>
      </c>
      <c r="I25">
        <v>9.559792477302205</v>
      </c>
      <c r="J25">
        <v>90818.02853437094</v>
      </c>
      <c r="K25">
        <v>66.3354</v>
      </c>
      <c r="L25">
        <v>630186.3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100.51243994811931</v>
      </c>
      <c r="F26" t="str">
        <v>kg</v>
      </c>
      <c r="G26" t="str">
        <v>per m3 beton</v>
      </c>
      <c r="H26">
        <v>9500</v>
      </c>
      <c r="I26">
        <v>100.51243994811931</v>
      </c>
      <c r="J26">
        <v>954868.1795071334</v>
      </c>
      <c r="K26">
        <v>697.4558208</v>
      </c>
      <c r="L26">
        <v>6625830.2976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6.977283839169915</v>
      </c>
      <c r="J27">
        <v>66284.19647211418</v>
      </c>
      <c r="K27">
        <v>48.415372560000044</v>
      </c>
      <c r="L27">
        <v>459946.0393200004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139.54567678339816</v>
      </c>
      <c r="J28">
        <v>13954.567678339816</v>
      </c>
      <c r="K28">
        <v>968.3074512</v>
      </c>
      <c r="L28">
        <v>96830.74511999999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2.9304592124513618</v>
      </c>
      <c r="J29">
        <v>51283.03621789883</v>
      </c>
      <c r="K29">
        <v>20.334456475200003</v>
      </c>
      <c r="L29">
        <v>355852.98831600003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4626603.589810635</v>
      </c>
      <c r="J31" t="str">
        <v/>
      </c>
      <c r="K31" t="str">
        <v/>
      </c>
      <c r="L31">
        <v>32104002.309696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4626603.589810635</v>
      </c>
    </row>
    <row r="35">
      <c r="A35" t="str">
        <v>RAB (A) source unit cost</v>
      </c>
      <c r="B35">
        <v>4626603.589810635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32104002.309696</v>
      </c>
    </row>
    <row r="39">
      <c r="A39" t="str">
        <v>RAB (A) source line total</v>
      </c>
      <c r="B39">
        <v>36919602.65615039</v>
      </c>
    </row>
    <row r="40">
      <c r="A40" t="str">
        <v>Variance</v>
      </c>
      <c r="B40">
        <v>-4815600.346454393</v>
      </c>
      <c r="C40" t="str">
        <v>✓ OK</v>
      </c>
    </row>
  </sheetData>
  <ignoredErrors>
    <ignoredError numberStoredAsText="1" sqref="A1:L40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III.A.11.2.6 -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0.309</v>
      </c>
    </row>
    <row r="7">
      <c r="A7" t="str">
        <v>Unit cost (Rp/m3)</v>
      </c>
      <c r="B7">
        <v>5970175.927164078</v>
      </c>
    </row>
    <row r="8">
      <c r="A8" t="str">
        <v>Line total at-cost (Rp)</v>
      </c>
      <c r="B8">
        <v>1844784.3614937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0.37079999999999996</v>
      </c>
      <c r="L12">
        <v>432167.4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0.309</v>
      </c>
      <c r="L14">
        <v>4635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0.309</v>
      </c>
      <c r="L15">
        <v>23175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1100000</v>
      </c>
      <c r="I17">
        <v>1</v>
      </c>
      <c r="J17">
        <v>1100000</v>
      </c>
      <c r="K17">
        <v>0.309</v>
      </c>
      <c r="L17">
        <v>339900</v>
      </c>
    </row>
    <row r="18">
      <c r="A18">
        <v>4</v>
      </c>
      <c r="B18" t="str">
        <v>BEKISTING BATAKO POSISI BERDIRI UNTUK POER DAN SLOOF (Material) — ratio 10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Batako</v>
      </c>
      <c r="D19" t="str">
        <v/>
      </c>
      <c r="E19">
        <v>14</v>
      </c>
      <c r="F19" t="str">
        <v>pcs</v>
      </c>
      <c r="G19" t="str">
        <v>per m² form (cycle 1.00)</v>
      </c>
      <c r="H19">
        <v>4500</v>
      </c>
      <c r="I19">
        <v>140</v>
      </c>
      <c r="J19">
        <v>630000</v>
      </c>
      <c r="K19">
        <v>43.26</v>
      </c>
      <c r="L19">
        <v>194670</v>
      </c>
    </row>
    <row r="20">
      <c r="A20" t="str">
        <v/>
      </c>
      <c r="B20" t="str">
        <v/>
      </c>
      <c r="C20" t="str">
        <v>Semen PC @50kg</v>
      </c>
      <c r="D20" t="str">
        <v/>
      </c>
      <c r="E20">
        <v>0.08978310000000002</v>
      </c>
      <c r="F20" t="str">
        <v>sak</v>
      </c>
      <c r="G20" t="str">
        <v>per m² form (cycle 1.00)</v>
      </c>
      <c r="H20">
        <v>65000</v>
      </c>
      <c r="I20">
        <v>0.8978310000000002</v>
      </c>
      <c r="J20">
        <v>58359.01500000001</v>
      </c>
      <c r="K20">
        <v>0.27742977900000004</v>
      </c>
      <c r="L20">
        <v>18032.935635</v>
      </c>
    </row>
    <row r="21">
      <c r="A21" t="str">
        <v/>
      </c>
      <c r="B21" t="str">
        <v/>
      </c>
      <c r="C21" t="str">
        <v>Pasir  Kertosono</v>
      </c>
      <c r="D21" t="str">
        <v/>
      </c>
      <c r="E21">
        <v>0.017953650000000005</v>
      </c>
      <c r="F21" t="str">
        <v>m3</v>
      </c>
      <c r="G21" t="str">
        <v>per m² form (cycle 1.00)</v>
      </c>
      <c r="H21">
        <v>350000</v>
      </c>
      <c r="I21">
        <v>0.17953650000000004</v>
      </c>
      <c r="J21">
        <v>62837.775000000016</v>
      </c>
      <c r="K21">
        <v>0.05547677850000001</v>
      </c>
      <c r="L21">
        <v>19416.872475000004</v>
      </c>
    </row>
    <row r="22">
      <c r="A22" t="str">
        <v/>
      </c>
      <c r="B22" t="str">
        <v/>
      </c>
      <c r="C22" t="str">
        <v>Air Kerja</v>
      </c>
      <c r="D22" t="str">
        <v/>
      </c>
      <c r="E22">
        <v>0.3</v>
      </c>
      <c r="F22" t="str">
        <v>m3</v>
      </c>
      <c r="G22" t="str">
        <v>per m² form (cycle 1.00)</v>
      </c>
      <c r="H22">
        <v>40000</v>
      </c>
      <c r="I22">
        <v>3</v>
      </c>
      <c r="J22">
        <v>120000</v>
      </c>
      <c r="K22">
        <v>0.927</v>
      </c>
      <c r="L22">
        <v>37080</v>
      </c>
    </row>
    <row r="23">
      <c r="A23">
        <v>5</v>
      </c>
      <c r="B23" t="str">
        <v>PEMBESIAN (Material) — ratio 240.40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102.75000000000001</v>
      </c>
      <c r="F24" t="str">
        <v>kg</v>
      </c>
      <c r="G24" t="str">
        <v>per m3 beton</v>
      </c>
      <c r="H24">
        <v>9500</v>
      </c>
      <c r="I24">
        <v>102.75000000000001</v>
      </c>
      <c r="J24">
        <v>976125.0000000001</v>
      </c>
      <c r="K24">
        <v>31.749750000000002</v>
      </c>
      <c r="L24">
        <v>301622.62500000006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137.6502046601942</v>
      </c>
      <c r="F25" t="str">
        <v>kg</v>
      </c>
      <c r="G25" t="str">
        <v>per m3 beton</v>
      </c>
      <c r="H25">
        <v>9500</v>
      </c>
      <c r="I25">
        <v>137.6502046601942</v>
      </c>
      <c r="J25">
        <v>1307676.9442718448</v>
      </c>
      <c r="K25">
        <v>42.533913240000004</v>
      </c>
      <c r="L25">
        <v>404072.17578000005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9500</v>
      </c>
      <c r="I26">
        <v>12.020010233009721</v>
      </c>
      <c r="J26">
        <v>114190.09721359235</v>
      </c>
      <c r="K26">
        <v>3.714183162000004</v>
      </c>
      <c r="L26">
        <v>35284.74003900003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240.40020466019422</v>
      </c>
      <c r="J27">
        <v>24040.02046601942</v>
      </c>
      <c r="K27">
        <v>74.28366324000001</v>
      </c>
      <c r="L27">
        <v>7428.366324000001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5.048404297864079</v>
      </c>
      <c r="J28">
        <v>88347.07521262138</v>
      </c>
      <c r="K28">
        <v>1.5599569280400003</v>
      </c>
      <c r="L28">
        <v>27299.246240700006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5970175.927164078</v>
      </c>
      <c r="J30" t="str">
        <v/>
      </c>
      <c r="K30" t="str">
        <v/>
      </c>
      <c r="L30">
        <v>1844784.3614937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5970175.927164078</v>
      </c>
    </row>
    <row r="34">
      <c r="A34" t="str">
        <v>RAB (A) source unit cost</v>
      </c>
      <c r="B34">
        <v>5970175.927164078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1844784.3614937</v>
      </c>
    </row>
    <row r="38">
      <c r="A38" t="str">
        <v>RAB (A) source line total</v>
      </c>
      <c r="B38">
        <v>2121502.015717755</v>
      </c>
    </row>
    <row r="39">
      <c r="A39" t="str">
        <v>Variance</v>
      </c>
      <c r="B39">
        <v>-276717.6542240551</v>
      </c>
      <c r="C39" t="str">
        <v>✓ OK</v>
      </c>
    </row>
  </sheetData>
  <ignoredErrors>
    <ignoredError numberStoredAsText="1" sqref="A1:L39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III.A.11.2.7 -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0.1835</v>
      </c>
    </row>
    <row r="7">
      <c r="A7" t="str">
        <v>Unit cost (Rp/m3)</v>
      </c>
      <c r="B7">
        <v>7116105.839461034</v>
      </c>
    </row>
    <row r="8">
      <c r="A8" t="str">
        <v>Line total at-cost (Rp)</v>
      </c>
      <c r="B8">
        <v>1305805.4215410997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0.22019999999999998</v>
      </c>
      <c r="L12">
        <v>256643.1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0.1835</v>
      </c>
      <c r="L14">
        <v>2752.5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0.1835</v>
      </c>
      <c r="L15">
        <v>13762.5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1100000</v>
      </c>
      <c r="I17">
        <v>1</v>
      </c>
      <c r="J17">
        <v>1100000</v>
      </c>
      <c r="K17">
        <v>0.1835</v>
      </c>
      <c r="L17">
        <v>201850</v>
      </c>
    </row>
    <row r="18">
      <c r="A18">
        <v>4</v>
      </c>
      <c r="B18" t="str">
        <v>BEKISTING BATAKO POSISI BERDIRI UNTUK POER DAN SLOOF (Material) — ratio 10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Batako</v>
      </c>
      <c r="D19" t="str">
        <v/>
      </c>
      <c r="E19">
        <v>14</v>
      </c>
      <c r="F19" t="str">
        <v>pcs</v>
      </c>
      <c r="G19" t="str">
        <v>per m² form (cycle 1.00)</v>
      </c>
      <c r="H19">
        <v>4500</v>
      </c>
      <c r="I19">
        <v>140</v>
      </c>
      <c r="J19">
        <v>630000</v>
      </c>
      <c r="K19">
        <v>25.689999999999998</v>
      </c>
      <c r="L19">
        <v>115605</v>
      </c>
    </row>
    <row r="20">
      <c r="A20" t="str">
        <v/>
      </c>
      <c r="B20" t="str">
        <v/>
      </c>
      <c r="C20" t="str">
        <v>Semen PC @50kg</v>
      </c>
      <c r="D20" t="str">
        <v/>
      </c>
      <c r="E20">
        <v>0.08978310000000002</v>
      </c>
      <c r="F20" t="str">
        <v>sak</v>
      </c>
      <c r="G20" t="str">
        <v>per m² form (cycle 1.00)</v>
      </c>
      <c r="H20">
        <v>65000</v>
      </c>
      <c r="I20">
        <v>0.8978310000000002</v>
      </c>
      <c r="J20">
        <v>58359.01500000001</v>
      </c>
      <c r="K20">
        <v>0.16475198850000003</v>
      </c>
      <c r="L20">
        <v>10708.8792525</v>
      </c>
    </row>
    <row r="21">
      <c r="A21" t="str">
        <v/>
      </c>
      <c r="B21" t="str">
        <v/>
      </c>
      <c r="C21" t="str">
        <v>Pasir  Kertosono</v>
      </c>
      <c r="D21" t="str">
        <v/>
      </c>
      <c r="E21">
        <v>0.017953650000000005</v>
      </c>
      <c r="F21" t="str">
        <v>m3</v>
      </c>
      <c r="G21" t="str">
        <v>per m² form (cycle 1.00)</v>
      </c>
      <c r="H21">
        <v>350000</v>
      </c>
      <c r="I21">
        <v>0.17953650000000004</v>
      </c>
      <c r="J21">
        <v>62837.775000000016</v>
      </c>
      <c r="K21">
        <v>0.03294494775000001</v>
      </c>
      <c r="L21">
        <v>11530.731712500003</v>
      </c>
    </row>
    <row r="22">
      <c r="A22" t="str">
        <v/>
      </c>
      <c r="B22" t="str">
        <v/>
      </c>
      <c r="C22" t="str">
        <v>Air Kerja</v>
      </c>
      <c r="D22" t="str">
        <v/>
      </c>
      <c r="E22">
        <v>0.3</v>
      </c>
      <c r="F22" t="str">
        <v>m3</v>
      </c>
      <c r="G22" t="str">
        <v>per m² form (cycle 1.00)</v>
      </c>
      <c r="H22">
        <v>40000</v>
      </c>
      <c r="I22">
        <v>3</v>
      </c>
      <c r="J22">
        <v>120000</v>
      </c>
      <c r="K22">
        <v>0.5505</v>
      </c>
      <c r="L22">
        <v>22020</v>
      </c>
    </row>
    <row r="23">
      <c r="A23">
        <v>5</v>
      </c>
      <c r="B23" t="str">
        <v>PEMBESIAN (Material) — ratio 350.14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121.11621253405997</v>
      </c>
      <c r="F24" t="str">
        <v>kg</v>
      </c>
      <c r="G24" t="str">
        <v>per m3 beton</v>
      </c>
      <c r="H24">
        <v>9500</v>
      </c>
      <c r="I24">
        <v>121.11621253405997</v>
      </c>
      <c r="J24">
        <v>1150604.0190735697</v>
      </c>
      <c r="K24">
        <v>22.224825000000003</v>
      </c>
      <c r="L24">
        <v>211135.83750000002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229.021115640327</v>
      </c>
      <c r="F25" t="str">
        <v>kg</v>
      </c>
      <c r="G25" t="str">
        <v>per m3 beton</v>
      </c>
      <c r="H25">
        <v>9500</v>
      </c>
      <c r="I25">
        <v>229.021115640327</v>
      </c>
      <c r="J25">
        <v>2175700.5985831064</v>
      </c>
      <c r="K25">
        <v>42.02537472</v>
      </c>
      <c r="L25">
        <v>399241.05984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9500</v>
      </c>
      <c r="I26">
        <v>17.506866408719365</v>
      </c>
      <c r="J26">
        <v>166315.23088283397</v>
      </c>
      <c r="K26">
        <v>3.2125099860000033</v>
      </c>
      <c r="L26">
        <v>30518.844867000033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350.137328174387</v>
      </c>
      <c r="J27">
        <v>35013.7328174387</v>
      </c>
      <c r="K27">
        <v>64.25019972000001</v>
      </c>
      <c r="L27">
        <v>6425.019972000001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7.3528838916621275</v>
      </c>
      <c r="J28">
        <v>128675.46810408724</v>
      </c>
      <c r="K28">
        <v>1.3492541941200005</v>
      </c>
      <c r="L28">
        <v>23611.948397100008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7116105.839461034</v>
      </c>
      <c r="J30" t="str">
        <v/>
      </c>
      <c r="K30" t="str">
        <v/>
      </c>
      <c r="L30">
        <v>1305805.4215410997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7116105.839461034</v>
      </c>
    </row>
    <row r="34">
      <c r="A34" t="str">
        <v>RAB (A) source unit cost</v>
      </c>
      <c r="B34">
        <v>7116105.839461036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1305805.4215410997</v>
      </c>
    </row>
    <row r="38">
      <c r="A38" t="str">
        <v>RAB (A) source line total</v>
      </c>
      <c r="B38">
        <v>1501676.234772265</v>
      </c>
    </row>
    <row r="39">
      <c r="A39" t="str">
        <v>Variance</v>
      </c>
      <c r="B39">
        <v>-195870.8132311653</v>
      </c>
      <c r="C39" t="str">
        <v>✓ OK</v>
      </c>
    </row>
  </sheetData>
  <ignoredErrors>
    <ignoredError numberStoredAsText="1" sqref="A1:L39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(A) III.A.11.2.8 -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3.1496500000000003</v>
      </c>
    </row>
    <row r="7">
      <c r="A7" t="str">
        <v>Unit cost (Rp/m3)</v>
      </c>
      <c r="B7">
        <v>6207906.619272872</v>
      </c>
    </row>
    <row r="8">
      <c r="A8" t="str">
        <v>Line total at-cost (Rp)</v>
      </c>
      <c r="B8">
        <v>19552733.083392803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1165500</v>
      </c>
      <c r="I12">
        <v>1.2</v>
      </c>
      <c r="J12">
        <v>1398600</v>
      </c>
      <c r="K12">
        <v>3.77958</v>
      </c>
      <c r="L12">
        <v>4405100.49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3.1496500000000003</v>
      </c>
      <c r="L14">
        <v>47244.75000000001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3.1496500000000003</v>
      </c>
      <c r="L15">
        <v>236223.75000000003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1100000</v>
      </c>
      <c r="I17">
        <v>1</v>
      </c>
      <c r="J17">
        <v>1100000</v>
      </c>
      <c r="K17">
        <v>3.1496500000000003</v>
      </c>
      <c r="L17">
        <v>3464615.0000000005</v>
      </c>
    </row>
    <row r="18">
      <c r="A18">
        <v>4</v>
      </c>
      <c r="B18" t="str">
        <v>BEKISTING BATAKO POSISI BERDIRI UNTUK POER DAN SLOOF (Material) — ratio 9.999999999999998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Batako</v>
      </c>
      <c r="D19" t="str">
        <v/>
      </c>
      <c r="E19">
        <v>14</v>
      </c>
      <c r="F19" t="str">
        <v>pcs</v>
      </c>
      <c r="G19" t="str">
        <v>per m² form (cycle 1.00)</v>
      </c>
      <c r="H19">
        <v>4500</v>
      </c>
      <c r="I19">
        <v>139.99999999999997</v>
      </c>
      <c r="J19">
        <v>629999.9999999999</v>
      </c>
      <c r="K19">
        <v>440.95099999999996</v>
      </c>
      <c r="L19">
        <v>1984279.4999999998</v>
      </c>
    </row>
    <row r="20">
      <c r="A20" t="str">
        <v/>
      </c>
      <c r="B20" t="str">
        <v/>
      </c>
      <c r="C20" t="str">
        <v>Semen PC @50kg</v>
      </c>
      <c r="D20" t="str">
        <v/>
      </c>
      <c r="E20">
        <v>0.08978310000000002</v>
      </c>
      <c r="F20" t="str">
        <v>sak</v>
      </c>
      <c r="G20" t="str">
        <v>per m² form (cycle 1.00)</v>
      </c>
      <c r="H20">
        <v>65000</v>
      </c>
      <c r="I20">
        <v>0.897831</v>
      </c>
      <c r="J20">
        <v>58359.015</v>
      </c>
      <c r="K20">
        <v>2.8278534091500003</v>
      </c>
      <c r="L20">
        <v>183810.47159475</v>
      </c>
    </row>
    <row r="21">
      <c r="A21" t="str">
        <v/>
      </c>
      <c r="B21" t="str">
        <v/>
      </c>
      <c r="C21" t="str">
        <v>Pasir  Kertosono</v>
      </c>
      <c r="D21" t="str">
        <v/>
      </c>
      <c r="E21">
        <v>0.017953650000000005</v>
      </c>
      <c r="F21" t="str">
        <v>m3</v>
      </c>
      <c r="G21" t="str">
        <v>per m² form (cycle 1.00)</v>
      </c>
      <c r="H21">
        <v>350000</v>
      </c>
      <c r="I21">
        <v>0.17953650000000002</v>
      </c>
      <c r="J21">
        <v>62837.77500000001</v>
      </c>
      <c r="K21">
        <v>0.5654771372250001</v>
      </c>
      <c r="L21">
        <v>197916.99802875004</v>
      </c>
    </row>
    <row r="22">
      <c r="A22" t="str">
        <v/>
      </c>
      <c r="B22" t="str">
        <v/>
      </c>
      <c r="C22" t="str">
        <v>Air Kerja</v>
      </c>
      <c r="D22" t="str">
        <v/>
      </c>
      <c r="E22">
        <v>0.3</v>
      </c>
      <c r="F22" t="str">
        <v>m3</v>
      </c>
      <c r="G22" t="str">
        <v>per m² form (cycle 1.00)</v>
      </c>
      <c r="H22">
        <v>40000</v>
      </c>
      <c r="I22">
        <v>2.9999999999999996</v>
      </c>
      <c r="J22">
        <v>119999.99999999999</v>
      </c>
      <c r="K22">
        <v>9.44895</v>
      </c>
      <c r="L22">
        <v>377958</v>
      </c>
    </row>
    <row r="23">
      <c r="A23">
        <v>5</v>
      </c>
      <c r="B23" t="str">
        <v>PEMBESIAN (Material) — ratio 263.17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80.73915673170035</v>
      </c>
      <c r="F24" t="str">
        <v>kg</v>
      </c>
      <c r="G24" t="str">
        <v>per m3 beton</v>
      </c>
      <c r="H24">
        <v>9500</v>
      </c>
      <c r="I24">
        <v>80.73915673170035</v>
      </c>
      <c r="J24">
        <v>767021.9889511534</v>
      </c>
      <c r="K24">
        <v>254.30008500000002</v>
      </c>
      <c r="L24">
        <v>2415850.8075000006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182.4267354658454</v>
      </c>
      <c r="F25" t="str">
        <v>kg</v>
      </c>
      <c r="G25" t="str">
        <v>per m3 beton</v>
      </c>
      <c r="H25">
        <v>9500</v>
      </c>
      <c r="I25">
        <v>182.4267354658454</v>
      </c>
      <c r="J25">
        <v>1733053.9869255314</v>
      </c>
      <c r="K25">
        <v>574.5803673600001</v>
      </c>
      <c r="L25">
        <v>5458513.489920001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9500</v>
      </c>
      <c r="I26">
        <v>13.1582946098773</v>
      </c>
      <c r="J26">
        <v>125003.79879383436</v>
      </c>
      <c r="K26">
        <v>41.44402261800004</v>
      </c>
      <c r="L26">
        <v>393718.21487100044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263.16589219754576</v>
      </c>
      <c r="J27">
        <v>26316.589219754576</v>
      </c>
      <c r="K27">
        <v>828.88045236</v>
      </c>
      <c r="L27">
        <v>82888.045236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5.526483736148461</v>
      </c>
      <c r="J28">
        <v>96713.46538259806</v>
      </c>
      <c r="K28">
        <v>17.406489499560003</v>
      </c>
      <c r="L28">
        <v>304613.56624230003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6207906.619272872</v>
      </c>
      <c r="J30" t="str">
        <v/>
      </c>
      <c r="K30" t="str">
        <v/>
      </c>
      <c r="L30">
        <v>19552733.083392803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6207906.619272872</v>
      </c>
    </row>
    <row r="34">
      <c r="A34" t="str">
        <v>RAB (A) source unit cost</v>
      </c>
      <c r="B34">
        <v>6207906.619272871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19552733.083392803</v>
      </c>
    </row>
    <row r="38">
      <c r="A38" t="str">
        <v>RAB (A) source line total</v>
      </c>
      <c r="B38">
        <v>22485643.045901716</v>
      </c>
    </row>
    <row r="39">
      <c r="A39" t="str">
        <v>Variance</v>
      </c>
      <c r="B39">
        <v>-2932909.962508913</v>
      </c>
      <c r="C39" t="str">
        <v>✓ OK</v>
      </c>
    </row>
  </sheetData>
  <ignoredErrors>
    <ignoredError numberStoredAsText="1" sqref="A1:L39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III.A.11.3.1 - Kolom K24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K24</v>
      </c>
    </row>
    <row r="5">
      <c r="A5" t="str">
        <v>Unit</v>
      </c>
      <c r="B5" t="str">
        <v>m3</v>
      </c>
    </row>
    <row r="6">
      <c r="A6" t="str">
        <v>Volume</v>
      </c>
      <c r="B6">
        <v>0.8160000000000001</v>
      </c>
    </row>
    <row r="7">
      <c r="A7" t="str">
        <v>Unit cost (Rp/m3)</v>
      </c>
      <c r="B7">
        <v>8323161.568521904</v>
      </c>
    </row>
    <row r="8">
      <c r="A8" t="str">
        <v>Line total at-cost (Rp)</v>
      </c>
      <c r="B8">
        <v>6791699.839913874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0.8568000000000001</v>
      </c>
      <c r="L12">
        <v>998600.4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0.8160000000000001</v>
      </c>
      <c r="L14">
        <v>12240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0.8160000000000001</v>
      </c>
      <c r="L15">
        <v>204000.00000000003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0.8160000000000001</v>
      </c>
      <c r="L17">
        <v>1305600</v>
      </c>
    </row>
    <row r="18">
      <c r="A18">
        <v>4</v>
      </c>
      <c r="B18" t="str">
        <v>BEKISTING KOLOM (Material) — ratio 14.999999999999996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3.289473684210525</v>
      </c>
      <c r="J19">
        <v>657894.736842105</v>
      </c>
      <c r="K19">
        <v>2.684210526315789</v>
      </c>
      <c r="L19">
        <v>536842.1052631577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16.447368421052627</v>
      </c>
      <c r="J20">
        <v>967105.2631578945</v>
      </c>
      <c r="K20">
        <v>13.421052631578943</v>
      </c>
      <c r="L20">
        <v>789157.8947368419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3.289473684210525</v>
      </c>
      <c r="J21">
        <v>193421.05263157887</v>
      </c>
      <c r="K21">
        <v>2.684210526315789</v>
      </c>
      <c r="L21">
        <v>157831.57894736837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3.289473684210525</v>
      </c>
      <c r="J22">
        <v>42763.157894736825</v>
      </c>
      <c r="K22">
        <v>2.684210526315789</v>
      </c>
      <c r="L22">
        <v>34894.73684210525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3.749999999999999</v>
      </c>
      <c r="J23">
        <v>103124.99999999997</v>
      </c>
      <c r="K23">
        <v>3.0599999999999996</v>
      </c>
      <c r="L23">
        <v>84149.99999999999</v>
      </c>
    </row>
    <row r="24">
      <c r="A24">
        <v>5</v>
      </c>
      <c r="B24" t="str">
        <v>PEMBESIAN (Material) — ratio 313.15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129.19301470588235</v>
      </c>
      <c r="F25" t="str">
        <v>kg</v>
      </c>
      <c r="G25" t="str">
        <v>per m3 beton</v>
      </c>
      <c r="H25">
        <v>9500</v>
      </c>
      <c r="I25">
        <v>129.19301470588235</v>
      </c>
      <c r="J25">
        <v>1227333.6397058824</v>
      </c>
      <c r="K25">
        <v>105.42150000000001</v>
      </c>
      <c r="L25">
        <v>1001504.2500000001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183.9577976470588</v>
      </c>
      <c r="F26" t="str">
        <v>kg</v>
      </c>
      <c r="G26" t="str">
        <v>per m3 beton</v>
      </c>
      <c r="H26">
        <v>9500</v>
      </c>
      <c r="I26">
        <v>183.9577976470588</v>
      </c>
      <c r="J26">
        <v>1747599.0776470588</v>
      </c>
      <c r="K26">
        <v>150.10956288</v>
      </c>
      <c r="L26">
        <v>1426040.84736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15.657540617647072</v>
      </c>
      <c r="J27">
        <v>148746.6358676472</v>
      </c>
      <c r="K27">
        <v>12.776553144000012</v>
      </c>
      <c r="L27">
        <v>121377.25486800012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313.15081235294116</v>
      </c>
      <c r="J28">
        <v>31315.081235294118</v>
      </c>
      <c r="K28">
        <v>255.53106288</v>
      </c>
      <c r="L28">
        <v>25553.106288000003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6.576167059411765</v>
      </c>
      <c r="J29">
        <v>115082.9235397059</v>
      </c>
      <c r="K29">
        <v>5.36615232048</v>
      </c>
      <c r="L29">
        <v>93907.66560840001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8323161.568521904</v>
      </c>
      <c r="J31" t="str">
        <v/>
      </c>
      <c r="K31" t="str">
        <v/>
      </c>
      <c r="L31">
        <v>6791699.839913874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8323161.568521904</v>
      </c>
    </row>
    <row r="35">
      <c r="A35" t="str">
        <v>RAB (A) source unit cost</v>
      </c>
      <c r="B35">
        <v>8323161.568521903</v>
      </c>
    </row>
    <row r="36">
      <c r="A36" t="str">
        <v>Variance</v>
      </c>
      <c r="B36">
        <v>9.313225746154785e-10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6791699.839913874</v>
      </c>
    </row>
    <row r="39">
      <c r="A39" t="str">
        <v>RAB (A) source line total</v>
      </c>
      <c r="B39">
        <v>7810454.815900954</v>
      </c>
    </row>
    <row r="40">
      <c r="A40" t="str">
        <v>Variance</v>
      </c>
      <c r="B40">
        <v>-1018754.9759870805</v>
      </c>
      <c r="C40" t="str">
        <v>✓ OK</v>
      </c>
    </row>
  </sheetData>
  <ignoredErrors>
    <ignoredError numberStoredAsText="1" sqref="A1:L40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III.A.11.3.2 - Kolom K25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K25</v>
      </c>
    </row>
    <row r="5">
      <c r="A5" t="str">
        <v>Unit</v>
      </c>
      <c r="B5" t="str">
        <v>m3</v>
      </c>
    </row>
    <row r="6">
      <c r="A6" t="str">
        <v>Volume</v>
      </c>
      <c r="B6">
        <v>1.6500000000000001</v>
      </c>
    </row>
    <row r="7">
      <c r="A7" t="str">
        <v>Unit cost (Rp/m3)</v>
      </c>
      <c r="B7">
        <v>7801517.637363348</v>
      </c>
    </row>
    <row r="8">
      <c r="A8" t="str">
        <v>Line total at-cost (Rp)</v>
      </c>
      <c r="B8">
        <v>12872504.101649525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1.7325000000000002</v>
      </c>
      <c r="L12">
        <v>2019228.7500000002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1.6500000000000001</v>
      </c>
      <c r="L14">
        <v>24750.000000000004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1.6500000000000001</v>
      </c>
      <c r="L15">
        <v>412500.00000000006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1.6500000000000001</v>
      </c>
      <c r="L17">
        <v>2640000</v>
      </c>
    </row>
    <row r="18">
      <c r="A18">
        <v>4</v>
      </c>
      <c r="B18" t="str">
        <v>BEKISTING KOLOM (Material) — ratio 14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3.070175438596491</v>
      </c>
      <c r="J19">
        <v>614035.0877192982</v>
      </c>
      <c r="K19">
        <v>5.065789473684211</v>
      </c>
      <c r="L19">
        <v>1013157.8947368421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15.350877192982455</v>
      </c>
      <c r="J20">
        <v>902631.5789473684</v>
      </c>
      <c r="K20">
        <v>25.328947368421055</v>
      </c>
      <c r="L20">
        <v>1489342.105263158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3.070175438596491</v>
      </c>
      <c r="J21">
        <v>180526.31578947368</v>
      </c>
      <c r="K21">
        <v>5.065789473684211</v>
      </c>
      <c r="L21">
        <v>297868.4210526316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3.070175438596491</v>
      </c>
      <c r="J22">
        <v>39912.28070175438</v>
      </c>
      <c r="K22">
        <v>5.065789473684211</v>
      </c>
      <c r="L22">
        <v>65855.26315789473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3.5</v>
      </c>
      <c r="J23">
        <v>96250</v>
      </c>
      <c r="K23">
        <v>5.775</v>
      </c>
      <c r="L23">
        <v>158812.5</v>
      </c>
    </row>
    <row r="24">
      <c r="A24">
        <v>5</v>
      </c>
      <c r="B24" t="str">
        <v>PEMBESIAN (Material) — ratio 275.74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108.61609090909091</v>
      </c>
      <c r="F25" t="str">
        <v>kg</v>
      </c>
      <c r="G25" t="str">
        <v>per m3 beton</v>
      </c>
      <c r="H25">
        <v>9500</v>
      </c>
      <c r="I25">
        <v>108.61609090909091</v>
      </c>
      <c r="J25">
        <v>1031852.8636363636</v>
      </c>
      <c r="K25">
        <v>179.21655</v>
      </c>
      <c r="L25">
        <v>1702557.225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167.12126836363635</v>
      </c>
      <c r="F26" t="str">
        <v>kg</v>
      </c>
      <c r="G26" t="str">
        <v>per m3 beton</v>
      </c>
      <c r="H26">
        <v>9500</v>
      </c>
      <c r="I26">
        <v>167.12126836363635</v>
      </c>
      <c r="J26">
        <v>1587652.0494545454</v>
      </c>
      <c r="K26">
        <v>275.7500928</v>
      </c>
      <c r="L26">
        <v>2619625.8816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13.786867963636375</v>
      </c>
      <c r="J27">
        <v>130975.24565454556</v>
      </c>
      <c r="K27">
        <v>22.74833214000002</v>
      </c>
      <c r="L27">
        <v>216109.1553300002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275.73735927272725</v>
      </c>
      <c r="J28">
        <v>27573.735927272726</v>
      </c>
      <c r="K28">
        <v>454.9666428</v>
      </c>
      <c r="L28">
        <v>45496.664280000005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5.790484544727272</v>
      </c>
      <c r="J29">
        <v>101333.47953272727</v>
      </c>
      <c r="K29">
        <v>9.5542994988</v>
      </c>
      <c r="L29">
        <v>167200.241229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7801517.637363348</v>
      </c>
      <c r="J31" t="str">
        <v/>
      </c>
      <c r="K31" t="str">
        <v/>
      </c>
      <c r="L31">
        <v>12872504.101649525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7801517.637363348</v>
      </c>
    </row>
    <row r="35">
      <c r="A35" t="str">
        <v>RAB (A) source unit cost</v>
      </c>
      <c r="B35">
        <v>7801517.63736335</v>
      </c>
    </row>
    <row r="36">
      <c r="A36" t="str">
        <v>Variance</v>
      </c>
      <c r="B36">
        <v>-1.862645149230957e-9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12872504.101649525</v>
      </c>
    </row>
    <row r="39">
      <c r="A39" t="str">
        <v>RAB (A) source line total</v>
      </c>
      <c r="B39">
        <v>14803379.716896957</v>
      </c>
    </row>
    <row r="40">
      <c r="A40" t="str">
        <v>Variance</v>
      </c>
      <c r="B40">
        <v>-1930875.6152474321</v>
      </c>
      <c r="C40" t="str">
        <v>✓ OK</v>
      </c>
    </row>
  </sheetData>
  <ignoredErrors>
    <ignoredError numberStoredAsText="1" sqref="A1:L40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III.A.11.3.3 - Kolom K26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K26</v>
      </c>
    </row>
    <row r="5">
      <c r="A5" t="str">
        <v>Unit</v>
      </c>
      <c r="B5" t="str">
        <v>m3</v>
      </c>
    </row>
    <row r="6">
      <c r="A6" t="str">
        <v>Volume</v>
      </c>
      <c r="B6">
        <v>5.388</v>
      </c>
    </row>
    <row r="7">
      <c r="A7" t="str">
        <v>Unit cost (Rp/m3)</v>
      </c>
      <c r="B7">
        <v>7566450.745411076</v>
      </c>
    </row>
    <row r="8">
      <c r="A8" t="str">
        <v>Line total at-cost (Rp)</v>
      </c>
      <c r="B8">
        <v>40768036.61627488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5.6574</v>
      </c>
      <c r="L12">
        <v>6593699.7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5.388</v>
      </c>
      <c r="L14">
        <v>80820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5.388</v>
      </c>
      <c r="L15">
        <v>1347000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5.388</v>
      </c>
      <c r="L17">
        <v>8620800</v>
      </c>
    </row>
    <row r="18">
      <c r="A18">
        <v>4</v>
      </c>
      <c r="B18" t="str">
        <v>BEKISTING KOLOM (Material) — ratio 13.333333333333334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2.923976608187134</v>
      </c>
      <c r="J19">
        <v>584795.3216374269</v>
      </c>
      <c r="K19">
        <v>15.754385964912279</v>
      </c>
      <c r="L19">
        <v>3150877.1929824557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14.61988304093567</v>
      </c>
      <c r="J20">
        <v>859649.1228070174</v>
      </c>
      <c r="K20">
        <v>78.7719298245614</v>
      </c>
      <c r="L20">
        <v>4631789.473684209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2.923976608187134</v>
      </c>
      <c r="J21">
        <v>171929.82456140348</v>
      </c>
      <c r="K21">
        <v>15.754385964912279</v>
      </c>
      <c r="L21">
        <v>926357.8947368419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2.923976608187134</v>
      </c>
      <c r="J22">
        <v>38011.695906432746</v>
      </c>
      <c r="K22">
        <v>15.754385964912279</v>
      </c>
      <c r="L22">
        <v>204807.01754385963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3.333333333333333</v>
      </c>
      <c r="J23">
        <v>91666.66666666666</v>
      </c>
      <c r="K23">
        <v>17.959999999999997</v>
      </c>
      <c r="L23">
        <v>493899.99999999994</v>
      </c>
    </row>
    <row r="24">
      <c r="A24">
        <v>5</v>
      </c>
      <c r="B24" t="str">
        <v>PEMBESIAN (Material) — ratio 261.59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83.14168429844098</v>
      </c>
      <c r="F25" t="str">
        <v>kg</v>
      </c>
      <c r="G25" t="str">
        <v>per m3 beton</v>
      </c>
      <c r="H25">
        <v>9500</v>
      </c>
      <c r="I25">
        <v>83.14168429844098</v>
      </c>
      <c r="J25">
        <v>789846.0008351892</v>
      </c>
      <c r="K25">
        <v>447.967395</v>
      </c>
      <c r="L25">
        <v>4255690.2524999995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178.44539866369715</v>
      </c>
      <c r="F26" t="str">
        <v>kg</v>
      </c>
      <c r="G26" t="str">
        <v>per m3 beton</v>
      </c>
      <c r="H26">
        <v>9500</v>
      </c>
      <c r="I26">
        <v>178.44539866369715</v>
      </c>
      <c r="J26">
        <v>1695231.287305123</v>
      </c>
      <c r="K26">
        <v>961.4638080000002</v>
      </c>
      <c r="L26">
        <v>9133906.176000003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13.079354148106919</v>
      </c>
      <c r="J27">
        <v>124253.86440701573</v>
      </c>
      <c r="K27">
        <v>70.47156015000007</v>
      </c>
      <c r="L27">
        <v>669479.8214250008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261.58708296213814</v>
      </c>
      <c r="J28">
        <v>26158.708296213816</v>
      </c>
      <c r="K28">
        <v>1409.4312030000003</v>
      </c>
      <c r="L28">
        <v>140943.12030000004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5.493328742204901</v>
      </c>
      <c r="J29">
        <v>96133.25298858577</v>
      </c>
      <c r="K29">
        <v>29.598055263000006</v>
      </c>
      <c r="L29">
        <v>517965.9671025001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7566450.745411076</v>
      </c>
      <c r="J31" t="str">
        <v/>
      </c>
      <c r="K31" t="str">
        <v/>
      </c>
      <c r="L31">
        <v>40768036.61627488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7566450.745411076</v>
      </c>
    </row>
    <row r="35">
      <c r="A35" t="str">
        <v>RAB (A) source unit cost</v>
      </c>
      <c r="B35">
        <v>7566450.745411074</v>
      </c>
    </row>
    <row r="36">
      <c r="A36" t="str">
        <v>Variance</v>
      </c>
      <c r="B36">
        <v>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40768036.61627488</v>
      </c>
    </row>
    <row r="39">
      <c r="A39" t="str">
        <v>RAB (A) source line total</v>
      </c>
      <c r="B39">
        <v>46883242.10871609</v>
      </c>
    </row>
    <row r="40">
      <c r="A40" t="str">
        <v>Variance</v>
      </c>
      <c r="B40">
        <v>-6115205.492441215</v>
      </c>
      <c r="C40" t="str">
        <v>✓ OK</v>
      </c>
    </row>
  </sheetData>
  <ignoredErrors>
    <ignoredError numberStoredAsText="1" sqref="A1:L40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III.A.11.3.4 - Kolom K2A5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K2A5</v>
      </c>
    </row>
    <row r="5">
      <c r="A5" t="str">
        <v>Unit</v>
      </c>
      <c r="B5" t="str">
        <v>m3</v>
      </c>
    </row>
    <row r="6">
      <c r="A6" t="str">
        <v>Volume</v>
      </c>
      <c r="B6">
        <v>1.15</v>
      </c>
    </row>
    <row r="7">
      <c r="A7" t="str">
        <v>Unit cost (Rp/m3)</v>
      </c>
      <c r="B7">
        <v>7096649.11752627</v>
      </c>
    </row>
    <row r="8">
      <c r="A8" t="str">
        <v>Line total at-cost (Rp)</v>
      </c>
      <c r="B8">
        <v>8161146.485155211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1.2075</v>
      </c>
      <c r="L12">
        <v>1407341.25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1.15</v>
      </c>
      <c r="L14">
        <v>17250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1.15</v>
      </c>
      <c r="L15">
        <v>287500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1.15</v>
      </c>
      <c r="L17">
        <v>1839999.9999999998</v>
      </c>
    </row>
    <row r="18">
      <c r="A18">
        <v>4</v>
      </c>
      <c r="B18" t="str">
        <v>BEKISTING KOLOM (Material) — ratio 12.000000000000002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2.6315789473684212</v>
      </c>
      <c r="J19">
        <v>526315.7894736843</v>
      </c>
      <c r="K19">
        <v>3.026315789473684</v>
      </c>
      <c r="L19">
        <v>605263.1578947369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13.157894736842106</v>
      </c>
      <c r="J20">
        <v>773684.2105263158</v>
      </c>
      <c r="K20">
        <v>15.131578947368421</v>
      </c>
      <c r="L20">
        <v>889736.8421052631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2.6315789473684212</v>
      </c>
      <c r="J21">
        <v>154736.84210526317</v>
      </c>
      <c r="K21">
        <v>3.026315789473684</v>
      </c>
      <c r="L21">
        <v>177947.36842105264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2.6315789473684212</v>
      </c>
      <c r="J22">
        <v>34210.52631578947</v>
      </c>
      <c r="K22">
        <v>3.026315789473684</v>
      </c>
      <c r="L22">
        <v>39342.10526315789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3.0000000000000004</v>
      </c>
      <c r="J23">
        <v>82500.00000000001</v>
      </c>
      <c r="K23">
        <v>3.45</v>
      </c>
      <c r="L23">
        <v>94875.00000000001</v>
      </c>
    </row>
    <row r="24">
      <c r="A24">
        <v>5</v>
      </c>
      <c r="B24" t="str">
        <v>PEMBESIAN (Material) — ratio 233.32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93.22552173913044</v>
      </c>
      <c r="F25" t="str">
        <v>kg</v>
      </c>
      <c r="G25" t="str">
        <v>per m3 beton</v>
      </c>
      <c r="H25">
        <v>9500</v>
      </c>
      <c r="I25">
        <v>93.22552173913044</v>
      </c>
      <c r="J25">
        <v>885642.4565217393</v>
      </c>
      <c r="K25">
        <v>107.20935</v>
      </c>
      <c r="L25">
        <v>1018488.8250000001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140.0928166956522</v>
      </c>
      <c r="F26" t="str">
        <v>kg</v>
      </c>
      <c r="G26" t="str">
        <v>per m3 beton</v>
      </c>
      <c r="H26">
        <v>9500</v>
      </c>
      <c r="I26">
        <v>140.0928166956522</v>
      </c>
      <c r="J26">
        <v>1330881.7586086958</v>
      </c>
      <c r="K26">
        <v>161.10673920000002</v>
      </c>
      <c r="L26">
        <v>1530514.0224000001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11.665916921739143</v>
      </c>
      <c r="J27">
        <v>110826.21075652186</v>
      </c>
      <c r="K27">
        <v>13.415804460000013</v>
      </c>
      <c r="L27">
        <v>127450.14237000013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233.31833843478265</v>
      </c>
      <c r="J28">
        <v>23331.833843478264</v>
      </c>
      <c r="K28">
        <v>268.3160892</v>
      </c>
      <c r="L28">
        <v>26831.608920000002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4.899685107130436</v>
      </c>
      <c r="J29">
        <v>85744.48937478263</v>
      </c>
      <c r="K29">
        <v>5.634637873200001</v>
      </c>
      <c r="L29">
        <v>98606.16278100002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7096649.11752627</v>
      </c>
      <c r="J31" t="str">
        <v/>
      </c>
      <c r="K31" t="str">
        <v/>
      </c>
      <c r="L31">
        <v>8161146.485155211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7096649.11752627</v>
      </c>
    </row>
    <row r="35">
      <c r="A35" t="str">
        <v>RAB (A) source unit cost</v>
      </c>
      <c r="B35">
        <v>7096649.11752627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8161146.485155211</v>
      </c>
    </row>
    <row r="39">
      <c r="A39" t="str">
        <v>RAB (A) source line total</v>
      </c>
      <c r="B39">
        <v>9385318.457928492</v>
      </c>
    </row>
    <row r="40">
      <c r="A40" t="str">
        <v>Variance</v>
      </c>
      <c r="B40">
        <v>-1224171.972773281</v>
      </c>
      <c r="C40" t="str">
        <v>✓ OK</v>
      </c>
    </row>
  </sheetData>
  <ignoredErrors>
    <ignoredError numberStoredAsText="1" sqref="A1:L40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III.A.11.3.5 - Kolom K2A6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K2A6</v>
      </c>
    </row>
    <row r="5">
      <c r="A5" t="str">
        <v>Unit</v>
      </c>
      <c r="B5" t="str">
        <v>m3</v>
      </c>
    </row>
    <row r="6">
      <c r="A6" t="str">
        <v>Volume</v>
      </c>
      <c r="B6">
        <v>0.69</v>
      </c>
    </row>
    <row r="7">
      <c r="A7" t="str">
        <v>Unit cost (Rp/m3)</v>
      </c>
      <c r="B7">
        <v>6995753.581766019</v>
      </c>
    </row>
    <row r="8">
      <c r="A8" t="str">
        <v>Line total at-cost (Rp)</v>
      </c>
      <c r="B8">
        <v>4827069.971418552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0.7244999999999999</v>
      </c>
      <c r="L12">
        <v>844404.7499999999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0.69</v>
      </c>
      <c r="L14">
        <v>10350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0.69</v>
      </c>
      <c r="L15">
        <v>172500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0.69</v>
      </c>
      <c r="L17">
        <v>1104000</v>
      </c>
    </row>
    <row r="18">
      <c r="A18">
        <v>4</v>
      </c>
      <c r="B18" t="str">
        <v>BEKISTING KOLOM (Material) — ratio 11.333333333333334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2.4853801169590644</v>
      </c>
      <c r="J19">
        <v>497076.02339181287</v>
      </c>
      <c r="K19">
        <v>1.7149122807017543</v>
      </c>
      <c r="L19">
        <v>342982.45614035084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12.426900584795321</v>
      </c>
      <c r="J20">
        <v>730701.754385965</v>
      </c>
      <c r="K20">
        <v>8.57456140350877</v>
      </c>
      <c r="L20">
        <v>504184.2105263158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2.4853801169590644</v>
      </c>
      <c r="J21">
        <v>146140.35087719298</v>
      </c>
      <c r="K21">
        <v>1.7149122807017543</v>
      </c>
      <c r="L21">
        <v>100836.84210526315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2.4853801169590644</v>
      </c>
      <c r="J22">
        <v>32309.941520467837</v>
      </c>
      <c r="K22">
        <v>1.7149122807017543</v>
      </c>
      <c r="L22">
        <v>22293.859649122805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2.8333333333333335</v>
      </c>
      <c r="J23">
        <v>77916.66666666667</v>
      </c>
      <c r="K23">
        <v>1.9549999999999998</v>
      </c>
      <c r="L23">
        <v>53762.5</v>
      </c>
    </row>
    <row r="24">
      <c r="A24">
        <v>5</v>
      </c>
      <c r="B24" t="str">
        <v>PEMBESIAN (Material) — ratio 232.02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86.08663043478262</v>
      </c>
      <c r="F25" t="str">
        <v>kg</v>
      </c>
      <c r="G25" t="str">
        <v>per m3 beton</v>
      </c>
      <c r="H25">
        <v>9500</v>
      </c>
      <c r="I25">
        <v>86.08663043478262</v>
      </c>
      <c r="J25">
        <v>817822.9891304349</v>
      </c>
      <c r="K25">
        <v>59.399775000000005</v>
      </c>
      <c r="L25">
        <v>564297.8625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145.93001739130435</v>
      </c>
      <c r="F26" t="str">
        <v>kg</v>
      </c>
      <c r="G26" t="str">
        <v>per m3 beton</v>
      </c>
      <c r="H26">
        <v>9500</v>
      </c>
      <c r="I26">
        <v>145.93001739130435</v>
      </c>
      <c r="J26">
        <v>1386335.1652173912</v>
      </c>
      <c r="K26">
        <v>100.691712</v>
      </c>
      <c r="L26">
        <v>956571.2639999999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11.600832391304358</v>
      </c>
      <c r="J27">
        <v>110207.9077173914</v>
      </c>
      <c r="K27">
        <v>8.004574350000006</v>
      </c>
      <c r="L27">
        <v>76043.45632500006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232.01664782608697</v>
      </c>
      <c r="J28">
        <v>23201.664782608696</v>
      </c>
      <c r="K28">
        <v>160.091487</v>
      </c>
      <c r="L28">
        <v>16009.148699999998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4.872349604347827</v>
      </c>
      <c r="J29">
        <v>85266.11807608696</v>
      </c>
      <c r="K29">
        <v>3.3619212270000003</v>
      </c>
      <c r="L29">
        <v>58833.621472499995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6995753.581766019</v>
      </c>
      <c r="J31" t="str">
        <v/>
      </c>
      <c r="K31" t="str">
        <v/>
      </c>
      <c r="L31">
        <v>4827069.971418552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6995753.581766019</v>
      </c>
    </row>
    <row r="35">
      <c r="A35" t="str">
        <v>RAB (A) source unit cost</v>
      </c>
      <c r="B35">
        <v>6995753.581766019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4827069.971418552</v>
      </c>
    </row>
    <row r="39">
      <c r="A39" t="str">
        <v>RAB (A) source line total</v>
      </c>
      <c r="B39">
        <v>5551130.467131335</v>
      </c>
    </row>
    <row r="40">
      <c r="A40" t="str">
        <v>Variance</v>
      </c>
      <c r="B40">
        <v>-724060.4957127832</v>
      </c>
      <c r="C40" t="str">
        <v>✓ OK</v>
      </c>
    </row>
  </sheetData>
  <ignoredErrors>
    <ignoredError numberStoredAsText="1" sqref="A1:L40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III.A.11.3.6 - Kolom K4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K4</v>
      </c>
    </row>
    <row r="5">
      <c r="A5" t="str">
        <v>Unit</v>
      </c>
      <c r="B5" t="str">
        <v>m3</v>
      </c>
    </row>
    <row r="6">
      <c r="A6" t="str">
        <v>Volume</v>
      </c>
      <c r="B6">
        <v>5.664399999999999</v>
      </c>
    </row>
    <row r="7">
      <c r="A7" t="str">
        <v>Unit cost (Rp/m3)</v>
      </c>
      <c r="B7">
        <v>8302538.049870685</v>
      </c>
    </row>
    <row r="8">
      <c r="A8" t="str">
        <v>Line total at-cost (Rp)</v>
      </c>
      <c r="B8">
        <v>47028896.529687494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5.947619999999999</v>
      </c>
      <c r="L12">
        <v>6931951.1099999985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5.664399999999999</v>
      </c>
      <c r="L14">
        <v>84965.99999999999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5.664399999999999</v>
      </c>
      <c r="L15">
        <v>1416099.9999999998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5.664399999999999</v>
      </c>
      <c r="L17">
        <v>9063039.999999998</v>
      </c>
    </row>
    <row r="18">
      <c r="A18">
        <v>4</v>
      </c>
      <c r="B18" t="str">
        <v>BEKISTING KOLOM (Material) — ratio 16.764705882352942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3.676470588235294</v>
      </c>
      <c r="J19">
        <v>735294.1176470588</v>
      </c>
      <c r="K19">
        <v>20.824999999999996</v>
      </c>
      <c r="L19">
        <v>4164999.999999999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18.38235294117647</v>
      </c>
      <c r="J20">
        <v>1080882.3529411764</v>
      </c>
      <c r="K20">
        <v>104.12499999999999</v>
      </c>
      <c r="L20">
        <v>6122549.999999998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3.676470588235294</v>
      </c>
      <c r="J21">
        <v>216176.47058823527</v>
      </c>
      <c r="K21">
        <v>20.824999999999996</v>
      </c>
      <c r="L21">
        <v>1224509.9999999995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3.676470588235294</v>
      </c>
      <c r="J22">
        <v>47794.11764705882</v>
      </c>
      <c r="K22">
        <v>20.824999999999996</v>
      </c>
      <c r="L22">
        <v>270724.9999999999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4.1911764705882355</v>
      </c>
      <c r="J23">
        <v>115257.35294117648</v>
      </c>
      <c r="K23">
        <v>23.740499999999997</v>
      </c>
      <c r="L23">
        <v>652863.7499999999</v>
      </c>
    </row>
    <row r="24">
      <c r="A24">
        <v>5</v>
      </c>
      <c r="B24" t="str">
        <v>PEMBESIAN (Material) — ratio 289.05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105.15349816397152</v>
      </c>
      <c r="F25" t="str">
        <v>kg</v>
      </c>
      <c r="G25" t="str">
        <v>per m3 beton</v>
      </c>
      <c r="H25">
        <v>9500</v>
      </c>
      <c r="I25">
        <v>105.15349816397152</v>
      </c>
      <c r="J25">
        <v>998958.2325577295</v>
      </c>
      <c r="K25">
        <v>595.6314750000001</v>
      </c>
      <c r="L25">
        <v>5658499.012500001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183.8920980156769</v>
      </c>
      <c r="F26" t="str">
        <v>kg</v>
      </c>
      <c r="G26" t="str">
        <v>per m3 beton</v>
      </c>
      <c r="H26">
        <v>9500</v>
      </c>
      <c r="I26">
        <v>183.8920980156769</v>
      </c>
      <c r="J26">
        <v>1746974.9311489307</v>
      </c>
      <c r="K26">
        <v>1041.6384</v>
      </c>
      <c r="L26">
        <v>9895564.8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14.452279808982436</v>
      </c>
      <c r="J27">
        <v>137296.65818533313</v>
      </c>
      <c r="K27">
        <v>81.86349375000009</v>
      </c>
      <c r="L27">
        <v>777703.1906250009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289.04559617964844</v>
      </c>
      <c r="J28">
        <v>28904.559617964846</v>
      </c>
      <c r="K28">
        <v>1637.2698750000002</v>
      </c>
      <c r="L28">
        <v>163726.98750000005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6.069957519772617</v>
      </c>
      <c r="J29">
        <v>106224.2565960208</v>
      </c>
      <c r="K29">
        <v>34.382667375000004</v>
      </c>
      <c r="L29">
        <v>601696.6790625001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8302538.049870685</v>
      </c>
      <c r="J31" t="str">
        <v/>
      </c>
      <c r="K31" t="str">
        <v/>
      </c>
      <c r="L31">
        <v>47028896.529687494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8302538.049870685</v>
      </c>
    </row>
    <row r="35">
      <c r="A35" t="str">
        <v>RAB (A) source unit cost</v>
      </c>
      <c r="B35">
        <v>8302538.049870685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47028896.529687494</v>
      </c>
    </row>
    <row r="39">
      <c r="A39" t="str">
        <v>RAB (A) source line total</v>
      </c>
      <c r="B39">
        <v>54083231.00914062</v>
      </c>
    </row>
    <row r="40">
      <c r="A40" t="str">
        <v>Variance</v>
      </c>
      <c r="B40">
        <v>-7054334.479453124</v>
      </c>
      <c r="C40" t="str">
        <v>✓ OK</v>
      </c>
    </row>
  </sheetData>
  <ignoredErrors>
    <ignoredError numberStoredAsText="1" sqref="A1:L40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III.A.11.3.7 - Kolom KB2A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KB2A</v>
      </c>
    </row>
    <row r="5">
      <c r="A5" t="str">
        <v>Unit</v>
      </c>
      <c r="B5" t="str">
        <v>m3</v>
      </c>
    </row>
    <row r="6">
      <c r="A6" t="str">
        <v>Volume</v>
      </c>
      <c r="B6">
        <v>3.966260725157114</v>
      </c>
    </row>
    <row r="7">
      <c r="A7" t="str">
        <v>Unit cost (Rp/m3)</v>
      </c>
      <c r="B7">
        <v>4748685.864164773</v>
      </c>
    </row>
    <row r="8">
      <c r="A8" t="str">
        <v>Line total at-cost (Rp)</v>
      </c>
      <c r="B8">
        <v>18834526.23914551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4.16457376141497</v>
      </c>
      <c r="L12">
        <v>4853810.718929147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3.966260725157114</v>
      </c>
      <c r="L14">
        <v>59493.91087735671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3.966260725157114</v>
      </c>
      <c r="L15">
        <v>991565.1812892786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3.966260725157114</v>
      </c>
      <c r="L17">
        <v>6346017.160251383</v>
      </c>
    </row>
    <row r="18">
      <c r="A18">
        <v>4</v>
      </c>
      <c r="B18" t="str">
        <v>BEKISTING KOLOM (Material) — ratio 4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0.8771929824561403</v>
      </c>
      <c r="J19">
        <v>175438.59649122806</v>
      </c>
      <c r="K19">
        <v>3.4791760746992226</v>
      </c>
      <c r="L19">
        <v>695835.2149398446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4.385964912280701</v>
      </c>
      <c r="J20">
        <v>257894.73684210522</v>
      </c>
      <c r="K20">
        <v>17.395880373496112</v>
      </c>
      <c r="L20">
        <v>1022877.7659615714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0.8771929824561403</v>
      </c>
      <c r="J21">
        <v>51578.94736842105</v>
      </c>
      <c r="K21">
        <v>3.4791760746992226</v>
      </c>
      <c r="L21">
        <v>204575.5531923143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0.8771929824561403</v>
      </c>
      <c r="J22">
        <v>11403.508771929824</v>
      </c>
      <c r="K22">
        <v>3.4791760746992226</v>
      </c>
      <c r="L22">
        <v>45229.288971089896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1</v>
      </c>
      <c r="J23">
        <v>27500</v>
      </c>
      <c r="K23">
        <v>3.966260725157114</v>
      </c>
      <c r="L23">
        <v>109072.16994182064</v>
      </c>
    </row>
    <row r="24">
      <c r="A24">
        <v>5</v>
      </c>
      <c r="B24" t="str">
        <v>PEMBESIAN (Material) — ratio 108.80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51.571759999024145</v>
      </c>
      <c r="F25" t="str">
        <v>kg</v>
      </c>
      <c r="G25" t="str">
        <v>per m3 beton</v>
      </c>
      <c r="H25">
        <v>9500</v>
      </c>
      <c r="I25">
        <v>51.571759999024145</v>
      </c>
      <c r="J25">
        <v>489931.71999072935</v>
      </c>
      <c r="K25">
        <v>204.54704621135815</v>
      </c>
      <c r="L25">
        <v>1943196.9390079023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57.22355479064211</v>
      </c>
      <c r="F26" t="str">
        <v>kg</v>
      </c>
      <c r="G26" t="str">
        <v>per m3 beton</v>
      </c>
      <c r="H26">
        <v>9500</v>
      </c>
      <c r="I26">
        <v>57.22355479064211</v>
      </c>
      <c r="J26">
        <v>543623.7705111001</v>
      </c>
      <c r="K26">
        <v>226.96353792000002</v>
      </c>
      <c r="L26">
        <v>2156153.6102400003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5.439765739483318</v>
      </c>
      <c r="J27">
        <v>51677.77452509152</v>
      </c>
      <c r="K27">
        <v>21.57552920656793</v>
      </c>
      <c r="L27">
        <v>204967.52746239532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108.79531478966626</v>
      </c>
      <c r="J28">
        <v>10879.531478966626</v>
      </c>
      <c r="K28">
        <v>431.5105841313582</v>
      </c>
      <c r="L28">
        <v>43151.05841313582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2.284701610582992</v>
      </c>
      <c r="J29">
        <v>39982.278185202355</v>
      </c>
      <c r="K29">
        <v>9.061722266758524</v>
      </c>
      <c r="L29">
        <v>158580.13966827415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4748685.864164773</v>
      </c>
      <c r="J31" t="str">
        <v/>
      </c>
      <c r="K31" t="str">
        <v/>
      </c>
      <c r="L31">
        <v>18834526.23914551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4748685.864164773</v>
      </c>
    </row>
    <row r="35">
      <c r="A35" t="str">
        <v>RAB (A) source unit cost</v>
      </c>
      <c r="B35">
        <v>4748685.864164774</v>
      </c>
    </row>
    <row r="36">
      <c r="A36" t="str">
        <v>Variance</v>
      </c>
      <c r="B36">
        <v>-9.313225746154785e-10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18834526.23914551</v>
      </c>
    </row>
    <row r="39">
      <c r="A39" t="str">
        <v>RAB (A) source line total</v>
      </c>
      <c r="B39">
        <v>21659705.175017342</v>
      </c>
    </row>
    <row r="40">
      <c r="A40" t="str">
        <v>Variance</v>
      </c>
      <c r="B40">
        <v>-2825178.935871832</v>
      </c>
      <c r="C40" t="str">
        <v>✓ OK</v>
      </c>
    </row>
  </sheetData>
  <ignoredErrors>
    <ignoredError numberStoredAsText="1" sqref="A1:L40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III.A.11.3.8 - Kolom KL55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KL55</v>
      </c>
    </row>
    <row r="5">
      <c r="A5" t="str">
        <v>Unit</v>
      </c>
      <c r="B5" t="str">
        <v>m3</v>
      </c>
    </row>
    <row r="6">
      <c r="A6" t="str">
        <v>Volume</v>
      </c>
      <c r="B6">
        <v>6.579000000000001</v>
      </c>
    </row>
    <row r="7">
      <c r="A7" t="str">
        <v>Unit cost (Rp/m3)</v>
      </c>
      <c r="B7">
        <v>7719280.005888761</v>
      </c>
    </row>
    <row r="8">
      <c r="A8" t="str">
        <v>Line total at-cost (Rp)</v>
      </c>
      <c r="B8">
        <v>50785143.15874217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6.907950000000001</v>
      </c>
      <c r="L12">
        <v>8051215.725000001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6.579000000000001</v>
      </c>
      <c r="L14">
        <v>98685.00000000001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6.579000000000001</v>
      </c>
      <c r="L15">
        <v>1644750.0000000002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6.579000000000001</v>
      </c>
      <c r="L17">
        <v>10526400.000000002</v>
      </c>
    </row>
    <row r="18">
      <c r="A18">
        <v>4</v>
      </c>
      <c r="B18" t="str">
        <v>BEKISTING KOLOM (Material) — ratio 15.764705882352937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3.4571723426212575</v>
      </c>
      <c r="J19">
        <v>691434.4685242515</v>
      </c>
      <c r="K19">
        <v>22.744736842105254</v>
      </c>
      <c r="L19">
        <v>4548947.368421051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17.285861713106286</v>
      </c>
      <c r="J20">
        <v>1016408.6687306496</v>
      </c>
      <c r="K20">
        <v>113.72368421052626</v>
      </c>
      <c r="L20">
        <v>6686952.631578945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3.4571723426212575</v>
      </c>
      <c r="J21">
        <v>203281.73374612993</v>
      </c>
      <c r="K21">
        <v>22.744736842105254</v>
      </c>
      <c r="L21">
        <v>1337390.526315789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3.4571723426212575</v>
      </c>
      <c r="J22">
        <v>44943.240454076345</v>
      </c>
      <c r="K22">
        <v>22.744736842105254</v>
      </c>
      <c r="L22">
        <v>295681.5789473683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3.941176470588234</v>
      </c>
      <c r="J23">
        <v>108382.35294117645</v>
      </c>
      <c r="K23">
        <v>25.928999999999995</v>
      </c>
      <c r="L23">
        <v>713047.4999999999</v>
      </c>
    </row>
    <row r="24">
      <c r="A24">
        <v>5</v>
      </c>
      <c r="B24" t="str">
        <v>PEMBESIAN (Material) — ratio 245.73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98.45820793433654</v>
      </c>
      <c r="F25" t="str">
        <v>kg</v>
      </c>
      <c r="G25" t="str">
        <v>per m3 beton</v>
      </c>
      <c r="H25">
        <v>9500</v>
      </c>
      <c r="I25">
        <v>98.45820793433654</v>
      </c>
      <c r="J25">
        <v>935352.9753761971</v>
      </c>
      <c r="K25">
        <v>647.7565500000002</v>
      </c>
      <c r="L25">
        <v>6153687.2250000015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147.27361313269495</v>
      </c>
      <c r="F26" t="str">
        <v>kg</v>
      </c>
      <c r="G26" t="str">
        <v>per m3 beton</v>
      </c>
      <c r="H26">
        <v>9500</v>
      </c>
      <c r="I26">
        <v>147.27361313269495</v>
      </c>
      <c r="J26">
        <v>1399099.324760602</v>
      </c>
      <c r="K26">
        <v>968.9131008000002</v>
      </c>
      <c r="L26">
        <v>9204674.457600001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12.286591053351586</v>
      </c>
      <c r="J27">
        <v>116722.61500684006</v>
      </c>
      <c r="K27">
        <v>80.83348254000009</v>
      </c>
      <c r="L27">
        <v>767918.0841300008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245.7318210670315</v>
      </c>
      <c r="J28">
        <v>24573.18210670315</v>
      </c>
      <c r="K28">
        <v>1616.6696508000002</v>
      </c>
      <c r="L28">
        <v>161666.96508000002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5.160368242407662</v>
      </c>
      <c r="J29">
        <v>90306.44424213408</v>
      </c>
      <c r="K29">
        <v>33.95006266680001</v>
      </c>
      <c r="L29">
        <v>594126.0966690001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7719280.005888761</v>
      </c>
      <c r="J31" t="str">
        <v/>
      </c>
      <c r="K31" t="str">
        <v/>
      </c>
      <c r="L31">
        <v>50785143.15874217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7719280.005888761</v>
      </c>
    </row>
    <row r="35">
      <c r="A35" t="str">
        <v>RAB (A) source unit cost</v>
      </c>
      <c r="B35">
        <v>7719280.00588876</v>
      </c>
    </row>
    <row r="36">
      <c r="A36" t="str">
        <v>Variance</v>
      </c>
      <c r="B36">
        <v>9.313225746154785e-10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50785143.15874217</v>
      </c>
    </row>
    <row r="39">
      <c r="A39" t="str">
        <v>RAB (A) source line total</v>
      </c>
      <c r="B39">
        <v>58402914.63255347</v>
      </c>
    </row>
    <row r="40">
      <c r="A40" t="str">
        <v>Variance</v>
      </c>
      <c r="B40">
        <v>-7617771.473811306</v>
      </c>
      <c r="C40" t="str">
        <v>✓ OK</v>
      </c>
    </row>
  </sheetData>
  <ignoredErrors>
    <ignoredError numberStoredAsText="1" sqref="A1:L40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III.A.11.3.9 - Kolom KL66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KL66</v>
      </c>
    </row>
    <row r="5">
      <c r="A5" t="str">
        <v>Unit</v>
      </c>
      <c r="B5" t="str">
        <v>m3</v>
      </c>
    </row>
    <row r="6">
      <c r="A6" t="str">
        <v>Volume</v>
      </c>
      <c r="B6">
        <v>2.9988</v>
      </c>
    </row>
    <row r="7">
      <c r="A7" t="str">
        <v>Unit cost (Rp/m3)</v>
      </c>
      <c r="B7">
        <v>8183104.995863555</v>
      </c>
    </row>
    <row r="8">
      <c r="A8" t="str">
        <v>Line total at-cost (Rp)</v>
      </c>
      <c r="B8">
        <v>24539495.26159563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3.14874</v>
      </c>
      <c r="L12">
        <v>3669856.47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2.9988</v>
      </c>
      <c r="L14">
        <v>44982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2.9988</v>
      </c>
      <c r="L15">
        <v>749700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2.9988</v>
      </c>
      <c r="L17">
        <v>4798080</v>
      </c>
    </row>
    <row r="18">
      <c r="A18">
        <v>4</v>
      </c>
      <c r="B18" t="str">
        <v>BEKISTING KOLOM (Material) — ratio 15.098039215686272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3.3109735122119015</v>
      </c>
      <c r="J19">
        <v>662194.7024423803</v>
      </c>
      <c r="K19">
        <v>9.928947368421051</v>
      </c>
      <c r="L19">
        <v>1985789.47368421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16.554867561059506</v>
      </c>
      <c r="J20">
        <v>973426.212590299</v>
      </c>
      <c r="K20">
        <v>49.644736842105246</v>
      </c>
      <c r="L20">
        <v>2919110.5263157887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3.3109735122119015</v>
      </c>
      <c r="J21">
        <v>194685.24251805982</v>
      </c>
      <c r="K21">
        <v>9.928947368421051</v>
      </c>
      <c r="L21">
        <v>583822.1052631579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3.3109735122119015</v>
      </c>
      <c r="J22">
        <v>43042.65565875472</v>
      </c>
      <c r="K22">
        <v>9.928947368421051</v>
      </c>
      <c r="L22">
        <v>129076.31578947365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3.774509803921568</v>
      </c>
      <c r="J23">
        <v>103799.01960784312</v>
      </c>
      <c r="K23">
        <v>11.318999999999999</v>
      </c>
      <c r="L23">
        <v>311272.49999999994</v>
      </c>
    </row>
    <row r="24">
      <c r="A24">
        <v>5</v>
      </c>
      <c r="B24" t="str">
        <v>PEMBESIAN (Material) — ratio 298.51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129.759393757503</v>
      </c>
      <c r="F25" t="str">
        <v>kg</v>
      </c>
      <c r="G25" t="str">
        <v>per m3 beton</v>
      </c>
      <c r="H25">
        <v>9500</v>
      </c>
      <c r="I25">
        <v>129.759393757503</v>
      </c>
      <c r="J25">
        <v>1232714.2406962786</v>
      </c>
      <c r="K25">
        <v>389.12247</v>
      </c>
      <c r="L25">
        <v>3696663.4650000003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168.74979111644657</v>
      </c>
      <c r="F26" t="str">
        <v>kg</v>
      </c>
      <c r="G26" t="str">
        <v>per m3 beton</v>
      </c>
      <c r="H26">
        <v>9500</v>
      </c>
      <c r="I26">
        <v>168.74979111644657</v>
      </c>
      <c r="J26">
        <v>1603123.0156062425</v>
      </c>
      <c r="K26">
        <v>506.0468736</v>
      </c>
      <c r="L26">
        <v>4807445.2992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14.925459243697494</v>
      </c>
      <c r="J27">
        <v>141791.8628151262</v>
      </c>
      <c r="K27">
        <v>44.758467180000046</v>
      </c>
      <c r="L27">
        <v>425205.43821000046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298.5091848739496</v>
      </c>
      <c r="J28">
        <v>29850.91848739496</v>
      </c>
      <c r="K28">
        <v>895.1693436000002</v>
      </c>
      <c r="L28">
        <v>89516.93436000001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6.268692882352942</v>
      </c>
      <c r="J29">
        <v>109702.1254411765</v>
      </c>
      <c r="K29">
        <v>18.798556215600005</v>
      </c>
      <c r="L29">
        <v>328974.7337730001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8183104.995863555</v>
      </c>
      <c r="J31" t="str">
        <v/>
      </c>
      <c r="K31" t="str">
        <v/>
      </c>
      <c r="L31">
        <v>24539495.26159563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8183104.995863555</v>
      </c>
    </row>
    <row r="35">
      <c r="A35" t="str">
        <v>RAB (A) source unit cost</v>
      </c>
      <c r="B35">
        <v>8183104.995863556</v>
      </c>
    </row>
    <row r="36">
      <c r="A36" t="str">
        <v>Variance</v>
      </c>
      <c r="B36">
        <v>-9.313225746154785e-10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24539495.26159563</v>
      </c>
    </row>
    <row r="39">
      <c r="A39" t="str">
        <v>RAB (A) source line total</v>
      </c>
      <c r="B39">
        <v>28220419.550834976</v>
      </c>
    </row>
    <row r="40">
      <c r="A40" t="str">
        <v>Variance</v>
      </c>
      <c r="B40">
        <v>-3680924.289239347</v>
      </c>
      <c r="C40" t="str">
        <v>✓ OK</v>
      </c>
    </row>
  </sheetData>
  <ignoredErrors>
    <ignoredError numberStoredAsText="1" sqref="A1:L40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III.A.11.4.1 -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46.99062981</v>
      </c>
    </row>
    <row r="7">
      <c r="A7" t="str">
        <v>Unit cost (Rp/m3)</v>
      </c>
      <c r="B7">
        <v>3350307.6658422817</v>
      </c>
    </row>
    <row r="8">
      <c r="A8" t="str">
        <v>Line total at-cost (Rp)</v>
      </c>
      <c r="B8">
        <v>157433067.27519983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46.99062981</v>
      </c>
      <c r="L12">
        <v>57505957.995732754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800000</v>
      </c>
      <c r="I14">
        <v>1</v>
      </c>
      <c r="J14">
        <v>800000</v>
      </c>
      <c r="K14">
        <v>46.99062981</v>
      </c>
      <c r="L14">
        <v>37592503.848000005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90000</v>
      </c>
      <c r="I16">
        <v>1</v>
      </c>
      <c r="J16">
        <v>90000</v>
      </c>
      <c r="K16">
        <v>46.99062981</v>
      </c>
      <c r="L16">
        <v>4229156.6829</v>
      </c>
    </row>
    <row r="17">
      <c r="A17">
        <v>4</v>
      </c>
      <c r="B17" t="str">
        <v>BEKISTING (Material) — ratio 0.8002534793010471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0.8002534793010471</v>
      </c>
      <c r="F18" t="str">
        <v>m2</v>
      </c>
      <c r="G18" t="str">
        <v>per m² of formwork</v>
      </c>
      <c r="H18">
        <v>113100</v>
      </c>
      <c r="I18">
        <v>0.8002534793010471</v>
      </c>
      <c r="J18">
        <v>90508.66850894842</v>
      </c>
      <c r="K18">
        <v>37.604415</v>
      </c>
      <c r="L18">
        <v>4253059.3365</v>
      </c>
    </row>
    <row r="19">
      <c r="A19">
        <v>5</v>
      </c>
      <c r="B19" t="str">
        <v>PEMBESIAN (Material) — ratio 109.75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109.74613333333332</v>
      </c>
      <c r="F20" t="str">
        <v>kg</v>
      </c>
      <c r="G20" t="str">
        <v>per kg finished pembesian (blended: raw besi + decking + bendrat)</v>
      </c>
      <c r="H20">
        <v>10442.5</v>
      </c>
      <c r="I20">
        <v>109.74613333333332</v>
      </c>
      <c r="J20">
        <v>1146023.9973333331</v>
      </c>
      <c r="K20">
        <v>5157.039924545567</v>
      </c>
      <c r="L20">
        <v>53852389.412067086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3350307.6658422817</v>
      </c>
      <c r="J22" t="str">
        <v/>
      </c>
      <c r="K22" t="str">
        <v/>
      </c>
      <c r="L22">
        <v>157433067.27519983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3350307.6658422817</v>
      </c>
    </row>
    <row r="26">
      <c r="A26" t="str">
        <v>RAB (A) source unit cost</v>
      </c>
      <c r="B26">
        <v>3350307.6658422817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157433067.27519983</v>
      </c>
    </row>
    <row r="30">
      <c r="A30" t="str">
        <v>RAB (A) source line total</v>
      </c>
      <c r="B30">
        <v>181048027.3664798</v>
      </c>
    </row>
    <row r="31">
      <c r="A31" t="str">
        <v>Variance</v>
      </c>
      <c r="B31">
        <v>-23614960.091279984</v>
      </c>
      <c r="C31" t="str">
        <v>✓ OK</v>
      </c>
    </row>
  </sheetData>
  <ignoredErrors>
    <ignoredError numberStoredAsText="1" sqref="A1:L31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(A) III.A.11.4.2 - Plat kolam renang - tebal 20 cm, besi D10-150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kolam renang - tebal 20 cm, besi D10-150 (2 lapis)</v>
      </c>
    </row>
    <row r="5">
      <c r="A5" t="str">
        <v>Unit</v>
      </c>
      <c r="B5" t="str">
        <v>m3</v>
      </c>
    </row>
    <row r="6">
      <c r="A6" t="str">
        <v>Volume</v>
      </c>
      <c r="B6">
        <v>4.9137356</v>
      </c>
    </row>
    <row r="7">
      <c r="A7" t="str">
        <v>Unit cost (Rp/m3)</v>
      </c>
      <c r="B7">
        <v>3311208.827672422</v>
      </c>
    </row>
    <row r="8">
      <c r="A8" t="str">
        <v>Line total at-cost (Rp)</v>
      </c>
      <c r="B8">
        <v>16270404.695568245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5.15942238</v>
      </c>
      <c r="L12">
        <v>6013306.78389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4.9137356</v>
      </c>
      <c r="L14">
        <v>73706.034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4.9137356</v>
      </c>
      <c r="L15">
        <v>368530.17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800000</v>
      </c>
      <c r="I17">
        <v>1</v>
      </c>
      <c r="J17">
        <v>800000</v>
      </c>
      <c r="K17">
        <v>4.9137356</v>
      </c>
      <c r="L17">
        <v>3930988.48</v>
      </c>
    </row>
    <row r="18">
      <c r="A18">
        <v>4</v>
      </c>
      <c r="B18" t="str">
        <v>BEKISTING BATA MERAH UNTUK POER DAN SLOOF (CAMPURAN 1:4) (Material) — ratio 0.8974841869798612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Bata Biasa (poklu')</v>
      </c>
      <c r="D19" t="str">
        <v/>
      </c>
      <c r="E19">
        <v>70</v>
      </c>
      <c r="F19" t="str">
        <v>pcs</v>
      </c>
      <c r="G19" t="str">
        <v>per m² form (cycle 1.00)</v>
      </c>
      <c r="H19">
        <v>750</v>
      </c>
      <c r="I19">
        <v>62.82389308859028</v>
      </c>
      <c r="J19">
        <v>47117.919816442714</v>
      </c>
      <c r="K19">
        <v>308.7</v>
      </c>
      <c r="L19">
        <v>231525.00000000003</v>
      </c>
    </row>
    <row r="20">
      <c r="A20" t="str">
        <v/>
      </c>
      <c r="B20" t="str">
        <v/>
      </c>
      <c r="C20" t="str">
        <v>Semen PC @50kg</v>
      </c>
      <c r="D20" t="str">
        <v/>
      </c>
      <c r="E20">
        <v>0.36</v>
      </c>
      <c r="F20" t="str">
        <v>sak</v>
      </c>
      <c r="G20" t="str">
        <v>per m² form (cycle 1.00)</v>
      </c>
      <c r="H20">
        <v>65000</v>
      </c>
      <c r="I20">
        <v>0.32309430731275</v>
      </c>
      <c r="J20">
        <v>21001.12997532875</v>
      </c>
      <c r="K20">
        <v>1.5876000000000001</v>
      </c>
      <c r="L20">
        <v>103194</v>
      </c>
    </row>
    <row r="21">
      <c r="A21" t="str">
        <v/>
      </c>
      <c r="B21" t="str">
        <v/>
      </c>
      <c r="C21" t="str">
        <v>Pasir  Kertosono</v>
      </c>
      <c r="D21" t="str">
        <v/>
      </c>
      <c r="E21">
        <v>0.072</v>
      </c>
      <c r="F21" t="str">
        <v>m3</v>
      </c>
      <c r="G21" t="str">
        <v>per m² form (cycle 1.00)</v>
      </c>
      <c r="H21">
        <v>350000</v>
      </c>
      <c r="I21">
        <v>0.06461886146255</v>
      </c>
      <c r="J21">
        <v>22616.6015118925</v>
      </c>
      <c r="K21">
        <v>0.31751999999999997</v>
      </c>
      <c r="L21">
        <v>111131.99999999999</v>
      </c>
    </row>
    <row r="22">
      <c r="A22" t="str">
        <v/>
      </c>
      <c r="B22" t="str">
        <v/>
      </c>
      <c r="C22" t="str">
        <v>Air Kerja</v>
      </c>
      <c r="D22" t="str">
        <v/>
      </c>
      <c r="E22">
        <v>0.3</v>
      </c>
      <c r="F22" t="str">
        <v>m3</v>
      </c>
      <c r="G22" t="str">
        <v>per m² form (cycle 1.00)</v>
      </c>
      <c r="H22">
        <v>40000</v>
      </c>
      <c r="I22">
        <v>0.26924525609395833</v>
      </c>
      <c r="J22">
        <v>10769.810243758333</v>
      </c>
      <c r="K22">
        <v>1.323</v>
      </c>
      <c r="L22">
        <v>52920</v>
      </c>
    </row>
    <row r="23">
      <c r="A23">
        <v>5</v>
      </c>
      <c r="B23" t="str">
        <v>PEMBESIAN (Material) — ratio 104.95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104.94885000000001</v>
      </c>
      <c r="F24" t="str">
        <v>kg</v>
      </c>
      <c r="G24" t="str">
        <v>per m3 beton</v>
      </c>
      <c r="H24">
        <v>9500</v>
      </c>
      <c r="I24">
        <v>104.94885000000001</v>
      </c>
      <c r="J24">
        <v>997014.0750000001</v>
      </c>
      <c r="K24">
        <v>515.69090042406</v>
      </c>
      <c r="L24">
        <v>4899063.554028571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9500</v>
      </c>
      <c r="I25">
        <v>5.247442500000005</v>
      </c>
      <c r="J25">
        <v>49850.70375000005</v>
      </c>
      <c r="K25">
        <v>25.784545021203026</v>
      </c>
      <c r="L25">
        <v>244953.17770142874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104.94885000000001</v>
      </c>
      <c r="J26">
        <v>10494.885</v>
      </c>
      <c r="K26">
        <v>515.69090042406</v>
      </c>
      <c r="L26">
        <v>51569.090042406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2.20392585</v>
      </c>
      <c r="J27">
        <v>38568.702375</v>
      </c>
      <c r="K27">
        <v>10.829508908905261</v>
      </c>
      <c r="L27">
        <v>189516.40590584205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3311208.827672422</v>
      </c>
      <c r="J29" t="str">
        <v/>
      </c>
      <c r="K29" t="str">
        <v/>
      </c>
      <c r="L29">
        <v>16270404.695568245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3311208.827672422</v>
      </c>
    </row>
    <row r="33">
      <c r="A33" t="str">
        <v>RAB (A) source unit cost</v>
      </c>
      <c r="B33">
        <v>3311208.8276724224</v>
      </c>
    </row>
    <row r="34">
      <c r="A34" t="str">
        <v>Variance</v>
      </c>
      <c r="B34">
        <v>-4.656612873077393e-10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16270404.695568245</v>
      </c>
    </row>
    <row r="37">
      <c r="A37" t="str">
        <v>RAB (A) source line total</v>
      </c>
      <c r="B37">
        <v>18710965.399903484</v>
      </c>
    </row>
    <row r="38">
      <c r="A38" t="str">
        <v>Variance</v>
      </c>
      <c r="B38">
        <v>-2440560.704335239</v>
      </c>
      <c r="C38" t="str">
        <v>✓ OK</v>
      </c>
    </row>
  </sheetData>
  <ignoredErrors>
    <ignoredError numberStoredAsText="1" sqref="A1:L38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III.A.11.5.1 - Dinding penahan tanah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penahan tanah</v>
      </c>
    </row>
    <row r="5">
      <c r="A5" t="str">
        <v>Unit</v>
      </c>
      <c r="B5" t="str">
        <v>m3</v>
      </c>
    </row>
    <row r="6">
      <c r="A6" t="str">
        <v>Volume</v>
      </c>
      <c r="B6">
        <v>8.573343750000001</v>
      </c>
    </row>
    <row r="7">
      <c r="A7" t="str">
        <v>Unit cost (Rp/m3)</v>
      </c>
      <c r="B7">
        <v>5789982.756480661</v>
      </c>
    </row>
    <row r="8">
      <c r="A8" t="str">
        <v>Line total at-cost (Rp)</v>
      </c>
      <c r="B8">
        <v>49639512.47788125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8.573343750000001</v>
      </c>
      <c r="L12">
        <v>10491843.747656252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8.573343750000001</v>
      </c>
      <c r="L14">
        <v>10288012.500000002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8.573343750000001</v>
      </c>
      <c r="L16">
        <v>1843268.9062500002</v>
      </c>
    </row>
    <row r="17">
      <c r="A17">
        <v>4</v>
      </c>
      <c r="B17" t="str">
        <v>BEKISTING (Material) — ratio 13.333333333333332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13.333333333333332</v>
      </c>
      <c r="F18" t="str">
        <v>m2</v>
      </c>
      <c r="G18" t="str">
        <v>per m² of formwork</v>
      </c>
      <c r="H18">
        <v>106232.63888888889</v>
      </c>
      <c r="I18">
        <v>13.333333333333332</v>
      </c>
      <c r="J18">
        <v>1416435.1851851852</v>
      </c>
      <c r="K18">
        <v>114.31125</v>
      </c>
      <c r="L18">
        <v>12143585.742187502</v>
      </c>
    </row>
    <row r="19">
      <c r="A19">
        <v>5</v>
      </c>
      <c r="B19" t="str">
        <v>PEMBESIAN (Material) — ratio 166.13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166.12617393301184</v>
      </c>
      <c r="F20" t="str">
        <v>kg</v>
      </c>
      <c r="G20" t="str">
        <v>per kg finished pembesian (blended: raw besi + decking + bendrat)</v>
      </c>
      <c r="H20">
        <v>10442.5</v>
      </c>
      <c r="I20">
        <v>166.12617393301184</v>
      </c>
      <c r="J20">
        <v>1734772.571295476</v>
      </c>
      <c r="K20">
        <v>1424.2567950000002</v>
      </c>
      <c r="L20">
        <v>14872801.5817875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5789982.756480661</v>
      </c>
      <c r="J22" t="str">
        <v/>
      </c>
      <c r="K22" t="str">
        <v/>
      </c>
      <c r="L22">
        <v>49639512.47788125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5789982.756480661</v>
      </c>
    </row>
    <row r="26">
      <c r="A26" t="str">
        <v>RAB (A) source unit cost</v>
      </c>
      <c r="B26">
        <v>5789982.756480661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49639512.47788125</v>
      </c>
    </row>
    <row r="30">
      <c r="A30" t="str">
        <v>RAB (A) source line total</v>
      </c>
      <c r="B30">
        <v>57085439.349563435</v>
      </c>
    </row>
    <row r="31">
      <c r="A31" t="str">
        <v>Variance</v>
      </c>
      <c r="B31">
        <v>-7445926.871682182</v>
      </c>
      <c r="C31" t="str">
        <v>✓ OK</v>
      </c>
    </row>
  </sheetData>
  <ignoredErrors>
    <ignoredError numberStoredAsText="1" sqref="A1:L31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III.A.11.5.2 - Dinding pagar alas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pagar alas</v>
      </c>
    </row>
    <row r="5">
      <c r="A5" t="str">
        <v>Unit</v>
      </c>
      <c r="B5" t="str">
        <v>m3</v>
      </c>
    </row>
    <row r="6">
      <c r="A6" t="str">
        <v>Volume</v>
      </c>
      <c r="B6">
        <v>31.741349999999997</v>
      </c>
    </row>
    <row r="7">
      <c r="A7" t="str">
        <v>Unit cost (Rp/m3)</v>
      </c>
      <c r="B7">
        <v>4819311.370732674</v>
      </c>
    </row>
    <row r="8">
      <c r="A8" t="str">
        <v>Line total at-cost (Rp)</v>
      </c>
      <c r="B8">
        <v>152971448.97740555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31.741349999999997</v>
      </c>
      <c r="L12">
        <v>38844270.59625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31.741349999999997</v>
      </c>
      <c r="L14">
        <v>38089620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31.741349999999997</v>
      </c>
      <c r="L16">
        <v>6824390.249999999</v>
      </c>
    </row>
    <row r="17">
      <c r="A17">
        <v>4</v>
      </c>
      <c r="B17" t="str">
        <v>BEKISTING (Material) — ratio 13.178866053271207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13.178866053271207</v>
      </c>
      <c r="F18" t="str">
        <v>m2</v>
      </c>
      <c r="G18" t="str">
        <v>per m² of formwork</v>
      </c>
      <c r="H18">
        <v>106232.63888888889</v>
      </c>
      <c r="I18">
        <v>13.178866053271207</v>
      </c>
      <c r="J18">
        <v>1400025.7184021964</v>
      </c>
      <c r="K18">
        <v>418.315</v>
      </c>
      <c r="L18">
        <v>44438706.33680555</v>
      </c>
    </row>
    <row r="19">
      <c r="A19">
        <v>5</v>
      </c>
      <c r="B19" t="str">
        <v>PEMBESIAN (Material) — ratio 74.74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74.74365835101534</v>
      </c>
      <c r="F20" t="str">
        <v>kg</v>
      </c>
      <c r="G20" t="str">
        <v>per kg finished pembesian (blended: raw besi + decking + bendrat)</v>
      </c>
      <c r="H20">
        <v>10442.5</v>
      </c>
      <c r="I20">
        <v>74.74365835101534</v>
      </c>
      <c r="J20">
        <v>780510.6523304777</v>
      </c>
      <c r="K20">
        <v>2372.4646200000007</v>
      </c>
      <c r="L20">
        <v>24774461.794350006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4819311.370732674</v>
      </c>
      <c r="J22" t="str">
        <v/>
      </c>
      <c r="K22" t="str">
        <v/>
      </c>
      <c r="L22">
        <v>152971448.97740555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4819311.370732674</v>
      </c>
    </row>
    <row r="26">
      <c r="A26" t="str">
        <v>RAB (A) source unit cost</v>
      </c>
      <c r="B26">
        <v>4819311.370732674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152971448.97740555</v>
      </c>
    </row>
    <row r="30">
      <c r="A30" t="str">
        <v>RAB (A) source line total</v>
      </c>
      <c r="B30">
        <v>175917166.3240164</v>
      </c>
    </row>
    <row r="31">
      <c r="A31" t="str">
        <v>Variance</v>
      </c>
      <c r="B31">
        <v>-22945717.346610844</v>
      </c>
      <c r="C31" t="str">
        <v>✓ OK</v>
      </c>
    </row>
  </sheetData>
  <ignoredErrors>
    <ignoredError numberStoredAsText="1" sqref="A1:L31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III.A.11.5.3 - Dinding kolam renang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kolam renang</v>
      </c>
    </row>
    <row r="5">
      <c r="A5" t="str">
        <v>Unit</v>
      </c>
      <c r="B5" t="str">
        <v>m3</v>
      </c>
    </row>
    <row r="6">
      <c r="A6" t="str">
        <v>Volume</v>
      </c>
      <c r="B6">
        <v>7.497</v>
      </c>
    </row>
    <row r="7">
      <c r="A7" t="str">
        <v>Unit cost (Rp/m3)</v>
      </c>
      <c r="B7">
        <v>5365516.114792851</v>
      </c>
    </row>
    <row r="8">
      <c r="A8" t="str">
        <v>Line total at-cost (Rp)</v>
      </c>
      <c r="B8">
        <v>40225274.312602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7.497</v>
      </c>
      <c r="L12">
        <v>9174641.175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7.497</v>
      </c>
      <c r="L14">
        <v>8996400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7.497</v>
      </c>
      <c r="L16">
        <v>1611855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106232.63888888889</v>
      </c>
      <c r="I18">
        <v>10</v>
      </c>
      <c r="J18">
        <v>1062326.388888889</v>
      </c>
      <c r="K18">
        <v>74.97</v>
      </c>
      <c r="L18">
        <v>7964260.937500001</v>
      </c>
    </row>
    <row r="19">
      <c r="A19">
        <v>5</v>
      </c>
      <c r="B19" t="str">
        <v>PEMBESIAN (Material) — ratio 159.39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159.38853013205284</v>
      </c>
      <c r="F20" t="str">
        <v>kg</v>
      </c>
      <c r="G20" t="str">
        <v>per kg finished pembesian (blended: raw besi + decking + bendrat)</v>
      </c>
      <c r="H20">
        <v>10442.5</v>
      </c>
      <c r="I20">
        <v>159.38853013205284</v>
      </c>
      <c r="J20">
        <v>1664414.7259039618</v>
      </c>
      <c r="K20">
        <v>1194.9358104</v>
      </c>
      <c r="L20">
        <v>12478117.200102001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5365516.114792851</v>
      </c>
      <c r="J22" t="str">
        <v/>
      </c>
      <c r="K22" t="str">
        <v/>
      </c>
      <c r="L22">
        <v>40225274.312602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5365516.114792851</v>
      </c>
    </row>
    <row r="26">
      <c r="A26" t="str">
        <v>RAB (A) source unit cost</v>
      </c>
      <c r="B26">
        <v>5365516.114792851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40225274.312602</v>
      </c>
    </row>
    <row r="30">
      <c r="A30" t="str">
        <v>RAB (A) source line total</v>
      </c>
      <c r="B30">
        <v>46259065.459492296</v>
      </c>
    </row>
    <row r="31">
      <c r="A31" t="str">
        <v>Variance</v>
      </c>
      <c r="B31">
        <v>-6033791.1468902975</v>
      </c>
      <c r="C31" t="str">
        <v>✓ OK</v>
      </c>
    </row>
  </sheetData>
  <ignoredErrors>
    <ignoredError numberStoredAsText="1" sqref="A1:L31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III.A.11.5.4 - Dinding tanggulan kamar mandi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tanggulan kamar mandi</v>
      </c>
    </row>
    <row r="5">
      <c r="A5" t="str">
        <v>Unit</v>
      </c>
      <c r="B5" t="str">
        <v>m3</v>
      </c>
    </row>
    <row r="6">
      <c r="A6" t="str">
        <v>Volume</v>
      </c>
      <c r="B6">
        <v>0.2685</v>
      </c>
    </row>
    <row r="7">
      <c r="A7" t="str">
        <v>Unit cost (Rp/m3)</v>
      </c>
      <c r="B7">
        <v>7320865.791330436</v>
      </c>
    </row>
    <row r="8">
      <c r="A8" t="str">
        <v>Line total at-cost (Rp)</v>
      </c>
      <c r="B8">
        <v>1965652.4649722222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0.2685</v>
      </c>
      <c r="L12">
        <v>328583.5875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0.2685</v>
      </c>
      <c r="L14">
        <v>322200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0.2685</v>
      </c>
      <c r="L16">
        <v>57727.5</v>
      </c>
    </row>
    <row r="17">
      <c r="A17">
        <v>4</v>
      </c>
      <c r="B17" t="str">
        <v>BEKISTING (Material) — ratio 13.333333333333332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13.333333333333332</v>
      </c>
      <c r="F18" t="str">
        <v>m2</v>
      </c>
      <c r="G18" t="str">
        <v>per m² of formwork</v>
      </c>
      <c r="H18">
        <v>106232.63888888889</v>
      </c>
      <c r="I18">
        <v>13.333333333333332</v>
      </c>
      <c r="J18">
        <v>1416435.1851851852</v>
      </c>
      <c r="K18">
        <v>3.58</v>
      </c>
      <c r="L18">
        <v>380312.84722222225</v>
      </c>
    </row>
    <row r="19">
      <c r="A19">
        <v>5</v>
      </c>
      <c r="B19" t="str">
        <v>PEMBESIAN (Material) — ratio 312.73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312.727374301676</v>
      </c>
      <c r="F20" t="str">
        <v>kg</v>
      </c>
      <c r="G20" t="str">
        <v>per kg finished pembesian (blended: raw besi + decking + bendrat)</v>
      </c>
      <c r="H20">
        <v>10442.5</v>
      </c>
      <c r="I20">
        <v>312.727374301676</v>
      </c>
      <c r="J20">
        <v>3265655.6061452515</v>
      </c>
      <c r="K20">
        <v>83.96730000000001</v>
      </c>
      <c r="L20">
        <v>876828.5302500001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7320865.791330436</v>
      </c>
      <c r="J22" t="str">
        <v/>
      </c>
      <c r="K22" t="str">
        <v/>
      </c>
      <c r="L22">
        <v>1965652.4649722222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7320865.791330436</v>
      </c>
    </row>
    <row r="26">
      <c r="A26" t="str">
        <v>RAB (A) source unit cost</v>
      </c>
      <c r="B26">
        <v>7320865.791330436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1965652.4649722222</v>
      </c>
    </row>
    <row r="30">
      <c r="A30" t="str">
        <v>RAB (A) source line total</v>
      </c>
      <c r="B30">
        <v>2260500.3347180556</v>
      </c>
    </row>
    <row r="31">
      <c r="A31" t="str">
        <v>Variance</v>
      </c>
      <c r="B31">
        <v>-294847.86974583333</v>
      </c>
      <c r="C31" t="str">
        <v>✓ OK</v>
      </c>
    </row>
  </sheetData>
  <ignoredErrors>
    <ignoredError numberStoredAsText="1" sqref="A1:L31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III.A.11.5.5 - Penebalan sloof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Penebalan sloof</v>
      </c>
    </row>
    <row r="5">
      <c r="A5" t="str">
        <v>Unit</v>
      </c>
      <c r="B5" t="str">
        <v>m3</v>
      </c>
    </row>
    <row r="6">
      <c r="A6" t="str">
        <v>Volume</v>
      </c>
      <c r="B6">
        <v>2.9974000000000003</v>
      </c>
    </row>
    <row r="7">
      <c r="A7" t="str">
        <v>Unit cost (Rp/m3)</v>
      </c>
      <c r="B7">
        <v>7026710.389856856</v>
      </c>
    </row>
    <row r="8">
      <c r="A8" t="str">
        <v>Line total at-cost (Rp)</v>
      </c>
      <c r="B8">
        <v>21061861.722556945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2.9974000000000003</v>
      </c>
      <c r="L12">
        <v>3668143.1850000005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2.9974000000000003</v>
      </c>
      <c r="L14">
        <v>3596880.0000000005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2.9974000000000003</v>
      </c>
      <c r="L16">
        <v>644441.0000000001</v>
      </c>
    </row>
    <row r="17">
      <c r="A17">
        <v>4</v>
      </c>
      <c r="B17" t="str">
        <v>BEKISTING (Material) — ratio 8.7362380729966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8.7362380729966</v>
      </c>
      <c r="F18" t="str">
        <v>m2</v>
      </c>
      <c r="G18" t="str">
        <v>per m² of formwork</v>
      </c>
      <c r="H18">
        <v>106232.63888888889</v>
      </c>
      <c r="I18">
        <v>8.7362380729966</v>
      </c>
      <c r="J18">
        <v>928073.6244560103</v>
      </c>
      <c r="K18">
        <v>26.186000000000007</v>
      </c>
      <c r="L18">
        <v>2781807.8819444454</v>
      </c>
    </row>
    <row r="19">
      <c r="A19">
        <v>5</v>
      </c>
      <c r="B19" t="str">
        <v>PEMBESIAN (Material) — ratio 331.33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331.3250433709213</v>
      </c>
      <c r="F20" t="str">
        <v>kg</v>
      </c>
      <c r="G20" t="str">
        <v>per kg finished pembesian (blended: raw besi + decking + bendrat)</v>
      </c>
      <c r="H20">
        <v>10442.5</v>
      </c>
      <c r="I20">
        <v>331.3250433709213</v>
      </c>
      <c r="J20">
        <v>3459861.765400846</v>
      </c>
      <c r="K20">
        <v>993.1136849999997</v>
      </c>
      <c r="L20">
        <v>10370589.655612497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7026710.389856856</v>
      </c>
      <c r="J22" t="str">
        <v/>
      </c>
      <c r="K22" t="str">
        <v/>
      </c>
      <c r="L22">
        <v>21061861.722556945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7026710.389856856</v>
      </c>
    </row>
    <row r="26">
      <c r="A26" t="str">
        <v>RAB (A) source unit cost</v>
      </c>
      <c r="B26">
        <v>7026710.389856856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21061861.722556945</v>
      </c>
    </row>
    <row r="30">
      <c r="A30" t="str">
        <v>RAB (A) source line total</v>
      </c>
      <c r="B30">
        <v>24221140.980940484</v>
      </c>
    </row>
    <row r="31">
      <c r="A31" t="str">
        <v>Variance</v>
      </c>
      <c r="B31">
        <v>-3159279.2583835386</v>
      </c>
      <c r="C31" t="str">
        <v>✓ OK</v>
      </c>
    </row>
  </sheetData>
  <ignoredErrors>
    <ignoredError numberStoredAsText="1" sqref="A1:L31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III.A.11.5.6 - Dinding lift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</v>
      </c>
    </row>
    <row r="5">
      <c r="A5" t="str">
        <v>Unit</v>
      </c>
      <c r="B5" t="str">
        <v>m3</v>
      </c>
    </row>
    <row r="6">
      <c r="A6" t="str">
        <v>Volume</v>
      </c>
      <c r="B6">
        <v>4.896</v>
      </c>
    </row>
    <row r="7">
      <c r="A7" t="str">
        <v>Unit cost (Rp/m3)</v>
      </c>
      <c r="B7">
        <v>6746026.705865605</v>
      </c>
    </row>
    <row r="8">
      <c r="A8" t="str">
        <v>Line total at-cost (Rp)</v>
      </c>
      <c r="B8">
        <v>33028546.751918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4.896</v>
      </c>
      <c r="L12">
        <v>5991602.399999999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4.896</v>
      </c>
      <c r="L14">
        <v>5875200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4.896</v>
      </c>
      <c r="L16">
        <v>1052640</v>
      </c>
    </row>
    <row r="17">
      <c r="A17">
        <v>4</v>
      </c>
      <c r="B17" t="str">
        <v>BEKISTING (Material) — ratio 11.764705882352942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11.764705882352942</v>
      </c>
      <c r="F18" t="str">
        <v>m2</v>
      </c>
      <c r="G18" t="str">
        <v>per m² of formwork</v>
      </c>
      <c r="H18">
        <v>106232.63888888889</v>
      </c>
      <c r="I18">
        <v>11.764705882352942</v>
      </c>
      <c r="J18">
        <v>1249795.751633987</v>
      </c>
      <c r="K18">
        <v>57.6</v>
      </c>
      <c r="L18">
        <v>6119000.000000001</v>
      </c>
    </row>
    <row r="19">
      <c r="A19">
        <v>5</v>
      </c>
      <c r="B19" t="str">
        <v>PEMBESIAN (Material) — ratio 273.64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273.6371514705882</v>
      </c>
      <c r="F20" t="str">
        <v>kg</v>
      </c>
      <c r="G20" t="str">
        <v>per kg finished pembesian (blended: raw besi + decking + bendrat)</v>
      </c>
      <c r="H20">
        <v>10442.5</v>
      </c>
      <c r="I20">
        <v>273.6371514705882</v>
      </c>
      <c r="J20">
        <v>2857455.9542316175</v>
      </c>
      <c r="K20">
        <v>1339.7274936</v>
      </c>
      <c r="L20">
        <v>13990104.351917999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6746026.705865605</v>
      </c>
      <c r="J22" t="str">
        <v/>
      </c>
      <c r="K22" t="str">
        <v/>
      </c>
      <c r="L22">
        <v>33028546.751918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6746026.705865605</v>
      </c>
    </row>
    <row r="26">
      <c r="A26" t="str">
        <v>RAB (A) source unit cost</v>
      </c>
      <c r="B26">
        <v>6746026.705865605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33028546.751918</v>
      </c>
    </row>
    <row r="30">
      <c r="A30" t="str">
        <v>RAB (A) source line total</v>
      </c>
      <c r="B30">
        <v>37982828.764705695</v>
      </c>
    </row>
    <row r="31">
      <c r="A31" t="str">
        <v>Variance</v>
      </c>
      <c r="B31">
        <v>-4954282.012787696</v>
      </c>
      <c r="C31" t="str">
        <v>✓ OK</v>
      </c>
    </row>
  </sheetData>
  <ignoredErrors>
    <ignoredError numberStoredAsText="1" sqref="A1:L31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L33"/>
  <sheetViews>
    <sheetView workbookViewId="0" rightToLeft="0"/>
  </sheetViews>
  <sheetData>
    <row r="1">
      <c r="A1" t="str">
        <v>BREAKDOWN — (A) IV.A.1.1 -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32.04976635</v>
      </c>
    </row>
    <row r="7">
      <c r="A7" t="str">
        <v>Unit cost (Rp/m3)</v>
      </c>
      <c r="B7">
        <v>4761054.57867565</v>
      </c>
    </row>
    <row r="8">
      <c r="A8" t="str">
        <v>Line total at-cost (Rp)</v>
      </c>
      <c r="B8">
        <v>152590686.82615227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32.04976635</v>
      </c>
      <c r="L12">
        <v>39221702.814971246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1250000</v>
      </c>
      <c r="I14">
        <v>1</v>
      </c>
      <c r="J14">
        <v>1250000</v>
      </c>
      <c r="K14">
        <v>32.04976635</v>
      </c>
      <c r="L14">
        <v>40062207.9375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90000</v>
      </c>
      <c r="I16">
        <v>1</v>
      </c>
      <c r="J16">
        <v>90000</v>
      </c>
      <c r="K16">
        <v>32.04976635</v>
      </c>
      <c r="L16">
        <v>2884478.9715</v>
      </c>
    </row>
    <row r="17">
      <c r="A17">
        <v>4</v>
      </c>
      <c r="B17" t="str">
        <v>BEKISTING (Material) — ratio 8.004115755504392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8.004115755504392</v>
      </c>
      <c r="F18" t="str">
        <v>m2</v>
      </c>
      <c r="G18" t="str">
        <v>per m² of formwork</v>
      </c>
      <c r="H18">
        <v>96024.30555555556</v>
      </c>
      <c r="I18">
        <v>8.004115755504392</v>
      </c>
      <c r="J18">
        <v>768589.6570085902</v>
      </c>
      <c r="K18">
        <v>256.53003980226947</v>
      </c>
      <c r="L18">
        <v>24633118.926151954</v>
      </c>
    </row>
    <row r="19">
      <c r="A19">
        <v>5</v>
      </c>
      <c r="B19" t="str">
        <v>BEKISTING PERALATAN (Material) — Perancah / scaffolding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Bekisting peralatan / Perancah (lump)</v>
      </c>
      <c r="D20" t="str">
        <v>rolled lump — group total only</v>
      </c>
      <c r="E20">
        <v>8.004115755504392</v>
      </c>
      <c r="F20" t="str">
        <v>m2</v>
      </c>
      <c r="G20" t="str">
        <v>per m² of formwork (scaffolding embedded in bekisting block, col H)</v>
      </c>
      <c r="H20">
        <v>35315.0720164609</v>
      </c>
      <c r="I20">
        <v>8.004115755504392</v>
      </c>
      <c r="J20">
        <v>282665.924333727</v>
      </c>
      <c r="K20">
        <v>256.53003980226947</v>
      </c>
      <c r="L20">
        <v>9059376.830002729</v>
      </c>
    </row>
    <row r="21">
      <c r="A21">
        <v>6</v>
      </c>
      <c r="B21" t="str">
        <v>PEMBESIAN (Material) — ratio 109.75 kg/m³ (rolled)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>Pembesian U24 &amp; U40 (lump — no per-diameter detail)</v>
      </c>
      <c r="D22" t="str">
        <v>rolled lump — group total only</v>
      </c>
      <c r="E22">
        <v>109.74613333333335</v>
      </c>
      <c r="F22" t="str">
        <v>kg</v>
      </c>
      <c r="G22" t="str">
        <v>per kg finished pembesian (blended: raw besi + decking + bendrat)</v>
      </c>
      <c r="H22">
        <v>10442.5</v>
      </c>
      <c r="I22">
        <v>109.74613333333335</v>
      </c>
      <c r="J22">
        <v>1146023.9973333334</v>
      </c>
      <c r="K22">
        <v>3517.3379311492804</v>
      </c>
      <c r="L22">
        <v>36729801.34602635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>SUBTOTAL — At-cost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4761054.57867565</v>
      </c>
      <c r="J24" t="str">
        <v/>
      </c>
      <c r="K24" t="str">
        <v/>
      </c>
      <c r="L24">
        <v>152590686.82615227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RECONCILIATION</v>
      </c>
    </row>
    <row r="27">
      <c r="A27" t="str">
        <v>Computed unit cost</v>
      </c>
      <c r="B27">
        <v>4761054.57867565</v>
      </c>
    </row>
    <row r="28">
      <c r="A28" t="str">
        <v>RAB (A) source unit cost</v>
      </c>
      <c r="B28">
        <v>4761054.57867565</v>
      </c>
    </row>
    <row r="29">
      <c r="A29" t="str">
        <v>Variance</v>
      </c>
      <c r="B29">
        <v>0</v>
      </c>
      <c r="C29" t="str">
        <v>✓ OK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Computed line total</v>
      </c>
      <c r="B31">
        <v>152590686.82615227</v>
      </c>
    </row>
    <row r="32">
      <c r="A32" t="str">
        <v>RAB (A) source line total</v>
      </c>
      <c r="B32">
        <v>175479289.8500751</v>
      </c>
    </row>
    <row r="33">
      <c r="A33" t="str">
        <v>Variance</v>
      </c>
      <c r="B33">
        <v>-22888603.02392283</v>
      </c>
      <c r="C33" t="str">
        <v>✓ OK</v>
      </c>
    </row>
  </sheetData>
  <ignoredErrors>
    <ignoredError numberStoredAsText="1" sqref="A1:L33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IV.A.2.1 - Balok B4-1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B4-1</v>
      </c>
    </row>
    <row r="5">
      <c r="A5" t="str">
        <v>Unit</v>
      </c>
      <c r="B5" t="str">
        <v>m3</v>
      </c>
    </row>
    <row r="6">
      <c r="A6" t="str">
        <v>Volume</v>
      </c>
      <c r="B6">
        <v>0.572</v>
      </c>
    </row>
    <row r="7">
      <c r="A7" t="str">
        <v>Unit cost (Rp/m3)</v>
      </c>
      <c r="B7">
        <v>10100564.171532556</v>
      </c>
    </row>
    <row r="8">
      <c r="A8" t="str">
        <v>Line total at-cost (Rp)</v>
      </c>
      <c r="B8">
        <v>5777522.706116621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0.6006</v>
      </c>
      <c r="L12">
        <v>699999.2999999999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0.572</v>
      </c>
      <c r="L14">
        <v>8580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0.572</v>
      </c>
      <c r="L15">
        <v>42900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0.572</v>
      </c>
      <c r="L17">
        <v>857999.9999999999</v>
      </c>
    </row>
    <row r="18">
      <c r="A18">
        <v>4</v>
      </c>
      <c r="B18" t="str">
        <v>BEKISTING BALOK (Material) — ratio 17.884615384615387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8.942307692307693</v>
      </c>
      <c r="J19">
        <v>1788461.5384615387</v>
      </c>
      <c r="K19">
        <v>5.115</v>
      </c>
      <c r="L19">
        <v>1023000.0000000001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40.24038461538462</v>
      </c>
      <c r="J20">
        <v>2366134.6153846155</v>
      </c>
      <c r="K20">
        <v>23.017500000000002</v>
      </c>
      <c r="L20">
        <v>1353429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13.41346153846154</v>
      </c>
      <c r="J21">
        <v>788711.5384615386</v>
      </c>
      <c r="K21">
        <v>7.6725</v>
      </c>
      <c r="L21">
        <v>451143.00000000006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6.70673076923077</v>
      </c>
      <c r="J22">
        <v>87187.50000000001</v>
      </c>
      <c r="K22">
        <v>3.83625</v>
      </c>
      <c r="L22">
        <v>49871.25000000001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2.2355769230769234</v>
      </c>
      <c r="J23">
        <v>61478.36538461539</v>
      </c>
      <c r="K23">
        <v>1.27875</v>
      </c>
      <c r="L23">
        <v>35165.625</v>
      </c>
    </row>
    <row r="24">
      <c r="A24">
        <v>5</v>
      </c>
      <c r="B24" t="str">
        <v>BEKISTING BALOK PERALATAN (Material) — Perancah, ratio 17.884615384615387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4.471153846153847</v>
      </c>
      <c r="J25">
        <v>911051.4155982906</v>
      </c>
      <c r="K25">
        <v>2.5575</v>
      </c>
      <c r="L25">
        <v>521121.4097222222</v>
      </c>
    </row>
    <row r="26">
      <c r="A26">
        <v>6</v>
      </c>
      <c r="B26" t="str">
        <v>PEMBESIAN (Material) — ratio 122.94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D8</v>
      </c>
      <c r="D27" t="str">
        <v>U24/U40 polos</v>
      </c>
      <c r="E27">
        <v>40.51827692307693</v>
      </c>
      <c r="F27" t="str">
        <v>kg</v>
      </c>
      <c r="G27" t="str">
        <v>per m3 beton</v>
      </c>
      <c r="H27">
        <v>9500</v>
      </c>
      <c r="I27">
        <v>40.51827692307693</v>
      </c>
      <c r="J27">
        <v>384923.63076923083</v>
      </c>
      <c r="K27">
        <v>23.176454400000004</v>
      </c>
      <c r="L27">
        <v>220176.31680000003</v>
      </c>
    </row>
    <row r="28">
      <c r="A28" t="str">
        <v/>
      </c>
      <c r="B28" t="str">
        <v/>
      </c>
      <c r="C28" t="str">
        <v>Besi beton D13</v>
      </c>
      <c r="D28" t="str">
        <v>U24/U40 polos</v>
      </c>
      <c r="E28">
        <v>82.41820363636364</v>
      </c>
      <c r="F28" t="str">
        <v>kg</v>
      </c>
      <c r="G28" t="str">
        <v>per m3 beton</v>
      </c>
      <c r="H28">
        <v>9500</v>
      </c>
      <c r="I28">
        <v>82.41820363636364</v>
      </c>
      <c r="J28">
        <v>782972.9345454546</v>
      </c>
      <c r="K28">
        <v>47.14321248</v>
      </c>
      <c r="L28">
        <v>447860.51856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6.146824027972035</v>
      </c>
      <c r="J29">
        <v>58394.82826573433</v>
      </c>
      <c r="K29">
        <v>3.515983344000004</v>
      </c>
      <c r="L29">
        <v>33401.841768000035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122.93648055944058</v>
      </c>
      <c r="J30">
        <v>12293.648055944059</v>
      </c>
      <c r="K30">
        <v>70.31966688000001</v>
      </c>
      <c r="L30">
        <v>7031.966688000001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2.5816660917482523</v>
      </c>
      <c r="J31">
        <v>45179.15660559441</v>
      </c>
      <c r="K31">
        <v>1.4767130044800003</v>
      </c>
      <c r="L31">
        <v>25842.4775784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10100564.171532556</v>
      </c>
      <c r="J33" t="str">
        <v/>
      </c>
      <c r="K33" t="str">
        <v/>
      </c>
      <c r="L33">
        <v>5777522.706116621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10100564.171532556</v>
      </c>
    </row>
    <row r="37">
      <c r="A37" t="str">
        <v>RAB (A) source unit cost</v>
      </c>
      <c r="B37">
        <v>10100564.171532556</v>
      </c>
    </row>
    <row r="38">
      <c r="A38" t="str">
        <v>Variance</v>
      </c>
      <c r="B38">
        <v>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5777522.706116621</v>
      </c>
    </row>
    <row r="41">
      <c r="A41" t="str">
        <v>RAB (A) source line total</v>
      </c>
      <c r="B41">
        <v>6644151.112034115</v>
      </c>
    </row>
    <row r="42">
      <c r="A42" t="str">
        <v>Variance</v>
      </c>
      <c r="B42">
        <v>-866628.4059174936</v>
      </c>
      <c r="C42" t="str">
        <v>✓ OK</v>
      </c>
    </row>
  </sheetData>
  <ignoredErrors>
    <ignoredError numberStoredAsText="1" sqref="A1:L42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IV.A.2.2 -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0.2952</v>
      </c>
    </row>
    <row r="7">
      <c r="A7" t="str">
        <v>Unit cost (Rp/m3)</v>
      </c>
      <c r="B7">
        <v>10160832.898906616</v>
      </c>
    </row>
    <row r="8">
      <c r="A8" t="str">
        <v>Line total at-cost (Rp)</v>
      </c>
      <c r="B8">
        <v>2999477.8717572335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0.30996</v>
      </c>
      <c r="L12">
        <v>361258.38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0.2952</v>
      </c>
      <c r="L14">
        <v>4428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0.2952</v>
      </c>
      <c r="L15">
        <v>22140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0.2952</v>
      </c>
      <c r="L17">
        <v>442800</v>
      </c>
    </row>
    <row r="18">
      <c r="A18">
        <v>4</v>
      </c>
      <c r="B18" t="str">
        <v>BEKISTING BALOK (Material) — ratio 10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</v>
      </c>
      <c r="J19">
        <v>1000000</v>
      </c>
      <c r="K19">
        <v>1.476</v>
      </c>
      <c r="L19">
        <v>295200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22.5</v>
      </c>
      <c r="J20">
        <v>1323000</v>
      </c>
      <c r="K20">
        <v>6.642</v>
      </c>
      <c r="L20">
        <v>390549.60000000003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7.5</v>
      </c>
      <c r="J21">
        <v>441000</v>
      </c>
      <c r="K21">
        <v>2.214</v>
      </c>
      <c r="L21">
        <v>130183.20000000001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3.75</v>
      </c>
      <c r="J22">
        <v>48750</v>
      </c>
      <c r="K22">
        <v>1.107</v>
      </c>
      <c r="L22">
        <v>14391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1.25</v>
      </c>
      <c r="J23">
        <v>34375</v>
      </c>
      <c r="K23">
        <v>0.369</v>
      </c>
      <c r="L23">
        <v>10147.5</v>
      </c>
    </row>
    <row r="24">
      <c r="A24">
        <v>5</v>
      </c>
      <c r="B24" t="str">
        <v>BEKISTING BALOK PERALATAN (Material) — Perancah, ratio 10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2.5</v>
      </c>
      <c r="J25">
        <v>509405.0925925926</v>
      </c>
      <c r="K25">
        <v>0.738</v>
      </c>
      <c r="L25">
        <v>150376.38333333333</v>
      </c>
    </row>
    <row r="26">
      <c r="A26">
        <v>6</v>
      </c>
      <c r="B26" t="str">
        <v>PEMBESIAN (Material) — ratio 382.14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147.33765243902442</v>
      </c>
      <c r="F27" t="str">
        <v>kg</v>
      </c>
      <c r="G27" t="str">
        <v>per m3 beton</v>
      </c>
      <c r="H27">
        <v>9500</v>
      </c>
      <c r="I27">
        <v>147.33765243902442</v>
      </c>
      <c r="J27">
        <v>1399707.698170732</v>
      </c>
      <c r="K27">
        <v>43.49407500000001</v>
      </c>
      <c r="L27">
        <v>413193.71250000014</v>
      </c>
    </row>
    <row r="28">
      <c r="A28" t="str">
        <v/>
      </c>
      <c r="B28" t="str">
        <v/>
      </c>
      <c r="C28" t="str">
        <v>Besi beton D13</v>
      </c>
      <c r="D28" t="str">
        <v>U24/U40 polos</v>
      </c>
      <c r="E28">
        <v>234.80530243902436</v>
      </c>
      <c r="F28" t="str">
        <v>kg</v>
      </c>
      <c r="G28" t="str">
        <v>per m3 beton</v>
      </c>
      <c r="H28">
        <v>9500</v>
      </c>
      <c r="I28">
        <v>234.80530243902436</v>
      </c>
      <c r="J28">
        <v>2230650.3731707316</v>
      </c>
      <c r="K28">
        <v>69.31452528</v>
      </c>
      <c r="L28">
        <v>658487.99016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19.107147743902456</v>
      </c>
      <c r="J29">
        <v>181517.9035670733</v>
      </c>
      <c r="K29">
        <v>5.640430014000005</v>
      </c>
      <c r="L29">
        <v>53584.085133000044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382.1429548780488</v>
      </c>
      <c r="J30">
        <v>38214.29548780488</v>
      </c>
      <c r="K30">
        <v>112.80860028000001</v>
      </c>
      <c r="L30">
        <v>11280.860028000001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8.025002052439024</v>
      </c>
      <c r="J31">
        <v>140437.53591768292</v>
      </c>
      <c r="K31">
        <v>2.36898060588</v>
      </c>
      <c r="L31">
        <v>41457.1606029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10160832.898906616</v>
      </c>
      <c r="J33" t="str">
        <v/>
      </c>
      <c r="K33" t="str">
        <v/>
      </c>
      <c r="L33">
        <v>2999477.8717572335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10160832.898906616</v>
      </c>
    </row>
    <row r="37">
      <c r="A37" t="str">
        <v>RAB (A) source unit cost</v>
      </c>
      <c r="B37">
        <v>10160832.898906618</v>
      </c>
    </row>
    <row r="38">
      <c r="A38" t="str">
        <v>Variance</v>
      </c>
      <c r="B38">
        <v>-1.862645149230957e-9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2999477.8717572335</v>
      </c>
    </row>
    <row r="41">
      <c r="A41" t="str">
        <v>RAB (A) source line total</v>
      </c>
      <c r="B41">
        <v>3449399.552520819</v>
      </c>
    </row>
    <row r="42">
      <c r="A42" t="str">
        <v>Variance</v>
      </c>
      <c r="B42">
        <v>-449921.6807635855</v>
      </c>
      <c r="C42" t="str">
        <v>✓ OK</v>
      </c>
    </row>
  </sheetData>
  <ignoredErrors>
    <ignoredError numberStoredAsText="1" sqref="A1:L42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IV.A.2.3 -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2.7522</v>
      </c>
    </row>
    <row r="7">
      <c r="A7" t="str">
        <v>Unit cost (Rp/m3)</v>
      </c>
      <c r="B7">
        <v>8691511.288886035</v>
      </c>
    </row>
    <row r="8">
      <c r="A8" t="str">
        <v>Line total at-cost (Rp)</v>
      </c>
      <c r="B8">
        <v>23920777.369272146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2.88981</v>
      </c>
      <c r="L12">
        <v>3368073.555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2.7522</v>
      </c>
      <c r="L14">
        <v>41283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2.7522</v>
      </c>
      <c r="L15">
        <v>206415.00000000003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2.7522</v>
      </c>
      <c r="L17">
        <v>4128300.0000000005</v>
      </c>
    </row>
    <row r="18">
      <c r="A18">
        <v>4</v>
      </c>
      <c r="B18" t="str">
        <v>BEKISTING BALOK (Material) — ratio 11.076593270837876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5.538296635418938</v>
      </c>
      <c r="J19">
        <v>1107659.3270837876</v>
      </c>
      <c r="K19">
        <v>15.242500000000001</v>
      </c>
      <c r="L19">
        <v>3048500.0000000005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24.92233485938522</v>
      </c>
      <c r="J20">
        <v>1465433.2897318508</v>
      </c>
      <c r="K20">
        <v>68.59125</v>
      </c>
      <c r="L20">
        <v>4033165.5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8.307444953128407</v>
      </c>
      <c r="J21">
        <v>488477.7632439503</v>
      </c>
      <c r="K21">
        <v>22.863750000000003</v>
      </c>
      <c r="L21">
        <v>1344388.5000000002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4.153722476564203</v>
      </c>
      <c r="J22">
        <v>53998.39219533464</v>
      </c>
      <c r="K22">
        <v>11.431875000000002</v>
      </c>
      <c r="L22">
        <v>148614.37500000003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1.3845741588547344</v>
      </c>
      <c r="J23">
        <v>38075.7893685052</v>
      </c>
      <c r="K23">
        <v>3.8106250000000004</v>
      </c>
      <c r="L23">
        <v>104792.18750000001</v>
      </c>
    </row>
    <row r="24">
      <c r="A24">
        <v>5</v>
      </c>
      <c r="B24" t="str">
        <v>BEKISTING BALOK PERALATAN (Material) — Perancah, ratio 11.076593270837876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2.769148317709469</v>
      </c>
      <c r="J25">
        <v>564247.3020741655</v>
      </c>
      <c r="K25">
        <v>7.621250000000001</v>
      </c>
      <c r="L25">
        <v>1552921.4247685184</v>
      </c>
    </row>
    <row r="26">
      <c r="A26">
        <v>6</v>
      </c>
      <c r="B26" t="str">
        <v>PEMBESIAN (Material) — ratio 206.83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91.36618705035971</v>
      </c>
      <c r="F27" t="str">
        <v>kg</v>
      </c>
      <c r="G27" t="str">
        <v>per m3 beton</v>
      </c>
      <c r="H27">
        <v>9500</v>
      </c>
      <c r="I27">
        <v>91.36618705035971</v>
      </c>
      <c r="J27">
        <v>867978.7769784173</v>
      </c>
      <c r="K27">
        <v>251.45802000000003</v>
      </c>
      <c r="L27">
        <v>2388851.1900000004</v>
      </c>
    </row>
    <row r="28">
      <c r="A28" t="str">
        <v/>
      </c>
      <c r="B28" t="str">
        <v/>
      </c>
      <c r="C28" t="str">
        <v>Besi beton D13</v>
      </c>
      <c r="D28" t="str">
        <v>U24/U40 polos</v>
      </c>
      <c r="E28">
        <v>115.46593410725964</v>
      </c>
      <c r="F28" t="str">
        <v>kg</v>
      </c>
      <c r="G28" t="str">
        <v>per m3 beton</v>
      </c>
      <c r="H28">
        <v>9500</v>
      </c>
      <c r="I28">
        <v>115.46593410725964</v>
      </c>
      <c r="J28">
        <v>1096926.3740189667</v>
      </c>
      <c r="K28">
        <v>317.78534385</v>
      </c>
      <c r="L28">
        <v>3018960.7665750002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10.341606057880977</v>
      </c>
      <c r="J29">
        <v>98245.25754986927</v>
      </c>
      <c r="K29">
        <v>28.462168192500027</v>
      </c>
      <c r="L29">
        <v>270390.59782875027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206.83212115761935</v>
      </c>
      <c r="J30">
        <v>20683.212115761937</v>
      </c>
      <c r="K30">
        <v>569.24336385</v>
      </c>
      <c r="L30">
        <v>56924.33638500001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4.3434745443100065</v>
      </c>
      <c r="J31">
        <v>76010.80452542512</v>
      </c>
      <c r="K31">
        <v>11.95411064085</v>
      </c>
      <c r="L31">
        <v>209196.93621487502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8691511.288886035</v>
      </c>
      <c r="J33" t="str">
        <v/>
      </c>
      <c r="K33" t="str">
        <v/>
      </c>
      <c r="L33">
        <v>23920777.369272146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8691511.288886035</v>
      </c>
    </row>
    <row r="37">
      <c r="A37" t="str">
        <v>RAB (A) source unit cost</v>
      </c>
      <c r="B37">
        <v>8691511.288886033</v>
      </c>
    </row>
    <row r="38">
      <c r="A38" t="str">
        <v>Variance</v>
      </c>
      <c r="B38">
        <v>1.862645149230957e-9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23920777.369272146</v>
      </c>
    </row>
    <row r="41">
      <c r="A41" t="str">
        <v>RAB (A) source line total</v>
      </c>
      <c r="B41">
        <v>27508893.974662963</v>
      </c>
    </row>
    <row r="42">
      <c r="A42" t="str">
        <v>Variance</v>
      </c>
      <c r="B42">
        <v>-3588116.605390817</v>
      </c>
      <c r="C42" t="str">
        <v>✓ OK</v>
      </c>
    </row>
  </sheetData>
  <ignoredErrors>
    <ignoredError numberStoredAsText="1" sqref="A1:L42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IV.A.2.4 -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1.0412499999999998</v>
      </c>
    </row>
    <row r="7">
      <c r="A7" t="str">
        <v>Unit cost (Rp/m3)</v>
      </c>
      <c r="B7">
        <v>9344627.754063614</v>
      </c>
    </row>
    <row r="8">
      <c r="A8" t="str">
        <v>Line total at-cost (Rp)</v>
      </c>
      <c r="B8">
        <v>9730093.648918735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1.0933125</v>
      </c>
      <c r="L12">
        <v>1274255.7187499998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1.0412499999999998</v>
      </c>
      <c r="L14">
        <v>15618.749999999996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1.0412499999999998</v>
      </c>
      <c r="L15">
        <v>78093.74999999999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1.0412499999999998</v>
      </c>
      <c r="L17">
        <v>1561874.9999999998</v>
      </c>
    </row>
    <row r="18">
      <c r="A18">
        <v>4</v>
      </c>
      <c r="B18" t="str">
        <v>BEKISTING BALOK (Material) — ratio 10.000000000000004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5.000000000000002</v>
      </c>
      <c r="J19">
        <v>1000000.0000000003</v>
      </c>
      <c r="K19">
        <v>5.206250000000001</v>
      </c>
      <c r="L19">
        <v>1041250.0000000001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22.500000000000007</v>
      </c>
      <c r="J20">
        <v>1323000.0000000005</v>
      </c>
      <c r="K20">
        <v>23.428125</v>
      </c>
      <c r="L20">
        <v>1377573.7500000002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7.500000000000003</v>
      </c>
      <c r="J21">
        <v>441000.0000000002</v>
      </c>
      <c r="K21">
        <v>7.809375000000001</v>
      </c>
      <c r="L21">
        <v>459191.2500000001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3.7500000000000013</v>
      </c>
      <c r="J22">
        <v>48750.000000000015</v>
      </c>
      <c r="K22">
        <v>3.9046875000000005</v>
      </c>
      <c r="L22">
        <v>50760.93750000001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1.2500000000000004</v>
      </c>
      <c r="J23">
        <v>34375.000000000015</v>
      </c>
      <c r="K23">
        <v>1.3015625000000002</v>
      </c>
      <c r="L23">
        <v>35792.96875000001</v>
      </c>
    </row>
    <row r="24">
      <c r="A24">
        <v>5</v>
      </c>
      <c r="B24" t="str">
        <v>BEKISTING BALOK PERALATAN (Material) — Perancah, ratio 10.000000000000004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2.500000000000001</v>
      </c>
      <c r="J25">
        <v>509405.09259259276</v>
      </c>
      <c r="K25">
        <v>2.6031250000000004</v>
      </c>
      <c r="L25">
        <v>530418.0526620371</v>
      </c>
    </row>
    <row r="26">
      <c r="A26">
        <v>6</v>
      </c>
      <c r="B26" t="str">
        <v>PEMBESIAN (Material) — ratio 303.98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100.62345738295322</v>
      </c>
      <c r="F27" t="str">
        <v>kg</v>
      </c>
      <c r="G27" t="str">
        <v>per m3 beton</v>
      </c>
      <c r="H27">
        <v>9500</v>
      </c>
      <c r="I27">
        <v>100.62345738295322</v>
      </c>
      <c r="J27">
        <v>955922.8451380556</v>
      </c>
      <c r="K27">
        <v>104.77417500000001</v>
      </c>
      <c r="L27">
        <v>995354.6625000002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203.35764498439383</v>
      </c>
      <c r="F28" t="str">
        <v>kg</v>
      </c>
      <c r="G28" t="str">
        <v>per m3 beton</v>
      </c>
      <c r="H28">
        <v>9500</v>
      </c>
      <c r="I28">
        <v>203.35764498439383</v>
      </c>
      <c r="J28">
        <v>1931897.6273517413</v>
      </c>
      <c r="K28">
        <v>211.74614784000002</v>
      </c>
      <c r="L28">
        <v>2011588.4044800003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15.199055118367365</v>
      </c>
      <c r="J29">
        <v>144391.02362448996</v>
      </c>
      <c r="K29">
        <v>15.826016142000016</v>
      </c>
      <c r="L29">
        <v>150347.15334900015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303.98110236734703</v>
      </c>
      <c r="J30">
        <v>30398.110236734705</v>
      </c>
      <c r="K30">
        <v>316.52032284000006</v>
      </c>
      <c r="L30">
        <v>31652.032284000004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6.383603149714288</v>
      </c>
      <c r="J31">
        <v>111713.05512000003</v>
      </c>
      <c r="K31">
        <v>6.646926779640001</v>
      </c>
      <c r="L31">
        <v>116321.2186437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9344627.754063614</v>
      </c>
      <c r="J33" t="str">
        <v/>
      </c>
      <c r="K33" t="str">
        <v/>
      </c>
      <c r="L33">
        <v>9730093.648918735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9344627.754063614</v>
      </c>
    </row>
    <row r="37">
      <c r="A37" t="str">
        <v>RAB (A) source unit cost</v>
      </c>
      <c r="B37">
        <v>9344627.754063616</v>
      </c>
    </row>
    <row r="38">
      <c r="A38" t="str">
        <v>Variance</v>
      </c>
      <c r="B38">
        <v>-1.862645149230957e-9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9730093.648918735</v>
      </c>
    </row>
    <row r="41">
      <c r="A41" t="str">
        <v>RAB (A) source line total</v>
      </c>
      <c r="B41">
        <v>11189607.696256546</v>
      </c>
    </row>
    <row r="42">
      <c r="A42" t="str">
        <v>Variance</v>
      </c>
      <c r="B42">
        <v>-1459514.0473378114</v>
      </c>
      <c r="C42" t="str">
        <v>✓ OK</v>
      </c>
    </row>
  </sheetData>
  <ignoredErrors>
    <ignoredError numberStoredAsText="1" sqref="A1:L42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IV.A.2.5 - Balok CL24-1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CL24-1</v>
      </c>
    </row>
    <row r="5">
      <c r="A5" t="str">
        <v>Unit</v>
      </c>
      <c r="B5" t="str">
        <v>m3</v>
      </c>
    </row>
    <row r="6">
      <c r="A6" t="str">
        <v>Volume</v>
      </c>
      <c r="B6">
        <v>0.7932499999999999</v>
      </c>
    </row>
    <row r="7">
      <c r="A7" t="str">
        <v>Unit cost (Rp/m3)</v>
      </c>
      <c r="B7">
        <v>9864631.882078001</v>
      </c>
    </row>
    <row r="8">
      <c r="A8" t="str">
        <v>Line total at-cost (Rp)</v>
      </c>
      <c r="B8">
        <v>7825119.240458374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0.8329125</v>
      </c>
      <c r="L12">
        <v>970759.5187499999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0.7932499999999999</v>
      </c>
      <c r="L14">
        <v>11898.749999999998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0.7932499999999999</v>
      </c>
      <c r="L15">
        <v>59493.74999999999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0.7932499999999999</v>
      </c>
      <c r="L17">
        <v>1189874.9999999998</v>
      </c>
    </row>
    <row r="18">
      <c r="A18">
        <v>4</v>
      </c>
      <c r="B18" t="str">
        <v>BEKISTING BALOK (Material) — ratio 10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</v>
      </c>
      <c r="J19">
        <v>1000000</v>
      </c>
      <c r="K19">
        <v>3.9662499999999996</v>
      </c>
      <c r="L19">
        <v>793249.9999999999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22.5</v>
      </c>
      <c r="J20">
        <v>1323000</v>
      </c>
      <c r="K20">
        <v>17.848124999999996</v>
      </c>
      <c r="L20">
        <v>1049469.7499999998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7.5</v>
      </c>
      <c r="J21">
        <v>441000</v>
      </c>
      <c r="K21">
        <v>5.949374999999999</v>
      </c>
      <c r="L21">
        <v>349823.24999999994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3.75</v>
      </c>
      <c r="J22">
        <v>48750</v>
      </c>
      <c r="K22">
        <v>2.9746874999999995</v>
      </c>
      <c r="L22">
        <v>38670.93749999999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1.25</v>
      </c>
      <c r="J23">
        <v>34375</v>
      </c>
      <c r="K23">
        <v>0.9915624999999999</v>
      </c>
      <c r="L23">
        <v>27267.968749999996</v>
      </c>
    </row>
    <row r="24">
      <c r="A24">
        <v>5</v>
      </c>
      <c r="B24" t="str">
        <v>BEKISTING BALOK PERALATAN (Material) — Perancah, ratio 10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2.5</v>
      </c>
      <c r="J25">
        <v>509405.0925925926</v>
      </c>
      <c r="K25">
        <v>1.9831249999999998</v>
      </c>
      <c r="L25">
        <v>404085.58969907404</v>
      </c>
    </row>
    <row r="26">
      <c r="A26">
        <v>6</v>
      </c>
      <c r="B26" t="str">
        <v>PEMBESIAN (Material) — ratio 353.78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136.88514970059882</v>
      </c>
      <c r="F27" t="str">
        <v>kg</v>
      </c>
      <c r="G27" t="str">
        <v>per m3 beton</v>
      </c>
      <c r="H27">
        <v>9500</v>
      </c>
      <c r="I27">
        <v>136.88514970059882</v>
      </c>
      <c r="J27">
        <v>1300408.9221556887</v>
      </c>
      <c r="K27">
        <v>108.58414499999999</v>
      </c>
      <c r="L27">
        <v>1031549.3775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216.89285264418533</v>
      </c>
      <c r="F28" t="str">
        <v>kg</v>
      </c>
      <c r="G28" t="str">
        <v>per m3 beton</v>
      </c>
      <c r="H28">
        <v>9500</v>
      </c>
      <c r="I28">
        <v>216.89285264418533</v>
      </c>
      <c r="J28">
        <v>2060482.1001197605</v>
      </c>
      <c r="K28">
        <v>172.05025536</v>
      </c>
      <c r="L28">
        <v>1634477.4259199998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17.68890011723922</v>
      </c>
      <c r="J29">
        <v>168044.5511137726</v>
      </c>
      <c r="K29">
        <v>14.03172001800001</v>
      </c>
      <c r="L29">
        <v>133301.3401710001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353.7780023447841</v>
      </c>
      <c r="J30">
        <v>35377.80023447841</v>
      </c>
      <c r="K30">
        <v>280.63440036</v>
      </c>
      <c r="L30">
        <v>28063.440035999996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7.429338049240467</v>
      </c>
      <c r="J31">
        <v>130013.41586170817</v>
      </c>
      <c r="K31">
        <v>5.8933224075599995</v>
      </c>
      <c r="L31">
        <v>103133.1421323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9864631.882078001</v>
      </c>
      <c r="J33" t="str">
        <v/>
      </c>
      <c r="K33" t="str">
        <v/>
      </c>
      <c r="L33">
        <v>7825119.240458374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9864631.882078001</v>
      </c>
    </row>
    <row r="37">
      <c r="A37" t="str">
        <v>RAB (A) source unit cost</v>
      </c>
      <c r="B37">
        <v>9864631.882078001</v>
      </c>
    </row>
    <row r="38">
      <c r="A38" t="str">
        <v>Variance</v>
      </c>
      <c r="B38">
        <v>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7825119.240458374</v>
      </c>
    </row>
    <row r="41">
      <c r="A41" t="str">
        <v>RAB (A) source line total</v>
      </c>
      <c r="B41">
        <v>8998887.126527129</v>
      </c>
    </row>
    <row r="42">
      <c r="A42" t="str">
        <v>Variance</v>
      </c>
      <c r="B42">
        <v>-1173767.8860687548</v>
      </c>
      <c r="C42" t="str">
        <v>✓ OK</v>
      </c>
    </row>
  </sheetData>
  <ignoredErrors>
    <ignoredError numberStoredAsText="1" sqref="A1:L42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IV.A.2.6 -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6.7695500000000015</v>
      </c>
    </row>
    <row r="7">
      <c r="A7" t="str">
        <v>Unit cost (Rp/m3)</v>
      </c>
      <c r="B7">
        <v>8932818.850406056</v>
      </c>
    </row>
    <row r="8">
      <c r="A8" t="str">
        <v>Line total at-cost (Rp)</v>
      </c>
      <c r="B8">
        <v>60471163.848766334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7.108027500000002</v>
      </c>
      <c r="L12">
        <v>8284406.051250001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6.7695500000000015</v>
      </c>
      <c r="L14">
        <v>101543.25000000003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6.7695500000000015</v>
      </c>
      <c r="L15">
        <v>507716.2500000001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6.7695500000000015</v>
      </c>
      <c r="L17">
        <v>10154325.000000002</v>
      </c>
    </row>
    <row r="18">
      <c r="A18">
        <v>4</v>
      </c>
      <c r="B18" t="str">
        <v>BEKISTING BALOK (Material) — ratio 10.305042432658004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5.152521216329002</v>
      </c>
      <c r="J19">
        <v>1030504.2432658004</v>
      </c>
      <c r="K19">
        <v>34.880250000000004</v>
      </c>
      <c r="L19">
        <v>6976050.000000001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23.186345473480507</v>
      </c>
      <c r="J20">
        <v>1363357.1138406538</v>
      </c>
      <c r="K20">
        <v>156.961125</v>
      </c>
      <c r="L20">
        <v>9229314.15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7.7287818244935025</v>
      </c>
      <c r="J21">
        <v>454452.37128021795</v>
      </c>
      <c r="K21">
        <v>52.320375</v>
      </c>
      <c r="L21">
        <v>3076438.0500000003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3.8643909122467512</v>
      </c>
      <c r="J22">
        <v>50237.08185920776</v>
      </c>
      <c r="K22">
        <v>26.1601875</v>
      </c>
      <c r="L22">
        <v>340082.4375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1.2881303040822505</v>
      </c>
      <c r="J23">
        <v>35423.58336226189</v>
      </c>
      <c r="K23">
        <v>8.720062500000001</v>
      </c>
      <c r="L23">
        <v>239801.71875000003</v>
      </c>
    </row>
    <row r="24">
      <c r="A24">
        <v>5</v>
      </c>
      <c r="B24" t="str">
        <v>BEKISTING BALOK PERALATAN (Material) — Perancah, ratio 10.305042432658004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2.576260608164501</v>
      </c>
      <c r="J25">
        <v>524944.1094578746</v>
      </c>
      <c r="K25">
        <v>17.440125000000002</v>
      </c>
      <c r="L25">
        <v>3553635.3961805557</v>
      </c>
    </row>
    <row r="26">
      <c r="A26">
        <v>6</v>
      </c>
      <c r="B26" t="str">
        <v>PEMBESIAN (Material) — ratio 254.74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78.4565428721259</v>
      </c>
      <c r="F27" t="str">
        <v>kg</v>
      </c>
      <c r="G27" t="str">
        <v>per m3 beton</v>
      </c>
      <c r="H27">
        <v>9500</v>
      </c>
      <c r="I27">
        <v>78.4565428721259</v>
      </c>
      <c r="J27">
        <v>745337.157285196</v>
      </c>
      <c r="K27">
        <v>531.1154898</v>
      </c>
      <c r="L27">
        <v>5045597.1531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176.28373458442582</v>
      </c>
      <c r="F28" t="str">
        <v>kg</v>
      </c>
      <c r="G28" t="str">
        <v>per m3 beton</v>
      </c>
      <c r="H28">
        <v>9500</v>
      </c>
      <c r="I28">
        <v>176.28373458442582</v>
      </c>
      <c r="J28">
        <v>1674695.4785520453</v>
      </c>
      <c r="K28">
        <v>1193.3615554560001</v>
      </c>
      <c r="L28">
        <v>11336934.776832001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12.737013872827598</v>
      </c>
      <c r="J29">
        <v>121001.63179186218</v>
      </c>
      <c r="K29">
        <v>86.22385226280008</v>
      </c>
      <c r="L29">
        <v>819126.5964966008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254.74027745655172</v>
      </c>
      <c r="J30">
        <v>25474.027745655174</v>
      </c>
      <c r="K30">
        <v>1724.477045256</v>
      </c>
      <c r="L30">
        <v>172447.7045256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5.349545826587587</v>
      </c>
      <c r="J31">
        <v>93617.05196528276</v>
      </c>
      <c r="K31">
        <v>36.214017950376004</v>
      </c>
      <c r="L31">
        <v>633745.3141315801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8932818.850406056</v>
      </c>
      <c r="J33" t="str">
        <v/>
      </c>
      <c r="K33" t="str">
        <v/>
      </c>
      <c r="L33">
        <v>60471163.848766334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8932818.850406056</v>
      </c>
    </row>
    <row r="37">
      <c r="A37" t="str">
        <v>RAB (A) source unit cost</v>
      </c>
      <c r="B37">
        <v>8932818.850406058</v>
      </c>
    </row>
    <row r="38">
      <c r="A38" t="str">
        <v>Variance</v>
      </c>
      <c r="B38">
        <v>-1.862645149230957e-9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60471163.848766334</v>
      </c>
    </row>
    <row r="41">
      <c r="A41" t="str">
        <v>RAB (A) source line total</v>
      </c>
      <c r="B41">
        <v>69541838.42608128</v>
      </c>
    </row>
    <row r="42">
      <c r="A42" t="str">
        <v>Variance</v>
      </c>
      <c r="B42">
        <v>-9070674.57731495</v>
      </c>
      <c r="C42" t="str">
        <v>✓ OK</v>
      </c>
    </row>
  </sheetData>
  <ignoredErrors>
    <ignoredError numberStoredAsText="1" sqref="A1:L42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IV.A.2.7 - Balok B26-1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B26-1</v>
      </c>
    </row>
    <row r="5">
      <c r="A5" t="str">
        <v>Unit</v>
      </c>
      <c r="B5" t="str">
        <v>m3</v>
      </c>
    </row>
    <row r="6">
      <c r="A6" t="str">
        <v>Volume</v>
      </c>
      <c r="B6">
        <v>2.72025</v>
      </c>
    </row>
    <row r="7">
      <c r="A7" t="str">
        <v>Unit cost (Rp/m3)</v>
      </c>
      <c r="B7">
        <v>8657405.460550904</v>
      </c>
    </row>
    <row r="8">
      <c r="A8" t="str">
        <v>Line total at-cost (Rp)</v>
      </c>
      <c r="B8">
        <v>23550307.204063598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2.8562625</v>
      </c>
      <c r="L12">
        <v>3328973.94375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2.72025</v>
      </c>
      <c r="L14">
        <v>40803.75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2.72025</v>
      </c>
      <c r="L15">
        <v>204018.75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2.72025</v>
      </c>
      <c r="L17">
        <v>4080375</v>
      </c>
    </row>
    <row r="18">
      <c r="A18">
        <v>4</v>
      </c>
      <c r="B18" t="str">
        <v>BEKISTING BALOK (Material) — ratio 9.999999999999998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4.999999999999999</v>
      </c>
      <c r="J19">
        <v>999999.9999999998</v>
      </c>
      <c r="K19">
        <v>13.601249999999999</v>
      </c>
      <c r="L19">
        <v>2720249.9999999995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22.499999999999996</v>
      </c>
      <c r="J20">
        <v>1322999.9999999998</v>
      </c>
      <c r="K20">
        <v>61.20562499999999</v>
      </c>
      <c r="L20">
        <v>3598890.7499999995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7.499999999999998</v>
      </c>
      <c r="J21">
        <v>440999.9999999999</v>
      </c>
      <c r="K21">
        <v>20.401874999999997</v>
      </c>
      <c r="L21">
        <v>1199630.2499999998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3.749999999999999</v>
      </c>
      <c r="J22">
        <v>48749.999999999985</v>
      </c>
      <c r="K22">
        <v>10.200937499999998</v>
      </c>
      <c r="L22">
        <v>132612.18749999997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1.2499999999999998</v>
      </c>
      <c r="J23">
        <v>34374.99999999999</v>
      </c>
      <c r="K23">
        <v>3.4003124999999996</v>
      </c>
      <c r="L23">
        <v>93508.59374999999</v>
      </c>
    </row>
    <row r="24">
      <c r="A24">
        <v>5</v>
      </c>
      <c r="B24" t="str">
        <v>BEKISTING BALOK PERALATAN (Material) — Perancah, ratio 9.999999999999998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2.4999999999999996</v>
      </c>
      <c r="J25">
        <v>509405.09259259247</v>
      </c>
      <c r="K25">
        <v>6.800624999999999</v>
      </c>
      <c r="L25">
        <v>1385709.2031249998</v>
      </c>
    </row>
    <row r="26">
      <c r="A26">
        <v>6</v>
      </c>
      <c r="B26" t="str">
        <v>PEMBESIAN (Material) — ratio 238.17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100.8836724565757</v>
      </c>
      <c r="F27" t="str">
        <v>kg</v>
      </c>
      <c r="G27" t="str">
        <v>per m3 beton</v>
      </c>
      <c r="H27">
        <v>9500</v>
      </c>
      <c r="I27">
        <v>100.8836724565757</v>
      </c>
      <c r="J27">
        <v>958394.8883374691</v>
      </c>
      <c r="K27">
        <v>274.42881000000006</v>
      </c>
      <c r="L27">
        <v>2607073.6950000003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137.2872988585608</v>
      </c>
      <c r="F28" t="str">
        <v>kg</v>
      </c>
      <c r="G28" t="str">
        <v>per m3 beton</v>
      </c>
      <c r="H28">
        <v>9500</v>
      </c>
      <c r="I28">
        <v>137.2872988585608</v>
      </c>
      <c r="J28">
        <v>1304229.3391563275</v>
      </c>
      <c r="K28">
        <v>373.45577472</v>
      </c>
      <c r="L28">
        <v>3547829.85984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11.908548565756837</v>
      </c>
      <c r="J29">
        <v>113131.21137468994</v>
      </c>
      <c r="K29">
        <v>32.39422923600004</v>
      </c>
      <c r="L29">
        <v>307745.1777420003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238.1709713151365</v>
      </c>
      <c r="J30">
        <v>23817.097131513652</v>
      </c>
      <c r="K30">
        <v>647.8845847200001</v>
      </c>
      <c r="L30">
        <v>64788.45847200001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5.001590397617867</v>
      </c>
      <c r="J31">
        <v>87527.83195831267</v>
      </c>
      <c r="K31">
        <v>13.605576279120003</v>
      </c>
      <c r="L31">
        <v>238097.58488460004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8657405.460550904</v>
      </c>
      <c r="J33" t="str">
        <v/>
      </c>
      <c r="K33" t="str">
        <v/>
      </c>
      <c r="L33">
        <v>23550307.204063598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8657405.460550904</v>
      </c>
    </row>
    <row r="37">
      <c r="A37" t="str">
        <v>RAB (A) source unit cost</v>
      </c>
      <c r="B37">
        <v>8657405.460550906</v>
      </c>
    </row>
    <row r="38">
      <c r="A38" t="str">
        <v>Variance</v>
      </c>
      <c r="B38">
        <v>-1.862645149230957e-9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23550307.204063598</v>
      </c>
    </row>
    <row r="41">
      <c r="A41" t="str">
        <v>RAB (A) source line total</v>
      </c>
      <c r="B41">
        <v>27082853.28467314</v>
      </c>
    </row>
    <row r="42">
      <c r="A42" t="str">
        <v>Variance</v>
      </c>
      <c r="B42">
        <v>-3532546.0806095414</v>
      </c>
      <c r="C42" t="str">
        <v>✓ OK</v>
      </c>
    </row>
  </sheetData>
  <ignoredErrors>
    <ignoredError numberStoredAsText="1" sqref="A1:L42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IV.A.2.8 - Balok B36-1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B36-1</v>
      </c>
    </row>
    <row r="5">
      <c r="A5" t="str">
        <v>Unit</v>
      </c>
      <c r="B5" t="str">
        <v>m3</v>
      </c>
    </row>
    <row r="6">
      <c r="A6" t="str">
        <v>Volume</v>
      </c>
      <c r="B6">
        <v>4.311225</v>
      </c>
    </row>
    <row r="7">
      <c r="A7" t="str">
        <v>Unit cost (Rp/m3)</v>
      </c>
      <c r="B7">
        <v>7118839.288365837</v>
      </c>
    </row>
    <row r="8">
      <c r="A8" t="str">
        <v>Line total at-cost (Rp)</v>
      </c>
      <c r="B8">
        <v>30690917.910985008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4.526786250000001</v>
      </c>
      <c r="L12">
        <v>5275969.374375001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4.311225</v>
      </c>
      <c r="L14">
        <v>64668.37500000001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4.311225</v>
      </c>
      <c r="L15">
        <v>323341.875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4.311225</v>
      </c>
      <c r="L17">
        <v>6466837.5</v>
      </c>
    </row>
    <row r="18">
      <c r="A18">
        <v>4</v>
      </c>
      <c r="B18" t="str">
        <v>BEKISTING BALOK (Material) — ratio 6.666666666666667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3.3333333333333335</v>
      </c>
      <c r="J19">
        <v>666666.6666666667</v>
      </c>
      <c r="K19">
        <v>14.370750000000001</v>
      </c>
      <c r="L19">
        <v>2874150.0000000005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15</v>
      </c>
      <c r="J20">
        <v>882000</v>
      </c>
      <c r="K20">
        <v>64.668375</v>
      </c>
      <c r="L20">
        <v>3802500.45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5</v>
      </c>
      <c r="J21">
        <v>294000</v>
      </c>
      <c r="K21">
        <v>21.556125</v>
      </c>
      <c r="L21">
        <v>1267500.1500000001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2.5</v>
      </c>
      <c r="J22">
        <v>32500</v>
      </c>
      <c r="K22">
        <v>10.7780625</v>
      </c>
      <c r="L22">
        <v>140114.8125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0.8333333333333334</v>
      </c>
      <c r="J23">
        <v>22916.666666666668</v>
      </c>
      <c r="K23">
        <v>3.5926875000000003</v>
      </c>
      <c r="L23">
        <v>98798.90625000001</v>
      </c>
    </row>
    <row r="24">
      <c r="A24">
        <v>5</v>
      </c>
      <c r="B24" t="str">
        <v>BEKISTING BALOK PERALATAN (Material) — Perancah, ratio 6.666666666666667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1.6666666666666667</v>
      </c>
      <c r="J25">
        <v>339603.39506172837</v>
      </c>
      <c r="K25">
        <v>7.1853750000000005</v>
      </c>
      <c r="L25">
        <v>1464106.646875</v>
      </c>
    </row>
    <row r="26">
      <c r="A26">
        <v>6</v>
      </c>
      <c r="B26" t="str">
        <v>PEMBESIAN (Material) — ratio 197.98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74.04191848024634</v>
      </c>
      <c r="F27" t="str">
        <v>kg</v>
      </c>
      <c r="G27" t="str">
        <v>per m3 beton</v>
      </c>
      <c r="H27">
        <v>9500</v>
      </c>
      <c r="I27">
        <v>74.04191848024634</v>
      </c>
      <c r="J27">
        <v>703398.2255623402</v>
      </c>
      <c r="K27">
        <v>319.21137000000004</v>
      </c>
      <c r="L27">
        <v>3032508.0150000006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123.93534366682324</v>
      </c>
      <c r="F28" t="str">
        <v>kg</v>
      </c>
      <c r="G28" t="str">
        <v>per m3 beton</v>
      </c>
      <c r="H28">
        <v>9500</v>
      </c>
      <c r="I28">
        <v>123.93534366682324</v>
      </c>
      <c r="J28">
        <v>1177385.7648348208</v>
      </c>
      <c r="K28">
        <v>534.3131520000001</v>
      </c>
      <c r="L28">
        <v>5075974.944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9.898863107353488</v>
      </c>
      <c r="J29">
        <v>94039.19951985814</v>
      </c>
      <c r="K29">
        <v>42.676226100000044</v>
      </c>
      <c r="L29">
        <v>405424.1479500004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197.97726214706958</v>
      </c>
      <c r="J30">
        <v>19797.72621470696</v>
      </c>
      <c r="K30">
        <v>853.5245220000002</v>
      </c>
      <c r="L30">
        <v>85352.45220000001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4.157522505088462</v>
      </c>
      <c r="J31">
        <v>72756.64383904808</v>
      </c>
      <c r="K31">
        <v>17.924014962000005</v>
      </c>
      <c r="L31">
        <v>313670.26183500007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7118839.288365837</v>
      </c>
      <c r="J33" t="str">
        <v/>
      </c>
      <c r="K33" t="str">
        <v/>
      </c>
      <c r="L33">
        <v>30690917.910985008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7118839.288365837</v>
      </c>
    </row>
    <row r="37">
      <c r="A37" t="str">
        <v>RAB (A) source unit cost</v>
      </c>
      <c r="B37">
        <v>7118839.288365836</v>
      </c>
    </row>
    <row r="38">
      <c r="A38" t="str">
        <v>Variance</v>
      </c>
      <c r="B38">
        <v>9.313225746154785e-10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30690917.910985008</v>
      </c>
    </row>
    <row r="41">
      <c r="A41" t="str">
        <v>RAB (A) source line total</v>
      </c>
      <c r="B41">
        <v>35294555.59763275</v>
      </c>
    </row>
    <row r="42">
      <c r="A42" t="str">
        <v>Variance</v>
      </c>
      <c r="B42">
        <v>-4603637.686647743</v>
      </c>
      <c r="C42" t="str">
        <v>✓ OK</v>
      </c>
    </row>
  </sheetData>
  <ignoredErrors>
    <ignoredError numberStoredAsText="1" sqref="A1:L42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IV.A.3.1 - Kolom K4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K4</v>
      </c>
    </row>
    <row r="5">
      <c r="A5" t="str">
        <v>Unit</v>
      </c>
      <c r="B5" t="str">
        <v>m3</v>
      </c>
    </row>
    <row r="6">
      <c r="A6" t="str">
        <v>Volume</v>
      </c>
      <c r="B6">
        <v>2.686</v>
      </c>
    </row>
    <row r="7">
      <c r="A7" t="str">
        <v>Unit cost (Rp/m3)</v>
      </c>
      <c r="B7">
        <v>8197543.811006702</v>
      </c>
    </row>
    <row r="8">
      <c r="A8" t="str">
        <v>Line total at-cost (Rp)</v>
      </c>
      <c r="B8">
        <v>22018602.676364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2.8203</v>
      </c>
      <c r="L12">
        <v>3287059.65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2.686</v>
      </c>
      <c r="L14">
        <v>40290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2.686</v>
      </c>
      <c r="L15">
        <v>671500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2.686</v>
      </c>
      <c r="L17">
        <v>4297600</v>
      </c>
    </row>
    <row r="18">
      <c r="A18">
        <v>4</v>
      </c>
      <c r="B18" t="str">
        <v>BEKISTING KOLOM (Material) — ratio 16.764705882352942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3.676470588235294</v>
      </c>
      <c r="J19">
        <v>735294.1176470588</v>
      </c>
      <c r="K19">
        <v>9.875</v>
      </c>
      <c r="L19">
        <v>1975000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18.38235294117647</v>
      </c>
      <c r="J20">
        <v>1080882.3529411764</v>
      </c>
      <c r="K20">
        <v>49.375</v>
      </c>
      <c r="L20">
        <v>2903249.9999999995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3.676470588235294</v>
      </c>
      <c r="J21">
        <v>216176.47058823527</v>
      </c>
      <c r="K21">
        <v>9.875</v>
      </c>
      <c r="L21">
        <v>580649.9999999999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3.676470588235294</v>
      </c>
      <c r="J22">
        <v>47794.11764705882</v>
      </c>
      <c r="K22">
        <v>9.875</v>
      </c>
      <c r="L22">
        <v>128374.99999999999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4.1911764705882355</v>
      </c>
      <c r="J23">
        <v>115257.35294117648</v>
      </c>
      <c r="K23">
        <v>11.2575</v>
      </c>
      <c r="L23">
        <v>309581.25</v>
      </c>
    </row>
    <row r="24">
      <c r="A24">
        <v>5</v>
      </c>
      <c r="B24" t="str">
        <v>PEMBESIAN (Material) — ratio 278.99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105.81949367088609</v>
      </c>
      <c r="F25" t="str">
        <v>kg</v>
      </c>
      <c r="G25" t="str">
        <v>per m3 beton</v>
      </c>
      <c r="H25">
        <v>9500</v>
      </c>
      <c r="I25">
        <v>105.81949367088609</v>
      </c>
      <c r="J25">
        <v>1005285.1898734178</v>
      </c>
      <c r="K25">
        <v>284.23116000000005</v>
      </c>
      <c r="L25">
        <v>2700196.0200000005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173.17159076693966</v>
      </c>
      <c r="F26" t="str">
        <v>kg</v>
      </c>
      <c r="G26" t="str">
        <v>per m3 beton</v>
      </c>
      <c r="H26">
        <v>9500</v>
      </c>
      <c r="I26">
        <v>173.17159076693966</v>
      </c>
      <c r="J26">
        <v>1645130.1122859267</v>
      </c>
      <c r="K26">
        <v>465.1388927999999</v>
      </c>
      <c r="L26">
        <v>4418819.481599999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13.9495542218913</v>
      </c>
      <c r="J27">
        <v>132520.76510796734</v>
      </c>
      <c r="K27">
        <v>37.468502640000025</v>
      </c>
      <c r="L27">
        <v>355950.7750800003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278.99108443782575</v>
      </c>
      <c r="J28">
        <v>27899.108443782574</v>
      </c>
      <c r="K28">
        <v>749.3700527999999</v>
      </c>
      <c r="L28">
        <v>74937.00528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5.858812773194341</v>
      </c>
      <c r="J29">
        <v>102529.22353090097</v>
      </c>
      <c r="K29">
        <v>15.7367711088</v>
      </c>
      <c r="L29">
        <v>275393.494404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8197543.811006702</v>
      </c>
      <c r="J31" t="str">
        <v/>
      </c>
      <c r="K31" t="str">
        <v/>
      </c>
      <c r="L31">
        <v>22018602.676364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8197543.811006702</v>
      </c>
    </row>
    <row r="35">
      <c r="A35" t="str">
        <v>RAB (A) source unit cost</v>
      </c>
      <c r="B35">
        <v>8197543.811006701</v>
      </c>
    </row>
    <row r="36">
      <c r="A36" t="str">
        <v>Variance</v>
      </c>
      <c r="B36">
        <v>9.313225746154785e-10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22018602.676364</v>
      </c>
    </row>
    <row r="39">
      <c r="A39" t="str">
        <v>RAB (A) source line total</v>
      </c>
      <c r="B39">
        <v>25321393.077818595</v>
      </c>
    </row>
    <row r="40">
      <c r="A40" t="str">
        <v>Variance</v>
      </c>
      <c r="B40">
        <v>-3302790.401454594</v>
      </c>
      <c r="C40" t="str">
        <v>✓ OK</v>
      </c>
    </row>
  </sheetData>
  <ignoredErrors>
    <ignoredError numberStoredAsText="1" sqref="A1:L40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IV.A.3.2 - Kolom K5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K5</v>
      </c>
    </row>
    <row r="5">
      <c r="A5" t="str">
        <v>Unit</v>
      </c>
      <c r="B5" t="str">
        <v>m3</v>
      </c>
    </row>
    <row r="6">
      <c r="A6" t="str">
        <v>Volume</v>
      </c>
      <c r="B6">
        <v>4.2075</v>
      </c>
    </row>
    <row r="7">
      <c r="A7" t="str">
        <v>Unit cost (Rp/m3)</v>
      </c>
      <c r="B7">
        <v>8350219.051208051</v>
      </c>
    </row>
    <row r="8">
      <c r="A8" t="str">
        <v>Line total at-cost (Rp)</v>
      </c>
      <c r="B8">
        <v>35133546.657957874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4.4178749999999996</v>
      </c>
      <c r="L12">
        <v>5149033.312499999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4.2075</v>
      </c>
      <c r="L14">
        <v>63112.49999999999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4.2075</v>
      </c>
      <c r="L15">
        <v>1051875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4.2075</v>
      </c>
      <c r="L17">
        <v>6731999.999999999</v>
      </c>
    </row>
    <row r="18">
      <c r="A18">
        <v>4</v>
      </c>
      <c r="B18" t="str">
        <v>BEKISTING KOLOM (Material) — ratio 15.764705882352942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3.457172342621259</v>
      </c>
      <c r="J19">
        <v>691434.4685242517</v>
      </c>
      <c r="K19">
        <v>14.546052631578945</v>
      </c>
      <c r="L19">
        <v>2909210.5263157887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17.285861713106293</v>
      </c>
      <c r="J20">
        <v>1016408.66873065</v>
      </c>
      <c r="K20">
        <v>72.73026315789473</v>
      </c>
      <c r="L20">
        <v>4276539.473684209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3.457172342621259</v>
      </c>
      <c r="J21">
        <v>203281.73374613002</v>
      </c>
      <c r="K21">
        <v>14.546052631578945</v>
      </c>
      <c r="L21">
        <v>855307.894736842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3.457172342621259</v>
      </c>
      <c r="J22">
        <v>44943.24045407637</v>
      </c>
      <c r="K22">
        <v>14.546052631578945</v>
      </c>
      <c r="L22">
        <v>189098.6842105263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3.9411764705882355</v>
      </c>
      <c r="J23">
        <v>108382.35294117648</v>
      </c>
      <c r="K23">
        <v>16.5825</v>
      </c>
      <c r="L23">
        <v>456018.75</v>
      </c>
    </row>
    <row r="24">
      <c r="A24">
        <v>5</v>
      </c>
      <c r="B24" t="str">
        <v>PEMBESIAN (Material) — ratio 306.15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121.96223529411769</v>
      </c>
      <c r="F25" t="str">
        <v>kg</v>
      </c>
      <c r="G25" t="str">
        <v>per m3 beton</v>
      </c>
      <c r="H25">
        <v>9500</v>
      </c>
      <c r="I25">
        <v>121.96223529411769</v>
      </c>
      <c r="J25">
        <v>1158641.235294118</v>
      </c>
      <c r="K25">
        <v>513.1561050000001</v>
      </c>
      <c r="L25">
        <v>4874982.997500001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184.1898917647059</v>
      </c>
      <c r="F26" t="str">
        <v>kg</v>
      </c>
      <c r="G26" t="str">
        <v>per m3 beton</v>
      </c>
      <c r="H26">
        <v>9500</v>
      </c>
      <c r="I26">
        <v>184.1898917647059</v>
      </c>
      <c r="J26">
        <v>1749803.971764706</v>
      </c>
      <c r="K26">
        <v>774.9789695999999</v>
      </c>
      <c r="L26">
        <v>7362300.2112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15.307606352941193</v>
      </c>
      <c r="J27">
        <v>145422.26035294132</v>
      </c>
      <c r="K27">
        <v>64.40675373000006</v>
      </c>
      <c r="L27">
        <v>611864.1604350006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306.15212705882357</v>
      </c>
      <c r="J28">
        <v>30615.212705882357</v>
      </c>
      <c r="K28">
        <v>1288.1350746</v>
      </c>
      <c r="L28">
        <v>128813.50746000001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6.429194668235295</v>
      </c>
      <c r="J29">
        <v>112510.90669411767</v>
      </c>
      <c r="K29">
        <v>27.0508365666</v>
      </c>
      <c r="L29">
        <v>473389.63991550007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8350219.051208051</v>
      </c>
      <c r="J31" t="str">
        <v/>
      </c>
      <c r="K31" t="str">
        <v/>
      </c>
      <c r="L31">
        <v>35133546.657957874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8350219.051208051</v>
      </c>
    </row>
    <row r="35">
      <c r="A35" t="str">
        <v>RAB (A) source unit cost</v>
      </c>
      <c r="B35">
        <v>8350219.05120805</v>
      </c>
    </row>
    <row r="36">
      <c r="A36" t="str">
        <v>Variance</v>
      </c>
      <c r="B36">
        <v>9.313225746154785e-10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35133546.657957874</v>
      </c>
    </row>
    <row r="39">
      <c r="A39" t="str">
        <v>RAB (A) source line total</v>
      </c>
      <c r="B39">
        <v>40403578.65665154</v>
      </c>
    </row>
    <row r="40">
      <c r="A40" t="str">
        <v>Variance</v>
      </c>
      <c r="B40">
        <v>-5270031.998693667</v>
      </c>
      <c r="C40" t="str">
        <v>✓ OK</v>
      </c>
    </row>
  </sheetData>
  <ignoredErrors>
    <ignoredError numberStoredAsText="1" sqref="A1:L40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IV.A.3.3 - Kolom K6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K6</v>
      </c>
    </row>
    <row r="5">
      <c r="A5" t="str">
        <v>Unit</v>
      </c>
      <c r="B5" t="str">
        <v>m3</v>
      </c>
    </row>
    <row r="6">
      <c r="A6" t="str">
        <v>Volume</v>
      </c>
      <c r="B6">
        <v>1.377</v>
      </c>
    </row>
    <row r="7">
      <c r="A7" t="str">
        <v>Unit cost (Rp/m3)</v>
      </c>
      <c r="B7">
        <v>8237500.709631063</v>
      </c>
    </row>
    <row r="8">
      <c r="A8" t="str">
        <v>Line total at-cost (Rp)</v>
      </c>
      <c r="B8">
        <v>11343038.477161974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1.44585</v>
      </c>
      <c r="L12">
        <v>1685138.175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1.377</v>
      </c>
      <c r="L14">
        <v>20655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1.377</v>
      </c>
      <c r="L15">
        <v>344250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1.377</v>
      </c>
      <c r="L17">
        <v>2203200</v>
      </c>
    </row>
    <row r="18">
      <c r="A18">
        <v>4</v>
      </c>
      <c r="B18" t="str">
        <v>BEKISTING KOLOM (Material) — ratio 15.098039215686274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3.310973512211902</v>
      </c>
      <c r="J19">
        <v>662194.7024423804</v>
      </c>
      <c r="K19">
        <v>4.559210526315789</v>
      </c>
      <c r="L19">
        <v>911842.1052631577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16.55486756105951</v>
      </c>
      <c r="J20">
        <v>973426.2125902992</v>
      </c>
      <c r="K20">
        <v>22.796052631578945</v>
      </c>
      <c r="L20">
        <v>1340407.894736842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3.310973512211902</v>
      </c>
      <c r="J21">
        <v>194685.24251805982</v>
      </c>
      <c r="K21">
        <v>4.559210526315789</v>
      </c>
      <c r="L21">
        <v>268081.57894736837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3.310973512211902</v>
      </c>
      <c r="J22">
        <v>43042.655658754724</v>
      </c>
      <c r="K22">
        <v>4.559210526315789</v>
      </c>
      <c r="L22">
        <v>59269.73684210525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3.7745098039215685</v>
      </c>
      <c r="J23">
        <v>103799.01960784313</v>
      </c>
      <c r="K23">
        <v>5.1975</v>
      </c>
      <c r="L23">
        <v>142931.25</v>
      </c>
    </row>
    <row r="24">
      <c r="A24">
        <v>5</v>
      </c>
      <c r="B24" t="str">
        <v>PEMBESIAN (Material) — ratio 303.72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114.26068627450982</v>
      </c>
      <c r="F25" t="str">
        <v>kg</v>
      </c>
      <c r="G25" t="str">
        <v>per m3 beton</v>
      </c>
      <c r="H25">
        <v>9500</v>
      </c>
      <c r="I25">
        <v>114.26068627450982</v>
      </c>
      <c r="J25">
        <v>1085476.5196078434</v>
      </c>
      <c r="K25">
        <v>157.33696500000002</v>
      </c>
      <c r="L25">
        <v>1494701.1675000002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189.457568627451</v>
      </c>
      <c r="F26" t="str">
        <v>kg</v>
      </c>
      <c r="G26" t="str">
        <v>per m3 beton</v>
      </c>
      <c r="H26">
        <v>9500</v>
      </c>
      <c r="I26">
        <v>189.457568627451</v>
      </c>
      <c r="J26">
        <v>1799846.9019607846</v>
      </c>
      <c r="K26">
        <v>260.883072</v>
      </c>
      <c r="L26">
        <v>2478389.1840000004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15.185912745098053</v>
      </c>
      <c r="J27">
        <v>144266.1710784315</v>
      </c>
      <c r="K27">
        <v>20.91100185000002</v>
      </c>
      <c r="L27">
        <v>198654.51757500018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303.7182549019608</v>
      </c>
      <c r="J28">
        <v>30371.82549019608</v>
      </c>
      <c r="K28">
        <v>418.220037</v>
      </c>
      <c r="L28">
        <v>41822.0037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6.378083352941177</v>
      </c>
      <c r="J29">
        <v>111616.45867647059</v>
      </c>
      <c r="K29">
        <v>8.782620777</v>
      </c>
      <c r="L29">
        <v>153695.8635975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8237500.709631063</v>
      </c>
      <c r="J31" t="str">
        <v/>
      </c>
      <c r="K31" t="str">
        <v/>
      </c>
      <c r="L31">
        <v>11343038.477161974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8237500.709631063</v>
      </c>
    </row>
    <row r="35">
      <c r="A35" t="str">
        <v>RAB (A) source unit cost</v>
      </c>
      <c r="B35">
        <v>8237500.709631063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11343038.477161974</v>
      </c>
    </row>
    <row r="39">
      <c r="A39" t="str">
        <v>RAB (A) source line total</v>
      </c>
      <c r="B39">
        <v>13044494.24873627</v>
      </c>
    </row>
    <row r="40">
      <c r="A40" t="str">
        <v>Variance</v>
      </c>
      <c r="B40">
        <v>-1701455.771574296</v>
      </c>
      <c r="C40" t="str">
        <v>✓ OK</v>
      </c>
    </row>
  </sheetData>
  <ignoredErrors>
    <ignoredError numberStoredAsText="1" sqref="A1:L40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IV.A.3.4 - Kolom K7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K7</v>
      </c>
    </row>
    <row r="5">
      <c r="A5" t="str">
        <v>Unit</v>
      </c>
      <c r="B5" t="str">
        <v>m3</v>
      </c>
    </row>
    <row r="6">
      <c r="A6" t="str">
        <v>Volume</v>
      </c>
      <c r="B6">
        <v>0.5355</v>
      </c>
    </row>
    <row r="7">
      <c r="A7" t="str">
        <v>Unit cost (Rp/m3)</v>
      </c>
      <c r="B7">
        <v>7835066.288706324</v>
      </c>
    </row>
    <row r="8">
      <c r="A8" t="str">
        <v>Line total at-cost (Rp)</v>
      </c>
      <c r="B8">
        <v>4195677.997602236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0.562275</v>
      </c>
      <c r="L12">
        <v>655331.5125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0.5355</v>
      </c>
      <c r="L14">
        <v>8032.5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0.5355</v>
      </c>
      <c r="L15">
        <v>133875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0.5355</v>
      </c>
      <c r="L17">
        <v>856800</v>
      </c>
    </row>
    <row r="18">
      <c r="A18">
        <v>4</v>
      </c>
      <c r="B18" t="str">
        <v>BEKISTING KOLOM (Material) — ratio 14.6218487394958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3.206545776205219</v>
      </c>
      <c r="J19">
        <v>641309.1552410438</v>
      </c>
      <c r="K19">
        <v>1.7171052631578947</v>
      </c>
      <c r="L19">
        <v>343421.05263157893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16.032728881026095</v>
      </c>
      <c r="J20">
        <v>942724.4582043344</v>
      </c>
      <c r="K20">
        <v>8.585526315789474</v>
      </c>
      <c r="L20">
        <v>504828.947368421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3.206545776205219</v>
      </c>
      <c r="J21">
        <v>188544.89164086687</v>
      </c>
      <c r="K21">
        <v>1.7171052631578947</v>
      </c>
      <c r="L21">
        <v>100965.78947368421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3.206545776205219</v>
      </c>
      <c r="J22">
        <v>41685.09509066785</v>
      </c>
      <c r="K22">
        <v>1.7171052631578947</v>
      </c>
      <c r="L22">
        <v>22322.36842105263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3.65546218487395</v>
      </c>
      <c r="J23">
        <v>100525.21008403362</v>
      </c>
      <c r="K23">
        <v>1.9575</v>
      </c>
      <c r="L23">
        <v>53831.25</v>
      </c>
    </row>
    <row r="24">
      <c r="A24">
        <v>5</v>
      </c>
      <c r="B24" t="str">
        <v>PEMBESIAN (Material) — ratio 271.15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108.7595798319328</v>
      </c>
      <c r="F25" t="str">
        <v>kg</v>
      </c>
      <c r="G25" t="str">
        <v>per m3 beton</v>
      </c>
      <c r="H25">
        <v>9500</v>
      </c>
      <c r="I25">
        <v>108.7595798319328</v>
      </c>
      <c r="J25">
        <v>1033216.0084033615</v>
      </c>
      <c r="K25">
        <v>58.24075500000001</v>
      </c>
      <c r="L25">
        <v>553287.1725000001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162.3922016806723</v>
      </c>
      <c r="F26" t="str">
        <v>kg</v>
      </c>
      <c r="G26" t="str">
        <v>per m3 beton</v>
      </c>
      <c r="H26">
        <v>9500</v>
      </c>
      <c r="I26">
        <v>162.3922016806723</v>
      </c>
      <c r="J26">
        <v>1542725.9159663867</v>
      </c>
      <c r="K26">
        <v>86.96102400000001</v>
      </c>
      <c r="L26">
        <v>826129.728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13.557589075630268</v>
      </c>
      <c r="J27">
        <v>128797.09621848755</v>
      </c>
      <c r="K27">
        <v>7.260088950000008</v>
      </c>
      <c r="L27">
        <v>68970.84502500008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271.1517815126051</v>
      </c>
      <c r="J28">
        <v>27115.178151260512</v>
      </c>
      <c r="K28">
        <v>145.20177900000004</v>
      </c>
      <c r="L28">
        <v>14520.177900000004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5.694187411764708</v>
      </c>
      <c r="J29">
        <v>99648.27970588239</v>
      </c>
      <c r="K29">
        <v>3.049237359000001</v>
      </c>
      <c r="L29">
        <v>53361.65378250002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7835066.288706324</v>
      </c>
      <c r="J31" t="str">
        <v/>
      </c>
      <c r="K31" t="str">
        <v/>
      </c>
      <c r="L31">
        <v>4195677.997602236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7835066.288706324</v>
      </c>
    </row>
    <row r="35">
      <c r="A35" t="str">
        <v>RAB (A) source unit cost</v>
      </c>
      <c r="B35">
        <v>7835066.288706325</v>
      </c>
    </row>
    <row r="36">
      <c r="A36" t="str">
        <v>Variance</v>
      </c>
      <c r="B36">
        <v>-9.313225746154785e-10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4195677.997602236</v>
      </c>
    </row>
    <row r="39">
      <c r="A39" t="str">
        <v>RAB (A) source line total</v>
      </c>
      <c r="B39">
        <v>4825029.697242572</v>
      </c>
    </row>
    <row r="40">
      <c r="A40" t="str">
        <v>Variance</v>
      </c>
      <c r="B40">
        <v>-629351.6996403355</v>
      </c>
      <c r="C40" t="str">
        <v>✓ OK</v>
      </c>
    </row>
  </sheetData>
  <ignoredErrors>
    <ignoredError numberStoredAsText="1" sqref="A1:L40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IV.A.3.5 - Kolom KL55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KL55</v>
      </c>
    </row>
    <row r="5">
      <c r="A5" t="str">
        <v>Unit</v>
      </c>
      <c r="B5" t="str">
        <v>m3</v>
      </c>
    </row>
    <row r="6">
      <c r="A6" t="str">
        <v>Volume</v>
      </c>
      <c r="B6">
        <v>6.119999999999999</v>
      </c>
    </row>
    <row r="7">
      <c r="A7" t="str">
        <v>Unit cost (Rp/m3)</v>
      </c>
      <c r="B7">
        <v>7629777.75723158</v>
      </c>
    </row>
    <row r="8">
      <c r="A8" t="str">
        <v>Line total at-cost (Rp)</v>
      </c>
      <c r="B8">
        <v>46694239.87425727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6.425999999999999</v>
      </c>
      <c r="L12">
        <v>7489502.999999999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6.119999999999999</v>
      </c>
      <c r="L14">
        <v>91799.99999999999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6.119999999999999</v>
      </c>
      <c r="L15">
        <v>1529999.9999999998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6.119999999999999</v>
      </c>
      <c r="L17">
        <v>9791999.999999998</v>
      </c>
    </row>
    <row r="18">
      <c r="A18">
        <v>4</v>
      </c>
      <c r="B18" t="str">
        <v>BEKISTING KOLOM (Material) — ratio 15.764705882352944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3.4571723426212593</v>
      </c>
      <c r="J19">
        <v>691434.4685242518</v>
      </c>
      <c r="K19">
        <v>21.157894736842103</v>
      </c>
      <c r="L19">
        <v>4231578.947368421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17.285861713106296</v>
      </c>
      <c r="J20">
        <v>1016408.6687306502</v>
      </c>
      <c r="K20">
        <v>105.78947368421052</v>
      </c>
      <c r="L20">
        <v>6220421.052631578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3.4571723426212593</v>
      </c>
      <c r="J21">
        <v>203281.73374613005</v>
      </c>
      <c r="K21">
        <v>21.157894736842103</v>
      </c>
      <c r="L21">
        <v>1244084.2105263157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3.4571723426212593</v>
      </c>
      <c r="J22">
        <v>44943.24045407637</v>
      </c>
      <c r="K22">
        <v>21.157894736842103</v>
      </c>
      <c r="L22">
        <v>275052.63157894736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3.941176470588236</v>
      </c>
      <c r="J23">
        <v>108382.35294117649</v>
      </c>
      <c r="K23">
        <v>24.12</v>
      </c>
      <c r="L23">
        <v>663300</v>
      </c>
    </row>
    <row r="24">
      <c r="A24">
        <v>5</v>
      </c>
      <c r="B24" t="str">
        <v>PEMBESIAN (Material) — ratio 237.16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100.75141176470592</v>
      </c>
      <c r="F25" t="str">
        <v>kg</v>
      </c>
      <c r="G25" t="str">
        <v>per m3 beton</v>
      </c>
      <c r="H25">
        <v>9500</v>
      </c>
      <c r="I25">
        <v>100.75141176470592</v>
      </c>
      <c r="J25">
        <v>957138.4117647063</v>
      </c>
      <c r="K25">
        <v>616.5986400000002</v>
      </c>
      <c r="L25">
        <v>5857687.080000002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136.4094494117647</v>
      </c>
      <c r="F26" t="str">
        <v>kg</v>
      </c>
      <c r="G26" t="str">
        <v>per m3 beton</v>
      </c>
      <c r="H26">
        <v>9500</v>
      </c>
      <c r="I26">
        <v>136.4094494117647</v>
      </c>
      <c r="J26">
        <v>1295889.7694117648</v>
      </c>
      <c r="K26">
        <v>834.8258304</v>
      </c>
      <c r="L26">
        <v>7930845.3888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11.858043058823542</v>
      </c>
      <c r="J27">
        <v>112651.40905882364</v>
      </c>
      <c r="K27">
        <v>72.57122352000006</v>
      </c>
      <c r="L27">
        <v>689426.6234400006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237.16086117647063</v>
      </c>
      <c r="J28">
        <v>23716.086117647064</v>
      </c>
      <c r="K28">
        <v>1451.4244704</v>
      </c>
      <c r="L28">
        <v>145142.44704000003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4.980378084705883</v>
      </c>
      <c r="J29">
        <v>87156.61648235295</v>
      </c>
      <c r="K29">
        <v>30.4799138784</v>
      </c>
      <c r="L29">
        <v>533398.492872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7629777.75723158</v>
      </c>
      <c r="J31" t="str">
        <v/>
      </c>
      <c r="K31" t="str">
        <v/>
      </c>
      <c r="L31">
        <v>46694239.87425727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7629777.75723158</v>
      </c>
    </row>
    <row r="35">
      <c r="A35" t="str">
        <v>RAB (A) source unit cost</v>
      </c>
      <c r="B35">
        <v>7629777.75723158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46694239.87425727</v>
      </c>
    </row>
    <row r="39">
      <c r="A39" t="str">
        <v>RAB (A) source line total</v>
      </c>
      <c r="B39">
        <v>53698375.85539585</v>
      </c>
    </row>
    <row r="40">
      <c r="A40" t="str">
        <v>Variance</v>
      </c>
      <c r="B40">
        <v>-7004135.981138587</v>
      </c>
      <c r="C40" t="str">
        <v>✓ OK</v>
      </c>
    </row>
  </sheetData>
  <ignoredErrors>
    <ignoredError numberStoredAsText="1" sqref="A1:L40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IV.A.5.1 - Dinding Pagar Alas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Pagar Alas</v>
      </c>
    </row>
    <row r="5">
      <c r="A5" t="str">
        <v>Unit</v>
      </c>
      <c r="B5" t="str">
        <v>m3</v>
      </c>
    </row>
    <row r="6">
      <c r="A6" t="str">
        <v>Volume</v>
      </c>
      <c r="B6">
        <v>11.139000000000001</v>
      </c>
    </row>
    <row r="7">
      <c r="A7" t="str">
        <v>Unit cost (Rp/m3)</v>
      </c>
      <c r="B7">
        <v>4304047.258598418</v>
      </c>
    </row>
    <row r="8">
      <c r="A8" t="str">
        <v>Line total at-cost (Rp)</v>
      </c>
      <c r="B8">
        <v>47942782.41352778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11.139000000000001</v>
      </c>
      <c r="L12">
        <v>13631629.725000001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11.139000000000001</v>
      </c>
      <c r="L14">
        <v>13366800.000000002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11.139000000000001</v>
      </c>
      <c r="L16">
        <v>2394885.0000000005</v>
      </c>
    </row>
    <row r="17">
      <c r="A17">
        <v>4</v>
      </c>
      <c r="B17" t="str">
        <v>BEKISTING (Material) — ratio 10.101445372115988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10.101445372115988</v>
      </c>
      <c r="F18" t="str">
        <v>m2</v>
      </c>
      <c r="G18" t="str">
        <v>per m² of formwork</v>
      </c>
      <c r="H18">
        <v>106232.63888888889</v>
      </c>
      <c r="I18">
        <v>10.101445372115988</v>
      </c>
      <c r="J18">
        <v>1073103.1984718356</v>
      </c>
      <c r="K18">
        <v>112.52</v>
      </c>
      <c r="L18">
        <v>11953296.527777778</v>
      </c>
    </row>
    <row r="19">
      <c r="A19">
        <v>5</v>
      </c>
      <c r="B19" t="str">
        <v>PEMBESIAN (Material) — ratio 56.71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56.70759493670885</v>
      </c>
      <c r="F20" t="str">
        <v>kg</v>
      </c>
      <c r="G20" t="str">
        <v>per kg finished pembesian (blended: raw besi + decking + bendrat)</v>
      </c>
      <c r="H20">
        <v>10442.5</v>
      </c>
      <c r="I20">
        <v>56.70759493670885</v>
      </c>
      <c r="J20">
        <v>592169.0601265822</v>
      </c>
      <c r="K20">
        <v>631.6659</v>
      </c>
      <c r="L20">
        <v>6596171.16075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4304047.258598418</v>
      </c>
      <c r="J22" t="str">
        <v/>
      </c>
      <c r="K22" t="str">
        <v/>
      </c>
      <c r="L22">
        <v>47942782.41352778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4304047.258598418</v>
      </c>
    </row>
    <row r="26">
      <c r="A26" t="str">
        <v>RAB (A) source unit cost</v>
      </c>
      <c r="B26">
        <v>4304047.258598418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47942782.41352778</v>
      </c>
    </row>
    <row r="30">
      <c r="A30" t="str">
        <v>RAB (A) source line total</v>
      </c>
      <c r="B30">
        <v>55134199.775556944</v>
      </c>
    </row>
    <row r="31">
      <c r="A31" t="str">
        <v>Variance</v>
      </c>
      <c r="B31">
        <v>-7191417.362029165</v>
      </c>
      <c r="C31" t="str">
        <v>✓ OK</v>
      </c>
    </row>
  </sheetData>
  <ignoredErrors>
    <ignoredError numberStoredAsText="1" sqref="A1:L31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IV.A.5.2 - Dinding tanggulan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tanggulan</v>
      </c>
    </row>
    <row r="5">
      <c r="A5" t="str">
        <v>Unit</v>
      </c>
      <c r="B5" t="str">
        <v>m3</v>
      </c>
    </row>
    <row r="6">
      <c r="A6" t="str">
        <v>Volume</v>
      </c>
      <c r="B6">
        <v>1.7430000000000003</v>
      </c>
    </row>
    <row r="7">
      <c r="A7" t="str">
        <v>Unit cost (Rp/m3)</v>
      </c>
      <c r="B7">
        <v>7236067.57847262</v>
      </c>
    </row>
    <row r="8">
      <c r="A8" t="str">
        <v>Line total at-cost (Rp)</v>
      </c>
      <c r="B8">
        <v>12612465.789277779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1.7430000000000003</v>
      </c>
      <c r="L12">
        <v>2133039.825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1.7430000000000003</v>
      </c>
      <c r="L14">
        <v>2091600.0000000005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1.7430000000000003</v>
      </c>
      <c r="L16">
        <v>374745.00000000006</v>
      </c>
    </row>
    <row r="17">
      <c r="A17">
        <v>4</v>
      </c>
      <c r="B17" t="str">
        <v>BEKISTING (Material) — ratio 13.333333333333332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13.333333333333332</v>
      </c>
      <c r="F18" t="str">
        <v>m2</v>
      </c>
      <c r="G18" t="str">
        <v>per m² of formwork</v>
      </c>
      <c r="H18">
        <v>106232.63888888889</v>
      </c>
      <c r="I18">
        <v>13.333333333333332</v>
      </c>
      <c r="J18">
        <v>1416435.1851851852</v>
      </c>
      <c r="K18">
        <v>23.240000000000002</v>
      </c>
      <c r="L18">
        <v>2468846.527777778</v>
      </c>
    </row>
    <row r="19">
      <c r="A19">
        <v>5</v>
      </c>
      <c r="B19" t="str">
        <v>PEMBESIAN (Material) — ratio 304.61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304.60688468158344</v>
      </c>
      <c r="F20" t="str">
        <v>kg</v>
      </c>
      <c r="G20" t="str">
        <v>per kg finished pembesian (blended: raw besi + decking + bendrat)</v>
      </c>
      <c r="H20">
        <v>10442.5</v>
      </c>
      <c r="I20">
        <v>304.60688468158344</v>
      </c>
      <c r="J20">
        <v>3180857.393287435</v>
      </c>
      <c r="K20">
        <v>530.9298</v>
      </c>
      <c r="L20">
        <v>5544234.436500001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7236067.57847262</v>
      </c>
      <c r="J22" t="str">
        <v/>
      </c>
      <c r="K22" t="str">
        <v/>
      </c>
      <c r="L22">
        <v>12612465.789277779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7236067.57847262</v>
      </c>
    </row>
    <row r="26">
      <c r="A26" t="str">
        <v>RAB (A) source unit cost</v>
      </c>
      <c r="B26">
        <v>7236067.57847262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12612465.789277779</v>
      </c>
    </row>
    <row r="30">
      <c r="A30" t="str">
        <v>RAB (A) source line total</v>
      </c>
      <c r="B30">
        <v>14504335.657669444</v>
      </c>
    </row>
    <row r="31">
      <c r="A31" t="str">
        <v>Variance</v>
      </c>
      <c r="B31">
        <v>-1891869.8683916647</v>
      </c>
      <c r="C31" t="str">
        <v>✓ OK</v>
      </c>
    </row>
  </sheetData>
  <ignoredErrors>
    <ignoredError numberStoredAsText="1" sqref="A1:L31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IV.A.5.3 - Dinding lift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</v>
      </c>
    </row>
    <row r="5">
      <c r="A5" t="str">
        <v>Unit</v>
      </c>
      <c r="B5" t="str">
        <v>m3</v>
      </c>
    </row>
    <row r="6">
      <c r="A6" t="str">
        <v>Volume</v>
      </c>
      <c r="B6">
        <v>3.672</v>
      </c>
    </row>
    <row r="7">
      <c r="A7" t="str">
        <v>Unit cost (Rp/m3)</v>
      </c>
      <c r="B7">
        <v>6829240.546663399</v>
      </c>
    </row>
    <row r="8">
      <c r="A8" t="str">
        <v>Line total at-cost (Rp)</v>
      </c>
      <c r="B8">
        <v>25076971.287348002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3.672</v>
      </c>
      <c r="L12">
        <v>4493701.8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3.672</v>
      </c>
      <c r="L14">
        <v>4406400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3.672</v>
      </c>
      <c r="L16">
        <v>789480</v>
      </c>
    </row>
    <row r="17">
      <c r="A17">
        <v>4</v>
      </c>
      <c r="B17" t="str">
        <v>BEKISTING (Material) — ratio 11.764705882352942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11.764705882352942</v>
      </c>
      <c r="F18" t="str">
        <v>m2</v>
      </c>
      <c r="G18" t="str">
        <v>per m² of formwork</v>
      </c>
      <c r="H18">
        <v>106232.63888888889</v>
      </c>
      <c r="I18">
        <v>11.764705882352942</v>
      </c>
      <c r="J18">
        <v>1249795.751633987</v>
      </c>
      <c r="K18">
        <v>43.2</v>
      </c>
      <c r="L18">
        <v>4589250.000000001</v>
      </c>
    </row>
    <row r="19">
      <c r="A19">
        <v>5</v>
      </c>
      <c r="B19" t="str">
        <v>PEMBESIAN (Material) — ratio 281.61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281.60591764705885</v>
      </c>
      <c r="F20" t="str">
        <v>kg</v>
      </c>
      <c r="G20" t="str">
        <v>per kg finished pembesian (blended: raw besi + decking + bendrat)</v>
      </c>
      <c r="H20">
        <v>10442.5</v>
      </c>
      <c r="I20">
        <v>281.60591764705885</v>
      </c>
      <c r="J20">
        <v>2940669.795029412</v>
      </c>
      <c r="K20">
        <v>1034.0569296</v>
      </c>
      <c r="L20">
        <v>10798139.487348001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6829240.546663399</v>
      </c>
      <c r="J22" t="str">
        <v/>
      </c>
      <c r="K22" t="str">
        <v/>
      </c>
      <c r="L22">
        <v>25076971.287348002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6829240.546663399</v>
      </c>
    </row>
    <row r="26">
      <c r="A26" t="str">
        <v>RAB (A) source unit cost</v>
      </c>
      <c r="B26">
        <v>6829240.546663399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25076971.287348002</v>
      </c>
    </row>
    <row r="30">
      <c r="A30" t="str">
        <v>RAB (A) source line total</v>
      </c>
      <c r="B30">
        <v>28838516.9804502</v>
      </c>
    </row>
    <row r="31">
      <c r="A31" t="str">
        <v>Variance</v>
      </c>
      <c r="B31">
        <v>-3761545.6931021996</v>
      </c>
      <c r="C31" t="str">
        <v>✓ OK</v>
      </c>
    </row>
  </sheetData>
  <ignoredErrors>
    <ignoredError numberStoredAsText="1" sqref="A1:L31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L33"/>
  <sheetViews>
    <sheetView workbookViewId="0" rightToLeft="0"/>
  </sheetViews>
  <sheetData>
    <row r="1">
      <c r="A1" t="str">
        <v>BREAKDOWN — (A) V.A.1.1 -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31.936546049999997</v>
      </c>
    </row>
    <row r="7">
      <c r="A7" t="str">
        <v>Unit cost (Rp/m3)</v>
      </c>
      <c r="B7">
        <v>4683683.640599234</v>
      </c>
    </row>
    <row r="8">
      <c r="A8" t="str">
        <v>Line total at-cost (Rp)</v>
      </c>
      <c r="B8">
        <v>149580678.27162907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31.936546049999997</v>
      </c>
      <c r="L12">
        <v>39083146.642338745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1250000</v>
      </c>
      <c r="I14">
        <v>1</v>
      </c>
      <c r="J14">
        <v>1250000</v>
      </c>
      <c r="K14">
        <v>31.936546049999997</v>
      </c>
      <c r="L14">
        <v>39920682.56249999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90000</v>
      </c>
      <c r="I16">
        <v>1</v>
      </c>
      <c r="J16">
        <v>90000</v>
      </c>
      <c r="K16">
        <v>31.936546049999997</v>
      </c>
      <c r="L16">
        <v>2874289.1445</v>
      </c>
    </row>
    <row r="17">
      <c r="A17">
        <v>4</v>
      </c>
      <c r="B17" t="str">
        <v>BEKISTING (Material) — ratio 7.4150240489140185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7.4150240489140185</v>
      </c>
      <c r="F18" t="str">
        <v>m2</v>
      </c>
      <c r="G18" t="str">
        <v>per m² of formwork</v>
      </c>
      <c r="H18">
        <v>96024.30555555556</v>
      </c>
      <c r="I18">
        <v>7.4150240489140185</v>
      </c>
      <c r="J18">
        <v>712022.5349747125</v>
      </c>
      <c r="K18">
        <v>236.81025699999998</v>
      </c>
      <c r="L18">
        <v>22739540.47685764</v>
      </c>
    </row>
    <row r="19">
      <c r="A19">
        <v>5</v>
      </c>
      <c r="B19" t="str">
        <v>BEKISTING PERALATAN (Material) — Perancah / scaffolding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Bekisting peralatan / Perancah (lump)</v>
      </c>
      <c r="D20" t="str">
        <v>rolled lump — group total only</v>
      </c>
      <c r="E20">
        <v>7.4150240489140185</v>
      </c>
      <c r="F20" t="str">
        <v>m2</v>
      </c>
      <c r="G20" t="str">
        <v>per m² of formwork (scaffolding embedded in bekisting block, col H)</v>
      </c>
      <c r="H20">
        <v>35315.0720164609</v>
      </c>
      <c r="I20">
        <v>7.4150240489140185</v>
      </c>
      <c r="J20">
        <v>261862.10829118805</v>
      </c>
      <c r="K20">
        <v>236.81025699999998</v>
      </c>
      <c r="L20">
        <v>8362971.280191613</v>
      </c>
    </row>
    <row r="21">
      <c r="A21">
        <v>6</v>
      </c>
      <c r="B21" t="str">
        <v>PEMBESIAN (Material) — ratio 109.75 kg/m³ (rolled)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>Pembesian U24 &amp; U40 (lump — no per-diameter detail)</v>
      </c>
      <c r="D22" t="str">
        <v>rolled lump — group total only</v>
      </c>
      <c r="E22">
        <v>109.74613333333335</v>
      </c>
      <c r="F22" t="str">
        <v>kg</v>
      </c>
      <c r="G22" t="str">
        <v>per kg finished pembesian (blended: raw besi + decking + bendrat)</v>
      </c>
      <c r="H22">
        <v>10442.5</v>
      </c>
      <c r="I22">
        <v>109.74613333333335</v>
      </c>
      <c r="J22">
        <v>1146023.9973333334</v>
      </c>
      <c r="K22">
        <v>3504.91244100944</v>
      </c>
      <c r="L22">
        <v>36600048.16524108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>SUBTOTAL — At-cost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4683683.640599234</v>
      </c>
      <c r="J24" t="str">
        <v/>
      </c>
      <c r="K24" t="str">
        <v/>
      </c>
      <c r="L24">
        <v>149580678.27162907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RECONCILIATION</v>
      </c>
    </row>
    <row r="27">
      <c r="A27" t="str">
        <v>Computed unit cost</v>
      </c>
      <c r="B27">
        <v>4683683.640599234</v>
      </c>
    </row>
    <row r="28">
      <c r="A28" t="str">
        <v>RAB (A) source unit cost</v>
      </c>
      <c r="B28">
        <v>4683683.640599234</v>
      </c>
    </row>
    <row r="29">
      <c r="A29" t="str">
        <v>Variance</v>
      </c>
      <c r="B29">
        <v>0</v>
      </c>
      <c r="C29" t="str">
        <v>✓ OK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Computed line total</v>
      </c>
      <c r="B31">
        <v>149580678.27162907</v>
      </c>
    </row>
    <row r="32">
      <c r="A32" t="str">
        <v>RAB (A) source line total</v>
      </c>
      <c r="B32">
        <v>172017780.01237342</v>
      </c>
    </row>
    <row r="33">
      <c r="A33" t="str">
        <v>Variance</v>
      </c>
      <c r="B33">
        <v>-22437101.740744352</v>
      </c>
      <c r="C33" t="str">
        <v>✓ OK</v>
      </c>
    </row>
  </sheetData>
  <ignoredErrors>
    <ignoredError numberStoredAsText="1" sqref="A1:L33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V.A.2.1 - Balok B4-1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B4-1</v>
      </c>
    </row>
    <row r="5">
      <c r="A5" t="str">
        <v>Unit</v>
      </c>
      <c r="B5" t="str">
        <v>m3</v>
      </c>
    </row>
    <row r="6">
      <c r="A6" t="str">
        <v>Volume</v>
      </c>
      <c r="B6">
        <v>0.9006400000000001</v>
      </c>
    </row>
    <row r="7">
      <c r="A7" t="str">
        <v>Unit cost (Rp/m3)</v>
      </c>
      <c r="B7">
        <v>10111375.58532071</v>
      </c>
    </row>
    <row r="8">
      <c r="A8" t="str">
        <v>Line total at-cost (Rp)</v>
      </c>
      <c r="B8">
        <v>9106709.307163244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0.9456720000000002</v>
      </c>
      <c r="L12">
        <v>1102180.716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0.9006400000000001</v>
      </c>
      <c r="L14">
        <v>13509.600000000002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0.9006400000000001</v>
      </c>
      <c r="L15">
        <v>67548.00000000001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0.9006400000000001</v>
      </c>
      <c r="L17">
        <v>1350960.0000000002</v>
      </c>
    </row>
    <row r="18">
      <c r="A18">
        <v>4</v>
      </c>
      <c r="B18" t="str">
        <v>BEKISTING BALOK (Material) — ratio 17.884615384615383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8.942307692307692</v>
      </c>
      <c r="J19">
        <v>1788461.5384615383</v>
      </c>
      <c r="K19">
        <v>8.0538</v>
      </c>
      <c r="L19">
        <v>1610760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40.24038461538461</v>
      </c>
      <c r="J20">
        <v>2366134.615384615</v>
      </c>
      <c r="K20">
        <v>36.2421</v>
      </c>
      <c r="L20">
        <v>2131035.48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13.413461538461537</v>
      </c>
      <c r="J21">
        <v>788711.5384615384</v>
      </c>
      <c r="K21">
        <v>12.0807</v>
      </c>
      <c r="L21">
        <v>710345.16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6.706730769230768</v>
      </c>
      <c r="J22">
        <v>87187.49999999999</v>
      </c>
      <c r="K22">
        <v>6.04035</v>
      </c>
      <c r="L22">
        <v>78524.55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2.235576923076923</v>
      </c>
      <c r="J23">
        <v>61478.36538461538</v>
      </c>
      <c r="K23">
        <v>2.01345</v>
      </c>
      <c r="L23">
        <v>55369.87500000001</v>
      </c>
    </row>
    <row r="24">
      <c r="A24">
        <v>5</v>
      </c>
      <c r="B24" t="str">
        <v>BEKISTING BALOK PERALATAN (Material) — Perancah, ratio 17.884615384615383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4.471153846153846</v>
      </c>
      <c r="J25">
        <v>911051.4155982905</v>
      </c>
      <c r="K25">
        <v>4.0269</v>
      </c>
      <c r="L25">
        <v>820529.3469444445</v>
      </c>
    </row>
    <row r="26">
      <c r="A26">
        <v>6</v>
      </c>
      <c r="B26" t="str">
        <v>PEMBESIAN (Material) — ratio 123.97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D8</v>
      </c>
      <c r="D27" t="str">
        <v>U24/U40 polos</v>
      </c>
      <c r="E27">
        <v>40.939367560845625</v>
      </c>
      <c r="F27" t="str">
        <v>kg</v>
      </c>
      <c r="G27" t="str">
        <v>per m3 beton</v>
      </c>
      <c r="H27">
        <v>9500</v>
      </c>
      <c r="I27">
        <v>40.939367560845625</v>
      </c>
      <c r="J27">
        <v>388923.9918280334</v>
      </c>
      <c r="K27">
        <v>36.871632000000005</v>
      </c>
      <c r="L27">
        <v>350280.5040000001</v>
      </c>
    </row>
    <row r="28">
      <c r="A28" t="str">
        <v/>
      </c>
      <c r="B28" t="str">
        <v/>
      </c>
      <c r="C28" t="str">
        <v>Besi beton D13</v>
      </c>
      <c r="D28" t="str">
        <v>U24/U40 polos</v>
      </c>
      <c r="E28">
        <v>83.03244110854503</v>
      </c>
      <c r="F28" t="str">
        <v>kg</v>
      </c>
      <c r="G28" t="str">
        <v>per m3 beton</v>
      </c>
      <c r="H28">
        <v>9500</v>
      </c>
      <c r="I28">
        <v>83.03244110854503</v>
      </c>
      <c r="J28">
        <v>788808.1905311778</v>
      </c>
      <c r="K28">
        <v>74.78233776</v>
      </c>
      <c r="L28">
        <v>710432.2087200001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6.198590433469538</v>
      </c>
      <c r="J29">
        <v>58886.60911796061</v>
      </c>
      <c r="K29">
        <v>5.5826984880000055</v>
      </c>
      <c r="L29">
        <v>53035.63563600005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123.97180866939065</v>
      </c>
      <c r="J30">
        <v>12397.180866939065</v>
      </c>
      <c r="K30">
        <v>111.65396976000001</v>
      </c>
      <c r="L30">
        <v>11165.396976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2.603407982057204</v>
      </c>
      <c r="J31">
        <v>45559.639686001065</v>
      </c>
      <c r="K31">
        <v>2.34473336496</v>
      </c>
      <c r="L31">
        <v>41032.83388680001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10111375.58532071</v>
      </c>
      <c r="J33" t="str">
        <v/>
      </c>
      <c r="K33" t="str">
        <v/>
      </c>
      <c r="L33">
        <v>9106709.307163244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10111375.58532071</v>
      </c>
    </row>
    <row r="37">
      <c r="A37" t="str">
        <v>RAB (A) source unit cost</v>
      </c>
      <c r="B37">
        <v>10111375.58532071</v>
      </c>
    </row>
    <row r="38">
      <c r="A38" t="str">
        <v>Variance</v>
      </c>
      <c r="B38">
        <v>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9106709.307163244</v>
      </c>
    </row>
    <row r="41">
      <c r="A41" t="str">
        <v>RAB (A) source line total</v>
      </c>
      <c r="B41">
        <v>10472715.703237731</v>
      </c>
    </row>
    <row r="42">
      <c r="A42" t="str">
        <v>Variance</v>
      </c>
      <c r="B42">
        <v>-1366006.396074487</v>
      </c>
      <c r="C42" t="str">
        <v>✓ OK</v>
      </c>
    </row>
  </sheetData>
  <ignoredErrors>
    <ignoredError numberStoredAsText="1" sqref="A1:L42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V.A.2.2 -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0.2505</v>
      </c>
    </row>
    <row r="7">
      <c r="A7" t="str">
        <v>Unit cost (Rp/m3)</v>
      </c>
      <c r="B7">
        <v>9874067.497995585</v>
      </c>
    </row>
    <row r="8">
      <c r="A8" t="str">
        <v>Line total at-cost (Rp)</v>
      </c>
      <c r="B8">
        <v>2473453.908247894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0.263025</v>
      </c>
      <c r="L12">
        <v>306555.6375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0.2505</v>
      </c>
      <c r="L14">
        <v>3757.5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0.2505</v>
      </c>
      <c r="L15">
        <v>18787.5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0.2505</v>
      </c>
      <c r="L17">
        <v>375750</v>
      </c>
    </row>
    <row r="18">
      <c r="A18">
        <v>4</v>
      </c>
      <c r="B18" t="str">
        <v>BEKISTING BALOK (Material) — ratio 10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</v>
      </c>
      <c r="J19">
        <v>1000000</v>
      </c>
      <c r="K19">
        <v>1.2525</v>
      </c>
      <c r="L19">
        <v>250500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22.5</v>
      </c>
      <c r="J20">
        <v>1323000</v>
      </c>
      <c r="K20">
        <v>5.63625</v>
      </c>
      <c r="L20">
        <v>331411.5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7.5</v>
      </c>
      <c r="J21">
        <v>441000</v>
      </c>
      <c r="K21">
        <v>1.87875</v>
      </c>
      <c r="L21">
        <v>110470.5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3.75</v>
      </c>
      <c r="J22">
        <v>48750</v>
      </c>
      <c r="K22">
        <v>0.939375</v>
      </c>
      <c r="L22">
        <v>12211.875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1.25</v>
      </c>
      <c r="J23">
        <v>34375</v>
      </c>
      <c r="K23">
        <v>0.313125</v>
      </c>
      <c r="L23">
        <v>8610.9375</v>
      </c>
    </row>
    <row r="24">
      <c r="A24">
        <v>5</v>
      </c>
      <c r="B24" t="str">
        <v>BEKISTING BALOK PERALATAN (Material) — Perancah, ratio 10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2.5</v>
      </c>
      <c r="J25">
        <v>509405.0925925926</v>
      </c>
      <c r="K25">
        <v>0.62625</v>
      </c>
      <c r="L25">
        <v>127605.97569444444</v>
      </c>
    </row>
    <row r="26">
      <c r="A26">
        <v>6</v>
      </c>
      <c r="B26" t="str">
        <v>PEMBESIAN (Material) — ratio 354.68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130.73245508982038</v>
      </c>
      <c r="F27" t="str">
        <v>kg</v>
      </c>
      <c r="G27" t="str">
        <v>per m3 beton</v>
      </c>
      <c r="H27">
        <v>9500</v>
      </c>
      <c r="I27">
        <v>130.73245508982038</v>
      </c>
      <c r="J27">
        <v>1241958.3233532936</v>
      </c>
      <c r="K27">
        <v>32.74848000000001</v>
      </c>
      <c r="L27">
        <v>311110.56000000006</v>
      </c>
    </row>
    <row r="28">
      <c r="A28" t="str">
        <v/>
      </c>
      <c r="B28" t="str">
        <v/>
      </c>
      <c r="C28" t="str">
        <v>Besi beton D13</v>
      </c>
      <c r="D28" t="str">
        <v>U24/U40 polos</v>
      </c>
      <c r="E28">
        <v>223.949125508982</v>
      </c>
      <c r="F28" t="str">
        <v>kg</v>
      </c>
      <c r="G28" t="str">
        <v>per m3 beton</v>
      </c>
      <c r="H28">
        <v>9500</v>
      </c>
      <c r="I28">
        <v>223.949125508982</v>
      </c>
      <c r="J28">
        <v>2127516.692335329</v>
      </c>
      <c r="K28">
        <v>56.09925593999999</v>
      </c>
      <c r="L28">
        <v>532942.9314299999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17.734079029940133</v>
      </c>
      <c r="J29">
        <v>168473.75078443126</v>
      </c>
      <c r="K29">
        <v>4.442386797000004</v>
      </c>
      <c r="L29">
        <v>42202.67457150003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354.6815805988024</v>
      </c>
      <c r="J30">
        <v>35468.15805988024</v>
      </c>
      <c r="K30">
        <v>88.84773593999999</v>
      </c>
      <c r="L30">
        <v>8884.773594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7.448313192574851</v>
      </c>
      <c r="J31">
        <v>130345.4808700599</v>
      </c>
      <c r="K31">
        <v>1.86580245474</v>
      </c>
      <c r="L31">
        <v>32651.542957950005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9874067.497995585</v>
      </c>
      <c r="J33" t="str">
        <v/>
      </c>
      <c r="K33" t="str">
        <v/>
      </c>
      <c r="L33">
        <v>2473453.908247894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9874067.497995585</v>
      </c>
    </row>
    <row r="37">
      <c r="A37" t="str">
        <v>RAB (A) source unit cost</v>
      </c>
      <c r="B37">
        <v>9874067.497995589</v>
      </c>
    </row>
    <row r="38">
      <c r="A38" t="str">
        <v>Variance</v>
      </c>
      <c r="B38">
        <v>-3.725290298461914e-9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2473453.908247894</v>
      </c>
    </row>
    <row r="41">
      <c r="A41" t="str">
        <v>RAB (A) source line total</v>
      </c>
      <c r="B41">
        <v>2844471.994485079</v>
      </c>
    </row>
    <row r="42">
      <c r="A42" t="str">
        <v>Variance</v>
      </c>
      <c r="B42">
        <v>-371018.0862371847</v>
      </c>
      <c r="C42" t="str">
        <v>✓ OK</v>
      </c>
    </row>
  </sheetData>
  <ignoredErrors>
    <ignoredError numberStoredAsText="1" sqref="A1:L42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V.A.2.3 -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1.7806500000000003</v>
      </c>
    </row>
    <row r="7">
      <c r="A7" t="str">
        <v>Unit cost (Rp/m3)</v>
      </c>
      <c r="B7">
        <v>8688231.344111059</v>
      </c>
    </row>
    <row r="8">
      <c r="A8" t="str">
        <v>Line total at-cost (Rp)</v>
      </c>
      <c r="B8">
        <v>15470699.142891359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1.8696825000000004</v>
      </c>
      <c r="L12">
        <v>2179114.9537500003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1.7806500000000003</v>
      </c>
      <c r="L14">
        <v>26709.750000000004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1.7806500000000003</v>
      </c>
      <c r="L15">
        <v>133548.75000000003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1.7806500000000003</v>
      </c>
      <c r="L17">
        <v>2670975.0000000005</v>
      </c>
    </row>
    <row r="18">
      <c r="A18">
        <v>4</v>
      </c>
      <c r="B18" t="str">
        <v>BEKISTING BALOK (Material) — ratio 10.876646168533961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5.4383230842669805</v>
      </c>
      <c r="J19">
        <v>1087664.6168533962</v>
      </c>
      <c r="K19">
        <v>9.68375</v>
      </c>
      <c r="L19">
        <v>1936750.0000000002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24.472453879201414</v>
      </c>
      <c r="J20">
        <v>1438980.288097043</v>
      </c>
      <c r="K20">
        <v>43.576875</v>
      </c>
      <c r="L20">
        <v>2562320.25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8.157484626400471</v>
      </c>
      <c r="J21">
        <v>479660.0960323477</v>
      </c>
      <c r="K21">
        <v>14.525625000000002</v>
      </c>
      <c r="L21">
        <v>854106.7500000001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4.078742313200236</v>
      </c>
      <c r="J22">
        <v>53023.650071603064</v>
      </c>
      <c r="K22">
        <v>7.262812500000001</v>
      </c>
      <c r="L22">
        <v>94416.56250000001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1.3595807710667451</v>
      </c>
      <c r="J23">
        <v>37388.47120433549</v>
      </c>
      <c r="K23">
        <v>2.4209375</v>
      </c>
      <c r="L23">
        <v>66575.78125</v>
      </c>
    </row>
    <row r="24">
      <c r="A24">
        <v>5</v>
      </c>
      <c r="B24" t="str">
        <v>BEKISTING BALOK PERALATAN (Material) — Perancah, ratio 10.876646168533961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2.7191615421334903</v>
      </c>
      <c r="J25">
        <v>554061.8948578909</v>
      </c>
      <c r="K25">
        <v>4.841875</v>
      </c>
      <c r="L25">
        <v>986590.3130787036</v>
      </c>
    </row>
    <row r="26">
      <c r="A26">
        <v>6</v>
      </c>
      <c r="B26" t="str">
        <v>PEMBESIAN (Material) — ratio 212.94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94.50126358352288</v>
      </c>
      <c r="F27" t="str">
        <v>kg</v>
      </c>
      <c r="G27" t="str">
        <v>per m3 beton</v>
      </c>
      <c r="H27">
        <v>9500</v>
      </c>
      <c r="I27">
        <v>94.50126358352288</v>
      </c>
      <c r="J27">
        <v>897762.0040434675</v>
      </c>
      <c r="K27">
        <v>168.27367500000005</v>
      </c>
      <c r="L27">
        <v>1598599.9125000006</v>
      </c>
    </row>
    <row r="28">
      <c r="A28" t="str">
        <v/>
      </c>
      <c r="B28" t="str">
        <v/>
      </c>
      <c r="C28" t="str">
        <v>Besi beton D13</v>
      </c>
      <c r="D28" t="str">
        <v>U24/U40 polos</v>
      </c>
      <c r="E28">
        <v>118.44365640636846</v>
      </c>
      <c r="F28" t="str">
        <v>kg</v>
      </c>
      <c r="G28" t="str">
        <v>per m3 beton</v>
      </c>
      <c r="H28">
        <v>9500</v>
      </c>
      <c r="I28">
        <v>118.44365640636846</v>
      </c>
      <c r="J28">
        <v>1125214.7358605005</v>
      </c>
      <c r="K28">
        <v>210.90669678000003</v>
      </c>
      <c r="L28">
        <v>2003613.6194100005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10.647245999494576</v>
      </c>
      <c r="J29">
        <v>101148.83699519846</v>
      </c>
      <c r="K29">
        <v>18.95901858900002</v>
      </c>
      <c r="L29">
        <v>180110.67659550018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212.94491998989133</v>
      </c>
      <c r="J30">
        <v>21294.491998989135</v>
      </c>
      <c r="K30">
        <v>379.1803717800001</v>
      </c>
      <c r="L30">
        <v>37918.037178000006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4.471843319787718</v>
      </c>
      <c r="J31">
        <v>78257.25809628506</v>
      </c>
      <c r="K31">
        <v>7.962787807380001</v>
      </c>
      <c r="L31">
        <v>139348.78662915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8688231.344111059</v>
      </c>
      <c r="J33" t="str">
        <v/>
      </c>
      <c r="K33" t="str">
        <v/>
      </c>
      <c r="L33">
        <v>15470699.142891359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8688231.344111059</v>
      </c>
    </row>
    <row r="37">
      <c r="A37" t="str">
        <v>RAB (A) source unit cost</v>
      </c>
      <c r="B37">
        <v>8688231.344111057</v>
      </c>
    </row>
    <row r="38">
      <c r="A38" t="str">
        <v>Variance</v>
      </c>
      <c r="B38">
        <v>1.862645149230957e-9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15470699.142891359</v>
      </c>
    </row>
    <row r="41">
      <c r="A41" t="str">
        <v>RAB (A) source line total</v>
      </c>
      <c r="B41">
        <v>17791304.01432506</v>
      </c>
    </row>
    <row r="42">
      <c r="A42" t="str">
        <v>Variance</v>
      </c>
      <c r="B42">
        <v>-2320604.8714337014</v>
      </c>
      <c r="C42" t="str">
        <v>✓ OK</v>
      </c>
    </row>
  </sheetData>
  <ignoredErrors>
    <ignoredError numberStoredAsText="1" sqref="A1:L42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V.A.2.4 -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2.49125</v>
      </c>
    </row>
    <row r="7">
      <c r="A7" t="str">
        <v>Unit cost (Rp/m3)</v>
      </c>
      <c r="B7">
        <v>9277572.411744552</v>
      </c>
    </row>
    <row r="8">
      <c r="A8" t="str">
        <v>Line total at-cost (Rp)</v>
      </c>
      <c r="B8">
        <v>23112752.270758614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2.6158125</v>
      </c>
      <c r="L12">
        <v>3048729.46875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2.49125</v>
      </c>
      <c r="L14">
        <v>37368.75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2.49125</v>
      </c>
      <c r="L15">
        <v>186843.75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2.49125</v>
      </c>
      <c r="L17">
        <v>3736875</v>
      </c>
    </row>
    <row r="18">
      <c r="A18">
        <v>4</v>
      </c>
      <c r="B18" t="str">
        <v>BEKISTING BALOK (Material) — ratio 10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</v>
      </c>
      <c r="J19">
        <v>1000000</v>
      </c>
      <c r="K19">
        <v>12.45625</v>
      </c>
      <c r="L19">
        <v>2491250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22.5</v>
      </c>
      <c r="J20">
        <v>1323000</v>
      </c>
      <c r="K20">
        <v>56.053125</v>
      </c>
      <c r="L20">
        <v>3295923.75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7.5</v>
      </c>
      <c r="J21">
        <v>441000</v>
      </c>
      <c r="K21">
        <v>18.684375</v>
      </c>
      <c r="L21">
        <v>1098641.25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3.75</v>
      </c>
      <c r="J22">
        <v>48750</v>
      </c>
      <c r="K22">
        <v>9.3421875</v>
      </c>
      <c r="L22">
        <v>121448.4375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1.25</v>
      </c>
      <c r="J23">
        <v>34375</v>
      </c>
      <c r="K23">
        <v>3.1140625</v>
      </c>
      <c r="L23">
        <v>85636.71875</v>
      </c>
    </row>
    <row r="24">
      <c r="A24">
        <v>5</v>
      </c>
      <c r="B24" t="str">
        <v>BEKISTING BALOK PERALATAN (Material) — Perancah, ratio 10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2.5</v>
      </c>
      <c r="J25">
        <v>509405.0925925926</v>
      </c>
      <c r="K25">
        <v>6.228125</v>
      </c>
      <c r="L25">
        <v>1269055.4369212962</v>
      </c>
    </row>
    <row r="26">
      <c r="A26">
        <v>6</v>
      </c>
      <c r="B26" t="str">
        <v>PEMBESIAN (Material) — ratio 297.56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99.40714500752635</v>
      </c>
      <c r="F27" t="str">
        <v>kg</v>
      </c>
      <c r="G27" t="str">
        <v>per m3 beton</v>
      </c>
      <c r="H27">
        <v>9500</v>
      </c>
      <c r="I27">
        <v>99.40714500752635</v>
      </c>
      <c r="J27">
        <v>944367.8775715004</v>
      </c>
      <c r="K27">
        <v>247.64805</v>
      </c>
      <c r="L27">
        <v>2352656.475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198.15256953898646</v>
      </c>
      <c r="F28" t="str">
        <v>kg</v>
      </c>
      <c r="G28" t="str">
        <v>per m3 beton</v>
      </c>
      <c r="H28">
        <v>9500</v>
      </c>
      <c r="I28">
        <v>198.15256953898646</v>
      </c>
      <c r="J28">
        <v>1882449.4106203713</v>
      </c>
      <c r="K28">
        <v>493.647588864</v>
      </c>
      <c r="L28">
        <v>4689652.094208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14.877985727325653</v>
      </c>
      <c r="J29">
        <v>141340.8644095937</v>
      </c>
      <c r="K29">
        <v>37.06478194320003</v>
      </c>
      <c r="L29">
        <v>352115.42846040026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297.5597145465128</v>
      </c>
      <c r="J30">
        <v>29755.97145465128</v>
      </c>
      <c r="K30">
        <v>741.295638864</v>
      </c>
      <c r="L30">
        <v>74129.5638864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6.248754005476769</v>
      </c>
      <c r="J31">
        <v>109353.19509584346</v>
      </c>
      <c r="K31">
        <v>15.567208416144002</v>
      </c>
      <c r="L31">
        <v>272426.14728252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9277572.411744552</v>
      </c>
      <c r="J33" t="str">
        <v/>
      </c>
      <c r="K33" t="str">
        <v/>
      </c>
      <c r="L33">
        <v>23112752.270758614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9277572.411744552</v>
      </c>
    </row>
    <row r="37">
      <c r="A37" t="str">
        <v>RAB (A) source unit cost</v>
      </c>
      <c r="B37">
        <v>9277572.411744554</v>
      </c>
    </row>
    <row r="38">
      <c r="A38" t="str">
        <v>Variance</v>
      </c>
      <c r="B38">
        <v>-1.862645149230957e-9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23112752.270758614</v>
      </c>
    </row>
    <row r="41">
      <c r="A41" t="str">
        <v>RAB (A) source line total</v>
      </c>
      <c r="B41">
        <v>26579665.111372408</v>
      </c>
    </row>
    <row r="42">
      <c r="A42" t="str">
        <v>Variance</v>
      </c>
      <c r="B42">
        <v>-3466912.8406137936</v>
      </c>
      <c r="C42" t="str">
        <v>✓ OK</v>
      </c>
    </row>
  </sheetData>
  <ignoredErrors>
    <ignoredError numberStoredAsText="1" sqref="A1:L42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V.A.2.5 - Balok CL24-1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CL24-1</v>
      </c>
    </row>
    <row r="5">
      <c r="A5" t="str">
        <v>Unit</v>
      </c>
      <c r="B5" t="str">
        <v>m3</v>
      </c>
    </row>
    <row r="6">
      <c r="A6" t="str">
        <v>Volume</v>
      </c>
      <c r="B6">
        <v>3.04175</v>
      </c>
    </row>
    <row r="7">
      <c r="A7" t="str">
        <v>Unit cost (Rp/m3)</v>
      </c>
      <c r="B7">
        <v>9802968.058860622</v>
      </c>
    </row>
    <row r="8">
      <c r="A8" t="str">
        <v>Line total at-cost (Rp)</v>
      </c>
      <c r="B8">
        <v>29818178.093039297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3.1938375</v>
      </c>
      <c r="L12">
        <v>3722417.6062499997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3.04175</v>
      </c>
      <c r="L14">
        <v>45626.25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3.04175</v>
      </c>
      <c r="L15">
        <v>228131.25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3.04175</v>
      </c>
      <c r="L17">
        <v>4562625</v>
      </c>
    </row>
    <row r="18">
      <c r="A18">
        <v>4</v>
      </c>
      <c r="B18" t="str">
        <v>BEKISTING BALOK (Material) — ratio 10.121640502999918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5.060820251499959</v>
      </c>
      <c r="J19">
        <v>1012164.0502999919</v>
      </c>
      <c r="K19">
        <v>15.39375</v>
      </c>
      <c r="L19">
        <v>3078750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22.773691131749818</v>
      </c>
      <c r="J20">
        <v>1339093.0385468893</v>
      </c>
      <c r="K20">
        <v>69.27187500000001</v>
      </c>
      <c r="L20">
        <v>4073186.2500000005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7.591230377249939</v>
      </c>
      <c r="J21">
        <v>446364.3461822964</v>
      </c>
      <c r="K21">
        <v>23.090625000000003</v>
      </c>
      <c r="L21">
        <v>1357728.75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3.7956151886249696</v>
      </c>
      <c r="J22">
        <v>49342.997452124604</v>
      </c>
      <c r="K22">
        <v>11.545312500000001</v>
      </c>
      <c r="L22">
        <v>150089.0625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1.2652050628749898</v>
      </c>
      <c r="J23">
        <v>34793.13922906222</v>
      </c>
      <c r="K23">
        <v>3.8484375</v>
      </c>
      <c r="L23">
        <v>105832.03125</v>
      </c>
    </row>
    <row r="24">
      <c r="A24">
        <v>5</v>
      </c>
      <c r="B24" t="str">
        <v>BEKISTING BALOK PERALATAN (Material) — Perancah, ratio 10.121640502999918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2.5304101257499796</v>
      </c>
      <c r="J25">
        <v>515601.5217619609</v>
      </c>
      <c r="K25">
        <v>7.696875</v>
      </c>
      <c r="L25">
        <v>1568330.9288194445</v>
      </c>
    </row>
    <row r="26">
      <c r="A26">
        <v>6</v>
      </c>
      <c r="B26" t="str">
        <v>PEMBESIAN (Material) — ratio 343.96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131.7274085641489</v>
      </c>
      <c r="F27" t="str">
        <v>kg</v>
      </c>
      <c r="G27" t="str">
        <v>per m3 beton</v>
      </c>
      <c r="H27">
        <v>9500</v>
      </c>
      <c r="I27">
        <v>131.7274085641489</v>
      </c>
      <c r="J27">
        <v>1251410.3813594147</v>
      </c>
      <c r="K27">
        <v>400.6818449999999</v>
      </c>
      <c r="L27">
        <v>3806477.5274999994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212.23562379288234</v>
      </c>
      <c r="F28" t="str">
        <v>kg</v>
      </c>
      <c r="G28" t="str">
        <v>per m3 beton</v>
      </c>
      <c r="H28">
        <v>9500</v>
      </c>
      <c r="I28">
        <v>212.23562379288234</v>
      </c>
      <c r="J28">
        <v>2016238.4260323823</v>
      </c>
      <c r="K28">
        <v>645.5677086719999</v>
      </c>
      <c r="L28">
        <v>6132893.232383999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17.198151617851575</v>
      </c>
      <c r="J29">
        <v>163382.44036958995</v>
      </c>
      <c r="K29">
        <v>52.31247768360003</v>
      </c>
      <c r="L29">
        <v>496968.53799420025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343.96303235703124</v>
      </c>
      <c r="J30">
        <v>34396.303235703126</v>
      </c>
      <c r="K30">
        <v>1046.2495536719998</v>
      </c>
      <c r="L30">
        <v>104624.95536719999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7.223223679497656</v>
      </c>
      <c r="J31">
        <v>126406.41439120898</v>
      </c>
      <c r="K31">
        <v>21.971240627111996</v>
      </c>
      <c r="L31">
        <v>384496.7109744599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9802968.058860622</v>
      </c>
      <c r="J33" t="str">
        <v/>
      </c>
      <c r="K33" t="str">
        <v/>
      </c>
      <c r="L33">
        <v>29818178.093039297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9802968.058860622</v>
      </c>
    </row>
    <row r="37">
      <c r="A37" t="str">
        <v>RAB (A) source unit cost</v>
      </c>
      <c r="B37">
        <v>9802968.058860624</v>
      </c>
    </row>
    <row r="38">
      <c r="A38" t="str">
        <v>Variance</v>
      </c>
      <c r="B38">
        <v>-1.862645149230957e-9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29818178.093039297</v>
      </c>
    </row>
    <row r="41">
      <c r="A41" t="str">
        <v>RAB (A) source line total</v>
      </c>
      <c r="B41">
        <v>34290904.80699519</v>
      </c>
    </row>
    <row r="42">
      <c r="A42" t="str">
        <v>Variance</v>
      </c>
      <c r="B42">
        <v>-4472726.713955894</v>
      </c>
      <c r="C42" t="str">
        <v>✓ OK</v>
      </c>
    </row>
  </sheetData>
  <ignoredErrors>
    <ignoredError numberStoredAsText="1" sqref="A1:L42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V.A.2.6 -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3.9059999999999997</v>
      </c>
    </row>
    <row r="7">
      <c r="A7" t="str">
        <v>Unit cost (Rp/m3)</v>
      </c>
      <c r="B7">
        <v>9060941.935182223</v>
      </c>
    </row>
    <row r="8">
      <c r="A8" t="str">
        <v>Line total at-cost (Rp)</v>
      </c>
      <c r="B8">
        <v>35392039.19882176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4.1013</v>
      </c>
      <c r="L12">
        <v>4780065.149999999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3.9059999999999997</v>
      </c>
      <c r="L14">
        <v>58589.99999999999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3.9059999999999997</v>
      </c>
      <c r="L15">
        <v>292950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3.9059999999999997</v>
      </c>
      <c r="L17">
        <v>5859000</v>
      </c>
    </row>
    <row r="18">
      <c r="A18">
        <v>4</v>
      </c>
      <c r="B18" t="str">
        <v>BEKISTING BALOK (Material) — ratio 10.000000000000002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5.000000000000001</v>
      </c>
      <c r="J19">
        <v>1000000.0000000002</v>
      </c>
      <c r="K19">
        <v>19.53</v>
      </c>
      <c r="L19">
        <v>3906000.0000000005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22.500000000000004</v>
      </c>
      <c r="J20">
        <v>1323000.0000000002</v>
      </c>
      <c r="K20">
        <v>87.885</v>
      </c>
      <c r="L20">
        <v>5167638.000000001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7.500000000000002</v>
      </c>
      <c r="J21">
        <v>441000.0000000001</v>
      </c>
      <c r="K21">
        <v>29.295000000000005</v>
      </c>
      <c r="L21">
        <v>1722546.0000000002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3.750000000000001</v>
      </c>
      <c r="J22">
        <v>48750.000000000015</v>
      </c>
      <c r="K22">
        <v>14.647500000000003</v>
      </c>
      <c r="L22">
        <v>190417.50000000003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1.2500000000000002</v>
      </c>
      <c r="J23">
        <v>34375.00000000001</v>
      </c>
      <c r="K23">
        <v>4.8825</v>
      </c>
      <c r="L23">
        <v>134268.75000000003</v>
      </c>
    </row>
    <row r="24">
      <c r="A24">
        <v>5</v>
      </c>
      <c r="B24" t="str">
        <v>BEKISTING BALOK PERALATAN (Material) — Perancah, ratio 10.000000000000002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2.5000000000000004</v>
      </c>
      <c r="J25">
        <v>509405.09259259264</v>
      </c>
      <c r="K25">
        <v>9.765</v>
      </c>
      <c r="L25">
        <v>1989736.2916666667</v>
      </c>
    </row>
    <row r="26">
      <c r="A26">
        <v>6</v>
      </c>
      <c r="B26" t="str">
        <v>PEMBESIAN (Material) — ratio 276.81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85.27302995391707</v>
      </c>
      <c r="F27" t="str">
        <v>kg</v>
      </c>
      <c r="G27" t="str">
        <v>per m3 beton</v>
      </c>
      <c r="H27">
        <v>9500</v>
      </c>
      <c r="I27">
        <v>85.27302995391707</v>
      </c>
      <c r="J27">
        <v>810093.7845622122</v>
      </c>
      <c r="K27">
        <v>333.07645500000007</v>
      </c>
      <c r="L27">
        <v>3164226.3225000007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191.54160663594473</v>
      </c>
      <c r="F28" t="str">
        <v>kg</v>
      </c>
      <c r="G28" t="str">
        <v>per m3 beton</v>
      </c>
      <c r="H28">
        <v>9500</v>
      </c>
      <c r="I28">
        <v>191.54160663594473</v>
      </c>
      <c r="J28">
        <v>1819645.2630414749</v>
      </c>
      <c r="K28">
        <v>748.1615155200001</v>
      </c>
      <c r="L28">
        <v>7107534.39744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13.840731829493103</v>
      </c>
      <c r="J29">
        <v>131486.9523801845</v>
      </c>
      <c r="K29">
        <v>54.06189852600006</v>
      </c>
      <c r="L29">
        <v>513588.0359970006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276.81463658986183</v>
      </c>
      <c r="J30">
        <v>27681.463658986184</v>
      </c>
      <c r="K30">
        <v>1081.2379705200003</v>
      </c>
      <c r="L30">
        <v>108123.79705200002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5.813107368387099</v>
      </c>
      <c r="J31">
        <v>101729.37894677423</v>
      </c>
      <c r="K31">
        <v>22.705997380920007</v>
      </c>
      <c r="L31">
        <v>397354.9541661001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9060941.935182223</v>
      </c>
      <c r="J33" t="str">
        <v/>
      </c>
      <c r="K33" t="str">
        <v/>
      </c>
      <c r="L33">
        <v>35392039.19882176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9060941.935182223</v>
      </c>
    </row>
    <row r="37">
      <c r="A37" t="str">
        <v>RAB (A) source unit cost</v>
      </c>
      <c r="B37">
        <v>9060941.935182225</v>
      </c>
    </row>
    <row r="38">
      <c r="A38" t="str">
        <v>Variance</v>
      </c>
      <c r="B38">
        <v>-1.862645149230957e-9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35392039.19882176</v>
      </c>
    </row>
    <row r="41">
      <c r="A41" t="str">
        <v>RAB (A) source line total</v>
      </c>
      <c r="B41">
        <v>40700845.07864503</v>
      </c>
    </row>
    <row r="42">
      <c r="A42" t="str">
        <v>Variance</v>
      </c>
      <c r="B42">
        <v>-5308805.879823267</v>
      </c>
      <c r="C42" t="str">
        <v>✓ OK</v>
      </c>
    </row>
  </sheetData>
  <ignoredErrors>
    <ignoredError numberStoredAsText="1" sqref="A1:L42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V.A.2.7 - Balok B26-1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B26-1</v>
      </c>
    </row>
    <row r="5">
      <c r="A5" t="str">
        <v>Unit</v>
      </c>
      <c r="B5" t="str">
        <v>m3</v>
      </c>
    </row>
    <row r="6">
      <c r="A6" t="str">
        <v>Volume</v>
      </c>
      <c r="B6">
        <v>8.198850000000002</v>
      </c>
    </row>
    <row r="7">
      <c r="A7" t="str">
        <v>Unit cost (Rp/m3)</v>
      </c>
      <c r="B7">
        <v>8615552.498966102</v>
      </c>
    </row>
    <row r="8">
      <c r="A8" t="str">
        <v>Line total at-cost (Rp)</v>
      </c>
      <c r="B8">
        <v>70637622.60614824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8.608792500000002</v>
      </c>
      <c r="L12">
        <v>10033547.658750003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8.198850000000002</v>
      </c>
      <c r="L14">
        <v>122982.75000000003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8.198850000000002</v>
      </c>
      <c r="L15">
        <v>614913.7500000001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8.198850000000002</v>
      </c>
      <c r="L17">
        <v>12298275.000000004</v>
      </c>
    </row>
    <row r="18">
      <c r="A18">
        <v>4</v>
      </c>
      <c r="B18" t="str">
        <v>BEKISTING BALOK (Material) — ratio 10.154289930904941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5.0771449654524705</v>
      </c>
      <c r="J19">
        <v>1015428.9930904941</v>
      </c>
      <c r="K19">
        <v>41.62675</v>
      </c>
      <c r="L19">
        <v>8325349.999999999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22.847152344536116</v>
      </c>
      <c r="J20">
        <v>1343412.5578587237</v>
      </c>
      <c r="K20">
        <v>187.32037499999998</v>
      </c>
      <c r="L20">
        <v>11014438.049999999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7.615717448178706</v>
      </c>
      <c r="J21">
        <v>447804.1859529079</v>
      </c>
      <c r="K21">
        <v>62.440124999999995</v>
      </c>
      <c r="L21">
        <v>3671479.3499999996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3.807858724089353</v>
      </c>
      <c r="J22">
        <v>49502.16341316159</v>
      </c>
      <c r="K22">
        <v>31.220062499999997</v>
      </c>
      <c r="L22">
        <v>405860.8125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1.2692862413631176</v>
      </c>
      <c r="J23">
        <v>34905.37163748573</v>
      </c>
      <c r="K23">
        <v>10.4066875</v>
      </c>
      <c r="L23">
        <v>286183.90624999994</v>
      </c>
    </row>
    <row r="24">
      <c r="A24">
        <v>5</v>
      </c>
      <c r="B24" t="str">
        <v>BEKISTING BALOK PERALATAN (Material) — Perancah, ratio 10.154289930904941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2.5385724827262353</v>
      </c>
      <c r="J25">
        <v>517264.70024646615</v>
      </c>
      <c r="K25">
        <v>20.813375</v>
      </c>
      <c r="L25">
        <v>4240975.68761574</v>
      </c>
    </row>
    <row r="26">
      <c r="A26">
        <v>6</v>
      </c>
      <c r="B26" t="str">
        <v>PEMBESIAN (Material) — ratio 229.20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97.32901684992406</v>
      </c>
      <c r="F27" t="str">
        <v>kg</v>
      </c>
      <c r="G27" t="str">
        <v>per m3 beton</v>
      </c>
      <c r="H27">
        <v>9500</v>
      </c>
      <c r="I27">
        <v>97.32901684992406</v>
      </c>
      <c r="J27">
        <v>924625.6600742786</v>
      </c>
      <c r="K27">
        <v>797.9860098</v>
      </c>
      <c r="L27">
        <v>7580867.093100001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131.87467256993355</v>
      </c>
      <c r="F28" t="str">
        <v>kg</v>
      </c>
      <c r="G28" t="str">
        <v>per m3 beton</v>
      </c>
      <c r="H28">
        <v>9500</v>
      </c>
      <c r="I28">
        <v>131.87467256993355</v>
      </c>
      <c r="J28">
        <v>1252809.3894143687</v>
      </c>
      <c r="K28">
        <v>1081.2206592</v>
      </c>
      <c r="L28">
        <v>10271596.2624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11.46018447099289</v>
      </c>
      <c r="J29">
        <v>108871.75247443246</v>
      </c>
      <c r="K29">
        <v>93.96033345000009</v>
      </c>
      <c r="L29">
        <v>892623.1677750008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229.2036894198576</v>
      </c>
      <c r="J30">
        <v>22920.36894198576</v>
      </c>
      <c r="K30">
        <v>1879.206669</v>
      </c>
      <c r="L30">
        <v>187920.66689999998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4.81327747781701</v>
      </c>
      <c r="J31">
        <v>84232.35586179768</v>
      </c>
      <c r="K31">
        <v>39.463340049</v>
      </c>
      <c r="L31">
        <v>690608.4508575001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8615552.498966102</v>
      </c>
      <c r="J33" t="str">
        <v/>
      </c>
      <c r="K33" t="str">
        <v/>
      </c>
      <c r="L33">
        <v>70637622.60614824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8615552.498966102</v>
      </c>
    </row>
    <row r="37">
      <c r="A37" t="str">
        <v>RAB (A) source unit cost</v>
      </c>
      <c r="B37">
        <v>8615552.498966102</v>
      </c>
    </row>
    <row r="38">
      <c r="A38" t="str">
        <v>Variance</v>
      </c>
      <c r="B38">
        <v>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70637622.60614824</v>
      </c>
    </row>
    <row r="41">
      <c r="A41" t="str">
        <v>RAB (A) source line total</v>
      </c>
      <c r="B41">
        <v>81233265.99707046</v>
      </c>
    </row>
    <row r="42">
      <c r="A42" t="str">
        <v>Variance</v>
      </c>
      <c r="B42">
        <v>-10595643.390922219</v>
      </c>
      <c r="C42" t="str">
        <v>✓ OK</v>
      </c>
    </row>
  </sheetData>
  <ignoredErrors>
    <ignoredError numberStoredAsText="1" sqref="A1:L42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V.A.3.1 - Kolom K1A4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K1A4</v>
      </c>
    </row>
    <row r="5">
      <c r="A5" t="str">
        <v>Unit</v>
      </c>
      <c r="B5" t="str">
        <v>m3</v>
      </c>
    </row>
    <row r="6">
      <c r="A6" t="str">
        <v>Volume</v>
      </c>
      <c r="B6">
        <v>1.8199999999999996</v>
      </c>
    </row>
    <row r="7">
      <c r="A7" t="str">
        <v>Unit cost (Rp/m3)</v>
      </c>
      <c r="B7">
        <v>9294865.876677705</v>
      </c>
    </row>
    <row r="8">
      <c r="A8" t="str">
        <v>Line total at-cost (Rp)</v>
      </c>
      <c r="B8">
        <v>16916655.89555342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1.9109999999999996</v>
      </c>
      <c r="L12">
        <v>2227270.4999999995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1.8199999999999996</v>
      </c>
      <c r="L14">
        <v>27299.999999999993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1.8199999999999996</v>
      </c>
      <c r="L15">
        <v>454999.9999999999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1.8199999999999996</v>
      </c>
      <c r="L17">
        <v>2911999.9999999995</v>
      </c>
    </row>
    <row r="18">
      <c r="A18">
        <v>4</v>
      </c>
      <c r="B18" t="str">
        <v>BEKISTING KOLOM (Material) — ratio 20.38461538461539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4.470310391363023</v>
      </c>
      <c r="J19">
        <v>894062.0782726046</v>
      </c>
      <c r="K19">
        <v>8.1359649122807</v>
      </c>
      <c r="L19">
        <v>1627192.98245614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22.351551956815115</v>
      </c>
      <c r="J20">
        <v>1314271.2550607286</v>
      </c>
      <c r="K20">
        <v>40.6798245614035</v>
      </c>
      <c r="L20">
        <v>2391973.684210526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4.470310391363023</v>
      </c>
      <c r="J21">
        <v>262854.2510121458</v>
      </c>
      <c r="K21">
        <v>8.1359649122807</v>
      </c>
      <c r="L21">
        <v>478394.7368421052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4.470310391363023</v>
      </c>
      <c r="J22">
        <v>58114.035087719305</v>
      </c>
      <c r="K22">
        <v>8.1359649122807</v>
      </c>
      <c r="L22">
        <v>105767.54385964911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5.096153846153848</v>
      </c>
      <c r="J23">
        <v>140144.2307692308</v>
      </c>
      <c r="K23">
        <v>9.275</v>
      </c>
      <c r="L23">
        <v>255062.50000000003</v>
      </c>
    </row>
    <row r="24">
      <c r="A24">
        <v>5</v>
      </c>
      <c r="B24" t="str">
        <v>PEMBESIAN (Material) — ratio 338.68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131.5990384615385</v>
      </c>
      <c r="F25" t="str">
        <v>kg</v>
      </c>
      <c r="G25" t="str">
        <v>per m3 beton</v>
      </c>
      <c r="H25">
        <v>9500</v>
      </c>
      <c r="I25">
        <v>131.5990384615385</v>
      </c>
      <c r="J25">
        <v>1250190.8653846157</v>
      </c>
      <c r="K25">
        <v>239.51025</v>
      </c>
      <c r="L25">
        <v>2275347.375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207.0789626373627</v>
      </c>
      <c r="F26" t="str">
        <v>kg</v>
      </c>
      <c r="G26" t="str">
        <v>per m3 beton</v>
      </c>
      <c r="H26">
        <v>9500</v>
      </c>
      <c r="I26">
        <v>207.0789626373627</v>
      </c>
      <c r="J26">
        <v>1967250.1450549457</v>
      </c>
      <c r="K26">
        <v>376.88371200000006</v>
      </c>
      <c r="L26">
        <v>3580395.2640000004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16.933900054945074</v>
      </c>
      <c r="J27">
        <v>160872.0505219782</v>
      </c>
      <c r="K27">
        <v>30.81969810000003</v>
      </c>
      <c r="L27">
        <v>292787.1319500003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338.6780010989012</v>
      </c>
      <c r="J28">
        <v>33867.800109890115</v>
      </c>
      <c r="K28">
        <v>616.393962</v>
      </c>
      <c r="L28">
        <v>61639.396199999996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7.112238023076925</v>
      </c>
      <c r="J29">
        <v>124464.16540384619</v>
      </c>
      <c r="K29">
        <v>12.944273202</v>
      </c>
      <c r="L29">
        <v>226524.78103500002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9294865.876677705</v>
      </c>
      <c r="J31" t="str">
        <v/>
      </c>
      <c r="K31" t="str">
        <v/>
      </c>
      <c r="L31">
        <v>16916655.89555342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9294865.876677705</v>
      </c>
    </row>
    <row r="35">
      <c r="A35" t="str">
        <v>RAB (A) source unit cost</v>
      </c>
      <c r="B35">
        <v>9294865.876677707</v>
      </c>
    </row>
    <row r="36">
      <c r="A36" t="str">
        <v>Variance</v>
      </c>
      <c r="B36">
        <v>-1.862645149230957e-9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16916655.89555342</v>
      </c>
    </row>
    <row r="39">
      <c r="A39" t="str">
        <v>RAB (A) source line total</v>
      </c>
      <c r="B39">
        <v>19454154.279886436</v>
      </c>
    </row>
    <row r="40">
      <c r="A40" t="str">
        <v>Variance</v>
      </c>
      <c r="B40">
        <v>-2537498.3843330145</v>
      </c>
      <c r="C40" t="str">
        <v>✓ OK</v>
      </c>
    </row>
  </sheetData>
  <ignoredErrors>
    <ignoredError numberStoredAsText="1" sqref="A1:L40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V.A.3.2 - Kolom K1A5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K1A5</v>
      </c>
    </row>
    <row r="5">
      <c r="A5" t="str">
        <v>Unit</v>
      </c>
      <c r="B5" t="str">
        <v>m3</v>
      </c>
    </row>
    <row r="6">
      <c r="A6" t="str">
        <v>Volume</v>
      </c>
      <c r="B6">
        <v>2.275</v>
      </c>
    </row>
    <row r="7">
      <c r="A7" t="str">
        <v>Unit cost (Rp/m3)</v>
      </c>
      <c r="B7">
        <v>8635475.356632074</v>
      </c>
    </row>
    <row r="8">
      <c r="A8" t="str">
        <v>Line total at-cost (Rp)</v>
      </c>
      <c r="B8">
        <v>19645706.43633797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2.38875</v>
      </c>
      <c r="L12">
        <v>2784088.125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2.275</v>
      </c>
      <c r="L14">
        <v>34125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2.275</v>
      </c>
      <c r="L15">
        <v>568750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2.275</v>
      </c>
      <c r="L17">
        <v>3640000</v>
      </c>
    </row>
    <row r="18">
      <c r="A18">
        <v>4</v>
      </c>
      <c r="B18" t="str">
        <v>BEKISTING KOLOM (Material) — ratio 19.384615384615383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4.251012145748987</v>
      </c>
      <c r="J19">
        <v>850202.4291497974</v>
      </c>
      <c r="K19">
        <v>9.671052631578945</v>
      </c>
      <c r="L19">
        <v>1934210.526315789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21.255060728744937</v>
      </c>
      <c r="J20">
        <v>1249797.5708502023</v>
      </c>
      <c r="K20">
        <v>48.355263157894726</v>
      </c>
      <c r="L20">
        <v>2843289.4736842103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4.251012145748987</v>
      </c>
      <c r="J21">
        <v>249959.51417004046</v>
      </c>
      <c r="K21">
        <v>9.671052631578945</v>
      </c>
      <c r="L21">
        <v>568657.894736842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4.251012145748987</v>
      </c>
      <c r="J22">
        <v>55263.15789473683</v>
      </c>
      <c r="K22">
        <v>9.671052631578945</v>
      </c>
      <c r="L22">
        <v>125723.68421052629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4.846153846153846</v>
      </c>
      <c r="J23">
        <v>133269.23076923075</v>
      </c>
      <c r="K23">
        <v>11.024999999999999</v>
      </c>
      <c r="L23">
        <v>303187.49999999994</v>
      </c>
    </row>
    <row r="24">
      <c r="A24">
        <v>5</v>
      </c>
      <c r="B24" t="str">
        <v>PEMBESIAN (Material) — ratio 288.07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125.33241758241758</v>
      </c>
      <c r="F25" t="str">
        <v>kg</v>
      </c>
      <c r="G25" t="str">
        <v>per m3 beton</v>
      </c>
      <c r="H25">
        <v>9500</v>
      </c>
      <c r="I25">
        <v>125.33241758241758</v>
      </c>
      <c r="J25">
        <v>1190657.967032967</v>
      </c>
      <c r="K25">
        <v>285.13124999999997</v>
      </c>
      <c r="L25">
        <v>2708746.8749999995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162.74117148131873</v>
      </c>
      <c r="F26" t="str">
        <v>kg</v>
      </c>
      <c r="G26" t="str">
        <v>per m3 beton</v>
      </c>
      <c r="H26">
        <v>9500</v>
      </c>
      <c r="I26">
        <v>162.74117148131873</v>
      </c>
      <c r="J26">
        <v>1546041.1290725279</v>
      </c>
      <c r="K26">
        <v>370.2361651200001</v>
      </c>
      <c r="L26">
        <v>3517243.5686400007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14.403679453186829</v>
      </c>
      <c r="J27">
        <v>136834.95480527487</v>
      </c>
      <c r="K27">
        <v>32.76837075600003</v>
      </c>
      <c r="L27">
        <v>311299.52218200034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288.07358906373634</v>
      </c>
      <c r="J28">
        <v>28807.358906373633</v>
      </c>
      <c r="K28">
        <v>655.3674151200001</v>
      </c>
      <c r="L28">
        <v>65536.74151200001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6.049545370338463</v>
      </c>
      <c r="J29">
        <v>105867.0439809231</v>
      </c>
      <c r="K29">
        <v>13.762715717520003</v>
      </c>
      <c r="L29">
        <v>240847.52505660005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8635475.356632074</v>
      </c>
      <c r="J31" t="str">
        <v/>
      </c>
      <c r="K31" t="str">
        <v/>
      </c>
      <c r="L31">
        <v>19645706.43633797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8635475.356632074</v>
      </c>
    </row>
    <row r="35">
      <c r="A35" t="str">
        <v>RAB (A) source unit cost</v>
      </c>
      <c r="B35">
        <v>8635475.356632072</v>
      </c>
    </row>
    <row r="36">
      <c r="A36" t="str">
        <v>Variance</v>
      </c>
      <c r="B36">
        <v>1.862645149230957e-9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19645706.43633797</v>
      </c>
    </row>
    <row r="39">
      <c r="A39" t="str">
        <v>RAB (A) source line total</v>
      </c>
      <c r="B39">
        <v>22592562.401788656</v>
      </c>
    </row>
    <row r="40">
      <c r="A40" t="str">
        <v>Variance</v>
      </c>
      <c r="B40">
        <v>-2946855.9654506855</v>
      </c>
      <c r="C40" t="str">
        <v>✓ OK</v>
      </c>
    </row>
  </sheetData>
  <ignoredErrors>
    <ignoredError numberStoredAsText="1" sqref="A1:L40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V.A.3.3 - Kolom K4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K4</v>
      </c>
    </row>
    <row r="5">
      <c r="A5" t="str">
        <v>Unit</v>
      </c>
      <c r="B5" t="str">
        <v>m3</v>
      </c>
    </row>
    <row r="6">
      <c r="A6" t="str">
        <v>Volume</v>
      </c>
      <c r="B6">
        <v>1.19</v>
      </c>
    </row>
    <row r="7">
      <c r="A7" t="str">
        <v>Unit cost (Rp/m3)</v>
      </c>
      <c r="B7">
        <v>7940771.098071009</v>
      </c>
    </row>
    <row r="8">
      <c r="A8" t="str">
        <v>Line total at-cost (Rp)</v>
      </c>
      <c r="B8">
        <v>9449517.6067045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1.2495</v>
      </c>
      <c r="L12">
        <v>1456292.25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1.19</v>
      </c>
      <c r="L14">
        <v>17850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1.19</v>
      </c>
      <c r="L15">
        <v>297500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1.19</v>
      </c>
      <c r="L17">
        <v>1904000</v>
      </c>
    </row>
    <row r="18">
      <c r="A18">
        <v>4</v>
      </c>
      <c r="B18" t="str">
        <v>BEKISTING KOLOM (Material) — ratio 16.764705882352946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3.676470588235295</v>
      </c>
      <c r="J19">
        <v>735294.1176470589</v>
      </c>
      <c r="K19">
        <v>4.375000000000001</v>
      </c>
      <c r="L19">
        <v>875000.0000000001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18.382352941176475</v>
      </c>
      <c r="J20">
        <v>1080882.3529411766</v>
      </c>
      <c r="K20">
        <v>21.875000000000004</v>
      </c>
      <c r="L20">
        <v>1286250.0000000002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3.676470588235295</v>
      </c>
      <c r="J21">
        <v>216176.47058823533</v>
      </c>
      <c r="K21">
        <v>4.375000000000001</v>
      </c>
      <c r="L21">
        <v>257250.00000000003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3.676470588235295</v>
      </c>
      <c r="J22">
        <v>47794.11764705883</v>
      </c>
      <c r="K22">
        <v>4.375000000000001</v>
      </c>
      <c r="L22">
        <v>56875.00000000001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4.191176470588236</v>
      </c>
      <c r="J23">
        <v>115257.3529411765</v>
      </c>
      <c r="K23">
        <v>4.987500000000001</v>
      </c>
      <c r="L23">
        <v>137156.25000000003</v>
      </c>
    </row>
    <row r="24">
      <c r="A24">
        <v>5</v>
      </c>
      <c r="B24" t="str">
        <v>PEMBESIAN (Material) — ratio 254.40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108.30195378151262</v>
      </c>
      <c r="F25" t="str">
        <v>kg</v>
      </c>
      <c r="G25" t="str">
        <v>per m3 beton</v>
      </c>
      <c r="H25">
        <v>9500</v>
      </c>
      <c r="I25">
        <v>108.30195378151262</v>
      </c>
      <c r="J25">
        <v>1028868.56092437</v>
      </c>
      <c r="K25">
        <v>128.87932500000002</v>
      </c>
      <c r="L25">
        <v>1224353.5875000001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146.09993142857147</v>
      </c>
      <c r="F26" t="str">
        <v>kg</v>
      </c>
      <c r="G26" t="str">
        <v>per m3 beton</v>
      </c>
      <c r="H26">
        <v>9500</v>
      </c>
      <c r="I26">
        <v>146.09993142857147</v>
      </c>
      <c r="J26">
        <v>1387949.348571429</v>
      </c>
      <c r="K26">
        <v>173.85891840000005</v>
      </c>
      <c r="L26">
        <v>1651659.7248000004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12.720094260504215</v>
      </c>
      <c r="J27">
        <v>120840.89547479004</v>
      </c>
      <c r="K27">
        <v>15.136912170000015</v>
      </c>
      <c r="L27">
        <v>143800.66561500015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254.4018852100841</v>
      </c>
      <c r="J28">
        <v>25440.188521008407</v>
      </c>
      <c r="K28">
        <v>302.73824340000004</v>
      </c>
      <c r="L28">
        <v>30273.824340000003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5.342439589411766</v>
      </c>
      <c r="J29">
        <v>93492.69281470591</v>
      </c>
      <c r="K29">
        <v>6.357503111400002</v>
      </c>
      <c r="L29">
        <v>111256.30444950002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7940771.098071009</v>
      </c>
      <c r="J31" t="str">
        <v/>
      </c>
      <c r="K31" t="str">
        <v/>
      </c>
      <c r="L31">
        <v>9449517.6067045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7940771.098071009</v>
      </c>
    </row>
    <row r="35">
      <c r="A35" t="str">
        <v>RAB (A) source unit cost</v>
      </c>
      <c r="B35">
        <v>7940771.098071009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9449517.6067045</v>
      </c>
    </row>
    <row r="39">
      <c r="A39" t="str">
        <v>RAB (A) source line total</v>
      </c>
      <c r="B39">
        <v>10866945.247710174</v>
      </c>
    </row>
    <row r="40">
      <c r="A40" t="str">
        <v>Variance</v>
      </c>
      <c r="B40">
        <v>-1417427.6410056744</v>
      </c>
      <c r="C40" t="str">
        <v>✓ OK</v>
      </c>
    </row>
  </sheetData>
  <ignoredErrors>
    <ignoredError numberStoredAsText="1" sqref="A1:L40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(A) V.A.3.4 - Kolom KL55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KL55</v>
      </c>
    </row>
    <row r="5">
      <c r="A5" t="str">
        <v>Unit</v>
      </c>
      <c r="B5" t="str">
        <v>m3</v>
      </c>
    </row>
    <row r="6">
      <c r="A6" t="str">
        <v>Volume</v>
      </c>
      <c r="B6">
        <v>2.38</v>
      </c>
    </row>
    <row r="7">
      <c r="A7" t="str">
        <v>Unit cost (Rp/m3)</v>
      </c>
      <c r="B7">
        <v>7438632.357138807</v>
      </c>
    </row>
    <row r="8">
      <c r="A8" t="str">
        <v>Line total at-cost (Rp)</v>
      </c>
      <c r="B8">
        <v>17703945.00999036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2.499</v>
      </c>
      <c r="L12">
        <v>2912584.5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2.38</v>
      </c>
      <c r="L14">
        <v>35700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250000</v>
      </c>
      <c r="I15">
        <v>1</v>
      </c>
      <c r="J15">
        <v>250000</v>
      </c>
      <c r="K15">
        <v>2.38</v>
      </c>
      <c r="L15">
        <v>595000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1600000</v>
      </c>
      <c r="I17">
        <v>1</v>
      </c>
      <c r="J17">
        <v>1600000</v>
      </c>
      <c r="K17">
        <v>2.38</v>
      </c>
      <c r="L17">
        <v>3808000</v>
      </c>
    </row>
    <row r="18">
      <c r="A18">
        <v>4</v>
      </c>
      <c r="B18" t="str">
        <v>BEKISTING KOLOM (Material) — ratio 15.764705882352944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9.12)</v>
      </c>
      <c r="H19">
        <v>200000</v>
      </c>
      <c r="I19">
        <v>3.4571723426212593</v>
      </c>
      <c r="J19">
        <v>691434.4685242518</v>
      </c>
      <c r="K19">
        <v>8.228070175438596</v>
      </c>
      <c r="L19">
        <v>1645614.0350877193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10</v>
      </c>
      <c r="F20" t="str">
        <v>btg</v>
      </c>
      <c r="G20" t="str">
        <v>per m² form (cycle 9.12)</v>
      </c>
      <c r="H20">
        <v>58800</v>
      </c>
      <c r="I20">
        <v>17.285861713106296</v>
      </c>
      <c r="J20">
        <v>1016408.6687306502</v>
      </c>
      <c r="K20">
        <v>41.140350877192986</v>
      </c>
      <c r="L20">
        <v>2419052.6315789474</v>
      </c>
    </row>
    <row r="21">
      <c r="A21" t="str">
        <v/>
      </c>
      <c r="B21" t="str">
        <v/>
      </c>
      <c r="C21" t="str">
        <v>Usuk 5/7</v>
      </c>
      <c r="D21" t="str">
        <v/>
      </c>
      <c r="E21">
        <v>2</v>
      </c>
      <c r="F21" t="str">
        <v>btg</v>
      </c>
      <c r="G21" t="str">
        <v>per m² form (cycle 9.12)</v>
      </c>
      <c r="H21">
        <v>58800</v>
      </c>
      <c r="I21">
        <v>3.4571723426212593</v>
      </c>
      <c r="J21">
        <v>203281.73374613005</v>
      </c>
      <c r="K21">
        <v>8.228070175438596</v>
      </c>
      <c r="L21">
        <v>483810.5263157895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2</v>
      </c>
      <c r="F22" t="str">
        <v>kg</v>
      </c>
      <c r="G22" t="str">
        <v>per m² form (cycle 9.12)</v>
      </c>
      <c r="H22">
        <v>13000</v>
      </c>
      <c r="I22">
        <v>3.4571723426212593</v>
      </c>
      <c r="J22">
        <v>44943.24045407637</v>
      </c>
      <c r="K22">
        <v>8.228070175438596</v>
      </c>
      <c r="L22">
        <v>106964.91228070176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2.2800000000000002</v>
      </c>
      <c r="F23" t="str">
        <v>ltr</v>
      </c>
      <c r="G23" t="str">
        <v>per m² form (cycle 9.12)</v>
      </c>
      <c r="H23">
        <v>27500</v>
      </c>
      <c r="I23">
        <v>3.941176470588236</v>
      </c>
      <c r="J23">
        <v>108382.35294117649</v>
      </c>
      <c r="K23">
        <v>9.38</v>
      </c>
      <c r="L23">
        <v>257950.00000000003</v>
      </c>
    </row>
    <row r="24">
      <c r="A24">
        <v>5</v>
      </c>
      <c r="B24" t="str">
        <v>PEMBESIAN (Material) — ratio 218.86 kg/m³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Besi beton D10</v>
      </c>
      <c r="D25" t="str">
        <v>U24/U40 polos</v>
      </c>
      <c r="E25">
        <v>101.97635294117647</v>
      </c>
      <c r="F25" t="str">
        <v>kg</v>
      </c>
      <c r="G25" t="str">
        <v>per m3 beton</v>
      </c>
      <c r="H25">
        <v>9500</v>
      </c>
      <c r="I25">
        <v>101.97635294117647</v>
      </c>
      <c r="J25">
        <v>968775.3529411765</v>
      </c>
      <c r="K25">
        <v>242.70372</v>
      </c>
      <c r="L25">
        <v>2305685.34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116.87994514285717</v>
      </c>
      <c r="F26" t="str">
        <v>kg</v>
      </c>
      <c r="G26" t="str">
        <v>per m3 beton</v>
      </c>
      <c r="H26">
        <v>9500</v>
      </c>
      <c r="I26">
        <v>116.87994514285717</v>
      </c>
      <c r="J26">
        <v>1110359.478857143</v>
      </c>
      <c r="K26">
        <v>278.17426944000005</v>
      </c>
      <c r="L26">
        <v>2642655.5596800004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9500</v>
      </c>
      <c r="I27">
        <v>10.942814904201692</v>
      </c>
      <c r="J27">
        <v>103956.74158991607</v>
      </c>
      <c r="K27">
        <v>26.043899472000025</v>
      </c>
      <c r="L27">
        <v>247417.04498400024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218.85629808403365</v>
      </c>
      <c r="J28">
        <v>21885.629808403366</v>
      </c>
      <c r="K28">
        <v>520.8779894400001</v>
      </c>
      <c r="L28">
        <v>52087.79894400001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4.595982259764707</v>
      </c>
      <c r="J29">
        <v>80429.68954588237</v>
      </c>
      <c r="K29">
        <v>10.938437778240003</v>
      </c>
      <c r="L29">
        <v>191422.66111920003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7438632.357138807</v>
      </c>
      <c r="J31" t="str">
        <v/>
      </c>
      <c r="K31" t="str">
        <v/>
      </c>
      <c r="L31">
        <v>17703945.00999036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7438632.357138807</v>
      </c>
    </row>
    <row r="35">
      <c r="A35" t="str">
        <v>RAB (A) source unit cost</v>
      </c>
      <c r="B35">
        <v>7438632.357138807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17703945.00999036</v>
      </c>
    </row>
    <row r="39">
      <c r="A39" t="str">
        <v>RAB (A) source line total</v>
      </c>
      <c r="B39">
        <v>20359536.761488914</v>
      </c>
    </row>
    <row r="40">
      <c r="A40" t="str">
        <v>Variance</v>
      </c>
      <c r="B40">
        <v>-2655591.751498554</v>
      </c>
      <c r="C40" t="str">
        <v>✓ OK</v>
      </c>
    </row>
  </sheetData>
  <ignoredErrors>
    <ignoredError numberStoredAsText="1" sqref="A1:L40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V.A.5.1 - Dinding Pagar Alas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Pagar Alas</v>
      </c>
    </row>
    <row r="5">
      <c r="A5" t="str">
        <v>Unit</v>
      </c>
      <c r="B5" t="str">
        <v>m3</v>
      </c>
    </row>
    <row r="6">
      <c r="A6" t="str">
        <v>Volume</v>
      </c>
      <c r="B6">
        <v>2.35375</v>
      </c>
    </row>
    <row r="7">
      <c r="A7" t="str">
        <v>Unit cost (Rp/m3)</v>
      </c>
      <c r="B7">
        <v>5301495.30869918</v>
      </c>
    </row>
    <row r="8">
      <c r="A8" t="str">
        <v>Line total at-cost (Rp)</v>
      </c>
      <c r="B8">
        <v>12478394.582850695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2.35375</v>
      </c>
      <c r="L12">
        <v>2880460.4062499995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2.35375</v>
      </c>
      <c r="L14">
        <v>2824499.9999999995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2.35375</v>
      </c>
      <c r="L16">
        <v>506056.24999999994</v>
      </c>
    </row>
    <row r="17">
      <c r="A17">
        <v>4</v>
      </c>
      <c r="B17" t="str">
        <v>BEKISTING (Material) — ratio 20.000000000000004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20.000000000000004</v>
      </c>
      <c r="F18" t="str">
        <v>m2</v>
      </c>
      <c r="G18" t="str">
        <v>per m² of formwork</v>
      </c>
      <c r="H18">
        <v>106232.63888888889</v>
      </c>
      <c r="I18">
        <v>20.000000000000004</v>
      </c>
      <c r="J18">
        <v>2124652.777777778</v>
      </c>
      <c r="K18">
        <v>47.075</v>
      </c>
      <c r="L18">
        <v>5000901.475694444</v>
      </c>
    </row>
    <row r="19">
      <c r="A19">
        <v>5</v>
      </c>
      <c r="B19" t="str">
        <v>PEMBESIAN (Material) — ratio 51.53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51.52669676048859</v>
      </c>
      <c r="F20" t="str">
        <v>kg</v>
      </c>
      <c r="G20" t="str">
        <v>per kg finished pembesian (blended: raw besi + decking + bendrat)</v>
      </c>
      <c r="H20">
        <v>10442.5</v>
      </c>
      <c r="I20">
        <v>51.52669676048859</v>
      </c>
      <c r="J20">
        <v>538067.5309214022</v>
      </c>
      <c r="K20">
        <v>121.28096250000002</v>
      </c>
      <c r="L20">
        <v>1266476.4509062502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5301495.30869918</v>
      </c>
      <c r="J22" t="str">
        <v/>
      </c>
      <c r="K22" t="str">
        <v/>
      </c>
      <c r="L22">
        <v>12478394.582850695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5301495.30869918</v>
      </c>
    </row>
    <row r="26">
      <c r="A26" t="str">
        <v>RAB (A) source unit cost</v>
      </c>
      <c r="B26">
        <v>5301495.30869918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12478394.582850695</v>
      </c>
    </row>
    <row r="30">
      <c r="A30" t="str">
        <v>RAB (A) source line total</v>
      </c>
      <c r="B30">
        <v>14350153.7702783</v>
      </c>
    </row>
    <row r="31">
      <c r="A31" t="str">
        <v>Variance</v>
      </c>
      <c r="B31">
        <v>-1871759.1874276046</v>
      </c>
      <c r="C31" t="str">
        <v>✓ OK</v>
      </c>
    </row>
  </sheetData>
  <ignoredErrors>
    <ignoredError numberStoredAsText="1" sqref="A1:L31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V.A.5.2 - Dinding lengkung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lengkung</v>
      </c>
    </row>
    <row r="5">
      <c r="A5" t="str">
        <v>Unit</v>
      </c>
      <c r="B5" t="str">
        <v>m3</v>
      </c>
    </row>
    <row r="6">
      <c r="A6" t="str">
        <v>Volume</v>
      </c>
      <c r="B6">
        <v>4.8345</v>
      </c>
    </row>
    <row r="7">
      <c r="A7" t="str">
        <v>Unit cost (Rp/m3)</v>
      </c>
      <c r="B7">
        <v>5435052.910441158</v>
      </c>
    </row>
    <row r="8">
      <c r="A8" t="str">
        <v>Line total at-cost (Rp)</v>
      </c>
      <c r="B8">
        <v>26275763.295527782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4.8345</v>
      </c>
      <c r="L12">
        <v>5916340.237500001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4.8345</v>
      </c>
      <c r="L14">
        <v>5801400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4.8345</v>
      </c>
      <c r="L16">
        <v>1039417.5</v>
      </c>
    </row>
    <row r="17">
      <c r="A17">
        <v>4</v>
      </c>
      <c r="B17" t="str">
        <v>BEKISTING (Material) — ratio 13.333333333333332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13.333333333333332</v>
      </c>
      <c r="F18" t="str">
        <v>m2</v>
      </c>
      <c r="G18" t="str">
        <v>per m² of formwork</v>
      </c>
      <c r="H18">
        <v>106232.63888888889</v>
      </c>
      <c r="I18">
        <v>13.333333333333332</v>
      </c>
      <c r="J18">
        <v>1416435.1851851852</v>
      </c>
      <c r="K18">
        <v>64.46</v>
      </c>
      <c r="L18">
        <v>6847755.902777778</v>
      </c>
    </row>
    <row r="19">
      <c r="A19">
        <v>5</v>
      </c>
      <c r="B19" t="str">
        <v>PEMBESIAN (Material) — ratio 132.14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132.13720136518774</v>
      </c>
      <c r="F20" t="str">
        <v>kg</v>
      </c>
      <c r="G20" t="str">
        <v>per kg finished pembesian (blended: raw besi + decking + bendrat)</v>
      </c>
      <c r="H20">
        <v>10442.5</v>
      </c>
      <c r="I20">
        <v>132.13720136518774</v>
      </c>
      <c r="J20">
        <v>1379842.725255973</v>
      </c>
      <c r="K20">
        <v>638.8173000000002</v>
      </c>
      <c r="L20">
        <v>6670849.655250002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5435052.910441158</v>
      </c>
      <c r="J22" t="str">
        <v/>
      </c>
      <c r="K22" t="str">
        <v/>
      </c>
      <c r="L22">
        <v>26275763.295527782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5435052.910441158</v>
      </c>
    </row>
    <row r="26">
      <c r="A26" t="str">
        <v>RAB (A) source unit cost</v>
      </c>
      <c r="B26">
        <v>5435052.910441158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26275763.295527782</v>
      </c>
    </row>
    <row r="30">
      <c r="A30" t="str">
        <v>RAB (A) source line total</v>
      </c>
      <c r="B30">
        <v>30217127.789856944</v>
      </c>
    </row>
    <row r="31">
      <c r="A31" t="str">
        <v>Variance</v>
      </c>
      <c r="B31">
        <v>-3941364.494329162</v>
      </c>
      <c r="C31" t="str">
        <v>✓ OK</v>
      </c>
    </row>
  </sheetData>
  <ignoredErrors>
    <ignoredError numberStoredAsText="1" sqref="A1:L31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V.A.5.3 - Dinding tanggulan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tanggulan</v>
      </c>
    </row>
    <row r="5">
      <c r="A5" t="str">
        <v>Unit</v>
      </c>
      <c r="B5" t="str">
        <v>m3</v>
      </c>
    </row>
    <row r="6">
      <c r="A6" t="str">
        <v>Volume</v>
      </c>
      <c r="B6">
        <v>0.2775</v>
      </c>
    </row>
    <row r="7">
      <c r="A7" t="str">
        <v>Unit cost (Rp/m3)</v>
      </c>
      <c r="B7">
        <v>7576861.463563563</v>
      </c>
    </row>
    <row r="8">
      <c r="A8" t="str">
        <v>Line total at-cost (Rp)</v>
      </c>
      <c r="B8">
        <v>2102579.056138889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0.2775</v>
      </c>
      <c r="L12">
        <v>339597.56250000006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0.2775</v>
      </c>
      <c r="L14">
        <v>333000.00000000006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0.2775</v>
      </c>
      <c r="L16">
        <v>59662.50000000001</v>
      </c>
    </row>
    <row r="17">
      <c r="A17">
        <v>4</v>
      </c>
      <c r="B17" t="str">
        <v>BEKISTING (Material) — ratio 13.333333333333332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13.333333333333332</v>
      </c>
      <c r="F18" t="str">
        <v>m2</v>
      </c>
      <c r="G18" t="str">
        <v>per m² of formwork</v>
      </c>
      <c r="H18">
        <v>106232.63888888889</v>
      </c>
      <c r="I18">
        <v>13.333333333333332</v>
      </c>
      <c r="J18">
        <v>1416435.1851851852</v>
      </c>
      <c r="K18">
        <v>3.7</v>
      </c>
      <c r="L18">
        <v>393060.76388888893</v>
      </c>
    </row>
    <row r="19">
      <c r="A19">
        <v>5</v>
      </c>
      <c r="B19" t="str">
        <v>PEMBESIAN (Material) — ratio 337.24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337.2421621621621</v>
      </c>
      <c r="F20" t="str">
        <v>kg</v>
      </c>
      <c r="G20" t="str">
        <v>per kg finished pembesian (blended: raw besi + decking + bendrat)</v>
      </c>
      <c r="H20">
        <v>10442.5</v>
      </c>
      <c r="I20">
        <v>337.2421621621621</v>
      </c>
      <c r="J20">
        <v>3521651.278378378</v>
      </c>
      <c r="K20">
        <v>93.5847</v>
      </c>
      <c r="L20">
        <v>977258.22975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7576861.463563563</v>
      </c>
      <c r="J22" t="str">
        <v/>
      </c>
      <c r="K22" t="str">
        <v/>
      </c>
      <c r="L22">
        <v>2102579.056138889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7576861.463563563</v>
      </c>
    </row>
    <row r="26">
      <c r="A26" t="str">
        <v>RAB (A) source unit cost</v>
      </c>
      <c r="B26">
        <v>7576861.463563563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2102579.056138889</v>
      </c>
    </row>
    <row r="30">
      <c r="A30" t="str">
        <v>RAB (A) source line total</v>
      </c>
      <c r="B30">
        <v>2417965.914559722</v>
      </c>
    </row>
    <row r="31">
      <c r="A31" t="str">
        <v>Variance</v>
      </c>
      <c r="B31">
        <v>-315386.858420833</v>
      </c>
      <c r="C31" t="str">
        <v>✓ OK</v>
      </c>
    </row>
  </sheetData>
  <ignoredErrors>
    <ignoredError numberStoredAsText="1" sqref="A1:L31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V.A.5.4 - Dinding lift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</v>
      </c>
    </row>
    <row r="5">
      <c r="A5" t="str">
        <v>Unit</v>
      </c>
      <c r="B5" t="str">
        <v>m3</v>
      </c>
    </row>
    <row r="6">
      <c r="A6" t="str">
        <v>Volume</v>
      </c>
      <c r="B6">
        <v>3.672</v>
      </c>
    </row>
    <row r="7">
      <c r="A7" t="str">
        <v>Unit cost (Rp/m3)</v>
      </c>
      <c r="B7">
        <v>6829240.546663399</v>
      </c>
    </row>
    <row r="8">
      <c r="A8" t="str">
        <v>Line total at-cost (Rp)</v>
      </c>
      <c r="B8">
        <v>25076971.287348002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3.672</v>
      </c>
      <c r="L12">
        <v>4493701.8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3.672</v>
      </c>
      <c r="L14">
        <v>4406400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3.672</v>
      </c>
      <c r="L16">
        <v>789480</v>
      </c>
    </row>
    <row r="17">
      <c r="A17">
        <v>4</v>
      </c>
      <c r="B17" t="str">
        <v>BEKISTING (Material) — ratio 11.764705882352942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11.764705882352942</v>
      </c>
      <c r="F18" t="str">
        <v>m2</v>
      </c>
      <c r="G18" t="str">
        <v>per m² of formwork</v>
      </c>
      <c r="H18">
        <v>106232.63888888889</v>
      </c>
      <c r="I18">
        <v>11.764705882352942</v>
      </c>
      <c r="J18">
        <v>1249795.751633987</v>
      </c>
      <c r="K18">
        <v>43.2</v>
      </c>
      <c r="L18">
        <v>4589250.000000001</v>
      </c>
    </row>
    <row r="19">
      <c r="A19">
        <v>5</v>
      </c>
      <c r="B19" t="str">
        <v>PEMBESIAN (Material) — ratio 281.61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281.60591764705885</v>
      </c>
      <c r="F20" t="str">
        <v>kg</v>
      </c>
      <c r="G20" t="str">
        <v>per kg finished pembesian (blended: raw besi + decking + bendrat)</v>
      </c>
      <c r="H20">
        <v>10442.5</v>
      </c>
      <c r="I20">
        <v>281.60591764705885</v>
      </c>
      <c r="J20">
        <v>2940669.795029412</v>
      </c>
      <c r="K20">
        <v>1034.0569296</v>
      </c>
      <c r="L20">
        <v>10798139.487348001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6829240.546663399</v>
      </c>
      <c r="J22" t="str">
        <v/>
      </c>
      <c r="K22" t="str">
        <v/>
      </c>
      <c r="L22">
        <v>25076971.287348002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6829240.546663399</v>
      </c>
    </row>
    <row r="26">
      <c r="A26" t="str">
        <v>RAB (A) source unit cost</v>
      </c>
      <c r="B26">
        <v>6829240.546663399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25076971.287348002</v>
      </c>
    </row>
    <row r="30">
      <c r="A30" t="str">
        <v>RAB (A) source line total</v>
      </c>
      <c r="B30">
        <v>28838516.9804502</v>
      </c>
    </row>
    <row r="31">
      <c r="A31" t="str">
        <v>Variance</v>
      </c>
      <c r="B31">
        <v>-3761545.6931021996</v>
      </c>
      <c r="C31" t="str">
        <v>✓ OK</v>
      </c>
    </row>
  </sheetData>
  <ignoredErrors>
    <ignoredError numberStoredAsText="1" sqref="A1:L31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L33"/>
  <sheetViews>
    <sheetView workbookViewId="0" rightToLeft="0"/>
  </sheetViews>
  <sheetData>
    <row r="1">
      <c r="A1" t="str">
        <v>BREAKDOWN — (A) VI.A.1.1 -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6.088730400000001</v>
      </c>
    </row>
    <row r="7">
      <c r="A7" t="str">
        <v>Unit cost (Rp/m3)</v>
      </c>
      <c r="B7">
        <v>4700761.398794175</v>
      </c>
    </row>
    <row r="8">
      <c r="A8" t="str">
        <v>Line total at-cost (Rp)</v>
      </c>
      <c r="B8">
        <v>28621668.831984624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6.088730400000001</v>
      </c>
      <c r="L12">
        <v>7451236.045260001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1250000</v>
      </c>
      <c r="I14">
        <v>1</v>
      </c>
      <c r="J14">
        <v>1250000</v>
      </c>
      <c r="K14">
        <v>6.088730400000001</v>
      </c>
      <c r="L14">
        <v>7610913.000000001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90000</v>
      </c>
      <c r="I16">
        <v>1</v>
      </c>
      <c r="J16">
        <v>90000</v>
      </c>
      <c r="K16">
        <v>6.088730400000001</v>
      </c>
      <c r="L16">
        <v>547985.7360000001</v>
      </c>
    </row>
    <row r="17">
      <c r="A17">
        <v>4</v>
      </c>
      <c r="B17" t="str">
        <v>BEKISTING (Material) — ratio 7.545051756602655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7.545051756602655</v>
      </c>
      <c r="F18" t="str">
        <v>m2</v>
      </c>
      <c r="G18" t="str">
        <v>per m² of formwork</v>
      </c>
      <c r="H18">
        <v>96024.30555555556</v>
      </c>
      <c r="I18">
        <v>7.545051756602655</v>
      </c>
      <c r="J18">
        <v>724508.3553084946</v>
      </c>
      <c r="K18">
        <v>45.939786</v>
      </c>
      <c r="L18">
        <v>4411336.048020833</v>
      </c>
    </row>
    <row r="19">
      <c r="A19">
        <v>5</v>
      </c>
      <c r="B19" t="str">
        <v>BEKISTING PERALATAN (Material) — Perancah / scaffolding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Bekisting peralatan / Perancah (lump)</v>
      </c>
      <c r="D20" t="str">
        <v>rolled lump — group total only</v>
      </c>
      <c r="E20">
        <v>7.545051756602655</v>
      </c>
      <c r="F20" t="str">
        <v>m2</v>
      </c>
      <c r="G20" t="str">
        <v>per m² of formwork (scaffolding embedded in bekisting block, col H)</v>
      </c>
      <c r="H20">
        <v>35315.0720164609</v>
      </c>
      <c r="I20">
        <v>7.545051756602655</v>
      </c>
      <c r="J20">
        <v>266454.0461523476</v>
      </c>
      <c r="K20">
        <v>45.939786</v>
      </c>
      <c r="L20">
        <v>1622366.851010802</v>
      </c>
    </row>
    <row r="21">
      <c r="A21">
        <v>6</v>
      </c>
      <c r="B21" t="str">
        <v>PEMBESIAN (Material) — ratio 109.75 kg/m³ (rolled)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/>
      </c>
      <c r="C22" t="str">
        <v>Pembesian U24 &amp; U40 (lump — no per-diameter detail)</v>
      </c>
      <c r="D22" t="str">
        <v>rolled lump — group total only</v>
      </c>
      <c r="E22">
        <v>109.74613333333332</v>
      </c>
      <c r="F22" t="str">
        <v>kg</v>
      </c>
      <c r="G22" t="str">
        <v>per kg finished pembesian (blended: raw besi + decking + bendrat)</v>
      </c>
      <c r="H22">
        <v>10442.5</v>
      </c>
      <c r="I22">
        <v>109.74613333333332</v>
      </c>
      <c r="J22">
        <v>1146023.9973333331</v>
      </c>
      <c r="K22">
        <v>668.21461830912</v>
      </c>
      <c r="L22">
        <v>6977831.151692986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>SUBTOTAL — At-cost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4700761.398794175</v>
      </c>
      <c r="J24" t="str">
        <v/>
      </c>
      <c r="K24" t="str">
        <v/>
      </c>
      <c r="L24">
        <v>28621668.831984624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RECONCILIATION</v>
      </c>
    </row>
    <row r="27">
      <c r="A27" t="str">
        <v>Computed unit cost</v>
      </c>
      <c r="B27">
        <v>4700761.398794175</v>
      </c>
    </row>
    <row r="28">
      <c r="A28" t="str">
        <v>RAB (A) source unit cost</v>
      </c>
      <c r="B28">
        <v>4700761.398794175</v>
      </c>
    </row>
    <row r="29">
      <c r="A29" t="str">
        <v>Variance</v>
      </c>
      <c r="B29">
        <v>0</v>
      </c>
      <c r="C29" t="str">
        <v>✓ OK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Computed line total</v>
      </c>
      <c r="B31">
        <v>28621668.831984624</v>
      </c>
    </row>
    <row r="32">
      <c r="A32" t="str">
        <v>RAB (A) source line total</v>
      </c>
      <c r="B32">
        <v>32914919.156782314</v>
      </c>
    </row>
    <row r="33">
      <c r="A33" t="str">
        <v>Variance</v>
      </c>
      <c r="B33">
        <v>-4293250.32479769</v>
      </c>
      <c r="C33" t="str">
        <v>✓ OK</v>
      </c>
    </row>
  </sheetData>
  <ignoredErrors>
    <ignoredError numberStoredAsText="1" sqref="A1:L33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VI.A.2.1 - Balok B4-1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B4-1</v>
      </c>
    </row>
    <row r="5">
      <c r="A5" t="str">
        <v>Unit</v>
      </c>
      <c r="B5" t="str">
        <v>m3</v>
      </c>
    </row>
    <row r="6">
      <c r="A6" t="str">
        <v>Volume</v>
      </c>
      <c r="B6">
        <v>1.8280599999999998</v>
      </c>
    </row>
    <row r="7">
      <c r="A7" t="str">
        <v>Unit cost (Rp/m3)</v>
      </c>
      <c r="B7">
        <v>10171898.148652103</v>
      </c>
    </row>
    <row r="8">
      <c r="A8" t="str">
        <v>Line total at-cost (Rp)</v>
      </c>
      <c r="B8">
        <v>18594840.129624963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1.919463</v>
      </c>
      <c r="L12">
        <v>2237134.1265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1.8280599999999998</v>
      </c>
      <c r="L14">
        <v>27420.899999999998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1.8280599999999998</v>
      </c>
      <c r="L15">
        <v>137104.49999999997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1.8280599999999998</v>
      </c>
      <c r="L17">
        <v>2742089.9999999995</v>
      </c>
    </row>
    <row r="18">
      <c r="A18">
        <v>4</v>
      </c>
      <c r="B18" t="str">
        <v>BEKISTING BALOK (Material) — ratio 17.884615384615387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8.942307692307693</v>
      </c>
      <c r="J19">
        <v>1788461.5384615387</v>
      </c>
      <c r="K19">
        <v>16.347075</v>
      </c>
      <c r="L19">
        <v>3269415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40.24038461538462</v>
      </c>
      <c r="J20">
        <v>2366134.6153846155</v>
      </c>
      <c r="K20">
        <v>73.5618375</v>
      </c>
      <c r="L20">
        <v>4325436.045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13.41346153846154</v>
      </c>
      <c r="J21">
        <v>788711.5384615386</v>
      </c>
      <c r="K21">
        <v>24.5206125</v>
      </c>
      <c r="L21">
        <v>1441812.0150000001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6.70673076923077</v>
      </c>
      <c r="J22">
        <v>87187.50000000001</v>
      </c>
      <c r="K22">
        <v>12.26030625</v>
      </c>
      <c r="L22">
        <v>159383.98125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2.2355769230769234</v>
      </c>
      <c r="J23">
        <v>61478.36538461539</v>
      </c>
      <c r="K23">
        <v>4.08676875</v>
      </c>
      <c r="L23">
        <v>112386.140625</v>
      </c>
    </row>
    <row r="24">
      <c r="A24">
        <v>5</v>
      </c>
      <c r="B24" t="str">
        <v>BEKISTING BALOK PERALATAN (Material) — Perancah, ratio 17.884615384615387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4.471153846153847</v>
      </c>
      <c r="J25">
        <v>911051.4155982906</v>
      </c>
      <c r="K25">
        <v>8.1735375</v>
      </c>
      <c r="L25">
        <v>1665456.6507986109</v>
      </c>
    </row>
    <row r="26">
      <c r="A26">
        <v>6</v>
      </c>
      <c r="B26" t="str">
        <v>PEMBESIAN (Material) — ratio 129.77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D8</v>
      </c>
      <c r="D27" t="str">
        <v>U24/U40 polos</v>
      </c>
      <c r="E27">
        <v>43.221032132424554</v>
      </c>
      <c r="F27" t="str">
        <v>kg</v>
      </c>
      <c r="G27" t="str">
        <v>per m3 beton</v>
      </c>
      <c r="H27">
        <v>9500</v>
      </c>
      <c r="I27">
        <v>43.221032132424554</v>
      </c>
      <c r="J27">
        <v>410599.8052580333</v>
      </c>
      <c r="K27">
        <v>79.01064000000002</v>
      </c>
      <c r="L27">
        <v>750601.0800000002</v>
      </c>
    </row>
    <row r="28">
      <c r="A28" t="str">
        <v/>
      </c>
      <c r="B28" t="str">
        <v/>
      </c>
      <c r="C28" t="str">
        <v>Besi beton D13</v>
      </c>
      <c r="D28" t="str">
        <v>U24/U40 polos</v>
      </c>
      <c r="E28">
        <v>86.54656905134406</v>
      </c>
      <c r="F28" t="str">
        <v>kg</v>
      </c>
      <c r="G28" t="str">
        <v>per m3 beton</v>
      </c>
      <c r="H28">
        <v>9500</v>
      </c>
      <c r="I28">
        <v>86.54656905134406</v>
      </c>
      <c r="J28">
        <v>822192.4059877687</v>
      </c>
      <c r="K28">
        <v>158.21232102000002</v>
      </c>
      <c r="L28">
        <v>1503017.0496900002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6.488380059188437</v>
      </c>
      <c r="J29">
        <v>61639.610562290145</v>
      </c>
      <c r="K29">
        <v>11.861148051000011</v>
      </c>
      <c r="L29">
        <v>112680.90648450011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129.76760118376862</v>
      </c>
      <c r="J30">
        <v>12976.760118376862</v>
      </c>
      <c r="K30">
        <v>237.22296102000004</v>
      </c>
      <c r="L30">
        <v>23722.296102000004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2.725119624859141</v>
      </c>
      <c r="J31">
        <v>47689.59343503497</v>
      </c>
      <c r="K31">
        <v>4.981682181420001</v>
      </c>
      <c r="L31">
        <v>87179.43817485002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10171898.148652103</v>
      </c>
      <c r="J33" t="str">
        <v/>
      </c>
      <c r="K33" t="str">
        <v/>
      </c>
      <c r="L33">
        <v>18594840.129624963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10171898.148652103</v>
      </c>
    </row>
    <row r="37">
      <c r="A37" t="str">
        <v>RAB (A) source unit cost</v>
      </c>
      <c r="B37">
        <v>10171898.148652101</v>
      </c>
    </row>
    <row r="38">
      <c r="A38" t="str">
        <v>Variance</v>
      </c>
      <c r="B38">
        <v>1.862645149230957e-9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18594840.129624963</v>
      </c>
    </row>
    <row r="41">
      <c r="A41" t="str">
        <v>RAB (A) source line total</v>
      </c>
      <c r="B41">
        <v>21384066.1490687</v>
      </c>
    </row>
    <row r="42">
      <c r="A42" t="str">
        <v>Variance</v>
      </c>
      <c r="B42">
        <v>-2789226.0194437355</v>
      </c>
      <c r="C42" t="str">
        <v>✓ OK</v>
      </c>
    </row>
  </sheetData>
  <ignoredErrors>
    <ignoredError numberStoredAsText="1" sqref="A1:L42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L43"/>
  <sheetViews>
    <sheetView workbookViewId="0" rightToLeft="0"/>
  </sheetViews>
  <sheetData>
    <row r="1">
      <c r="A1" t="str">
        <v>BREAKDOWN — (A) VI.A.2.2 - Balok B5-1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B5-1</v>
      </c>
    </row>
    <row r="5">
      <c r="A5" t="str">
        <v>Unit</v>
      </c>
      <c r="B5" t="str">
        <v>m3</v>
      </c>
    </row>
    <row r="6">
      <c r="A6" t="str">
        <v>Volume</v>
      </c>
      <c r="B6">
        <v>1.42748125</v>
      </c>
    </row>
    <row r="7">
      <c r="A7" t="str">
        <v>Unit cost (Rp/m3)</v>
      </c>
      <c r="B7">
        <v>10145748.128736729</v>
      </c>
    </row>
    <row r="8">
      <c r="A8" t="str">
        <v>Line total at-cost (Rp)</v>
      </c>
      <c r="B8">
        <v>14482865.220994268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1.4988553125000001</v>
      </c>
      <c r="L12">
        <v>1746915.86671875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1.42748125</v>
      </c>
      <c r="L14">
        <v>21412.21875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1.42748125</v>
      </c>
      <c r="L15">
        <v>107061.09375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1.42748125</v>
      </c>
      <c r="L17">
        <v>2141221.875</v>
      </c>
    </row>
    <row r="18">
      <c r="A18">
        <v>4</v>
      </c>
      <c r="B18" t="str">
        <v>BEKISTING BALOK (Material) — ratio 16.492475820610604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8.246237910305302</v>
      </c>
      <c r="J19">
        <v>1649247.5820610605</v>
      </c>
      <c r="K19">
        <v>11.77135</v>
      </c>
      <c r="L19">
        <v>2354270.0000000005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37.10807059637386</v>
      </c>
      <c r="J20">
        <v>2181954.551066783</v>
      </c>
      <c r="K20">
        <v>52.971075</v>
      </c>
      <c r="L20">
        <v>3114699.21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12.369356865457952</v>
      </c>
      <c r="J21">
        <v>727318.1836889276</v>
      </c>
      <c r="K21">
        <v>17.657025</v>
      </c>
      <c r="L21">
        <v>1038233.07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6.184678432728976</v>
      </c>
      <c r="J22">
        <v>80400.8196254767</v>
      </c>
      <c r="K22">
        <v>8.8285125</v>
      </c>
      <c r="L22">
        <v>114770.6625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2.0615594775763255</v>
      </c>
      <c r="J23">
        <v>56692.88563334895</v>
      </c>
      <c r="K23">
        <v>2.9428375</v>
      </c>
      <c r="L23">
        <v>80928.03125</v>
      </c>
    </row>
    <row r="24">
      <c r="A24">
        <v>5</v>
      </c>
      <c r="B24" t="str">
        <v>BEKISTING BALOK PERALATAN (Material) — Perancah, ratio 16.492475820610604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4.123118955152651</v>
      </c>
      <c r="J25">
        <v>840135.1172479239</v>
      </c>
      <c r="K25">
        <v>5.885675</v>
      </c>
      <c r="L25">
        <v>1199277.1273379629</v>
      </c>
    </row>
    <row r="26">
      <c r="A26">
        <v>6</v>
      </c>
      <c r="B26" t="str">
        <v>PEMBESIAN (Material) — ratio 172.01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D8</v>
      </c>
      <c r="D27" t="str">
        <v>U24/U40 polos</v>
      </c>
      <c r="E27">
        <v>43.08292469690932</v>
      </c>
      <c r="F27" t="str">
        <v>kg</v>
      </c>
      <c r="G27" t="str">
        <v>per m3 beton</v>
      </c>
      <c r="H27">
        <v>9500</v>
      </c>
      <c r="I27">
        <v>43.08292469690932</v>
      </c>
      <c r="J27">
        <v>409287.7846206386</v>
      </c>
      <c r="K27">
        <v>61.5000672</v>
      </c>
      <c r="L27">
        <v>584250.6383999999</v>
      </c>
    </row>
    <row r="28">
      <c r="A28" t="str">
        <v/>
      </c>
      <c r="B28" t="str">
        <v/>
      </c>
      <c r="C28" t="str">
        <v>Besi beton D10</v>
      </c>
      <c r="D28" t="str">
        <v>U24/U40 polos</v>
      </c>
      <c r="E28">
        <v>21.08436100299041</v>
      </c>
      <c r="F28" t="str">
        <v>kg</v>
      </c>
      <c r="G28" t="str">
        <v>per m3 beton</v>
      </c>
      <c r="H28">
        <v>9500</v>
      </c>
      <c r="I28">
        <v>21.08436100299041</v>
      </c>
      <c r="J28">
        <v>200301.4295284089</v>
      </c>
      <c r="K28">
        <v>30.097530000000003</v>
      </c>
      <c r="L28">
        <v>285926.53500000003</v>
      </c>
    </row>
    <row r="29">
      <c r="A29" t="str">
        <v/>
      </c>
      <c r="B29" t="str">
        <v/>
      </c>
      <c r="C29" t="str">
        <v>Besi beton D13</v>
      </c>
      <c r="D29" t="str">
        <v>U24/U40 polos</v>
      </c>
      <c r="E29">
        <v>107.84363021230574</v>
      </c>
      <c r="F29" t="str">
        <v>kg</v>
      </c>
      <c r="G29" t="str">
        <v>per m3 beton</v>
      </c>
      <c r="H29">
        <v>9500</v>
      </c>
      <c r="I29">
        <v>107.84363021230574</v>
      </c>
      <c r="J29">
        <v>1024514.4870169045</v>
      </c>
      <c r="K29">
        <v>153.94476005999996</v>
      </c>
      <c r="L29">
        <v>1462475.2205699997</v>
      </c>
    </row>
    <row r="30">
      <c r="A30" t="str">
        <v/>
      </c>
      <c r="B30" t="str">
        <v/>
      </c>
      <c r="C30" t="str">
        <v>Besi beton — waste (5%)</v>
      </c>
      <c r="D30" t="str">
        <v>applied via AHS coeff 1.05</v>
      </c>
      <c r="E30">
        <v>0.050000000000000044</v>
      </c>
      <c r="F30" t="str">
        <v>kg</v>
      </c>
      <c r="G30" t="str">
        <v>per m3 beton</v>
      </c>
      <c r="H30">
        <v>9500</v>
      </c>
      <c r="I30">
        <v>8.60054579561028</v>
      </c>
      <c r="J30">
        <v>81705.18505829766</v>
      </c>
      <c r="K30">
        <v>12.277117863000008</v>
      </c>
      <c r="L30">
        <v>116632.61969850007</v>
      </c>
    </row>
    <row r="31">
      <c r="A31" t="str">
        <v/>
      </c>
      <c r="B31" t="str">
        <v/>
      </c>
      <c r="C31" t="str">
        <v>Beton decking</v>
      </c>
      <c r="D31" t="str">
        <v>spacer</v>
      </c>
      <c r="E31">
        <v>1</v>
      </c>
      <c r="F31" t="str">
        <v>kg-eq</v>
      </c>
      <c r="G31" t="str">
        <v>per kg besi</v>
      </c>
      <c r="H31">
        <v>100</v>
      </c>
      <c r="I31">
        <v>172.01091591220546</v>
      </c>
      <c r="J31">
        <v>17201.091591220546</v>
      </c>
      <c r="K31">
        <v>245.54235725999996</v>
      </c>
      <c r="L31">
        <v>24554.235725999995</v>
      </c>
    </row>
    <row r="32">
      <c r="A32" t="str">
        <v/>
      </c>
      <c r="B32" t="str">
        <v/>
      </c>
      <c r="C32" t="str">
        <v>Bendrat (kawat ikat)</v>
      </c>
      <c r="D32" t="str">
        <v>2.1% of besi (raw)</v>
      </c>
      <c r="E32">
        <v>0.021</v>
      </c>
      <c r="F32" t="str">
        <v>kg</v>
      </c>
      <c r="G32" t="str">
        <v>per kg besi (raw)</v>
      </c>
      <c r="H32">
        <v>17500</v>
      </c>
      <c r="I32">
        <v>3.612229234156315</v>
      </c>
      <c r="J32">
        <v>63214.01159773551</v>
      </c>
      <c r="K32">
        <v>5.156389502459999</v>
      </c>
      <c r="L32">
        <v>90236.81629304998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/>
      </c>
      <c r="B34" t="str">
        <v>SUBTOTAL — At-cost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>
        <v>10145748.128736729</v>
      </c>
      <c r="J34" t="str">
        <v/>
      </c>
      <c r="K34" t="str">
        <v/>
      </c>
      <c r="L34">
        <v>14482865.220994268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RECONCILIATION</v>
      </c>
    </row>
    <row r="37">
      <c r="A37" t="str">
        <v>Computed unit cost</v>
      </c>
      <c r="B37">
        <v>10145748.128736729</v>
      </c>
    </row>
    <row r="38">
      <c r="A38" t="str">
        <v>RAB (A) source unit cost</v>
      </c>
      <c r="B38">
        <v>10145748.128736727</v>
      </c>
    </row>
    <row r="39">
      <c r="A39" t="str">
        <v>Variance</v>
      </c>
      <c r="B39">
        <v>1.862645149230957e-9</v>
      </c>
      <c r="C39" t="str">
        <v>✓ OK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Computed line total</v>
      </c>
      <c r="B41">
        <v>14482865.220994268</v>
      </c>
    </row>
    <row r="42">
      <c r="A42" t="str">
        <v>RAB (A) source line total</v>
      </c>
      <c r="B42">
        <v>16655295.004143404</v>
      </c>
    </row>
    <row r="43">
      <c r="A43" t="str">
        <v>Variance</v>
      </c>
      <c r="B43">
        <v>-2172429.783149136</v>
      </c>
      <c r="C43" t="str">
        <v>✓ OK</v>
      </c>
    </row>
  </sheetData>
  <ignoredErrors>
    <ignoredError numberStoredAsText="1" sqref="A1:L43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VI.A.2.3 -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5.28285</v>
      </c>
    </row>
    <row r="7">
      <c r="A7" t="str">
        <v>Unit cost (Rp/m3)</v>
      </c>
      <c r="B7">
        <v>8560098.698108042</v>
      </c>
    </row>
    <row r="8">
      <c r="A8" t="str">
        <v>Line total at-cost (Rp)</v>
      </c>
      <c r="B8">
        <v>45221717.40730007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5.5469925</v>
      </c>
      <c r="L12">
        <v>6465019.75875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5.28285</v>
      </c>
      <c r="L14">
        <v>79242.75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5.28285</v>
      </c>
      <c r="L15">
        <v>396213.75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5.28285</v>
      </c>
      <c r="L17">
        <v>7924275</v>
      </c>
    </row>
    <row r="18">
      <c r="A18">
        <v>4</v>
      </c>
      <c r="B18" t="str">
        <v>BEKISTING BALOK (Material) — ratio 11.469661262386781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5.7348306311933905</v>
      </c>
      <c r="J19">
        <v>1146966.126238678</v>
      </c>
      <c r="K19">
        <v>30.29625</v>
      </c>
      <c r="L19">
        <v>6059250.000000001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25.806737840370257</v>
      </c>
      <c r="J20">
        <v>1517436.185013771</v>
      </c>
      <c r="K20">
        <v>136.333125</v>
      </c>
      <c r="L20">
        <v>8016387.75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8.602245946790086</v>
      </c>
      <c r="J21">
        <v>505812.0616712571</v>
      </c>
      <c r="K21">
        <v>45.44437500000001</v>
      </c>
      <c r="L21">
        <v>2672129.2500000005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4.301122973395043</v>
      </c>
      <c r="J22">
        <v>55914.59865413556</v>
      </c>
      <c r="K22">
        <v>22.722187500000004</v>
      </c>
      <c r="L22">
        <v>295388.43750000006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1.4337076577983476</v>
      </c>
      <c r="J23">
        <v>39426.96058945456</v>
      </c>
      <c r="K23">
        <v>7.5740625</v>
      </c>
      <c r="L23">
        <v>208286.71875000003</v>
      </c>
    </row>
    <row r="24">
      <c r="A24">
        <v>5</v>
      </c>
      <c r="B24" t="str">
        <v>BEKISTING BALOK PERALATAN (Material) — Perancah, ratio 11.469661262386781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2.8674153155966953</v>
      </c>
      <c r="J25">
        <v>584270.3857371811</v>
      </c>
      <c r="K25">
        <v>15.148125</v>
      </c>
      <c r="L25">
        <v>3086612.807291667</v>
      </c>
    </row>
    <row r="26">
      <c r="A26">
        <v>6</v>
      </c>
      <c r="B26" t="str">
        <v>PEMBESIAN (Material) — ratio 181.61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78.61035804537326</v>
      </c>
      <c r="F27" t="str">
        <v>kg</v>
      </c>
      <c r="G27" t="str">
        <v>per m3 beton</v>
      </c>
      <c r="H27">
        <v>9500</v>
      </c>
      <c r="I27">
        <v>78.61035804537326</v>
      </c>
      <c r="J27">
        <v>746798.401431046</v>
      </c>
      <c r="K27">
        <v>415.2867300000001</v>
      </c>
      <c r="L27">
        <v>3945223.935000001</v>
      </c>
    </row>
    <row r="28">
      <c r="A28" t="str">
        <v/>
      </c>
      <c r="B28" t="str">
        <v/>
      </c>
      <c r="C28" t="str">
        <v>Besi beton D13</v>
      </c>
      <c r="D28" t="str">
        <v>U24/U40 polos</v>
      </c>
      <c r="E28">
        <v>103.00298935262215</v>
      </c>
      <c r="F28" t="str">
        <v>kg</v>
      </c>
      <c r="G28" t="str">
        <v>per m3 beton</v>
      </c>
      <c r="H28">
        <v>9500</v>
      </c>
      <c r="I28">
        <v>103.00298935262215</v>
      </c>
      <c r="J28">
        <v>978528.3988499105</v>
      </c>
      <c r="K28">
        <v>544.1493423014999</v>
      </c>
      <c r="L28">
        <v>5169418.75186425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9.08066736989978</v>
      </c>
      <c r="J29">
        <v>86266.3400140479</v>
      </c>
      <c r="K29">
        <v>47.97180361507505</v>
      </c>
      <c r="L29">
        <v>455732.134343213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181.61334739799543</v>
      </c>
      <c r="J30">
        <v>18161.334739799542</v>
      </c>
      <c r="K30">
        <v>959.4360723015001</v>
      </c>
      <c r="L30">
        <v>95943.60723015001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3.813880295357904</v>
      </c>
      <c r="J31">
        <v>66742.90516876332</v>
      </c>
      <c r="K31">
        <v>20.1481575183315</v>
      </c>
      <c r="L31">
        <v>352592.75657080126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8560098.698108042</v>
      </c>
      <c r="J33" t="str">
        <v/>
      </c>
      <c r="K33" t="str">
        <v/>
      </c>
      <c r="L33">
        <v>45221717.40730007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8560098.698108042</v>
      </c>
    </row>
    <row r="37">
      <c r="A37" t="str">
        <v>RAB (A) source unit cost</v>
      </c>
      <c r="B37">
        <v>8560098.698108044</v>
      </c>
    </row>
    <row r="38">
      <c r="A38" t="str">
        <v>Variance</v>
      </c>
      <c r="B38">
        <v>-1.862645149230957e-9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45221717.40730007</v>
      </c>
    </row>
    <row r="41">
      <c r="A41" t="str">
        <v>RAB (A) source line total</v>
      </c>
      <c r="B41">
        <v>52004975.01839508</v>
      </c>
    </row>
    <row r="42">
      <c r="A42" t="str">
        <v>Variance</v>
      </c>
      <c r="B42">
        <v>-6783257.611095011</v>
      </c>
      <c r="C42" t="str">
        <v>✓ OK</v>
      </c>
    </row>
  </sheetData>
  <ignoredErrors>
    <ignoredError numberStoredAsText="1" sqref="A1:L42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VI.A.2.4 -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1.065</v>
      </c>
    </row>
    <row r="7">
      <c r="A7" t="str">
        <v>Unit cost (Rp/m3)</v>
      </c>
      <c r="B7">
        <v>8822557.736959845</v>
      </c>
    </row>
    <row r="8">
      <c r="A8" t="str">
        <v>Line total at-cost (Rp)</v>
      </c>
      <c r="B8">
        <v>9396023.989862233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1.11825</v>
      </c>
      <c r="L12">
        <v>1303320.375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1.065</v>
      </c>
      <c r="L14">
        <v>15975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1.065</v>
      </c>
      <c r="L15">
        <v>79875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1.065</v>
      </c>
      <c r="L17">
        <v>1597500</v>
      </c>
    </row>
    <row r="18">
      <c r="A18">
        <v>4</v>
      </c>
      <c r="B18" t="str">
        <v>BEKISTING BALOK (Material) — ratio 12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6</v>
      </c>
      <c r="J19">
        <v>1200000</v>
      </c>
      <c r="K19">
        <v>6.39</v>
      </c>
      <c r="L19">
        <v>1278000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27</v>
      </c>
      <c r="J20">
        <v>1587600</v>
      </c>
      <c r="K20">
        <v>28.755</v>
      </c>
      <c r="L20">
        <v>1690794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9</v>
      </c>
      <c r="J21">
        <v>529200</v>
      </c>
      <c r="K21">
        <v>9.584999999999999</v>
      </c>
      <c r="L21">
        <v>563598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4.5</v>
      </c>
      <c r="J22">
        <v>58500</v>
      </c>
      <c r="K22">
        <v>4.7924999999999995</v>
      </c>
      <c r="L22">
        <v>62302.5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1.5</v>
      </c>
      <c r="J23">
        <v>41250</v>
      </c>
      <c r="K23">
        <v>1.5975</v>
      </c>
      <c r="L23">
        <v>43931.25</v>
      </c>
    </row>
    <row r="24">
      <c r="A24">
        <v>5</v>
      </c>
      <c r="B24" t="str">
        <v>BEKISTING BALOK PERALATAN (Material) — Perancah, ratio 12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3</v>
      </c>
      <c r="J25">
        <v>611286.111111111</v>
      </c>
      <c r="K25">
        <v>3.195</v>
      </c>
      <c r="L25">
        <v>651019.7083333331</v>
      </c>
    </row>
    <row r="26">
      <c r="A26">
        <v>6</v>
      </c>
      <c r="B26" t="str">
        <v>PEMBESIAN (Material) — ratio 189.70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58.888774647887324</v>
      </c>
      <c r="F27" t="str">
        <v>kg</v>
      </c>
      <c r="G27" t="str">
        <v>per m3 beton</v>
      </c>
      <c r="H27">
        <v>9500</v>
      </c>
      <c r="I27">
        <v>58.888774647887324</v>
      </c>
      <c r="J27">
        <v>559443.3591549295</v>
      </c>
      <c r="K27">
        <v>62.716544999999996</v>
      </c>
      <c r="L27">
        <v>595807.1774999999</v>
      </c>
    </row>
    <row r="28">
      <c r="A28" t="str">
        <v/>
      </c>
      <c r="B28" t="str">
        <v/>
      </c>
      <c r="C28" t="str">
        <v>Besi beton D16</v>
      </c>
      <c r="D28" t="str">
        <v>U24/U40 polos</v>
      </c>
      <c r="E28">
        <v>130.81164439436623</v>
      </c>
      <c r="F28" t="str">
        <v>kg</v>
      </c>
      <c r="G28" t="str">
        <v>per m3 beton</v>
      </c>
      <c r="H28">
        <v>9500</v>
      </c>
      <c r="I28">
        <v>130.81164439436623</v>
      </c>
      <c r="J28">
        <v>1242710.621746479</v>
      </c>
      <c r="K28">
        <v>139.31440128000003</v>
      </c>
      <c r="L28">
        <v>1323486.8121600002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9.485020952112686</v>
      </c>
      <c r="J29">
        <v>90107.69904507052</v>
      </c>
      <c r="K29">
        <v>10.10154731400001</v>
      </c>
      <c r="L29">
        <v>95964.6994830001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189.70041904225354</v>
      </c>
      <c r="J30">
        <v>18970.041904225356</v>
      </c>
      <c r="K30">
        <v>202.03094628000002</v>
      </c>
      <c r="L30">
        <v>20203.094628000003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3.983708799887325</v>
      </c>
      <c r="J31">
        <v>69714.90399802818</v>
      </c>
      <c r="K31">
        <v>4.24264987188</v>
      </c>
      <c r="L31">
        <v>74246.37275790001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8822557.736959845</v>
      </c>
      <c r="J33" t="str">
        <v/>
      </c>
      <c r="K33" t="str">
        <v/>
      </c>
      <c r="L33">
        <v>9396023.989862233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8822557.736959845</v>
      </c>
    </row>
    <row r="37">
      <c r="A37" t="str">
        <v>RAB (A) source unit cost</v>
      </c>
      <c r="B37">
        <v>8822557.736959845</v>
      </c>
    </row>
    <row r="38">
      <c r="A38" t="str">
        <v>Variance</v>
      </c>
      <c r="B38">
        <v>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9396023.989862233</v>
      </c>
    </row>
    <row r="41">
      <c r="A41" t="str">
        <v>RAB (A) source line total</v>
      </c>
      <c r="B41">
        <v>10805427.58834157</v>
      </c>
    </row>
    <row r="42">
      <c r="A42" t="str">
        <v>Variance</v>
      </c>
      <c r="B42">
        <v>-1409403.5984793361</v>
      </c>
      <c r="C42" t="str">
        <v>✓ OK</v>
      </c>
    </row>
  </sheetData>
  <ignoredErrors>
    <ignoredError numberStoredAsText="1" sqref="A1:L42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L42"/>
  <sheetViews>
    <sheetView workbookViewId="0" rightToLeft="0"/>
  </sheetViews>
  <sheetData>
    <row r="1">
      <c r="A1" t="str">
        <v>BREAKDOWN — (A) VI.A.2.5 - Balok B2A4A-1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B2A4A-1</v>
      </c>
    </row>
    <row r="5">
      <c r="A5" t="str">
        <v>Unit</v>
      </c>
      <c r="B5" t="str">
        <v>m3</v>
      </c>
    </row>
    <row r="6">
      <c r="A6" t="str">
        <v>Volume</v>
      </c>
      <c r="B6">
        <v>4.91625</v>
      </c>
    </row>
    <row r="7">
      <c r="A7" t="str">
        <v>Unit cost (Rp/m3)</v>
      </c>
      <c r="B7">
        <v>7408228.101638805</v>
      </c>
    </row>
    <row r="8">
      <c r="A8" t="str">
        <v>Line total at-cost (Rp)</v>
      </c>
      <c r="B8">
        <v>36420701.40468177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1165500</v>
      </c>
      <c r="I12">
        <v>1.05</v>
      </c>
      <c r="J12">
        <v>1223775</v>
      </c>
      <c r="K12">
        <v>5.1620625</v>
      </c>
      <c r="L12">
        <v>6016383.84375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vibrator</v>
      </c>
      <c r="D14" t="str">
        <v/>
      </c>
      <c r="E14">
        <v>1</v>
      </c>
      <c r="F14" t="str">
        <v>m3</v>
      </c>
      <c r="G14" t="str">
        <v>per m3 beton</v>
      </c>
      <c r="H14">
        <v>15000</v>
      </c>
      <c r="I14">
        <v>1</v>
      </c>
      <c r="J14">
        <v>15000</v>
      </c>
      <c r="K14">
        <v>4.91625</v>
      </c>
      <c r="L14">
        <v>73743.75</v>
      </c>
    </row>
    <row r="15">
      <c r="A15" t="str">
        <v/>
      </c>
      <c r="B15" t="str">
        <v/>
      </c>
      <c r="C15" t="str">
        <v>Sewa concrete pump</v>
      </c>
      <c r="D15" t="str">
        <v/>
      </c>
      <c r="E15">
        <v>1</v>
      </c>
      <c r="F15" t="str">
        <v>m3</v>
      </c>
      <c r="G15" t="str">
        <v>per m3 beton</v>
      </c>
      <c r="H15">
        <v>75000</v>
      </c>
      <c r="I15">
        <v>1</v>
      </c>
      <c r="J15">
        <v>75000</v>
      </c>
      <c r="K15">
        <v>4.91625</v>
      </c>
      <c r="L15">
        <v>368718.75</v>
      </c>
    </row>
    <row r="16">
      <c r="A16">
        <v>3</v>
      </c>
      <c r="B16" t="str">
        <v>UPAH (Labor) — borongan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/>
      </c>
      <c r="B17" t="str">
        <v/>
      </c>
      <c r="C17" t="str">
        <v>Upah cor, besi, bekisting borongan</v>
      </c>
      <c r="D17" t="str">
        <v/>
      </c>
      <c r="E17">
        <v>1</v>
      </c>
      <c r="F17" t="str">
        <v>m3</v>
      </c>
      <c r="G17" t="str">
        <v>per m3 beton</v>
      </c>
      <c r="H17">
        <v>1500000</v>
      </c>
      <c r="I17">
        <v>1</v>
      </c>
      <c r="J17">
        <v>1500000</v>
      </c>
      <c r="K17">
        <v>4.91625</v>
      </c>
      <c r="L17">
        <v>7374375</v>
      </c>
    </row>
    <row r="18">
      <c r="A18">
        <v>4</v>
      </c>
      <c r="B18" t="str">
        <v>BEKISTING BALOK (Material) — ratio 10.222222222222223 m²/m³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Multipleks 15 mm</v>
      </c>
      <c r="D19" t="str">
        <v/>
      </c>
      <c r="E19">
        <v>2</v>
      </c>
      <c r="F19" t="str">
        <v>lbr</v>
      </c>
      <c r="G19" t="str">
        <v>per m² form (cycle 4.00)</v>
      </c>
      <c r="H19">
        <v>200000</v>
      </c>
      <c r="I19">
        <v>5.111111111111112</v>
      </c>
      <c r="J19">
        <v>1022222.2222222224</v>
      </c>
      <c r="K19">
        <v>25.1275</v>
      </c>
      <c r="L19">
        <v>5025500.000000001</v>
      </c>
    </row>
    <row r="20">
      <c r="A20" t="str">
        <v/>
      </c>
      <c r="B20" t="str">
        <v/>
      </c>
      <c r="C20" t="str">
        <v>Usuk 5/7 (vertikal)</v>
      </c>
      <c r="D20" t="str">
        <v/>
      </c>
      <c r="E20">
        <v>9</v>
      </c>
      <c r="F20" t="str">
        <v>btg</v>
      </c>
      <c r="G20" t="str">
        <v>per m² form (cycle 4.00)</v>
      </c>
      <c r="H20">
        <v>58800</v>
      </c>
      <c r="I20">
        <v>23.000000000000004</v>
      </c>
      <c r="J20">
        <v>1352400.0000000002</v>
      </c>
      <c r="K20">
        <v>113.07375000000002</v>
      </c>
      <c r="L20">
        <v>6648736.500000001</v>
      </c>
    </row>
    <row r="21">
      <c r="A21" t="str">
        <v/>
      </c>
      <c r="B21" t="str">
        <v/>
      </c>
      <c r="C21" t="str">
        <v>Usuk 5/7 (horizontal)</v>
      </c>
      <c r="D21" t="str">
        <v/>
      </c>
      <c r="E21">
        <v>3</v>
      </c>
      <c r="F21" t="str">
        <v>btg</v>
      </c>
      <c r="G21" t="str">
        <v>per m² form (cycle 4.00)</v>
      </c>
      <c r="H21">
        <v>58800</v>
      </c>
      <c r="I21">
        <v>7.666666666666668</v>
      </c>
      <c r="J21">
        <v>450800.00000000006</v>
      </c>
      <c r="K21">
        <v>37.691250000000004</v>
      </c>
      <c r="L21">
        <v>2216245.5</v>
      </c>
    </row>
    <row r="22">
      <c r="A22" t="str">
        <v/>
      </c>
      <c r="B22" t="str">
        <v/>
      </c>
      <c r="C22" t="str">
        <v>Paku</v>
      </c>
      <c r="D22" t="str">
        <v/>
      </c>
      <c r="E22">
        <v>1.5</v>
      </c>
      <c r="F22" t="str">
        <v>kg</v>
      </c>
      <c r="G22" t="str">
        <v>per m² form (cycle 4.00)</v>
      </c>
      <c r="H22">
        <v>13000</v>
      </c>
      <c r="I22">
        <v>3.833333333333334</v>
      </c>
      <c r="J22">
        <v>49833.33333333334</v>
      </c>
      <c r="K22">
        <v>18.845625000000002</v>
      </c>
      <c r="L22">
        <v>244993.12500000003</v>
      </c>
    </row>
    <row r="23">
      <c r="A23" t="str">
        <v/>
      </c>
      <c r="B23" t="str">
        <v/>
      </c>
      <c r="C23" t="str">
        <v>Form oil</v>
      </c>
      <c r="D23" t="str">
        <v/>
      </c>
      <c r="E23">
        <v>0.5</v>
      </c>
      <c r="F23" t="str">
        <v>ltr</v>
      </c>
      <c r="G23" t="str">
        <v>per m² form (cycle 4.00)</v>
      </c>
      <c r="H23">
        <v>27500</v>
      </c>
      <c r="I23">
        <v>1.277777777777778</v>
      </c>
      <c r="J23">
        <v>35138.88888888889</v>
      </c>
      <c r="K23">
        <v>6.281875</v>
      </c>
      <c r="L23">
        <v>172751.5625</v>
      </c>
    </row>
    <row r="24">
      <c r="A24">
        <v>5</v>
      </c>
      <c r="B24" t="str">
        <v>BEKISTING BALOK PERALATAN (Material) — Perancah, ratio 10.222222222222223 m²/m³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/>
      </c>
      <c r="B25" t="str">
        <v/>
      </c>
      <c r="C25" t="str">
        <v>Perancah Bekisting Balok</v>
      </c>
      <c r="D25" t="str">
        <v/>
      </c>
      <c r="E25">
        <v>1</v>
      </c>
      <c r="F25" t="str">
        <v>m2</v>
      </c>
      <c r="G25" t="str">
        <v>per m² form (cycle 4.00)</v>
      </c>
      <c r="H25">
        <v>203762.03703703702</v>
      </c>
      <c r="I25">
        <v>2.555555555555556</v>
      </c>
      <c r="J25">
        <v>520725.2057613169</v>
      </c>
      <c r="K25">
        <v>12.56375</v>
      </c>
      <c r="L25">
        <v>2560015.292824074</v>
      </c>
    </row>
    <row r="26">
      <c r="A26">
        <v>6</v>
      </c>
      <c r="B26" t="str">
        <v>PEMBESIAN (Material) — ratio 111.40 kg/m³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/>
      </c>
      <c r="B27" t="str">
        <v/>
      </c>
      <c r="C27" t="str">
        <v>Besi beton D10</v>
      </c>
      <c r="D27" t="str">
        <v>U24/U40 polos</v>
      </c>
      <c r="E27">
        <v>53.059441647597254</v>
      </c>
      <c r="F27" t="str">
        <v>kg</v>
      </c>
      <c r="G27" t="str">
        <v>per m3 beton</v>
      </c>
      <c r="H27">
        <v>9500</v>
      </c>
      <c r="I27">
        <v>53.059441647597254</v>
      </c>
      <c r="J27">
        <v>504064.6956521739</v>
      </c>
      <c r="K27">
        <v>260.85348</v>
      </c>
      <c r="L27">
        <v>2478108.0599999996</v>
      </c>
    </row>
    <row r="28">
      <c r="A28" t="str">
        <v/>
      </c>
      <c r="B28" t="str">
        <v/>
      </c>
      <c r="C28" t="str">
        <v>Besi beton D13</v>
      </c>
      <c r="D28" t="str">
        <v>U24/U40 polos</v>
      </c>
      <c r="E28">
        <v>58.34428843935926</v>
      </c>
      <c r="F28" t="str">
        <v>kg</v>
      </c>
      <c r="G28" t="str">
        <v>per m3 beton</v>
      </c>
      <c r="H28">
        <v>9500</v>
      </c>
      <c r="I28">
        <v>58.34428843935926</v>
      </c>
      <c r="J28">
        <v>554270.740173913</v>
      </c>
      <c r="K28">
        <v>286.83510803999997</v>
      </c>
      <c r="L28">
        <v>2724933.5263799992</v>
      </c>
    </row>
    <row r="29">
      <c r="A29" t="str">
        <v/>
      </c>
      <c r="B29" t="str">
        <v/>
      </c>
      <c r="C29" t="str">
        <v>Besi beton — waste (5%)</v>
      </c>
      <c r="D29" t="str">
        <v>applied via AHS coeff 1.05</v>
      </c>
      <c r="E29">
        <v>0.050000000000000044</v>
      </c>
      <c r="F29" t="str">
        <v>kg</v>
      </c>
      <c r="G29" t="str">
        <v>per m3 beton</v>
      </c>
      <c r="H29">
        <v>9500</v>
      </c>
      <c r="I29">
        <v>5.570186504347831</v>
      </c>
      <c r="J29">
        <v>52916.77179130439</v>
      </c>
      <c r="K29">
        <v>27.38442940200002</v>
      </c>
      <c r="L29">
        <v>260152.0793190002</v>
      </c>
    </row>
    <row r="30">
      <c r="A30" t="str">
        <v/>
      </c>
      <c r="B30" t="str">
        <v/>
      </c>
      <c r="C30" t="str">
        <v>Beton decking</v>
      </c>
      <c r="D30" t="str">
        <v>spacer</v>
      </c>
      <c r="E30">
        <v>1</v>
      </c>
      <c r="F30" t="str">
        <v>kg-eq</v>
      </c>
      <c r="G30" t="str">
        <v>per kg besi</v>
      </c>
      <c r="H30">
        <v>100</v>
      </c>
      <c r="I30">
        <v>111.40373008695651</v>
      </c>
      <c r="J30">
        <v>11140.373008695651</v>
      </c>
      <c r="K30">
        <v>547.6885880399999</v>
      </c>
      <c r="L30">
        <v>54768.858803999996</v>
      </c>
    </row>
    <row r="31">
      <c r="A31" t="str">
        <v/>
      </c>
      <c r="B31" t="str">
        <v/>
      </c>
      <c r="C31" t="str">
        <v>Bendrat (kawat ikat)</v>
      </c>
      <c r="D31" t="str">
        <v>2.1% of besi (raw)</v>
      </c>
      <c r="E31">
        <v>0.021</v>
      </c>
      <c r="F31" t="str">
        <v>kg</v>
      </c>
      <c r="G31" t="str">
        <v>per kg besi (raw)</v>
      </c>
      <c r="H31">
        <v>17500</v>
      </c>
      <c r="I31">
        <v>2.3394783318260868</v>
      </c>
      <c r="J31">
        <v>40940.87080695652</v>
      </c>
      <c r="K31">
        <v>11.501460348839998</v>
      </c>
      <c r="L31">
        <v>201275.55610469996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/>
      </c>
      <c r="B33" t="str">
        <v>SUBTOTAL — At-cost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7408228.101638805</v>
      </c>
      <c r="J33" t="str">
        <v/>
      </c>
      <c r="K33" t="str">
        <v/>
      </c>
      <c r="L33">
        <v>36420701.40468177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 t="str">
        <v>RECONCILIATION</v>
      </c>
    </row>
    <row r="36">
      <c r="A36" t="str">
        <v>Computed unit cost</v>
      </c>
      <c r="B36">
        <v>7408228.101638805</v>
      </c>
    </row>
    <row r="37">
      <c r="A37" t="str">
        <v>RAB (A) source unit cost</v>
      </c>
      <c r="B37">
        <v>7408228.101638805</v>
      </c>
    </row>
    <row r="38">
      <c r="A38" t="str">
        <v>Variance</v>
      </c>
      <c r="B38">
        <v>0</v>
      </c>
      <c r="C38" t="str">
        <v>✓ OK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 t="str">
        <v>Computed line total</v>
      </c>
      <c r="B40">
        <v>36420701.40468177</v>
      </c>
    </row>
    <row r="41">
      <c r="A41" t="str">
        <v>RAB (A) source line total</v>
      </c>
      <c r="B41">
        <v>41883806.61538404</v>
      </c>
    </row>
    <row r="42">
      <c r="A42" t="str">
        <v>Variance</v>
      </c>
      <c r="B42">
        <v>-5463105.21070227</v>
      </c>
      <c r="C42" t="str">
        <v>✓ OK</v>
      </c>
    </row>
  </sheetData>
  <ignoredErrors>
    <ignoredError numberStoredAsText="1" sqref="A1:L42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(A) VI.A.5.1 - Dinding tanggulan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tanggulan</v>
      </c>
    </row>
    <row r="5">
      <c r="A5" t="str">
        <v>Unit</v>
      </c>
      <c r="B5" t="str">
        <v>m3</v>
      </c>
    </row>
    <row r="6">
      <c r="A6" t="str">
        <v>Volume</v>
      </c>
      <c r="B6">
        <v>1.2361499999999999</v>
      </c>
    </row>
    <row r="7">
      <c r="A7" t="str">
        <v>Unit cost (Rp/m3)</v>
      </c>
      <c r="B7">
        <v>7113419.666255444</v>
      </c>
    </row>
    <row r="8">
      <c r="A8" t="str">
        <v>Line total at-cost (Rp)</v>
      </c>
      <c r="B8">
        <v>8793253.720441667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1223775</v>
      </c>
      <c r="I12">
        <v>1</v>
      </c>
      <c r="J12">
        <v>1223775</v>
      </c>
      <c r="K12">
        <v>1.2361499999999999</v>
      </c>
      <c r="L12">
        <v>1512769.4662499998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1200000</v>
      </c>
      <c r="I14">
        <v>1</v>
      </c>
      <c r="J14">
        <v>1200000</v>
      </c>
      <c r="K14">
        <v>1.2361499999999999</v>
      </c>
      <c r="L14">
        <v>1483379.9999999998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215000</v>
      </c>
      <c r="I16">
        <v>1</v>
      </c>
      <c r="J16">
        <v>215000</v>
      </c>
      <c r="K16">
        <v>1.2361499999999999</v>
      </c>
      <c r="L16">
        <v>265772.24999999994</v>
      </c>
    </row>
    <row r="17">
      <c r="A17">
        <v>4</v>
      </c>
      <c r="B17" t="str">
        <v>BEKISTING (Material) — ratio 13.333333333333334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13.333333333333334</v>
      </c>
      <c r="F18" t="str">
        <v>m2</v>
      </c>
      <c r="G18" t="str">
        <v>per m² of formwork</v>
      </c>
      <c r="H18">
        <v>106232.63888888889</v>
      </c>
      <c r="I18">
        <v>13.333333333333334</v>
      </c>
      <c r="J18">
        <v>1416435.1851851852</v>
      </c>
      <c r="K18">
        <v>16.482</v>
      </c>
      <c r="L18">
        <v>1750926.3541666665</v>
      </c>
    </row>
    <row r="19">
      <c r="A19">
        <v>5</v>
      </c>
      <c r="B19" t="str">
        <v>PEMBESIAN (Material) — ratio 292.86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292.86181288678563</v>
      </c>
      <c r="F20" t="str">
        <v>kg</v>
      </c>
      <c r="G20" t="str">
        <v>per kg finished pembesian (blended: raw besi + decking + bendrat)</v>
      </c>
      <c r="H20">
        <v>10442.5</v>
      </c>
      <c r="I20">
        <v>292.86181288678563</v>
      </c>
      <c r="J20">
        <v>3058209.481070259</v>
      </c>
      <c r="K20">
        <v>362.02113</v>
      </c>
      <c r="L20">
        <v>3780405.6500250003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7113419.666255444</v>
      </c>
      <c r="J22" t="str">
        <v/>
      </c>
      <c r="K22" t="str">
        <v/>
      </c>
      <c r="L22">
        <v>8793253.720441667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7113419.666255444</v>
      </c>
    </row>
    <row r="26">
      <c r="A26" t="str">
        <v>RAB (A) source unit cost</v>
      </c>
      <c r="B26">
        <v>7113419.666255444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8793253.720441667</v>
      </c>
    </row>
    <row r="30">
      <c r="A30" t="str">
        <v>RAB (A) source line total</v>
      </c>
      <c r="B30">
        <v>10112241.778507916</v>
      </c>
    </row>
    <row r="31">
      <c r="A31" t="str">
        <v>Variance</v>
      </c>
      <c r="B31">
        <v>-1318988.058066249</v>
      </c>
      <c r="C31" t="str">
        <v>✓ OK</v>
      </c>
    </row>
  </sheetData>
  <ignoredErrors>
    <ignoredError numberStoredAsText="1" sqref="A1:L31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VIII.A.1 Pasangan dinding bata merah tebal 10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10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188.0775</v>
      </c>
    </row>
    <row r="7">
      <c r="A7" t="str">
        <v>Unit cost (Rp/m2)</v>
      </c>
      <c r="B7">
        <v>195191.4968</v>
      </c>
    </row>
    <row r="8">
      <c r="A8" t="str">
        <v>Line total at-cost (Rp)</v>
      </c>
      <c r="B8">
        <v>36711128.739401996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1/4 Batu (finish 10 cm), spesi 1:3</v>
      </c>
      <c r="D12" t="str">
        <v>direct-reference lump from Analisa!F412 (block: 1 m2 Pasangan Dinding Bata Merah 1/4 Batu (finish 10 cm), spesi 1:3)</v>
      </c>
      <c r="E12">
        <v>1</v>
      </c>
      <c r="F12" t="str">
        <v>m2</v>
      </c>
      <c r="G12" t="str">
        <v>per m2</v>
      </c>
      <c r="H12">
        <v>105191.4968</v>
      </c>
      <c r="I12">
        <v>1</v>
      </c>
      <c r="J12">
        <v>105191.4968</v>
      </c>
      <c r="K12">
        <v>188.0775</v>
      </c>
      <c r="L12">
        <v>19784153.739401996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1/4 Batu (finish 10 cm), spesi 1:3</v>
      </c>
      <c r="D14" t="str">
        <v>direct-reference lump from Analisa!G412 (block: 1 m2 Pasangan Dinding Bata Merah 1/4 Batu (finish 10 cm), spesi 1:3)</v>
      </c>
      <c r="E14">
        <v>1</v>
      </c>
      <c r="F14" t="str">
        <v>m2</v>
      </c>
      <c r="G14" t="str">
        <v>per m2</v>
      </c>
      <c r="H14">
        <v>90000</v>
      </c>
      <c r="I14">
        <v>1</v>
      </c>
      <c r="J14">
        <v>90000</v>
      </c>
      <c r="K14">
        <v>188.0775</v>
      </c>
      <c r="L14">
        <v>16926975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195191.4968</v>
      </c>
      <c r="J16" t="str">
        <v/>
      </c>
      <c r="K16" t="str">
        <v/>
      </c>
      <c r="L16">
        <v>36711128.739401996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195191.4968</v>
      </c>
    </row>
    <row r="20">
      <c r="A20" t="str">
        <v>RAB (A) source unit cost</v>
      </c>
      <c r="B20">
        <v>195191.4968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36711128.739401996</v>
      </c>
    </row>
    <row r="24">
      <c r="A24" t="str">
        <v>RAB (A) source line total</v>
      </c>
      <c r="B24">
        <v>42217798.050312296</v>
      </c>
    </row>
    <row r="25">
      <c r="A25" t="str">
        <v>Variance</v>
      </c>
      <c r="B25">
        <v>-5506669.310910299</v>
      </c>
      <c r="C25" t="str">
        <v>✓ OK</v>
      </c>
    </row>
  </sheetData>
  <ignoredErrors>
    <ignoredError numberStoredAsText="1" sqref="A1:L25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VIII.A.2 Pasangan dinding bata merah tebal 15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15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148.67</v>
      </c>
    </row>
    <row r="7">
      <c r="A7" t="str">
        <v>Unit cost (Rp/m2)</v>
      </c>
      <c r="B7">
        <v>247125.58136</v>
      </c>
    </row>
    <row r="8">
      <c r="A8" t="str">
        <v>Line total at-cost (Rp)</v>
      </c>
      <c r="B8">
        <v>36740160.1807912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1/2 Batu (finish 15 cm), spesi 1:3</v>
      </c>
      <c r="D12" t="str">
        <v>direct-reference lump from Analisa!F421 (block: 1 m2 Pasangan Dinding Bata Merah 1/2 Batu (finish 15 cm), spesi 1:3)</v>
      </c>
      <c r="E12">
        <v>1</v>
      </c>
      <c r="F12" t="str">
        <v>m2</v>
      </c>
      <c r="G12" t="str">
        <v>per m2</v>
      </c>
      <c r="H12">
        <v>143125.58136</v>
      </c>
      <c r="I12">
        <v>1</v>
      </c>
      <c r="J12">
        <v>143125.58136</v>
      </c>
      <c r="K12">
        <v>148.67</v>
      </c>
      <c r="L12">
        <v>21278480.1807912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1/2 Batu (finish 15 cm), spesi 1:3</v>
      </c>
      <c r="D14" t="str">
        <v>direct-reference lump from Analisa!G421 (block: 1 m2 Pasangan Dinding Bata Merah 1/2 Batu (finish 15 cm), spesi 1:3)</v>
      </c>
      <c r="E14">
        <v>1</v>
      </c>
      <c r="F14" t="str">
        <v>m2</v>
      </c>
      <c r="G14" t="str">
        <v>per m2</v>
      </c>
      <c r="H14">
        <v>104000</v>
      </c>
      <c r="I14">
        <v>1</v>
      </c>
      <c r="J14">
        <v>104000</v>
      </c>
      <c r="K14">
        <v>148.67</v>
      </c>
      <c r="L14">
        <v>15461679.999999998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247125.58136</v>
      </c>
      <c r="J16" t="str">
        <v/>
      </c>
      <c r="K16" t="str">
        <v/>
      </c>
      <c r="L16">
        <v>36740160.1807912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247125.58136</v>
      </c>
    </row>
    <row r="20">
      <c r="A20" t="str">
        <v>RAB (A) source unit cost</v>
      </c>
      <c r="B20">
        <v>247125.58136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36740160.1807912</v>
      </c>
    </row>
    <row r="24">
      <c r="A24" t="str">
        <v>RAB (A) source line total</v>
      </c>
      <c r="B24">
        <v>42251184.207909875</v>
      </c>
    </row>
    <row r="25">
      <c r="A25" t="str">
        <v>Variance</v>
      </c>
      <c r="B25">
        <v>-5511024.027118675</v>
      </c>
      <c r="C25" t="str">
        <v>✓ OK</v>
      </c>
    </row>
  </sheetData>
  <ignoredErrors>
    <ignoredError numberStoredAsText="1" sqref="A1:L25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VIII.A.3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294.96000000000004</v>
      </c>
    </row>
    <row r="7">
      <c r="A7" t="str">
        <v>Unit cost (Rp/m2)</v>
      </c>
      <c r="B7">
        <v>317877.28755999997</v>
      </c>
    </row>
    <row r="8">
      <c r="A8" t="str">
        <v>Line total at-cost (Rp)</v>
      </c>
      <c r="B8">
        <v>93761084.7386976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3/4 Batu (finish 20 cm), spesi 1:3</v>
      </c>
      <c r="D12" t="str">
        <v>direct-reference lump from Analisa!F430 (block: 1 m2 Pasangan Dinding Bata Merah 3/4 Batu (finish 20 cm), spesi 1:3)</v>
      </c>
      <c r="E12">
        <v>1</v>
      </c>
      <c r="F12" t="str">
        <v>m2</v>
      </c>
      <c r="G12" t="str">
        <v>per m2</v>
      </c>
      <c r="H12">
        <v>193877.28756</v>
      </c>
      <c r="I12">
        <v>1</v>
      </c>
      <c r="J12">
        <v>193877.28756</v>
      </c>
      <c r="K12">
        <v>294.96000000000004</v>
      </c>
      <c r="L12">
        <v>57186044.7386976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3/4 Batu (finish 20 cm), spesi 1:3</v>
      </c>
      <c r="D14" t="str">
        <v>direct-reference lump from Analisa!G430 (block: 1 m2 Pasangan Dinding Bata Merah 3/4 Batu (finish 20 cm), spesi 1:3)</v>
      </c>
      <c r="E14">
        <v>1</v>
      </c>
      <c r="F14" t="str">
        <v>m2</v>
      </c>
      <c r="G14" t="str">
        <v>per m2</v>
      </c>
      <c r="H14">
        <v>124000</v>
      </c>
      <c r="I14">
        <v>1</v>
      </c>
      <c r="J14">
        <v>124000</v>
      </c>
      <c r="K14">
        <v>294.96000000000004</v>
      </c>
      <c r="L14">
        <v>36575040.00000001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317877.28755999997</v>
      </c>
      <c r="J16" t="str">
        <v/>
      </c>
      <c r="K16" t="str">
        <v/>
      </c>
      <c r="L16">
        <v>93761084.7386976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317877.28755999997</v>
      </c>
    </row>
    <row r="20">
      <c r="A20" t="str">
        <v>RAB (A) source unit cost</v>
      </c>
      <c r="B20">
        <v>317877.28755999997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93761084.7386976</v>
      </c>
    </row>
    <row r="24">
      <c r="A24" t="str">
        <v>RAB (A) source line total</v>
      </c>
      <c r="B24">
        <v>107825247.44950223</v>
      </c>
    </row>
    <row r="25">
      <c r="A25" t="str">
        <v>Variance</v>
      </c>
      <c r="B25">
        <v>-14064162.710804626</v>
      </c>
      <c r="C25" t="str">
        <v>✓ OK</v>
      </c>
    </row>
  </sheetData>
  <ignoredErrors>
    <ignoredError numberStoredAsText="1" sqref="A1:L25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VIII.A.4 Pasangan dinding bata merah tebal 40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40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11.462499999999999</v>
      </c>
    </row>
    <row r="7">
      <c r="A7" t="str">
        <v>Unit cost (Rp/m2)</v>
      </c>
      <c r="B7">
        <v>540597.645775</v>
      </c>
    </row>
    <row r="8">
      <c r="A8" t="str">
        <v>Line total at-cost (Rp)</v>
      </c>
      <c r="B8">
        <v>6196600.514695937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finish 40 cm, spesi 1:3</v>
      </c>
      <c r="D12" t="str">
        <v>direct-reference lump from Analisa!F466 (block: 1 m2 Pasangan Dinding Bata Merah finish 40 cm, spesi 1:3)</v>
      </c>
      <c r="E12">
        <v>1</v>
      </c>
      <c r="F12" t="str">
        <v>m2</v>
      </c>
      <c r="G12" t="str">
        <v>per m2</v>
      </c>
      <c r="H12">
        <v>353597.645775</v>
      </c>
      <c r="I12">
        <v>1</v>
      </c>
      <c r="J12">
        <v>353597.645775</v>
      </c>
      <c r="K12">
        <v>11.462499999999999</v>
      </c>
      <c r="L12">
        <v>4053113.014695937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finish 40 cm, spesi 1:3</v>
      </c>
      <c r="D14" t="str">
        <v>direct-reference lump from Analisa!G466 (block: 1 m2 Pasangan Dinding Bata Merah finish 40 cm, spesi 1:3)</v>
      </c>
      <c r="E14">
        <v>1</v>
      </c>
      <c r="F14" t="str">
        <v>m2</v>
      </c>
      <c r="G14" t="str">
        <v>per m2</v>
      </c>
      <c r="H14">
        <v>187000</v>
      </c>
      <c r="I14">
        <v>1</v>
      </c>
      <c r="J14">
        <v>187000</v>
      </c>
      <c r="K14">
        <v>11.462499999999999</v>
      </c>
      <c r="L14">
        <v>2143487.4999999995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540597.645775</v>
      </c>
      <c r="J16" t="str">
        <v/>
      </c>
      <c r="K16" t="str">
        <v/>
      </c>
      <c r="L16">
        <v>6196600.514695937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540597.645775</v>
      </c>
    </row>
    <row r="20">
      <c r="A20" t="str">
        <v>RAB (A) source unit cost</v>
      </c>
      <c r="B20">
        <v>540597.645775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6196600.514695937</v>
      </c>
    </row>
    <row r="24">
      <c r="A24" t="str">
        <v>RAB (A) source line total</v>
      </c>
      <c r="B24">
        <v>7126090.591900326</v>
      </c>
    </row>
    <row r="25">
      <c r="A25" t="str">
        <v>Variance</v>
      </c>
      <c r="B25">
        <v>-929490.0772043895</v>
      </c>
      <c r="C25" t="str">
        <v>✓ OK</v>
      </c>
    </row>
  </sheetData>
  <ignoredErrors>
    <ignoredError numberStoredAsText="1" sqref="A1:L25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VIII.B.1 Pasangan dinding bata merah tebal 10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10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108</v>
      </c>
    </row>
    <row r="7">
      <c r="A7" t="str">
        <v>Unit cost (Rp/m2)</v>
      </c>
      <c r="B7">
        <v>195191.4968</v>
      </c>
    </row>
    <row r="8">
      <c r="A8" t="str">
        <v>Line total at-cost (Rp)</v>
      </c>
      <c r="B8">
        <v>21080681.6544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1/4 Batu (finish 10 cm), spesi 1:3</v>
      </c>
      <c r="D12" t="str">
        <v>direct-reference lump from Analisa!F412 (block: 1 m2 Pasangan Dinding Bata Merah 1/4 Batu (finish 10 cm), spesi 1:3)</v>
      </c>
      <c r="E12">
        <v>1</v>
      </c>
      <c r="F12" t="str">
        <v>m2</v>
      </c>
      <c r="G12" t="str">
        <v>per m2</v>
      </c>
      <c r="H12">
        <v>105191.4968</v>
      </c>
      <c r="I12">
        <v>1</v>
      </c>
      <c r="J12">
        <v>105191.4968</v>
      </c>
      <c r="K12">
        <v>108</v>
      </c>
      <c r="L12">
        <v>11360681.654399998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1/4 Batu (finish 10 cm), spesi 1:3</v>
      </c>
      <c r="D14" t="str">
        <v>direct-reference lump from Analisa!G412 (block: 1 m2 Pasangan Dinding Bata Merah 1/4 Batu (finish 10 cm), spesi 1:3)</v>
      </c>
      <c r="E14">
        <v>1</v>
      </c>
      <c r="F14" t="str">
        <v>m2</v>
      </c>
      <c r="G14" t="str">
        <v>per m2</v>
      </c>
      <c r="H14">
        <v>90000</v>
      </c>
      <c r="I14">
        <v>1</v>
      </c>
      <c r="J14">
        <v>90000</v>
      </c>
      <c r="K14">
        <v>108</v>
      </c>
      <c r="L14">
        <v>9720000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195191.4968</v>
      </c>
      <c r="J16" t="str">
        <v/>
      </c>
      <c r="K16" t="str">
        <v/>
      </c>
      <c r="L16">
        <v>21080681.6544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195191.4968</v>
      </c>
    </row>
    <row r="20">
      <c r="A20" t="str">
        <v>RAB (A) source unit cost</v>
      </c>
      <c r="B20">
        <v>195191.4968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21080681.6544</v>
      </c>
    </row>
    <row r="24">
      <c r="A24" t="str">
        <v>RAB (A) source line total</v>
      </c>
      <c r="B24">
        <v>24242783.90256</v>
      </c>
    </row>
    <row r="25">
      <c r="A25" t="str">
        <v>Variance</v>
      </c>
      <c r="B25">
        <v>-3162102.248160001</v>
      </c>
      <c r="C25" t="str">
        <v>✓ OK</v>
      </c>
    </row>
  </sheetData>
  <ignoredErrors>
    <ignoredError numberStoredAsText="1" sqref="A1:L25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VIII.B.2 Pasangan dinding bata merah tebal 15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15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294.87749999999994</v>
      </c>
    </row>
    <row r="7">
      <c r="A7" t="str">
        <v>Unit cost (Rp/m2)</v>
      </c>
      <c r="B7">
        <v>247125.58136</v>
      </c>
    </row>
    <row r="8">
      <c r="A8" t="str">
        <v>Line total at-cost (Rp)</v>
      </c>
      <c r="B8">
        <v>72871773.61748339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1/2 Batu (finish 15 cm), spesi 1:3</v>
      </c>
      <c r="D12" t="str">
        <v>direct-reference lump from Analisa!F421 (block: 1 m2 Pasangan Dinding Bata Merah 1/2 Batu (finish 15 cm), spesi 1:3)</v>
      </c>
      <c r="E12">
        <v>1</v>
      </c>
      <c r="F12" t="str">
        <v>m2</v>
      </c>
      <c r="G12" t="str">
        <v>per m2</v>
      </c>
      <c r="H12">
        <v>143125.58136</v>
      </c>
      <c r="I12">
        <v>1</v>
      </c>
      <c r="J12">
        <v>143125.58136</v>
      </c>
      <c r="K12">
        <v>294.87749999999994</v>
      </c>
      <c r="L12">
        <v>42204513.61748339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1/2 Batu (finish 15 cm), spesi 1:3</v>
      </c>
      <c r="D14" t="str">
        <v>direct-reference lump from Analisa!G421 (block: 1 m2 Pasangan Dinding Bata Merah 1/2 Batu (finish 15 cm), spesi 1:3)</v>
      </c>
      <c r="E14">
        <v>1</v>
      </c>
      <c r="F14" t="str">
        <v>m2</v>
      </c>
      <c r="G14" t="str">
        <v>per m2</v>
      </c>
      <c r="H14">
        <v>104000</v>
      </c>
      <c r="I14">
        <v>1</v>
      </c>
      <c r="J14">
        <v>104000</v>
      </c>
      <c r="K14">
        <v>294.87749999999994</v>
      </c>
      <c r="L14">
        <v>30667259.999999993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247125.58136</v>
      </c>
      <c r="J16" t="str">
        <v/>
      </c>
      <c r="K16" t="str">
        <v/>
      </c>
      <c r="L16">
        <v>72871773.61748339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247125.58136</v>
      </c>
    </row>
    <row r="20">
      <c r="A20" t="str">
        <v>RAB (A) source unit cost</v>
      </c>
      <c r="B20">
        <v>247125.58136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72871773.61748339</v>
      </c>
    </row>
    <row r="24">
      <c r="A24" t="str">
        <v>RAB (A) source line total</v>
      </c>
      <c r="B24">
        <v>83802539.66010588</v>
      </c>
    </row>
    <row r="25">
      <c r="A25" t="str">
        <v>Variance</v>
      </c>
      <c r="B25">
        <v>-10930766.042622492</v>
      </c>
      <c r="C25" t="str">
        <v>✓ OK</v>
      </c>
    </row>
  </sheetData>
  <ignoredErrors>
    <ignoredError numberStoredAsText="1" sqref="A1:L25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VIII.B.3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195.74599999999998</v>
      </c>
    </row>
    <row r="7">
      <c r="A7" t="str">
        <v>Unit cost (Rp/m2)</v>
      </c>
      <c r="B7">
        <v>317877.28755999997</v>
      </c>
    </row>
    <row r="8">
      <c r="A8" t="str">
        <v>Line total at-cost (Rp)</v>
      </c>
      <c r="B8">
        <v>62223207.53071975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3/4 Batu (finish 20 cm), spesi 1:3</v>
      </c>
      <c r="D12" t="str">
        <v>direct-reference lump from Analisa!F430 (block: 1 m2 Pasangan Dinding Bata Merah 3/4 Batu (finish 20 cm), spesi 1:3)</v>
      </c>
      <c r="E12">
        <v>1</v>
      </c>
      <c r="F12" t="str">
        <v>m2</v>
      </c>
      <c r="G12" t="str">
        <v>per m2</v>
      </c>
      <c r="H12">
        <v>193877.28756</v>
      </c>
      <c r="I12">
        <v>1</v>
      </c>
      <c r="J12">
        <v>193877.28756</v>
      </c>
      <c r="K12">
        <v>195.74599999999998</v>
      </c>
      <c r="L12">
        <v>37950703.53071976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3/4 Batu (finish 20 cm), spesi 1:3</v>
      </c>
      <c r="D14" t="str">
        <v>direct-reference lump from Analisa!G430 (block: 1 m2 Pasangan Dinding Bata Merah 3/4 Batu (finish 20 cm), spesi 1:3)</v>
      </c>
      <c r="E14">
        <v>1</v>
      </c>
      <c r="F14" t="str">
        <v>m2</v>
      </c>
      <c r="G14" t="str">
        <v>per m2</v>
      </c>
      <c r="H14">
        <v>124000</v>
      </c>
      <c r="I14">
        <v>1</v>
      </c>
      <c r="J14">
        <v>124000</v>
      </c>
      <c r="K14">
        <v>195.74599999999998</v>
      </c>
      <c r="L14">
        <v>24272503.999999996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317877.28755999997</v>
      </c>
      <c r="J16" t="str">
        <v/>
      </c>
      <c r="K16" t="str">
        <v/>
      </c>
      <c r="L16">
        <v>62223207.53071975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317877.28755999997</v>
      </c>
    </row>
    <row r="20">
      <c r="A20" t="str">
        <v>RAB (A) source unit cost</v>
      </c>
      <c r="B20">
        <v>317877.28755999997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62223207.53071975</v>
      </c>
    </row>
    <row r="24">
      <c r="A24" t="str">
        <v>RAB (A) source line total</v>
      </c>
      <c r="B24">
        <v>71556688.6603277</v>
      </c>
    </row>
    <row r="25">
      <c r="A25" t="str">
        <v>Variance</v>
      </c>
      <c r="B25">
        <v>-9333481.129607953</v>
      </c>
      <c r="C25" t="str">
        <v>✓ OK</v>
      </c>
    </row>
  </sheetData>
  <ignoredErrors>
    <ignoredError numberStoredAsText="1" sqref="A1:L25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VIII.C.1 Pasangan dinding bata merah tebal 15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15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280.168</v>
      </c>
    </row>
    <row r="7">
      <c r="A7" t="str">
        <v>Unit cost (Rp/m2)</v>
      </c>
      <c r="B7">
        <v>247125.58136</v>
      </c>
    </row>
    <row r="8">
      <c r="A8" t="str">
        <v>Line total at-cost (Rp)</v>
      </c>
      <c r="B8">
        <v>69236679.87846848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1/2 Batu (finish 15 cm), spesi 1:3</v>
      </c>
      <c r="D12" t="str">
        <v>direct-reference lump from Analisa!F421 (block: 1 m2 Pasangan Dinding Bata Merah 1/2 Batu (finish 15 cm), spesi 1:3)</v>
      </c>
      <c r="E12">
        <v>1</v>
      </c>
      <c r="F12" t="str">
        <v>m2</v>
      </c>
      <c r="G12" t="str">
        <v>per m2</v>
      </c>
      <c r="H12">
        <v>143125.58136</v>
      </c>
      <c r="I12">
        <v>1</v>
      </c>
      <c r="J12">
        <v>143125.58136</v>
      </c>
      <c r="K12">
        <v>280.168</v>
      </c>
      <c r="L12">
        <v>40099207.87846848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1/2 Batu (finish 15 cm), spesi 1:3</v>
      </c>
      <c r="D14" t="str">
        <v>direct-reference lump from Analisa!G421 (block: 1 m2 Pasangan Dinding Bata Merah 1/2 Batu (finish 15 cm), spesi 1:3)</v>
      </c>
      <c r="E14">
        <v>1</v>
      </c>
      <c r="F14" t="str">
        <v>m2</v>
      </c>
      <c r="G14" t="str">
        <v>per m2</v>
      </c>
      <c r="H14">
        <v>104000</v>
      </c>
      <c r="I14">
        <v>1</v>
      </c>
      <c r="J14">
        <v>104000</v>
      </c>
      <c r="K14">
        <v>280.168</v>
      </c>
      <c r="L14">
        <v>29137472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247125.58136</v>
      </c>
      <c r="J16" t="str">
        <v/>
      </c>
      <c r="K16" t="str">
        <v/>
      </c>
      <c r="L16">
        <v>69236679.87846848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247125.58136</v>
      </c>
    </row>
    <row r="20">
      <c r="A20" t="str">
        <v>RAB (A) source unit cost</v>
      </c>
      <c r="B20">
        <v>247125.58136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69236679.87846848</v>
      </c>
    </row>
    <row r="24">
      <c r="A24" t="str">
        <v>RAB (A) source line total</v>
      </c>
      <c r="B24">
        <v>79622181.86023875</v>
      </c>
    </row>
    <row r="25">
      <c r="A25" t="str">
        <v>Variance</v>
      </c>
      <c r="B25">
        <v>-10385501.981770262</v>
      </c>
      <c r="C25" t="str">
        <v>✓ OK</v>
      </c>
    </row>
  </sheetData>
  <ignoredErrors>
    <ignoredError numberStoredAsText="1" sqref="A1:L25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(A) VIII.C.2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16.585</v>
      </c>
    </row>
    <row r="7">
      <c r="A7" t="str">
        <v>Unit cost (Rp/m2)</v>
      </c>
      <c r="B7">
        <v>317877.28755999997</v>
      </c>
    </row>
    <row r="8">
      <c r="A8" t="str">
        <v>Line total at-cost (Rp)</v>
      </c>
      <c r="B8">
        <v>5271994.8141826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3/4 Batu (finish 20 cm), spesi 1:3</v>
      </c>
      <c r="D12" t="str">
        <v>direct-reference lump from Analisa!F430 (block: 1 m2 Pasangan Dinding Bata Merah 3/4 Batu (finish 20 cm), spesi 1:3)</v>
      </c>
      <c r="E12">
        <v>1</v>
      </c>
      <c r="F12" t="str">
        <v>m2</v>
      </c>
      <c r="G12" t="str">
        <v>per m2</v>
      </c>
      <c r="H12">
        <v>193877.28756</v>
      </c>
      <c r="I12">
        <v>1</v>
      </c>
      <c r="J12">
        <v>193877.28756</v>
      </c>
      <c r="K12">
        <v>16.585</v>
      </c>
      <c r="L12">
        <v>3215454.8141826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3/4 Batu (finish 20 cm), spesi 1:3</v>
      </c>
      <c r="D14" t="str">
        <v>direct-reference lump from Analisa!G430 (block: 1 m2 Pasangan Dinding Bata Merah 3/4 Batu (finish 20 cm), spesi 1:3)</v>
      </c>
      <c r="E14">
        <v>1</v>
      </c>
      <c r="F14" t="str">
        <v>m2</v>
      </c>
      <c r="G14" t="str">
        <v>per m2</v>
      </c>
      <c r="H14">
        <v>124000</v>
      </c>
      <c r="I14">
        <v>1</v>
      </c>
      <c r="J14">
        <v>124000</v>
      </c>
      <c r="K14">
        <v>16.585</v>
      </c>
      <c r="L14">
        <v>2056540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317877.28755999997</v>
      </c>
      <c r="J16" t="str">
        <v/>
      </c>
      <c r="K16" t="str">
        <v/>
      </c>
      <c r="L16">
        <v>5271994.8141826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317877.28755999997</v>
      </c>
    </row>
    <row r="20">
      <c r="A20" t="str">
        <v>RAB (A) source unit cost</v>
      </c>
      <c r="B20">
        <v>317877.28755999997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5271994.8141826</v>
      </c>
    </row>
    <row r="24">
      <c r="A24" t="str">
        <v>RAB (A) source line total</v>
      </c>
      <c r="B24">
        <v>6062794.036309989</v>
      </c>
    </row>
    <row r="25">
      <c r="A25" t="str">
        <v>Variance</v>
      </c>
      <c r="B25">
        <v>-790799.2221273892</v>
      </c>
      <c r="C25" t="str">
        <v>✓ OK</v>
      </c>
    </row>
  </sheetData>
  <ignoredErrors>
    <ignoredError numberStoredAsText="1" sqref="A1:L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145</vt:i4>
      </vt:variant>
    </vt:vector>
  </HeadingPairs>
  <TitlesOfParts>
    <vt:vector size="145" baseType="lpstr">
      <vt:lpstr>Plumbing</vt:lpstr>
      <vt:lpstr>Upah</vt:lpstr>
      <vt:lpstr>Material</vt:lpstr>
      <vt:lpstr>Hitungan Tangga</vt:lpstr>
      <vt:lpstr>COVER</vt:lpstr>
      <vt:lpstr>REKAP RAB</vt:lpstr>
      <vt:lpstr>RAB (B)</vt:lpstr>
      <vt:lpstr>REKAP BETON BESI BEKISTING</vt:lpstr>
      <vt:lpstr>Retaining Wall</vt:lpstr>
      <vt:lpstr>Pas. Dinding</vt:lpstr>
      <vt:lpstr>PROSES BAJA</vt:lpstr>
      <vt:lpstr>DATA BAJA</vt:lpstr>
      <vt:lpstr>TABEL BAJA</vt:lpstr>
      <vt:lpstr>REKAP Plat</vt:lpstr>
      <vt:lpstr>Plat</vt:lpstr>
      <vt:lpstr>Hasil-Kolom</vt:lpstr>
      <vt:lpstr>Data-Kolom</vt:lpstr>
      <vt:lpstr>REKAP Balok</vt:lpstr>
      <vt:lpstr>Data Panjang Balok</vt:lpstr>
      <vt:lpstr>Detail Balok</vt:lpstr>
      <vt:lpstr>Besi Balok</vt:lpstr>
      <vt:lpstr>Data-PC</vt:lpstr>
      <vt:lpstr>Analisa</vt:lpstr>
      <vt:lpstr>RAB (A)</vt:lpstr>
      <vt:lpstr>Hasil-PC</vt:lpstr>
      <vt:lpstr>REKAP-PC</vt:lpstr>
      <vt:lpstr>Recipe Index</vt:lpstr>
      <vt:lpstr>Breakdown (A) III.A.1.1</vt:lpstr>
      <vt:lpstr>Breakdown (A) III.A.1.2</vt:lpstr>
      <vt:lpstr>Breakdown (A) III.A.1.3</vt:lpstr>
      <vt:lpstr>Breakdown (A) III.A.1.4</vt:lpstr>
      <vt:lpstr>Breakdown (A) III.A.2.1</vt:lpstr>
      <vt:lpstr>Breakdown (A) III.A.2.2</vt:lpstr>
      <vt:lpstr>Breakdown (A) III.A.2.3</vt:lpstr>
      <vt:lpstr>Breakdown (A) III.A.2.4</vt:lpstr>
      <vt:lpstr>Breakdown (A) III.A.3.1</vt:lpstr>
      <vt:lpstr>Breakdown (A) III.A.3.2</vt:lpstr>
      <vt:lpstr>Breakdown (A) III.A.3.3</vt:lpstr>
      <vt:lpstr>Breakdown (A) III.A.3.4</vt:lpstr>
      <vt:lpstr>Breakdown (A) III.A.4.1</vt:lpstr>
      <vt:lpstr>Breakdown (A) III.A.4.2</vt:lpstr>
      <vt:lpstr>Breakdown (A) III.A.4.3</vt:lpstr>
      <vt:lpstr>Breakdown (A) III.A.4.4</vt:lpstr>
      <vt:lpstr>Breakdown (A) III.A.5.1</vt:lpstr>
      <vt:lpstr>Breakdown (A) III.A.5.2</vt:lpstr>
      <vt:lpstr>Breakdown (A) III.A.5.3</vt:lpstr>
      <vt:lpstr>Breakdown (A) III.A.5.4</vt:lpstr>
      <vt:lpstr>Breakdown (A) III.A.6.1</vt:lpstr>
      <vt:lpstr>Breakdown (A) III.A.6.2</vt:lpstr>
      <vt:lpstr>Breakdown (A) III.A.6.3</vt:lpstr>
      <vt:lpstr>Breakdown (A) III.A.6.4</vt:lpstr>
      <vt:lpstr>Breakdown (A) III.A.7.1</vt:lpstr>
      <vt:lpstr>Breakdown (A) III.A.7.2</vt:lpstr>
      <vt:lpstr>Breakdown (A) III.A.7.3</vt:lpstr>
      <vt:lpstr>Breakdown (A) III.A.7.4</vt:lpstr>
      <vt:lpstr>Breakdown (A) III.A.8.1</vt:lpstr>
      <vt:lpstr>Breakdown (A) III.A.8.2</vt:lpstr>
      <vt:lpstr>Breakdown (A) III.A.8.3</vt:lpstr>
      <vt:lpstr>Breakdown (A) III.A.8.4</vt:lpstr>
      <vt:lpstr>Breakdown (A) III.A.9.1</vt:lpstr>
      <vt:lpstr>Breakdown (A) III.A.9.2</vt:lpstr>
      <vt:lpstr>Breakdown (A) III.A.9.3</vt:lpstr>
      <vt:lpstr>Breakdown (A) III.A.9.4</vt:lpstr>
      <vt:lpstr>Breakdown (A) III.A.10.1</vt:lpstr>
      <vt:lpstr>Breakdown (A) III.A.10.2</vt:lpstr>
      <vt:lpstr>Breakdown (A) III.A.10.3</vt:lpstr>
      <vt:lpstr>Breakdown (A) III.A.10.4</vt:lpstr>
      <vt:lpstr>Breakdown (A) III.A.11.1</vt:lpstr>
      <vt:lpstr>Breakdown (A) III.A.11.2</vt:lpstr>
      <vt:lpstr>Breakdown (A) III.A.11.3</vt:lpstr>
      <vt:lpstr>Breakdown (A) III.A.11.4</vt:lpstr>
      <vt:lpstr>Breakdown (A) III.A.11.2.1</vt:lpstr>
      <vt:lpstr>Breakdown (A) III.A.11.2.2</vt:lpstr>
      <vt:lpstr>Breakdown (A) III.A.11.2.3</vt:lpstr>
      <vt:lpstr>Breakdown (A) III.A.11.2.4</vt:lpstr>
      <vt:lpstr>Breakdown (A) III.A.11.2.5</vt:lpstr>
      <vt:lpstr>Breakdown (A) III.A.11.2.6</vt:lpstr>
      <vt:lpstr>Breakdown (A) III.A.11.2.7</vt:lpstr>
      <vt:lpstr>Breakdown (A) III.A.11.2.8</vt:lpstr>
      <vt:lpstr>Breakdown (A) III.A.11.3.1</vt:lpstr>
      <vt:lpstr>Breakdown (A) III.A.11.3.2</vt:lpstr>
      <vt:lpstr>Breakdown (A) III.A.11.3.3</vt:lpstr>
      <vt:lpstr>Breakdown (A) III.A.11.3.4</vt:lpstr>
      <vt:lpstr>Breakdown (A) III.A.11.3.5</vt:lpstr>
      <vt:lpstr>Breakdown (A) III.A.11.3.6</vt:lpstr>
      <vt:lpstr>Breakdown (A) III.A.11.3.7</vt:lpstr>
      <vt:lpstr>Breakdown (A) III.A.11.3.8</vt:lpstr>
      <vt:lpstr>Breakdown (A) III.A.11.3.9</vt:lpstr>
      <vt:lpstr>Breakdown (A) III.A.11.4.1</vt:lpstr>
      <vt:lpstr>Breakdown (A) III.A.11.4.2</vt:lpstr>
      <vt:lpstr>Breakdown (A) III.A.11.5.1</vt:lpstr>
      <vt:lpstr>Breakdown (A) III.A.11.5.2</vt:lpstr>
      <vt:lpstr>Breakdown (A) III.A.11.5.3</vt:lpstr>
      <vt:lpstr>Breakdown (A) III.A.11.5.4</vt:lpstr>
      <vt:lpstr>Breakdown (A) III.A.11.5.5</vt:lpstr>
      <vt:lpstr>Breakdown (A) III.A.11.5.6</vt:lpstr>
      <vt:lpstr>Breakdown (A) IV.A.1.1</vt:lpstr>
      <vt:lpstr>Breakdown (A) IV.A.2.1</vt:lpstr>
      <vt:lpstr>Breakdown (A) IV.A.2.2</vt:lpstr>
      <vt:lpstr>Breakdown (A) IV.A.2.3</vt:lpstr>
      <vt:lpstr>Breakdown (A) IV.A.2.4</vt:lpstr>
      <vt:lpstr>Breakdown (A) IV.A.2.5</vt:lpstr>
      <vt:lpstr>Breakdown (A) IV.A.2.6</vt:lpstr>
      <vt:lpstr>Breakdown (A) IV.A.2.7</vt:lpstr>
      <vt:lpstr>Breakdown (A) IV.A.2.8</vt:lpstr>
      <vt:lpstr>Breakdown (A) IV.A.3.1</vt:lpstr>
      <vt:lpstr>Breakdown (A) IV.A.3.2</vt:lpstr>
      <vt:lpstr>Breakdown (A) IV.A.3.3</vt:lpstr>
      <vt:lpstr>Breakdown (A) IV.A.3.4</vt:lpstr>
      <vt:lpstr>Breakdown (A) IV.A.3.5</vt:lpstr>
      <vt:lpstr>Breakdown (A) IV.A.5.1</vt:lpstr>
      <vt:lpstr>Breakdown (A) IV.A.5.2</vt:lpstr>
      <vt:lpstr>Breakdown (A) IV.A.5.3</vt:lpstr>
      <vt:lpstr>Breakdown (A) V.A.1.1</vt:lpstr>
      <vt:lpstr>Breakdown (A) V.A.2.1</vt:lpstr>
      <vt:lpstr>Breakdown (A) V.A.2.2</vt:lpstr>
      <vt:lpstr>Breakdown (A) V.A.2.3</vt:lpstr>
      <vt:lpstr>Breakdown (A) V.A.2.4</vt:lpstr>
      <vt:lpstr>Breakdown (A) V.A.2.5</vt:lpstr>
      <vt:lpstr>Breakdown (A) V.A.2.6</vt:lpstr>
      <vt:lpstr>Breakdown (A) V.A.2.7</vt:lpstr>
      <vt:lpstr>Breakdown (A) V.A.3.1</vt:lpstr>
      <vt:lpstr>Breakdown (A) V.A.3.2</vt:lpstr>
      <vt:lpstr>Breakdown (A) V.A.3.3</vt:lpstr>
      <vt:lpstr>Breakdown (A) V.A.3.4</vt:lpstr>
      <vt:lpstr>Breakdown (A) V.A.5.1</vt:lpstr>
      <vt:lpstr>Breakdown (A) V.A.5.2</vt:lpstr>
      <vt:lpstr>Breakdown (A) V.A.5.3</vt:lpstr>
      <vt:lpstr>Breakdown (A) V.A.5.4</vt:lpstr>
      <vt:lpstr>Breakdown (A) VI.A.1.1</vt:lpstr>
      <vt:lpstr>Breakdown (A) VI.A.2.1</vt:lpstr>
      <vt:lpstr>Breakdown (A) VI.A.2.2</vt:lpstr>
      <vt:lpstr>Breakdown (A) VI.A.2.3</vt:lpstr>
      <vt:lpstr>Breakdown (A) VI.A.2.4</vt:lpstr>
      <vt:lpstr>Breakdown (A) VI.A.2.5</vt:lpstr>
      <vt:lpstr>Breakdown (A) VI.A.5.1</vt:lpstr>
      <vt:lpstr>Breakdown (A) VIII.A.1</vt:lpstr>
      <vt:lpstr>Breakdown (A) VIII.A.2</vt:lpstr>
      <vt:lpstr>Breakdown (A) VIII.A.3</vt:lpstr>
      <vt:lpstr>Breakdown (A) VIII.A.4</vt:lpstr>
      <vt:lpstr>Breakdown (A) VIII.B.1</vt:lpstr>
      <vt:lpstr>Breakdown (A) VIII.B.2</vt:lpstr>
      <vt:lpstr>Breakdown (A) VIII.B.3</vt:lpstr>
      <vt:lpstr>Breakdown (A) VIII.C.1</vt:lpstr>
      <vt:lpstr>Breakdown (A) VIII.C.2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2023-09-04T02:35:00Z</dcterms:created>
  <dcterms:modified xsi:type="dcterms:W3CDTF">2026-04-25T08:38:13Z</dcterms:modified>
  <cp:lastModifiedBy>AMD</cp:lastModifiedBy>
  <cp:lastPrinted>2026-01-03T07:08:32Z</cp:lastPrinted>
  <dc:creator>W7</dc:creator>
</cp:coreProperties>
</file>